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285" windowWidth="19320" windowHeight="15690" firstSheet="11" activeTab="11"/>
  </bookViews>
  <sheets>
    <sheet name="индексы" sheetId="4" state="hidden" r:id="rId1"/>
    <sheet name="Кальк.2019-2023 (ДИ)" sheetId="41" state="hidden" r:id="rId2"/>
    <sheet name="Кальк.2019-2023 (ДИ) (2)" sheetId="79" state="hidden" r:id="rId3"/>
    <sheet name="Кальк.2019-2023 (ДИ) (3)" sheetId="82" state="hidden" r:id="rId4"/>
    <sheet name="Тарифы (3)" sheetId="81" state="hidden" r:id="rId5"/>
    <sheet name="Тарифы (2)" sheetId="80" state="hidden" r:id="rId6"/>
    <sheet name="Тарифы" sheetId="75" state="hidden" r:id="rId7"/>
    <sheet name="подконтрольные" sheetId="44" state="hidden" r:id="rId8"/>
    <sheet name="Прил2" sheetId="76" state="hidden" r:id="rId9"/>
    <sheet name="Прил3" sheetId="77" state="hidden" r:id="rId10"/>
    <sheet name="Прил4" sheetId="78" state="hidden" r:id="rId11"/>
    <sheet name="Прил 6 к расп" sheetId="83" r:id="rId12"/>
    <sheet name="переменные на 5 лет" sheetId="73" state="hidden" r:id="rId13"/>
    <sheet name="учет итогов" sheetId="66" state="hidden" r:id="rId14"/>
    <sheet name="Лист1" sheetId="67" state="hidden" r:id="rId15"/>
    <sheet name="амортизация" sheetId="74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</externalReferences>
  <definedNames>
    <definedName name="\a" localSheetId="3">#REF!</definedName>
    <definedName name="\a" localSheetId="12">#REF!</definedName>
    <definedName name="\a" localSheetId="11">#REF!</definedName>
    <definedName name="\a" localSheetId="8">#REF!</definedName>
    <definedName name="\a" localSheetId="9">#REF!</definedName>
    <definedName name="\a" localSheetId="10">#REF!</definedName>
    <definedName name="\a">#REF!</definedName>
    <definedName name="\m" localSheetId="12">#REF!</definedName>
    <definedName name="\m" localSheetId="11">#REF!</definedName>
    <definedName name="\m" localSheetId="8">#REF!</definedName>
    <definedName name="\m" localSheetId="9">#REF!</definedName>
    <definedName name="\m" localSheetId="10">#REF!</definedName>
    <definedName name="\m">#REF!</definedName>
    <definedName name="\n" localSheetId="12">#REF!</definedName>
    <definedName name="\n" localSheetId="11">#REF!</definedName>
    <definedName name="\n" localSheetId="8">#REF!</definedName>
    <definedName name="\n" localSheetId="9">#REF!</definedName>
    <definedName name="\n" localSheetId="10">#REF!</definedName>
    <definedName name="\n">#REF!</definedName>
    <definedName name="\o" localSheetId="12">#REF!</definedName>
    <definedName name="\o" localSheetId="11">#REF!</definedName>
    <definedName name="\o" localSheetId="8">#REF!</definedName>
    <definedName name="\o" localSheetId="9">#REF!</definedName>
    <definedName name="\o" localSheetId="10">#REF!</definedName>
    <definedName name="\o">#REF!</definedName>
    <definedName name="\ф23" localSheetId="12">#REF!</definedName>
    <definedName name="\ф23" localSheetId="11">#REF!</definedName>
    <definedName name="\ф23" localSheetId="8">#REF!</definedName>
    <definedName name="\ф23" localSheetId="9">#REF!</definedName>
    <definedName name="\ф23" localSheetId="10">#REF!</definedName>
    <definedName name="\ф23">#REF!</definedName>
    <definedName name="___" localSheetId="15">'[1]7'!$B$25</definedName>
    <definedName name="___" localSheetId="11">'[2]7'!$B$25</definedName>
    <definedName name="___" localSheetId="8">'[2]7'!$B$25</definedName>
    <definedName name="___" localSheetId="9">'[2]7'!$B$25</definedName>
    <definedName name="___" localSheetId="6">'[2]7'!$B$25</definedName>
    <definedName name="___" localSheetId="5">'[2]7'!$B$25</definedName>
    <definedName name="___" localSheetId="4">'[2]7'!$B$25</definedName>
    <definedName name="___">'[2]7'!$B$25</definedName>
    <definedName name="_____A100000" localSheetId="3">#REF!</definedName>
    <definedName name="_____A100000" localSheetId="12">#REF!</definedName>
    <definedName name="_____A100000" localSheetId="11">#REF!</definedName>
    <definedName name="_____A100000" localSheetId="6">#REF!</definedName>
    <definedName name="_____A100000" localSheetId="5">#REF!</definedName>
    <definedName name="_____A100000" localSheetId="4">#REF!</definedName>
    <definedName name="_____A100000">#REF!</definedName>
    <definedName name="_____A1000000" localSheetId="12">#REF!</definedName>
    <definedName name="_____A1000000" localSheetId="11">#REF!</definedName>
    <definedName name="_____A1000000">#REF!</definedName>
    <definedName name="____a02" localSheetId="15">#REF!</definedName>
    <definedName name="____a02" localSheetId="12">#REF!</definedName>
    <definedName name="____a02" localSheetId="11">#REF!</definedName>
    <definedName name="____a02" localSheetId="8">#REF!</definedName>
    <definedName name="____a02" localSheetId="9">#REF!</definedName>
    <definedName name="____a02" localSheetId="10">#REF!</definedName>
    <definedName name="____a02">#REF!</definedName>
    <definedName name="____A1" localSheetId="15">#REF!</definedName>
    <definedName name="____A1" localSheetId="12">#REF!</definedName>
    <definedName name="____A1" localSheetId="11">#REF!</definedName>
    <definedName name="____A1" localSheetId="8">#REF!</definedName>
    <definedName name="____A1" localSheetId="9">#REF!</definedName>
    <definedName name="____A1" localSheetId="10">#REF!</definedName>
    <definedName name="____A1">#REF!</definedName>
    <definedName name="____A100000" localSheetId="12">#REF!</definedName>
    <definedName name="____A100000" localSheetId="11">#REF!</definedName>
    <definedName name="____A100000">#REF!</definedName>
    <definedName name="____A1000000" localSheetId="12">#REF!</definedName>
    <definedName name="____A1000000" localSheetId="11">#REF!</definedName>
    <definedName name="____A1000000">#REF!</definedName>
    <definedName name="____cur1">'[3]#ССЫЛКА'!$Q$2</definedName>
    <definedName name="____FOT1">'[4]ФОТ по месяцам'!$D$5:$D$41</definedName>
    <definedName name="____gf2" localSheetId="15">#REF!</definedName>
    <definedName name="____gf2" localSheetId="12">#REF!</definedName>
    <definedName name="____gf2" localSheetId="11">#REF!</definedName>
    <definedName name="____gf2" localSheetId="8">#REF!</definedName>
    <definedName name="____gf2" localSheetId="9">#REF!</definedName>
    <definedName name="____gf2" localSheetId="10">#REF!</definedName>
    <definedName name="____gf2" localSheetId="6">#REF!</definedName>
    <definedName name="____gf2" localSheetId="5">#REF!</definedName>
    <definedName name="____gf2" localSheetId="4">#REF!</definedName>
    <definedName name="____gf2">#REF!</definedName>
    <definedName name="____mmm89" localSheetId="15">#REF!</definedName>
    <definedName name="____mmm89" localSheetId="12">#REF!</definedName>
    <definedName name="____mmm89" localSheetId="11">#REF!</definedName>
    <definedName name="____mmm89" localSheetId="8">#REF!</definedName>
    <definedName name="____mmm89" localSheetId="9">#REF!</definedName>
    <definedName name="____mmm89" localSheetId="10">#REF!</definedName>
    <definedName name="____mmm89">#REF!</definedName>
    <definedName name="____Ob1" localSheetId="15">#REF!</definedName>
    <definedName name="____Ob1" localSheetId="12">#REF!</definedName>
    <definedName name="____Ob1" localSheetId="11">#REF!</definedName>
    <definedName name="____Ob1" localSheetId="8">#REF!</definedName>
    <definedName name="____Ob1" localSheetId="9">#REF!</definedName>
    <definedName name="____Ob1" localSheetId="10">#REF!</definedName>
    <definedName name="____Ob1">#REF!</definedName>
    <definedName name="____qwe1" localSheetId="12">#REF!</definedName>
    <definedName name="____qwe1" localSheetId="11">#REF!</definedName>
    <definedName name="____qwe1" localSheetId="8">#REF!</definedName>
    <definedName name="____qwe1" localSheetId="9">#REF!</definedName>
    <definedName name="____qwe1" localSheetId="10">#REF!</definedName>
    <definedName name="____qwe1">#REF!</definedName>
    <definedName name="____qwe123" localSheetId="12">#REF!</definedName>
    <definedName name="____qwe123" localSheetId="11">#REF!</definedName>
    <definedName name="____qwe123" localSheetId="8">#REF!</definedName>
    <definedName name="____qwe123" localSheetId="9">#REF!</definedName>
    <definedName name="____qwe123" localSheetId="10">#REF!</definedName>
    <definedName name="____qwe123">#REF!</definedName>
    <definedName name="____qwe1237" localSheetId="12">#REF!</definedName>
    <definedName name="____qwe1237" localSheetId="11">#REF!</definedName>
    <definedName name="____qwe1237" localSheetId="8">#REF!</definedName>
    <definedName name="____qwe1237" localSheetId="9">#REF!</definedName>
    <definedName name="____qwe1237" localSheetId="10">#REF!</definedName>
    <definedName name="____qwe1237">#REF!</definedName>
    <definedName name="____qwe23" localSheetId="12">#REF!</definedName>
    <definedName name="____qwe23" localSheetId="11">#REF!</definedName>
    <definedName name="____qwe23" localSheetId="8">#REF!</definedName>
    <definedName name="____qwe23" localSheetId="9">#REF!</definedName>
    <definedName name="____qwe23" localSheetId="10">#REF!</definedName>
    <definedName name="____qwe23">#REF!</definedName>
    <definedName name="___a02" localSheetId="12">#REF!</definedName>
    <definedName name="___a02" localSheetId="11">#REF!</definedName>
    <definedName name="___a02" localSheetId="8">#REF!</definedName>
    <definedName name="___a02" localSheetId="9">#REF!</definedName>
    <definedName name="___a02" localSheetId="10">#REF!</definedName>
    <definedName name="___a02">#REF!</definedName>
    <definedName name="___A1" localSheetId="12">#REF!</definedName>
    <definedName name="___A1" localSheetId="11">#REF!</definedName>
    <definedName name="___A1" localSheetId="8">#REF!</definedName>
    <definedName name="___A1" localSheetId="9">#REF!</definedName>
    <definedName name="___A1" localSheetId="10">#REF!</definedName>
    <definedName name="___A1">#REF!</definedName>
    <definedName name="___A100000" localSheetId="12">#REF!</definedName>
    <definedName name="___A100000" localSheetId="11">#REF!</definedName>
    <definedName name="___A100000">#REF!</definedName>
    <definedName name="___A1000000" localSheetId="12">#REF!</definedName>
    <definedName name="___A1000000" localSheetId="11">#REF!</definedName>
    <definedName name="___A1000000">#REF!</definedName>
    <definedName name="___cur1">'[3]#ССЫЛКА'!$Q$2</definedName>
    <definedName name="___FOT1">'[4]ФОТ по месяцам'!$D$5:$D$41</definedName>
    <definedName name="___gf2" localSheetId="15">#REF!</definedName>
    <definedName name="___gf2" localSheetId="12">#REF!</definedName>
    <definedName name="___gf2" localSheetId="11">#REF!</definedName>
    <definedName name="___gf2" localSheetId="8">#REF!</definedName>
    <definedName name="___gf2" localSheetId="9">#REF!</definedName>
    <definedName name="___gf2" localSheetId="10">#REF!</definedName>
    <definedName name="___gf2" localSheetId="6">#REF!</definedName>
    <definedName name="___gf2" localSheetId="5">#REF!</definedName>
    <definedName name="___gf2" localSheetId="4">#REF!</definedName>
    <definedName name="___gf2">#REF!</definedName>
    <definedName name="___mmm89" localSheetId="15">#REF!</definedName>
    <definedName name="___mmm89" localSheetId="12">#REF!</definedName>
    <definedName name="___mmm89" localSheetId="11">#REF!</definedName>
    <definedName name="___mmm89" localSheetId="8">#REF!</definedName>
    <definedName name="___mmm89" localSheetId="9">#REF!</definedName>
    <definedName name="___mmm89" localSheetId="10">#REF!</definedName>
    <definedName name="___mmm89">#REF!</definedName>
    <definedName name="___Ob1" localSheetId="15">#REF!</definedName>
    <definedName name="___Ob1" localSheetId="12">#REF!</definedName>
    <definedName name="___Ob1" localSheetId="11">#REF!</definedName>
    <definedName name="___Ob1" localSheetId="8">#REF!</definedName>
    <definedName name="___Ob1" localSheetId="9">#REF!</definedName>
    <definedName name="___Ob1" localSheetId="10">#REF!</definedName>
    <definedName name="___Ob1">#REF!</definedName>
    <definedName name="___qwe1" localSheetId="12">#REF!</definedName>
    <definedName name="___qwe1" localSheetId="11">#REF!</definedName>
    <definedName name="___qwe1" localSheetId="8">#REF!</definedName>
    <definedName name="___qwe1" localSheetId="9">#REF!</definedName>
    <definedName name="___qwe1" localSheetId="10">#REF!</definedName>
    <definedName name="___qwe1">#REF!</definedName>
    <definedName name="___qwe123" localSheetId="12">#REF!</definedName>
    <definedName name="___qwe123" localSheetId="11">#REF!</definedName>
    <definedName name="___qwe123" localSheetId="8">#REF!</definedName>
    <definedName name="___qwe123" localSheetId="9">#REF!</definedName>
    <definedName name="___qwe123" localSheetId="10">#REF!</definedName>
    <definedName name="___qwe123">#REF!</definedName>
    <definedName name="___qwe1237" localSheetId="12">#REF!</definedName>
    <definedName name="___qwe1237" localSheetId="11">#REF!</definedName>
    <definedName name="___qwe1237" localSheetId="8">#REF!</definedName>
    <definedName name="___qwe1237" localSheetId="9">#REF!</definedName>
    <definedName name="___qwe1237" localSheetId="10">#REF!</definedName>
    <definedName name="___qwe1237">#REF!</definedName>
    <definedName name="___qwe23" localSheetId="12">#REF!</definedName>
    <definedName name="___qwe23" localSheetId="11">#REF!</definedName>
    <definedName name="___qwe23" localSheetId="8">#REF!</definedName>
    <definedName name="___qwe23" localSheetId="9">#REF!</definedName>
    <definedName name="___qwe23" localSheetId="10">#REF!</definedName>
    <definedName name="___qwe23">#REF!</definedName>
    <definedName name="__123Graph_AMAIN" localSheetId="12" hidden="1">[5]ЦЕНА!#REF!</definedName>
    <definedName name="__123Graph_AMAIN" localSheetId="11" hidden="1">[5]ЦЕНА!#REF!</definedName>
    <definedName name="__123Graph_AMAIN" hidden="1">[5]ЦЕНА!#REF!</definedName>
    <definedName name="__a02" localSheetId="2">#REF!</definedName>
    <definedName name="__a02" localSheetId="3">#REF!</definedName>
    <definedName name="__a02" localSheetId="12">#REF!</definedName>
    <definedName name="__a02" localSheetId="11">#REF!</definedName>
    <definedName name="__a02" localSheetId="8">#REF!</definedName>
    <definedName name="__a02" localSheetId="9">#REF!</definedName>
    <definedName name="__a02" localSheetId="10">#REF!</definedName>
    <definedName name="__a02" localSheetId="6">#REF!</definedName>
    <definedName name="__a02" localSheetId="5">#REF!</definedName>
    <definedName name="__a02" localSheetId="4">#REF!</definedName>
    <definedName name="__a02">#REF!</definedName>
    <definedName name="__A1" localSheetId="12">#REF!</definedName>
    <definedName name="__A1" localSheetId="11">#REF!</definedName>
    <definedName name="__A1" localSheetId="8">#REF!</definedName>
    <definedName name="__A1" localSheetId="9">#REF!</definedName>
    <definedName name="__A1" localSheetId="10">#REF!</definedName>
    <definedName name="__A1">#REF!</definedName>
    <definedName name="__A100000" localSheetId="12">#REF!</definedName>
    <definedName name="__A100000" localSheetId="11">#REF!</definedName>
    <definedName name="__A100000">#REF!</definedName>
    <definedName name="__A1000000" localSheetId="12">#REF!</definedName>
    <definedName name="__A1000000" localSheetId="11">#REF!</definedName>
    <definedName name="__A1000000">#REF!</definedName>
    <definedName name="__cur1">'[6]#ССЫЛКА'!$Q$2</definedName>
    <definedName name="__FOT1">'[4]ФОТ по месяцам'!$D$5:$D$41</definedName>
    <definedName name="__FY1" localSheetId="15">[7]!__FY1</definedName>
    <definedName name="__FY1" localSheetId="11">#N/A</definedName>
    <definedName name="__FY1" localSheetId="8">#N/A</definedName>
    <definedName name="__FY1" localSheetId="9">#N/A</definedName>
    <definedName name="__FY1" localSheetId="6">#N/A</definedName>
    <definedName name="__FY1" localSheetId="5">#N/A</definedName>
    <definedName name="__FY1" localSheetId="4">#N/A</definedName>
    <definedName name="__FY1">#N/A</definedName>
    <definedName name="__gf2" localSheetId="15">#REF!</definedName>
    <definedName name="__gf2" localSheetId="12">#REF!</definedName>
    <definedName name="__gf2" localSheetId="11">#REF!</definedName>
    <definedName name="__gf2" localSheetId="8">#REF!</definedName>
    <definedName name="__gf2" localSheetId="9">#REF!</definedName>
    <definedName name="__gf2" localSheetId="10">#REF!</definedName>
    <definedName name="__gf2" localSheetId="6">#REF!</definedName>
    <definedName name="__gf2" localSheetId="5">#REF!</definedName>
    <definedName name="__gf2" localSheetId="4">#REF!</definedName>
    <definedName name="__gf2">#REF!</definedName>
    <definedName name="__M8" localSheetId="15">[7]!__M8</definedName>
    <definedName name="__M8" localSheetId="11">#N/A</definedName>
    <definedName name="__M8" localSheetId="8">#N/A</definedName>
    <definedName name="__M8" localSheetId="9">#N/A</definedName>
    <definedName name="__M8" localSheetId="6">#N/A</definedName>
    <definedName name="__M8" localSheetId="5">#N/A</definedName>
    <definedName name="__M8" localSheetId="4">#N/A</definedName>
    <definedName name="__M8">#N/A</definedName>
    <definedName name="__M9" localSheetId="15">[7]!__M9</definedName>
    <definedName name="__M9" localSheetId="11">#N/A</definedName>
    <definedName name="__M9" localSheetId="8">#N/A</definedName>
    <definedName name="__M9" localSheetId="9">#N/A</definedName>
    <definedName name="__M9" localSheetId="6">#N/A</definedName>
    <definedName name="__M9" localSheetId="5">#N/A</definedName>
    <definedName name="__M9" localSheetId="4">#N/A</definedName>
    <definedName name="__M9">#N/A</definedName>
    <definedName name="__mm1" localSheetId="2">[8]ПРОГНОЗ_1!#REF!</definedName>
    <definedName name="__mm1" localSheetId="3">[9]ПРОГНОЗ_1!#REF!</definedName>
    <definedName name="__mm1" localSheetId="12">[8]ПРОГНОЗ_1!#REF!</definedName>
    <definedName name="__mm1" localSheetId="11">[8]ПРОГНОЗ_1!#REF!</definedName>
    <definedName name="__mm1" localSheetId="8">[8]ПРОГНОЗ_1!#REF!</definedName>
    <definedName name="__mm1" localSheetId="9">[8]ПРОГНОЗ_1!#REF!</definedName>
    <definedName name="__mm1" localSheetId="10">[8]ПРОГНОЗ_1!#REF!</definedName>
    <definedName name="__mm1" localSheetId="6">[8]ПРОГНОЗ_1!#REF!</definedName>
    <definedName name="__mm1" localSheetId="5">[8]ПРОГНОЗ_1!#REF!</definedName>
    <definedName name="__mm1" localSheetId="4">[9]ПРОГНОЗ_1!#REF!</definedName>
    <definedName name="__mm1">[8]ПРОГНОЗ_1!#REF!</definedName>
    <definedName name="__mmm89" localSheetId="15">#REF!</definedName>
    <definedName name="__mmm89" localSheetId="12">#REF!</definedName>
    <definedName name="__mmm89" localSheetId="11">#REF!</definedName>
    <definedName name="__mmm89" localSheetId="8">#REF!</definedName>
    <definedName name="__mmm89" localSheetId="9">#REF!</definedName>
    <definedName name="__mmm89" localSheetId="10">#REF!</definedName>
    <definedName name="__mmm89" localSheetId="6">#REF!</definedName>
    <definedName name="__mmm89" localSheetId="5">#REF!</definedName>
    <definedName name="__mmm89" localSheetId="4">#REF!</definedName>
    <definedName name="__mmm89">#REF!</definedName>
    <definedName name="__mn5">'[10]BCS APP CR'!$E$24</definedName>
    <definedName name="__Ob1" localSheetId="15">#REF!</definedName>
    <definedName name="__Ob1" localSheetId="12">#REF!</definedName>
    <definedName name="__Ob1" localSheetId="11">#REF!</definedName>
    <definedName name="__Ob1" localSheetId="8">#REF!</definedName>
    <definedName name="__Ob1" localSheetId="9">#REF!</definedName>
    <definedName name="__Ob1" localSheetId="10">#REF!</definedName>
    <definedName name="__Ob1" localSheetId="6">#REF!</definedName>
    <definedName name="__Ob1" localSheetId="5">#REF!</definedName>
    <definedName name="__Ob1" localSheetId="4">#REF!</definedName>
    <definedName name="__Ob1">#REF!</definedName>
    <definedName name="__q11" localSheetId="15">[7]!__q11</definedName>
    <definedName name="__q11" localSheetId="11">#N/A</definedName>
    <definedName name="__q11" localSheetId="8">#N/A</definedName>
    <definedName name="__q11" localSheetId="9">#N/A</definedName>
    <definedName name="__q11" localSheetId="6">#N/A</definedName>
    <definedName name="__q11" localSheetId="5">#N/A</definedName>
    <definedName name="__q11" localSheetId="4">#N/A</definedName>
    <definedName name="__q11">#N/A</definedName>
    <definedName name="__q15" localSheetId="15">[7]!__q15</definedName>
    <definedName name="__q15" localSheetId="11">#N/A</definedName>
    <definedName name="__q15" localSheetId="8">#N/A</definedName>
    <definedName name="__q15" localSheetId="9">#N/A</definedName>
    <definedName name="__q15" localSheetId="6">#N/A</definedName>
    <definedName name="__q15" localSheetId="5">#N/A</definedName>
    <definedName name="__q15" localSheetId="4">#N/A</definedName>
    <definedName name="__q15">#N/A</definedName>
    <definedName name="__q17" localSheetId="15">[7]!__q17</definedName>
    <definedName name="__q17" localSheetId="11">#N/A</definedName>
    <definedName name="__q17" localSheetId="8">#N/A</definedName>
    <definedName name="__q17" localSheetId="9">#N/A</definedName>
    <definedName name="__q17" localSheetId="6">#N/A</definedName>
    <definedName name="__q17" localSheetId="5">#N/A</definedName>
    <definedName name="__q17" localSheetId="4">#N/A</definedName>
    <definedName name="__q17">#N/A</definedName>
    <definedName name="__q2" localSheetId="15">[7]!__q2</definedName>
    <definedName name="__q2" localSheetId="11">#N/A</definedName>
    <definedName name="__q2" localSheetId="8">#N/A</definedName>
    <definedName name="__q2" localSheetId="9">#N/A</definedName>
    <definedName name="__q2" localSheetId="6">#N/A</definedName>
    <definedName name="__q2" localSheetId="5">#N/A</definedName>
    <definedName name="__q2" localSheetId="4">#N/A</definedName>
    <definedName name="__q2">#N/A</definedName>
    <definedName name="__q3" localSheetId="15">[7]!__q3</definedName>
    <definedName name="__q3" localSheetId="11">#N/A</definedName>
    <definedName name="__q3" localSheetId="8">#N/A</definedName>
    <definedName name="__q3" localSheetId="9">#N/A</definedName>
    <definedName name="__q3" localSheetId="6">#N/A</definedName>
    <definedName name="__q3" localSheetId="5">#N/A</definedName>
    <definedName name="__q3" localSheetId="4">#N/A</definedName>
    <definedName name="__q3">#N/A</definedName>
    <definedName name="__q4" localSheetId="15">[7]!__q4</definedName>
    <definedName name="__q4" localSheetId="11">#N/A</definedName>
    <definedName name="__q4" localSheetId="8">#N/A</definedName>
    <definedName name="__q4" localSheetId="9">#N/A</definedName>
    <definedName name="__q4" localSheetId="6">#N/A</definedName>
    <definedName name="__q4" localSheetId="5">#N/A</definedName>
    <definedName name="__q4" localSheetId="4">#N/A</definedName>
    <definedName name="__q4">#N/A</definedName>
    <definedName name="__q5" localSheetId="15">[7]!__q5</definedName>
    <definedName name="__q5" localSheetId="11">#N/A</definedName>
    <definedName name="__q5" localSheetId="8">#N/A</definedName>
    <definedName name="__q5" localSheetId="9">#N/A</definedName>
    <definedName name="__q5" localSheetId="6">#N/A</definedName>
    <definedName name="__q5" localSheetId="5">#N/A</definedName>
    <definedName name="__q5" localSheetId="4">#N/A</definedName>
    <definedName name="__q5">#N/A</definedName>
    <definedName name="__q6" localSheetId="15">[7]!__q6</definedName>
    <definedName name="__q6" localSheetId="11">#N/A</definedName>
    <definedName name="__q6" localSheetId="8">#N/A</definedName>
    <definedName name="__q6" localSheetId="9">#N/A</definedName>
    <definedName name="__q6" localSheetId="6">#N/A</definedName>
    <definedName name="__q6" localSheetId="5">#N/A</definedName>
    <definedName name="__q6" localSheetId="4">#N/A</definedName>
    <definedName name="__q6">#N/A</definedName>
    <definedName name="__q7" localSheetId="15">[7]!__q7</definedName>
    <definedName name="__q7" localSheetId="11">#N/A</definedName>
    <definedName name="__q7" localSheetId="8">#N/A</definedName>
    <definedName name="__q7" localSheetId="9">#N/A</definedName>
    <definedName name="__q7" localSheetId="6">#N/A</definedName>
    <definedName name="__q7" localSheetId="5">#N/A</definedName>
    <definedName name="__q7" localSheetId="4">#N/A</definedName>
    <definedName name="__q7">#N/A</definedName>
    <definedName name="__q8" localSheetId="15">[7]!__q8</definedName>
    <definedName name="__q8" localSheetId="11">#N/A</definedName>
    <definedName name="__q8" localSheetId="8">#N/A</definedName>
    <definedName name="__q8" localSheetId="9">#N/A</definedName>
    <definedName name="__q8" localSheetId="6">#N/A</definedName>
    <definedName name="__q8" localSheetId="5">#N/A</definedName>
    <definedName name="__q8" localSheetId="4">#N/A</definedName>
    <definedName name="__q8">#N/A</definedName>
    <definedName name="__q9" localSheetId="15">[7]!__q9</definedName>
    <definedName name="__q9" localSheetId="11">#N/A</definedName>
    <definedName name="__q9" localSheetId="8">#N/A</definedName>
    <definedName name="__q9" localSheetId="9">#N/A</definedName>
    <definedName name="__q9" localSheetId="6">#N/A</definedName>
    <definedName name="__q9" localSheetId="5">#N/A</definedName>
    <definedName name="__q9" localSheetId="4">#N/A</definedName>
    <definedName name="__q9">#N/A</definedName>
    <definedName name="__qwe1" localSheetId="15">#REF!</definedName>
    <definedName name="__qwe1" localSheetId="12">#REF!</definedName>
    <definedName name="__qwe1" localSheetId="11">#REF!</definedName>
    <definedName name="__qwe1" localSheetId="8">#REF!</definedName>
    <definedName name="__qwe1" localSheetId="9">#REF!</definedName>
    <definedName name="__qwe1" localSheetId="10">#REF!</definedName>
    <definedName name="__qwe1" localSheetId="6">#REF!</definedName>
    <definedName name="__qwe1" localSheetId="5">#REF!</definedName>
    <definedName name="__qwe1" localSheetId="4">#REF!</definedName>
    <definedName name="__qwe1">#REF!</definedName>
    <definedName name="__qwe123" localSheetId="15">#REF!</definedName>
    <definedName name="__qwe123" localSheetId="12">#REF!</definedName>
    <definedName name="__qwe123" localSheetId="11">#REF!</definedName>
    <definedName name="__qwe123" localSheetId="8">#REF!</definedName>
    <definedName name="__qwe123" localSheetId="9">#REF!</definedName>
    <definedName name="__qwe123" localSheetId="10">#REF!</definedName>
    <definedName name="__qwe123">#REF!</definedName>
    <definedName name="__qwe1237" localSheetId="15">#REF!</definedName>
    <definedName name="__qwe1237" localSheetId="12">#REF!</definedName>
    <definedName name="__qwe1237" localSheetId="11">#REF!</definedName>
    <definedName name="__qwe1237" localSheetId="8">#REF!</definedName>
    <definedName name="__qwe1237" localSheetId="9">#REF!</definedName>
    <definedName name="__qwe1237" localSheetId="10">#REF!</definedName>
    <definedName name="__qwe1237">#REF!</definedName>
    <definedName name="__qwe23" localSheetId="12">#REF!</definedName>
    <definedName name="__qwe23" localSheetId="11">#REF!</definedName>
    <definedName name="__qwe23" localSheetId="8">#REF!</definedName>
    <definedName name="__qwe23" localSheetId="9">#REF!</definedName>
    <definedName name="__qwe23" localSheetId="10">#REF!</definedName>
    <definedName name="__qwe23">#REF!</definedName>
    <definedName name="__sl1" localSheetId="12">#REF!</definedName>
    <definedName name="__sl1" localSheetId="11">#REF!</definedName>
    <definedName name="__sl1">#REF!</definedName>
    <definedName name="__sl10" localSheetId="12">#REF!</definedName>
    <definedName name="__sl10" localSheetId="11">#REF!</definedName>
    <definedName name="__sl10">#REF!</definedName>
    <definedName name="__sl11" localSheetId="12">#REF!</definedName>
    <definedName name="__sl11" localSheetId="11">#REF!</definedName>
    <definedName name="__sl11">#REF!</definedName>
    <definedName name="__sl12" localSheetId="12">#REF!</definedName>
    <definedName name="__sl12" localSheetId="11">#REF!</definedName>
    <definedName name="__sl12">#REF!</definedName>
    <definedName name="__sl13" localSheetId="12">#REF!</definedName>
    <definedName name="__sl13" localSheetId="11">#REF!</definedName>
    <definedName name="__sl13">#REF!</definedName>
    <definedName name="__sl14" localSheetId="12">#REF!</definedName>
    <definedName name="__sl14" localSheetId="11">#REF!</definedName>
    <definedName name="__sl14">#REF!</definedName>
    <definedName name="__sl15" localSheetId="12">#REF!</definedName>
    <definedName name="__sl15" localSheetId="11">#REF!</definedName>
    <definedName name="__sl15">#REF!</definedName>
    <definedName name="__sl16" localSheetId="12">#REF!</definedName>
    <definedName name="__sl16" localSheetId="11">#REF!</definedName>
    <definedName name="__sl16">#REF!</definedName>
    <definedName name="__sl17" localSheetId="12">#REF!</definedName>
    <definedName name="__sl17" localSheetId="11">#REF!</definedName>
    <definedName name="__sl17">#REF!</definedName>
    <definedName name="__sl18" localSheetId="12">#REF!</definedName>
    <definedName name="__sl18" localSheetId="11">#REF!</definedName>
    <definedName name="__sl18">#REF!</definedName>
    <definedName name="__sl19" localSheetId="12">#REF!</definedName>
    <definedName name="__sl19" localSheetId="11">#REF!</definedName>
    <definedName name="__sl19">#REF!</definedName>
    <definedName name="__sl2" localSheetId="12">#REF!</definedName>
    <definedName name="__sl2" localSheetId="11">#REF!</definedName>
    <definedName name="__sl2">#REF!</definedName>
    <definedName name="__sl20" localSheetId="12">#REF!</definedName>
    <definedName name="__sl20" localSheetId="11">#REF!</definedName>
    <definedName name="__sl20">#REF!</definedName>
    <definedName name="__sl21" localSheetId="12">#REF!</definedName>
    <definedName name="__sl21" localSheetId="11">#REF!</definedName>
    <definedName name="__sl21">#REF!</definedName>
    <definedName name="__sl22" localSheetId="12">#REF!</definedName>
    <definedName name="__sl22" localSheetId="11">#REF!</definedName>
    <definedName name="__sl22">#REF!</definedName>
    <definedName name="__sl23" localSheetId="12">#REF!</definedName>
    <definedName name="__sl23" localSheetId="11">#REF!</definedName>
    <definedName name="__sl23">#REF!</definedName>
    <definedName name="__sl24" localSheetId="12">#REF!</definedName>
    <definedName name="__sl24" localSheetId="11">#REF!</definedName>
    <definedName name="__sl24">#REF!</definedName>
    <definedName name="__sl3" localSheetId="12">#REF!</definedName>
    <definedName name="__sl3" localSheetId="11">#REF!</definedName>
    <definedName name="__sl3">#REF!</definedName>
    <definedName name="__sl4" localSheetId="12">#REF!</definedName>
    <definedName name="__sl4" localSheetId="11">#REF!</definedName>
    <definedName name="__sl4">#REF!</definedName>
    <definedName name="__sl5" localSheetId="12">#REF!</definedName>
    <definedName name="__sl5" localSheetId="11">#REF!</definedName>
    <definedName name="__sl5">#REF!</definedName>
    <definedName name="__sl6" localSheetId="12">#REF!</definedName>
    <definedName name="__sl6" localSheetId="11">#REF!</definedName>
    <definedName name="__sl6">#REF!</definedName>
    <definedName name="__sl7" localSheetId="12">#REF!</definedName>
    <definedName name="__sl7" localSheetId="11">#REF!</definedName>
    <definedName name="__sl7">#REF!</definedName>
    <definedName name="__sl8" localSheetId="12">#REF!</definedName>
    <definedName name="__sl8" localSheetId="11">#REF!</definedName>
    <definedName name="__sl8">#REF!</definedName>
    <definedName name="__sl9" localSheetId="12">#REF!</definedName>
    <definedName name="__sl9" localSheetId="11">#REF!</definedName>
    <definedName name="__sl9">#REF!</definedName>
    <definedName name="__sy1" localSheetId="12">#REF!</definedName>
    <definedName name="__sy1" localSheetId="11">#REF!</definedName>
    <definedName name="__sy1">#REF!</definedName>
    <definedName name="__sy10" localSheetId="12">#REF!</definedName>
    <definedName name="__sy10" localSheetId="11">#REF!</definedName>
    <definedName name="__sy10">#REF!</definedName>
    <definedName name="__sy11" localSheetId="12">#REF!</definedName>
    <definedName name="__sy11" localSheetId="11">#REF!</definedName>
    <definedName name="__sy11">#REF!</definedName>
    <definedName name="__sy12" localSheetId="12">#REF!</definedName>
    <definedName name="__sy12" localSheetId="11">#REF!</definedName>
    <definedName name="__sy12">#REF!</definedName>
    <definedName name="__sy13" localSheetId="12">#REF!</definedName>
    <definedName name="__sy13" localSheetId="11">#REF!</definedName>
    <definedName name="__sy13">#REF!</definedName>
    <definedName name="__sy14" localSheetId="12">#REF!</definedName>
    <definedName name="__sy14" localSheetId="11">#REF!</definedName>
    <definedName name="__sy14">#REF!</definedName>
    <definedName name="__sy147" localSheetId="12">#REF!</definedName>
    <definedName name="__sy147" localSheetId="11">#REF!</definedName>
    <definedName name="__sy147">#REF!</definedName>
    <definedName name="__sy15" localSheetId="12">#REF!</definedName>
    <definedName name="__sy15" localSheetId="11">#REF!</definedName>
    <definedName name="__sy15">#REF!</definedName>
    <definedName name="__sy16" localSheetId="12">#REF!</definedName>
    <definedName name="__sy16" localSheetId="11">#REF!</definedName>
    <definedName name="__sy16">#REF!</definedName>
    <definedName name="__sy17" localSheetId="12">#REF!</definedName>
    <definedName name="__sy17" localSheetId="11">#REF!</definedName>
    <definedName name="__sy17">#REF!</definedName>
    <definedName name="__sy18" localSheetId="12">#REF!</definedName>
    <definedName name="__sy18" localSheetId="11">#REF!</definedName>
    <definedName name="__sy18">#REF!</definedName>
    <definedName name="__sy19" localSheetId="12">#REF!</definedName>
    <definedName name="__sy19" localSheetId="11">#REF!</definedName>
    <definedName name="__sy19">#REF!</definedName>
    <definedName name="__sy2" localSheetId="12">#REF!</definedName>
    <definedName name="__sy2" localSheetId="11">#REF!</definedName>
    <definedName name="__sy2">#REF!</definedName>
    <definedName name="__sy20" localSheetId="12">#REF!</definedName>
    <definedName name="__sy20" localSheetId="11">#REF!</definedName>
    <definedName name="__sy20">#REF!</definedName>
    <definedName name="__sy21" localSheetId="12">#REF!</definedName>
    <definedName name="__sy21" localSheetId="11">#REF!</definedName>
    <definedName name="__sy21">#REF!</definedName>
    <definedName name="__sy22" localSheetId="12">#REF!</definedName>
    <definedName name="__sy22" localSheetId="11">#REF!</definedName>
    <definedName name="__sy22">#REF!</definedName>
    <definedName name="__sy23" localSheetId="12">#REF!</definedName>
    <definedName name="__sy23" localSheetId="11">#REF!</definedName>
    <definedName name="__sy23">#REF!</definedName>
    <definedName name="__sy24" localSheetId="12">#REF!</definedName>
    <definedName name="__sy24" localSheetId="11">#REF!</definedName>
    <definedName name="__sy24">#REF!</definedName>
    <definedName name="__sy3" localSheetId="12">#REF!</definedName>
    <definedName name="__sy3" localSheetId="11">#REF!</definedName>
    <definedName name="__sy3">#REF!</definedName>
    <definedName name="__sy4" localSheetId="12">#REF!</definedName>
    <definedName name="__sy4" localSheetId="11">#REF!</definedName>
    <definedName name="__sy4">#REF!</definedName>
    <definedName name="__sy5" localSheetId="12">#REF!</definedName>
    <definedName name="__sy5" localSheetId="11">#REF!</definedName>
    <definedName name="__sy5">#REF!</definedName>
    <definedName name="__sy6" localSheetId="12">#REF!</definedName>
    <definedName name="__sy6" localSheetId="11">#REF!</definedName>
    <definedName name="__sy6">#REF!</definedName>
    <definedName name="__sy67">'[11]APP Systems'!$H$49</definedName>
    <definedName name="__sy7" localSheetId="3">#REF!</definedName>
    <definedName name="__sy7" localSheetId="12">#REF!</definedName>
    <definedName name="__sy7" localSheetId="11">#REF!</definedName>
    <definedName name="__sy7" localSheetId="6">#REF!</definedName>
    <definedName name="__sy7" localSheetId="5">#REF!</definedName>
    <definedName name="__sy7" localSheetId="4">#REF!</definedName>
    <definedName name="__sy7">#REF!</definedName>
    <definedName name="__sy8" localSheetId="12">#REF!</definedName>
    <definedName name="__sy8" localSheetId="11">#REF!</definedName>
    <definedName name="__sy8">#REF!</definedName>
    <definedName name="__sy9" localSheetId="12">#REF!</definedName>
    <definedName name="__sy9" localSheetId="11">#REF!</definedName>
    <definedName name="__sy9">#REF!</definedName>
    <definedName name="__TAX1" localSheetId="12">#REF!</definedName>
    <definedName name="__TAX1" localSheetId="11">#REF!</definedName>
    <definedName name="__TAX1">#REF!</definedName>
    <definedName name="__TAX2" localSheetId="12">#REF!</definedName>
    <definedName name="__TAX2" localSheetId="11">#REF!</definedName>
    <definedName name="__TAX2">#REF!</definedName>
    <definedName name="__TAX3" localSheetId="12">#REF!</definedName>
    <definedName name="__TAX3" localSheetId="11">#REF!</definedName>
    <definedName name="__TAX3">#REF!</definedName>
    <definedName name="_1.Телевизоры" localSheetId="12">'[12]Общие продажи'!#REF!</definedName>
    <definedName name="_1.Телевизоры" localSheetId="11">'[12]Общие продажи'!#REF!</definedName>
    <definedName name="_1.Телевизоры" localSheetId="8">'[12]Общие продажи'!#REF!</definedName>
    <definedName name="_1.Телевизоры" localSheetId="9">'[12]Общие продажи'!#REF!</definedName>
    <definedName name="_1.Телевизоры" localSheetId="10">'[12]Общие продажи'!#REF!</definedName>
    <definedName name="_1.Телевизоры">'[12]Общие продажи'!#REF!</definedName>
    <definedName name="_10.УСЛУГИ" localSheetId="12">'[12]Общие продажи'!#REF!</definedName>
    <definedName name="_10.УСЛУГИ" localSheetId="11">'[12]Общие продажи'!#REF!</definedName>
    <definedName name="_10.УСЛУГИ" localSheetId="10">'[12]Общие продажи'!#REF!</definedName>
    <definedName name="_10.УСЛУГИ">'[12]Общие продажи'!#REF!</definedName>
    <definedName name="_11.1.ТВ21" localSheetId="12">'[12]Общие продажи'!#REF!</definedName>
    <definedName name="_11.1.ТВ21" localSheetId="11">'[12]Общие продажи'!#REF!</definedName>
    <definedName name="_11.1.ТВ21" localSheetId="10">'[12]Общие продажи'!#REF!</definedName>
    <definedName name="_11.1.ТВ21">'[12]Общие продажи'!#REF!</definedName>
    <definedName name="_11.2.ТВ21" localSheetId="12">'[12]Общие продажи'!#REF!</definedName>
    <definedName name="_11.2.ТВ21" localSheetId="11">'[12]Общие продажи'!#REF!</definedName>
    <definedName name="_11.2.ТВ21" localSheetId="10">'[12]Общие продажи'!#REF!</definedName>
    <definedName name="_11.2.ТВ21">'[12]Общие продажи'!#REF!</definedName>
    <definedName name="_11.3.ТВ20" localSheetId="12">'[12]Общие продажи'!#REF!</definedName>
    <definedName name="_11.3.ТВ20" localSheetId="11">'[12]Общие продажи'!#REF!</definedName>
    <definedName name="_11.3.ТВ20" localSheetId="10">'[12]Общие продажи'!#REF!</definedName>
    <definedName name="_11.3.ТВ20">'[12]Общие продажи'!#REF!</definedName>
    <definedName name="_11.4.ТВ14" localSheetId="12">'[12]Общие продажи'!#REF!</definedName>
    <definedName name="_11.4.ТВ14" localSheetId="11">'[12]Общие продажи'!#REF!</definedName>
    <definedName name="_11.4.ТВ14" localSheetId="10">'[12]Общие продажи'!#REF!</definedName>
    <definedName name="_11.4.ТВ14">'[12]Общие продажи'!#REF!</definedName>
    <definedName name="_11.5ТВэлитные" localSheetId="12">'[12]Общие продажи'!#REF!</definedName>
    <definedName name="_11.5ТВэлитные" localSheetId="11">'[12]Общие продажи'!#REF!</definedName>
    <definedName name="_11.5ТВэлитные" localSheetId="10">'[12]Общие продажи'!#REF!</definedName>
    <definedName name="_11.5ТВэлитные">'[12]Общие продажи'!#REF!</definedName>
    <definedName name="_11.6АвтоТВ" localSheetId="12">'[12]Общие продажи'!#REF!</definedName>
    <definedName name="_11.6АвтоТВ" localSheetId="11">'[12]Общие продажи'!#REF!</definedName>
    <definedName name="_11.6АвтоТВ" localSheetId="10">'[12]Общие продажи'!#REF!</definedName>
    <definedName name="_11.6АвтоТВ">'[12]Общие продажи'!#REF!</definedName>
    <definedName name="_11.СКИДКИ" localSheetId="12">'[12]Общие продажи'!#REF!</definedName>
    <definedName name="_11.СКИДКИ" localSheetId="11">'[12]Общие продажи'!#REF!</definedName>
    <definedName name="_11.СКИДКИ" localSheetId="10">'[12]Общие продажи'!#REF!</definedName>
    <definedName name="_11.СКИДКИ">'[12]Общие продажи'!#REF!</definedName>
    <definedName name="_12.НЕИЗВ.ТОВАР" localSheetId="12">'[12]Общие продажи'!#REF!</definedName>
    <definedName name="_12.НЕИЗВ.ТОВАР" localSheetId="11">'[12]Общие продажи'!#REF!</definedName>
    <definedName name="_12.НЕИЗВ.ТОВАР" localSheetId="10">'[12]Общие продажи'!#REF!</definedName>
    <definedName name="_12.НЕИЗВ.ТОВАР">'[12]Общие продажи'!#REF!</definedName>
    <definedName name="_2.Видео" localSheetId="12">'[12]Общие продажи'!#REF!</definedName>
    <definedName name="_2.Видео" localSheetId="11">'[12]Общие продажи'!#REF!</definedName>
    <definedName name="_2.Видео" localSheetId="10">'[12]Общие продажи'!#REF!</definedName>
    <definedName name="_2.Видео">'[12]Общие продажи'!#REF!</definedName>
    <definedName name="_22.5.Видеомагн." localSheetId="12">'[12]Общие продажи'!#REF!</definedName>
    <definedName name="_22.5.Видеомагн." localSheetId="11">'[12]Общие продажи'!#REF!</definedName>
    <definedName name="_22.5.Видеомагн." localSheetId="10">'[12]Общие продажи'!#REF!</definedName>
    <definedName name="_22.5.Видеомагн.">'[12]Общие продажи'!#REF!</definedName>
    <definedName name="_22.6.Видеопл.пиш" localSheetId="12">'[12]Общие продажи'!#REF!</definedName>
    <definedName name="_22.6.Видеопл.пиш" localSheetId="11">'[12]Общие продажи'!#REF!</definedName>
    <definedName name="_22.6.Видеопл.пиш" localSheetId="10">'[12]Общие продажи'!#REF!</definedName>
    <definedName name="_22.6.Видеопл.пиш">'[12]Общие продажи'!#REF!</definedName>
    <definedName name="_22.7.Bидеопл.неп" localSheetId="12">'[12]Общие продажи'!#REF!</definedName>
    <definedName name="_22.7.Bидеопл.неп" localSheetId="11">'[12]Общие продажи'!#REF!</definedName>
    <definedName name="_22.7.Bидеопл.неп" localSheetId="10">'[12]Общие продажи'!#REF!</definedName>
    <definedName name="_22.7.Bидеопл.неп">'[12]Общие продажи'!#REF!</definedName>
    <definedName name="_22.8.Bидеокамеры" localSheetId="12">'[12]Общие продажи'!#REF!</definedName>
    <definedName name="_22.8.Bидеокамеры" localSheetId="11">'[12]Общие продажи'!#REF!</definedName>
    <definedName name="_22.8.Bидеокамеры" localSheetId="10">'[12]Общие продажи'!#REF!</definedName>
    <definedName name="_22.8.Bидеокамеры">'[12]Общие продажи'!#REF!</definedName>
    <definedName name="_3.Аудио" localSheetId="12">'[12]Общие продажи'!#REF!</definedName>
    <definedName name="_3.Аудио" localSheetId="11">'[12]Общие продажи'!#REF!</definedName>
    <definedName name="_3.Аудио" localSheetId="10">'[12]Общие продажи'!#REF!</definedName>
    <definedName name="_3.Аудио">'[12]Общие продажи'!#REF!</definedName>
    <definedName name="_3AУДИОMAГНЛ" localSheetId="12">'[12]Общие продажи'!#REF!</definedName>
    <definedName name="_3AУДИОMAГНЛ" localSheetId="11">'[12]Общие продажи'!#REF!</definedName>
    <definedName name="_3AУДИОMAГНЛ" localSheetId="10">'[12]Общие продажи'!#REF!</definedName>
    <definedName name="_3AУДИОMAГНЛ">'[12]Общие продажи'!#REF!</definedName>
    <definedName name="_3MУЗ.ЦЕНТРЫ" localSheetId="12">'[12]Общие продажи'!#REF!</definedName>
    <definedName name="_3MУЗ.ЦЕНТРЫ" localSheetId="11">'[12]Общие продажи'!#REF!</definedName>
    <definedName name="_3MУЗ.ЦЕНТРЫ" localSheetId="10">'[12]Общие продажи'!#REF!</definedName>
    <definedName name="_3MУЗ.ЦЕНТРЫ">'[12]Общие продажи'!#REF!</definedName>
    <definedName name="_3WALKMAN" localSheetId="12">'[12]Общие продажи'!#REF!</definedName>
    <definedName name="_3WALKMAN" localSheetId="11">'[12]Общие продажи'!#REF!</definedName>
    <definedName name="_3WALKMAN" localSheetId="10">'[12]Общие продажи'!#REF!</definedName>
    <definedName name="_3WALKMAN">'[12]Общие продажи'!#REF!</definedName>
    <definedName name="_3Наушники" localSheetId="12">'[12]Общие продажи'!#REF!</definedName>
    <definedName name="_3Наушники" localSheetId="11">'[12]Общие продажи'!#REF!</definedName>
    <definedName name="_3Наушники" localSheetId="10">'[12]Общие продажи'!#REF!</definedName>
    <definedName name="_3Наушники">'[12]Общие продажи'!#REF!</definedName>
    <definedName name="_4.HiFisystem" localSheetId="12">'[12]Общие продажи'!#REF!</definedName>
    <definedName name="_4.HiFisystem" localSheetId="11">'[12]Общие продажи'!#REF!</definedName>
    <definedName name="_4.HiFisystem" localSheetId="10">'[12]Общие продажи'!#REF!</definedName>
    <definedName name="_4.HiFisystem">'[12]Общие продажи'!#REF!</definedName>
    <definedName name="_44.1.Technics" localSheetId="12">'[12]Общие продажи'!#REF!</definedName>
    <definedName name="_44.1.Technics" localSheetId="11">'[12]Общие продажи'!#REF!</definedName>
    <definedName name="_44.1.Technics" localSheetId="10">'[12]Общие продажи'!#REF!</definedName>
    <definedName name="_44.1.Technics">'[12]Общие продажи'!#REF!</definedName>
    <definedName name="_44.10.Yamaha" localSheetId="12">'[12]Общие продажи'!#REF!</definedName>
    <definedName name="_44.10.Yamaha" localSheetId="11">'[12]Общие продажи'!#REF!</definedName>
    <definedName name="_44.10.Yamaha" localSheetId="10">'[12]Общие продажи'!#REF!</definedName>
    <definedName name="_44.10.Yamaha">'[12]Общие продажи'!#REF!</definedName>
    <definedName name="_44.11.Pioneer" localSheetId="12">'[12]Общие продажи'!#REF!</definedName>
    <definedName name="_44.11.Pioneer" localSheetId="11">'[12]Общие продажи'!#REF!</definedName>
    <definedName name="_44.11.Pioneer" localSheetId="10">'[12]Общие продажи'!#REF!</definedName>
    <definedName name="_44.11.Pioneer">'[12]Общие продажи'!#REF!</definedName>
    <definedName name="_44.15.Infinity" localSheetId="12">'[12]Общие продажи'!#REF!</definedName>
    <definedName name="_44.15.Infinity" localSheetId="11">'[12]Общие продажи'!#REF!</definedName>
    <definedName name="_44.15.Infinity" localSheetId="10">'[12]Общие продажи'!#REF!</definedName>
    <definedName name="_44.15.Infinity">'[12]Общие продажи'!#REF!</definedName>
    <definedName name="_44.19.Canton" localSheetId="12">'[12]Общие продажи'!#REF!</definedName>
    <definedName name="_44.19.Canton" localSheetId="11">'[12]Общие продажи'!#REF!</definedName>
    <definedName name="_44.19.Canton" localSheetId="10">'[12]Общие продажи'!#REF!</definedName>
    <definedName name="_44.19.Canton">'[12]Общие продажи'!#REF!</definedName>
    <definedName name="_44.2.Sony" localSheetId="12">'[12]Общие продажи'!#REF!</definedName>
    <definedName name="_44.2.Sony" localSheetId="11">'[12]Общие продажи'!#REF!</definedName>
    <definedName name="_44.2.Sony" localSheetId="10">'[12]Общие продажи'!#REF!</definedName>
    <definedName name="_44.2.Sony">'[12]Общие продажи'!#REF!</definedName>
    <definedName name="_44.21.Paradigm" localSheetId="12">'[12]Общие продажи'!#REF!</definedName>
    <definedName name="_44.21.Paradigm" localSheetId="11">'[12]Общие продажи'!#REF!</definedName>
    <definedName name="_44.21.Paradigm" localSheetId="10">'[12]Общие продажи'!#REF!</definedName>
    <definedName name="_44.21.Paradigm">'[12]Общие продажи'!#REF!</definedName>
    <definedName name="_44.23MBQuart" localSheetId="12">'[12]Общие продажи'!#REF!</definedName>
    <definedName name="_44.23MBQuart" localSheetId="11">'[12]Общие продажи'!#REF!</definedName>
    <definedName name="_44.23MBQuart" localSheetId="10">'[12]Общие продажи'!#REF!</definedName>
    <definedName name="_44.23MBQuart">'[12]Общие продажи'!#REF!</definedName>
    <definedName name="_44.24Tannoy" localSheetId="12">'[12]Общие продажи'!#REF!</definedName>
    <definedName name="_44.24Tannoy" localSheetId="11">'[12]Общие продажи'!#REF!</definedName>
    <definedName name="_44.24Tannoy" localSheetId="10">'[12]Общие продажи'!#REF!</definedName>
    <definedName name="_44.24Tannoy">'[12]Общие продажи'!#REF!</definedName>
    <definedName name="_44.25Mission" localSheetId="12">'[12]Общие продажи'!#REF!</definedName>
    <definedName name="_44.25Mission" localSheetId="11">'[12]Общие продажи'!#REF!</definedName>
    <definedName name="_44.25Mission" localSheetId="10">'[12]Общие продажи'!#REF!</definedName>
    <definedName name="_44.25Mission">'[12]Общие продажи'!#REF!</definedName>
    <definedName name="_44.26HFстойки" localSheetId="12">'[12]Общие продажи'!#REF!</definedName>
    <definedName name="_44.26HFстойки" localSheetId="11">'[12]Общие продажи'!#REF!</definedName>
    <definedName name="_44.26HFстойки" localSheetId="10">'[12]Общие продажи'!#REF!</definedName>
    <definedName name="_44.26HFстойки">'[12]Общие продажи'!#REF!</definedName>
    <definedName name="_44.27HFкомпон." localSheetId="12">'[12]Общие продажи'!#REF!</definedName>
    <definedName name="_44.27HFкомпон." localSheetId="11">'[12]Общие продажи'!#REF!</definedName>
    <definedName name="_44.27HFкомпон." localSheetId="10">'[12]Общие продажи'!#REF!</definedName>
    <definedName name="_44.27HFкомпон.">'[12]Общие продажи'!#REF!</definedName>
    <definedName name="_44.29Проекторы" localSheetId="12">'[12]Общие продажи'!#REF!</definedName>
    <definedName name="_44.29Проекторы" localSheetId="11">'[12]Общие продажи'!#REF!</definedName>
    <definedName name="_44.29Проекторы" localSheetId="10">'[12]Общие продажи'!#REF!</definedName>
    <definedName name="_44.29Проекторы">'[12]Общие продажи'!#REF!</definedName>
    <definedName name="_44.31DVDVidCD" localSheetId="12">'[12]Общие продажи'!#REF!</definedName>
    <definedName name="_44.31DVDVidCD" localSheetId="11">'[12]Общие продажи'!#REF!</definedName>
    <definedName name="_44.31DVDVidCD" localSheetId="10">'[12]Общие продажи'!#REF!</definedName>
    <definedName name="_44.31DVDVidCD">'[12]Общие продажи'!#REF!</definedName>
    <definedName name="_44.34Aud.Selec." localSheetId="12">'[12]Общие продажи'!#REF!</definedName>
    <definedName name="_44.34Aud.Selec." localSheetId="11">'[12]Общие продажи'!#REF!</definedName>
    <definedName name="_44.34Aud.Selec." localSheetId="10">'[12]Общие продажи'!#REF!</definedName>
    <definedName name="_44.34Aud.Selec.">'[12]Общие продажи'!#REF!</definedName>
    <definedName name="_44.35Уцен.товар" localSheetId="12">'[12]Общие продажи'!#REF!</definedName>
    <definedName name="_44.35Уцен.товар" localSheetId="11">'[12]Общие продажи'!#REF!</definedName>
    <definedName name="_44.35Уцен.товар" localSheetId="10">'[12]Общие продажи'!#REF!</definedName>
    <definedName name="_44.35Уцен.товар">'[12]Общие продажи'!#REF!</definedName>
    <definedName name="_44.4.JBL" localSheetId="12">'[12]Общие продажи'!#REF!</definedName>
    <definedName name="_44.4.JBL" localSheetId="11">'[12]Общие продажи'!#REF!</definedName>
    <definedName name="_44.4.JBL" localSheetId="10">'[12]Общие продажи'!#REF!</definedName>
    <definedName name="_44.4.JBL">'[12]Общие продажи'!#REF!</definedName>
    <definedName name="_44.5.Denon" localSheetId="12">'[12]Общие продажи'!#REF!</definedName>
    <definedName name="_44.5.Denon" localSheetId="11">'[12]Общие продажи'!#REF!</definedName>
    <definedName name="_44.5.Denon" localSheetId="10">'[12]Общие продажи'!#REF!</definedName>
    <definedName name="_44.5.Denon">'[12]Общие продажи'!#REF!</definedName>
    <definedName name="_44.8.Marantz" localSheetId="12">'[12]Общие продажи'!#REF!</definedName>
    <definedName name="_44.8.Marantz" localSheetId="11">'[12]Общие продажи'!#REF!</definedName>
    <definedName name="_44.8.Marantz" localSheetId="10">'[12]Общие продажи'!#REF!</definedName>
    <definedName name="_44.8.Marantz">'[12]Общие продажи'!#REF!</definedName>
    <definedName name="_44.9.Jamo" localSheetId="12">'[12]Общие продажи'!#REF!</definedName>
    <definedName name="_44.9.Jamo" localSheetId="11">'[12]Общие продажи'!#REF!</definedName>
    <definedName name="_44.9.Jamo" localSheetId="10">'[12]Общие продажи'!#REF!</definedName>
    <definedName name="_44.9.Jamo">'[12]Общие продажи'!#REF!</definedName>
    <definedName name="_5.ABТОAУДИО" localSheetId="12">'[12]Общие продажи'!#REF!</definedName>
    <definedName name="_5.ABТОAУДИО" localSheetId="11">'[12]Общие продажи'!#REF!</definedName>
    <definedName name="_5.ABТОAУДИО" localSheetId="10">'[12]Общие продажи'!#REF!</definedName>
    <definedName name="_5.ABТОAУДИО">'[12]Общие продажи'!#REF!</definedName>
    <definedName name="_55.1.Panasonic" localSheetId="12">'[12]Общие продажи'!#REF!</definedName>
    <definedName name="_55.1.Panasonic" localSheetId="11">'[12]Общие продажи'!#REF!</definedName>
    <definedName name="_55.1.Panasonic" localSheetId="10">'[12]Общие продажи'!#REF!</definedName>
    <definedName name="_55.1.Panasonic">'[12]Общие продажи'!#REF!</definedName>
    <definedName name="_55.11.Проее" localSheetId="12">'[12]Общие продажи'!#REF!</definedName>
    <definedName name="_55.11.Проее" localSheetId="11">'[12]Общие продажи'!#REF!</definedName>
    <definedName name="_55.11.Проее" localSheetId="10">'[12]Общие продажи'!#REF!</definedName>
    <definedName name="_55.11.Проее">'[12]Общие продажи'!#REF!</definedName>
    <definedName name="_55.12JBL" localSheetId="12">'[12]Общие продажи'!#REF!</definedName>
    <definedName name="_55.12JBL" localSheetId="11">'[12]Общие продажи'!#REF!</definedName>
    <definedName name="_55.12JBL" localSheetId="10">'[12]Общие продажи'!#REF!</definedName>
    <definedName name="_55.12JBL">'[12]Общие продажи'!#REF!</definedName>
    <definedName name="_55.15Infinity" localSheetId="12">'[12]Общие продажи'!#REF!</definedName>
    <definedName name="_55.15Infinity" localSheetId="11">'[12]Общие продажи'!#REF!</definedName>
    <definedName name="_55.15Infinity" localSheetId="10">'[12]Общие продажи'!#REF!</definedName>
    <definedName name="_55.15Infinity">'[12]Общие продажи'!#REF!</definedName>
    <definedName name="_55.2.Sony" localSheetId="12">'[12]Общие продажи'!#REF!</definedName>
    <definedName name="_55.2.Sony" localSheetId="11">'[12]Общие продажи'!#REF!</definedName>
    <definedName name="_55.2.Sony" localSheetId="10">'[12]Общие продажи'!#REF!</definedName>
    <definedName name="_55.2.Sony">'[12]Общие продажи'!#REF!</definedName>
    <definedName name="_55.22Авт.антены" localSheetId="12">'[12]Общие продажи'!#REF!</definedName>
    <definedName name="_55.22Авт.антены" localSheetId="11">'[12]Общие продажи'!#REF!</definedName>
    <definedName name="_55.22Авт.антены" localSheetId="10">'[12]Общие продажи'!#REF!</definedName>
    <definedName name="_55.22Авт.антены">'[12]Общие продажи'!#REF!</definedName>
    <definedName name="_55.23LG" localSheetId="12">'[12]Общие продажи'!#REF!</definedName>
    <definedName name="_55.23LG" localSheetId="11">'[12]Общие продажи'!#REF!</definedName>
    <definedName name="_55.23LG" localSheetId="10">'[12]Общие продажи'!#REF!</definedName>
    <definedName name="_55.23LG">'[12]Общие продажи'!#REF!</definedName>
    <definedName name="_55.24АВТОПРОЕЕ" localSheetId="12">'[12]Общие продажи'!#REF!</definedName>
    <definedName name="_55.24АВТОПРОЕЕ" localSheetId="11">'[12]Общие продажи'!#REF!</definedName>
    <definedName name="_55.24АВТОПРОЕЕ" localSheetId="10">'[12]Общие продажи'!#REF!</definedName>
    <definedName name="_55.24АВТОПРОЕЕ">'[12]Общие продажи'!#REF!</definedName>
    <definedName name="_55.26Aiwa" localSheetId="12">'[12]Общие продажи'!#REF!</definedName>
    <definedName name="_55.26Aiwa" localSheetId="11">'[12]Общие продажи'!#REF!</definedName>
    <definedName name="_55.26Aiwa" localSheetId="10">'[12]Общие продажи'!#REF!</definedName>
    <definedName name="_55.26Aiwa">'[12]Общие продажи'!#REF!</definedName>
    <definedName name="_55.3.Alpine" localSheetId="12">'[12]Общие продажи'!#REF!</definedName>
    <definedName name="_55.3.Alpine" localSheetId="11">'[12]Общие продажи'!#REF!</definedName>
    <definedName name="_55.3.Alpine" localSheetId="10">'[12]Общие продажи'!#REF!</definedName>
    <definedName name="_55.3.Alpine">'[12]Общие продажи'!#REF!</definedName>
    <definedName name="_55.5.Pioneer" localSheetId="12">'[12]Общие продажи'!#REF!</definedName>
    <definedName name="_55.5.Pioneer" localSheetId="11">'[12]Общие продажи'!#REF!</definedName>
    <definedName name="_55.5.Pioneer" localSheetId="10">'[12]Общие продажи'!#REF!</definedName>
    <definedName name="_55.5.Pioneer">'[12]Общие продажи'!#REF!</definedName>
    <definedName name="_55.6.Blaupunct" localSheetId="12">'[12]Общие продажи'!#REF!</definedName>
    <definedName name="_55.6.Blaupunct" localSheetId="11">'[12]Общие продажи'!#REF!</definedName>
    <definedName name="_55.6.Blaupunct" localSheetId="10">'[12]Общие продажи'!#REF!</definedName>
    <definedName name="_55.6.Blaupunct">'[12]Общие продажи'!#REF!</definedName>
    <definedName name="_55.7.Kenwood" localSheetId="12">'[12]Общие продажи'!#REF!</definedName>
    <definedName name="_55.7.Kenwood" localSheetId="11">'[12]Общие продажи'!#REF!</definedName>
    <definedName name="_55.7.Kenwood" localSheetId="10">'[12]Общие продажи'!#REF!</definedName>
    <definedName name="_55.7.Kenwood">'[12]Общие продажи'!#REF!</definedName>
    <definedName name="_55.9.Clarion" localSheetId="12">'[12]Общие продажи'!#REF!</definedName>
    <definedName name="_55.9.Clarion" localSheetId="11">'[12]Общие продажи'!#REF!</definedName>
    <definedName name="_55.9.Clarion" localSheetId="10">'[12]Общие продажи'!#REF!</definedName>
    <definedName name="_55.9.Clarion">'[12]Общие продажи'!#REF!</definedName>
    <definedName name="_5Автокомпоненты" localSheetId="12">'[12]Общие продажи'!#REF!</definedName>
    <definedName name="_5Автокомпоненты" localSheetId="11">'[12]Общие продажи'!#REF!</definedName>
    <definedName name="_5Автокомпоненты" localSheetId="10">'[12]Общие продажи'!#REF!</definedName>
    <definedName name="_5Автокомпоненты">'[12]Общие продажи'!#REF!</definedName>
    <definedName name="_6.ТЕЛЕФОНЫ" localSheetId="12">'[12]Общие продажи'!#REF!</definedName>
    <definedName name="_6.ТЕЛЕФОНЫ" localSheetId="11">'[12]Общие продажи'!#REF!</definedName>
    <definedName name="_6.ТЕЛЕФОНЫ" localSheetId="10">'[12]Общие продажи'!#REF!</definedName>
    <definedName name="_6.ТЕЛЕФОНЫ">'[12]Общие продажи'!#REF!</definedName>
    <definedName name="_66.1.ПР.ТЕЛЕФОНЫ" localSheetId="12">'[12]Общие продажи'!#REF!</definedName>
    <definedName name="_66.1.ПР.ТЕЛЕФОНЫ" localSheetId="11">'[12]Общие продажи'!#REF!</definedName>
    <definedName name="_66.1.ПР.ТЕЛЕФОНЫ" localSheetId="10">'[12]Общие продажи'!#REF!</definedName>
    <definedName name="_66.1.ПР.ТЕЛЕФОНЫ">'[12]Общие продажи'!#REF!</definedName>
    <definedName name="_66.2.ТЕЛЕФОНЫPanas." localSheetId="12">'[12]Общие продажи'!#REF!</definedName>
    <definedName name="_66.2.ТЕЛЕФОНЫPanas." localSheetId="11">'[12]Общие продажи'!#REF!</definedName>
    <definedName name="_66.2.ТЕЛЕФОНЫPanas." localSheetId="10">'[12]Общие продажи'!#REF!</definedName>
    <definedName name="_66.2.ТЕЛЕФОНЫPanas.">'[12]Общие продажи'!#REF!</definedName>
    <definedName name="_7.БЫТ.ТЕХНИКА" localSheetId="12">'[12]Общие продажи'!#REF!</definedName>
    <definedName name="_7.БЫТ.ТЕХНИКА" localSheetId="11">'[12]Общие продажи'!#REF!</definedName>
    <definedName name="_7.БЫТ.ТЕХНИКА" localSheetId="10">'[12]Общие продажи'!#REF!</definedName>
    <definedName name="_7.БЫТ.ТЕХНИКА">'[12]Общие продажи'!#REF!</definedName>
    <definedName name="_77.1.PANASONIC" localSheetId="12">'[12]Общие продажи'!#REF!</definedName>
    <definedName name="_77.1.PANASONIC" localSheetId="11">'[12]Общие продажи'!#REF!</definedName>
    <definedName name="_77.1.PANASONIC" localSheetId="10">'[12]Общие продажи'!#REF!</definedName>
    <definedName name="_77.1.PANASONIC">'[12]Общие продажи'!#REF!</definedName>
    <definedName name="_77.10.INDESITARISTON" localSheetId="12">'[12]Общие продажи'!#REF!</definedName>
    <definedName name="_77.10.INDESITARISTON" localSheetId="11">'[12]Общие продажи'!#REF!</definedName>
    <definedName name="_77.10.INDESITARISTON" localSheetId="10">'[12]Общие продажи'!#REF!</definedName>
    <definedName name="_77.10.INDESITARISTON">'[12]Общие продажи'!#REF!</definedName>
    <definedName name="_77.12.BRAUN" localSheetId="12">'[12]Общие продажи'!#REF!</definedName>
    <definedName name="_77.12.BRAUN" localSheetId="11">'[12]Общие продажи'!#REF!</definedName>
    <definedName name="_77.12.BRAUN" localSheetId="10">'[12]Общие продажи'!#REF!</definedName>
    <definedName name="_77.12.BRAUN">'[12]Общие продажи'!#REF!</definedName>
    <definedName name="_77.14.BROTHER" localSheetId="12">'[12]Общие продажи'!#REF!</definedName>
    <definedName name="_77.14.BROTHER" localSheetId="11">'[12]Общие продажи'!#REF!</definedName>
    <definedName name="_77.14.BROTHER" localSheetId="10">'[12]Общие продажи'!#REF!</definedName>
    <definedName name="_77.14.BROTHER">'[12]Общие продажи'!#REF!</definedName>
    <definedName name="_77.15.ZANUSSI" localSheetId="12">'[12]Общие продажи'!#REF!</definedName>
    <definedName name="_77.15.ZANUSSI" localSheetId="11">'[12]Общие продажи'!#REF!</definedName>
    <definedName name="_77.15.ZANUSSI" localSheetId="10">'[12]Общие продажи'!#REF!</definedName>
    <definedName name="_77.15.ZANUSSI">'[12]Общие продажи'!#REF!</definedName>
    <definedName name="_77.16.GoldStar" localSheetId="12">'[12]Общие продажи'!#REF!</definedName>
    <definedName name="_77.16.GoldStar" localSheetId="11">'[12]Общие продажи'!#REF!</definedName>
    <definedName name="_77.16.GoldStar" localSheetId="10">'[12]Общие продажи'!#REF!</definedName>
    <definedName name="_77.16.GoldStar">'[12]Общие продажи'!#REF!</definedName>
    <definedName name="_77.17.THOMAS" localSheetId="12">'[12]Общие продажи'!#REF!</definedName>
    <definedName name="_77.17.THOMAS" localSheetId="11">'[12]Общие продажи'!#REF!</definedName>
    <definedName name="_77.17.THOMAS" localSheetId="10">'[12]Общие продажи'!#REF!</definedName>
    <definedName name="_77.17.THOMAS">'[12]Общие продажи'!#REF!</definedName>
    <definedName name="_77.19.Проая" localSheetId="12">'[12]Общие продажи'!#REF!</definedName>
    <definedName name="_77.19.Проая" localSheetId="11">'[12]Общие продажи'!#REF!</definedName>
    <definedName name="_77.19.Проая" localSheetId="10">'[12]Общие продажи'!#REF!</definedName>
    <definedName name="_77.19.Проая">'[12]Общие продажи'!#REF!</definedName>
    <definedName name="_77.2.SHARP" localSheetId="12">'[12]Общие продажи'!#REF!</definedName>
    <definedName name="_77.2.SHARP" localSheetId="11">'[12]Общие продажи'!#REF!</definedName>
    <definedName name="_77.2.SHARP" localSheetId="10">'[12]Общие продажи'!#REF!</definedName>
    <definedName name="_77.2.SHARP">'[12]Общие продажи'!#REF!</definedName>
    <definedName name="_77.20.MOULINEX" localSheetId="12">'[12]Общие продажи'!#REF!</definedName>
    <definedName name="_77.20.MOULINEX" localSheetId="11">'[12]Общие продажи'!#REF!</definedName>
    <definedName name="_77.20.MOULINEX" localSheetId="10">'[12]Общие продажи'!#REF!</definedName>
    <definedName name="_77.20.MOULINEX">'[12]Общие продажи'!#REF!</definedName>
    <definedName name="_77.21.BOSCHSIEM" localSheetId="12">'[12]Общие продажи'!#REF!</definedName>
    <definedName name="_77.21.BOSCHSIEM" localSheetId="11">'[12]Общие продажи'!#REF!</definedName>
    <definedName name="_77.21.BOSCHSIEM" localSheetId="10">'[12]Общие продажи'!#REF!</definedName>
    <definedName name="_77.21.BOSCHSIEM">'[12]Общие продажи'!#REF!</definedName>
    <definedName name="_77.24KRUPS" localSheetId="12">'[12]Общие продажи'!#REF!</definedName>
    <definedName name="_77.24KRUPS" localSheetId="11">'[12]Общие продажи'!#REF!</definedName>
    <definedName name="_77.24KRUPS" localSheetId="10">'[12]Общие продажи'!#REF!</definedName>
    <definedName name="_77.24KRUPS">'[12]Общие продажи'!#REF!</definedName>
    <definedName name="_77.25VESTFROST" localSheetId="12">'[12]Общие продажи'!#REF!</definedName>
    <definedName name="_77.25VESTFROST" localSheetId="11">'[12]Общие продажи'!#REF!</definedName>
    <definedName name="_77.25VESTFROST" localSheetId="10">'[12]Общие продажи'!#REF!</definedName>
    <definedName name="_77.25VESTFROST">'[12]Общие продажи'!#REF!</definedName>
    <definedName name="_77.30FUNAI" localSheetId="12">'[12]Общие продажи'!#REF!</definedName>
    <definedName name="_77.30FUNAI" localSheetId="11">'[12]Общие продажи'!#REF!</definedName>
    <definedName name="_77.30FUNAI" localSheetId="10">'[12]Общие продажи'!#REF!</definedName>
    <definedName name="_77.30FUNAI">'[12]Общие продажи'!#REF!</definedName>
    <definedName name="_77.31DAEWOO" localSheetId="12">'[12]Общие продажи'!#REF!</definedName>
    <definedName name="_77.31DAEWOO" localSheetId="11">'[12]Общие продажи'!#REF!</definedName>
    <definedName name="_77.31DAEWOO" localSheetId="10">'[12]Общие продажи'!#REF!</definedName>
    <definedName name="_77.31DAEWOO">'[12]Общие продажи'!#REF!</definedName>
    <definedName name="_77.32ELECTROLUX" localSheetId="12">'[12]Общие продажи'!#REF!</definedName>
    <definedName name="_77.32ELECTROLUX" localSheetId="11">'[12]Общие продажи'!#REF!</definedName>
    <definedName name="_77.32ELECTROLUX" localSheetId="10">'[12]Общие продажи'!#REF!</definedName>
    <definedName name="_77.32ELECTROLUX">'[12]Общие продажи'!#REF!</definedName>
    <definedName name="_77.33VAXGALAXY" localSheetId="12">'[12]Общие продажи'!#REF!</definedName>
    <definedName name="_77.33VAXGALAXY" localSheetId="11">'[12]Общие продажи'!#REF!</definedName>
    <definedName name="_77.33VAXGALAXY" localSheetId="10">'[12]Общие продажи'!#REF!</definedName>
    <definedName name="_77.33VAXGALAXY">'[12]Общие продажи'!#REF!</definedName>
    <definedName name="_77.34HITACHI" localSheetId="12">'[12]Общие продажи'!#REF!</definedName>
    <definedName name="_77.34HITACHI" localSheetId="11">'[12]Общие продажи'!#REF!</definedName>
    <definedName name="_77.34HITACHI" localSheetId="10">'[12]Общие продажи'!#REF!</definedName>
    <definedName name="_77.34HITACHI">'[12]Общие продажи'!#REF!</definedName>
    <definedName name="_77.35ПОСУДА" localSheetId="12">'[12]Общие продажи'!#REF!</definedName>
    <definedName name="_77.35ПОСУДА" localSheetId="11">'[12]Общие продажи'!#REF!</definedName>
    <definedName name="_77.35ПОСУДА" localSheetId="10">'[12]Общие продажи'!#REF!</definedName>
    <definedName name="_77.35ПОСУДА">'[12]Общие продажи'!#REF!</definedName>
    <definedName name="_77.37Rosenlew" localSheetId="12">'[12]Общие продажи'!#REF!</definedName>
    <definedName name="_77.37Rosenlew" localSheetId="11">'[12]Общие продажи'!#REF!</definedName>
    <definedName name="_77.37Rosenlew" localSheetId="10">'[12]Общие продажи'!#REF!</definedName>
    <definedName name="_77.37Rosenlew">'[12]Общие продажи'!#REF!</definedName>
    <definedName name="_77.4.ROWENTA" localSheetId="12">'[12]Общие продажи'!#REF!</definedName>
    <definedName name="_77.4.ROWENTA" localSheetId="11">'[12]Общие продажи'!#REF!</definedName>
    <definedName name="_77.4.ROWENTA" localSheetId="10">'[12]Общие продажи'!#REF!</definedName>
    <definedName name="_77.4.ROWENTA">'[12]Общие продажи'!#REF!</definedName>
    <definedName name="_77.40Кондицион." localSheetId="12">'[12]Общие продажи'!#REF!</definedName>
    <definedName name="_77.40Кондицион." localSheetId="11">'[12]Общие продажи'!#REF!</definedName>
    <definedName name="_77.40Кондицион." localSheetId="10">'[12]Общие продажи'!#REF!</definedName>
    <definedName name="_77.40Кондицион.">'[12]Общие продажи'!#REF!</definedName>
    <definedName name="_77.41Моющ.срва" localSheetId="12">'[12]Общие продажи'!#REF!</definedName>
    <definedName name="_77.41Моющ.срва" localSheetId="11">'[12]Общие продажи'!#REF!</definedName>
    <definedName name="_77.41Моющ.срва" localSheetId="10">'[12]Общие продажи'!#REF!</definedName>
    <definedName name="_77.41Моющ.срва">'[12]Общие продажи'!#REF!</definedName>
    <definedName name="_77.42Фильт.вод." localSheetId="12">'[12]Общие продажи'!#REF!</definedName>
    <definedName name="_77.42Фильт.вод." localSheetId="11">'[12]Общие продажи'!#REF!</definedName>
    <definedName name="_77.42Фильт.вод." localSheetId="10">'[12]Общие продажи'!#REF!</definedName>
    <definedName name="_77.42Фильт.вод.">'[12]Общие продажи'!#REF!</definedName>
    <definedName name="_77.44Elica" localSheetId="12">'[12]Общие продажи'!#REF!</definedName>
    <definedName name="_77.44Elica" localSheetId="11">'[12]Общие продажи'!#REF!</definedName>
    <definedName name="_77.44Elica" localSheetId="10">'[12]Общие продажи'!#REF!</definedName>
    <definedName name="_77.44Elica">'[12]Общие продажи'!#REF!</definedName>
    <definedName name="_77.46AEG" localSheetId="12">'[12]Общие продажи'!#REF!</definedName>
    <definedName name="_77.46AEG" localSheetId="11">'[12]Общие продажи'!#REF!</definedName>
    <definedName name="_77.46AEG" localSheetId="10">'[12]Общие продажи'!#REF!</definedName>
    <definedName name="_77.46AEG">'[12]Общие продажи'!#REF!</definedName>
    <definedName name="_77.47Liebherr" localSheetId="12">'[12]Общие продажи'!#REF!</definedName>
    <definedName name="_77.47Liebherr" localSheetId="11">'[12]Общие продажи'!#REF!</definedName>
    <definedName name="_77.47Liebherr" localSheetId="10">'[12]Общие продажи'!#REF!</definedName>
    <definedName name="_77.47Liebherr">'[12]Общие продажи'!#REF!</definedName>
    <definedName name="_77.48Soehnle" localSheetId="12">'[12]Общие продажи'!#REF!</definedName>
    <definedName name="_77.48Soehnle" localSheetId="11">'[12]Общие продажи'!#REF!</definedName>
    <definedName name="_77.48Soehnle" localSheetId="10">'[12]Общие продажи'!#REF!</definedName>
    <definedName name="_77.48Soehnle">'[12]Общие продажи'!#REF!</definedName>
    <definedName name="_77.49Binatone" localSheetId="12">'[12]Общие продажи'!#REF!</definedName>
    <definedName name="_77.49Binatone" localSheetId="11">'[12]Общие продажи'!#REF!</definedName>
    <definedName name="_77.49Binatone" localSheetId="10">'[12]Общие продажи'!#REF!</definedName>
    <definedName name="_77.49Binatone">'[12]Общие продажи'!#REF!</definedName>
    <definedName name="_77.5.SAMSUNG" localSheetId="12">'[12]Общие продажи'!#REF!</definedName>
    <definedName name="_77.5.SAMSUNG" localSheetId="11">'[12]Общие продажи'!#REF!</definedName>
    <definedName name="_77.5.SAMSUNG" localSheetId="10">'[12]Общие продажи'!#REF!</definedName>
    <definedName name="_77.5.SAMSUNG">'[12]Общие продажи'!#REF!</definedName>
    <definedName name="_77.50FOX" localSheetId="12">'[12]Общие продажи'!#REF!</definedName>
    <definedName name="_77.50FOX" localSheetId="11">'[12]Общие продажи'!#REF!</definedName>
    <definedName name="_77.50FOX" localSheetId="10">'[12]Общие продажи'!#REF!</definedName>
    <definedName name="_77.50FOX">'[12]Общие продажи'!#REF!</definedName>
    <definedName name="_77.6.TEFAL" localSheetId="12">'[12]Общие продажи'!#REF!</definedName>
    <definedName name="_77.6.TEFAL" localSheetId="11">'[12]Общие продажи'!#REF!</definedName>
    <definedName name="_77.6.TEFAL" localSheetId="10">'[12]Общие продажи'!#REF!</definedName>
    <definedName name="_77.6.TEFAL">'[12]Общие продажи'!#REF!</definedName>
    <definedName name="_77.7.SUPRA" localSheetId="12">'[12]Общие продажи'!#REF!</definedName>
    <definedName name="_77.7.SUPRA" localSheetId="11">'[12]Общие продажи'!#REF!</definedName>
    <definedName name="_77.7.SUPRA" localSheetId="10">'[12]Общие продажи'!#REF!</definedName>
    <definedName name="_77.7.SUPRA">'[12]Общие продажи'!#REF!</definedName>
    <definedName name="_77.8.PHILIPS" localSheetId="12">'[12]Общие продажи'!#REF!</definedName>
    <definedName name="_77.8.PHILIPS" localSheetId="11">'[12]Общие продажи'!#REF!</definedName>
    <definedName name="_77.8.PHILIPS" localSheetId="10">'[12]Общие продажи'!#REF!</definedName>
    <definedName name="_77.8.PHILIPS">'[12]Общие продажи'!#REF!</definedName>
    <definedName name="_77.9.CANDY" localSheetId="12">'[12]Общие продажи'!#REF!</definedName>
    <definedName name="_77.9.CANDY" localSheetId="11">'[12]Общие продажи'!#REF!</definedName>
    <definedName name="_77.9.CANDY" localSheetId="10">'[12]Общие продажи'!#REF!</definedName>
    <definedName name="_77.9.CANDY">'[12]Общие продажи'!#REF!</definedName>
    <definedName name="_8.ПРОЕЕ" localSheetId="12">'[12]Общие продажи'!#REF!</definedName>
    <definedName name="_8.ПРОЕЕ" localSheetId="11">'[12]Общие продажи'!#REF!</definedName>
    <definedName name="_8.ПРОЕЕ" localSheetId="10">'[12]Общие продажи'!#REF!</definedName>
    <definedName name="_8.ПРОЕЕ">'[12]Общие продажи'!#REF!</definedName>
    <definedName name="_80110.11Тов.дост" localSheetId="12">'[12]Общие продажи'!#REF!</definedName>
    <definedName name="_80110.11Тов.дост" localSheetId="11">'[12]Общие продажи'!#REF!</definedName>
    <definedName name="_80110.11Тов.дост" localSheetId="10">'[12]Общие продажи'!#REF!</definedName>
    <definedName name="_80110.11Тов.дост">'[12]Общие продажи'!#REF!</definedName>
    <definedName name="_80110.14Подкл.БТ" localSheetId="12">'[12]Общие продажи'!#REF!</definedName>
    <definedName name="_80110.14Подкл.БТ" localSheetId="11">'[12]Общие продажи'!#REF!</definedName>
    <definedName name="_80110.14Подкл.БТ" localSheetId="10">'[12]Общие продажи'!#REF!</definedName>
    <definedName name="_80110.14Подкл.БТ">'[12]Общие продажи'!#REF!</definedName>
    <definedName name="_802Скидка" localSheetId="12">'[12]Общие продажи'!#REF!</definedName>
    <definedName name="_802Скидка" localSheetId="11">'[12]Общие продажи'!#REF!</definedName>
    <definedName name="_802Скидка" localSheetId="10">'[12]Общие продажи'!#REF!</definedName>
    <definedName name="_802Скидка">'[12]Общие продажи'!#REF!</definedName>
    <definedName name="_88.1.Фототехника" localSheetId="12">'[12]Общие продажи'!#REF!</definedName>
    <definedName name="_88.1.Фототехника" localSheetId="11">'[12]Общие продажи'!#REF!</definedName>
    <definedName name="_88.1.Фототехника" localSheetId="10">'[12]Общие продажи'!#REF!</definedName>
    <definedName name="_88.1.Фототехника">'[12]Общие продажи'!#REF!</definedName>
    <definedName name="_88.10.Бат.акк." localSheetId="12">'[12]Общие продажи'!#REF!</definedName>
    <definedName name="_88.10.Бат.акк." localSheetId="11">'[12]Общие продажи'!#REF!</definedName>
    <definedName name="_88.10.Бат.акк." localSheetId="10">'[12]Общие продажи'!#REF!</definedName>
    <definedName name="_88.10.Бат.акк.">'[12]Общие продажи'!#REF!</definedName>
    <definedName name="_88.11.Кейсысум.ехлы" localSheetId="12">'[12]Общие продажи'!#REF!</definedName>
    <definedName name="_88.11.Кейсысум.ехлы" localSheetId="11">'[12]Общие продажи'!#REF!</definedName>
    <definedName name="_88.11.Кейсысум.ехлы" localSheetId="10">'[12]Общие продажи'!#REF!</definedName>
    <definedName name="_88.11.Кейсысум.ехлы">'[12]Общие продажи'!#REF!</definedName>
    <definedName name="_88.12.Пульты" localSheetId="12">'[12]Общие продажи'!#REF!</definedName>
    <definedName name="_88.12.Пульты" localSheetId="11">'[12]Общие продажи'!#REF!</definedName>
    <definedName name="_88.12.Пульты" localSheetId="10">'[12]Общие продажи'!#REF!</definedName>
    <definedName name="_88.12.Пульты">'[12]Общие продажи'!#REF!</definedName>
    <definedName name="_88.13.Кабеляшну" localSheetId="12">'[12]Общие продажи'!#REF!</definedName>
    <definedName name="_88.13.Кабеляшну" localSheetId="11">'[12]Общие продажи'!#REF!</definedName>
    <definedName name="_88.13.Кабеляшну" localSheetId="10">'[12]Общие продажи'!#REF!</definedName>
    <definedName name="_88.13.Кабеляшну">'[12]Общие продажи'!#REF!</definedName>
    <definedName name="_88.14.CaseLogicLL" localSheetId="12">'[12]Общие продажи'!#REF!</definedName>
    <definedName name="_88.14.CaseLogicLL" localSheetId="11">'[12]Общие продажи'!#REF!</definedName>
    <definedName name="_88.14.CaseLogicLL" localSheetId="10">'[12]Общие продажи'!#REF!</definedName>
    <definedName name="_88.14.CaseLogicLL">'[12]Общие продажи'!#REF!</definedName>
    <definedName name="_88.15.Кассетыдиски" localSheetId="12">'[12]Общие продажи'!#REF!</definedName>
    <definedName name="_88.15.Кассетыдиски" localSheetId="11">'[12]Общие продажи'!#REF!</definedName>
    <definedName name="_88.15.Кассетыдиски" localSheetId="10">'[12]Общие продажи'!#REF!</definedName>
    <definedName name="_88.15.Кассетыдиски">'[12]Общие продажи'!#REF!</definedName>
    <definedName name="_88.17.Реклама" localSheetId="12">'[12]Общие продажи'!#REF!</definedName>
    <definedName name="_88.17.Реклама" localSheetId="11">'[12]Общие продажи'!#REF!</definedName>
    <definedName name="_88.17.Реклама" localSheetId="10">'[12]Общие продажи'!#REF!</definedName>
    <definedName name="_88.17.Реклама">'[12]Общие продажи'!#REF!</definedName>
    <definedName name="_88.18асы" localSheetId="12">'[12]Общие продажи'!#REF!</definedName>
    <definedName name="_88.18асы" localSheetId="11">'[12]Общие продажи'!#REF!</definedName>
    <definedName name="_88.18асы" localSheetId="10">'[12]Общие продажи'!#REF!</definedName>
    <definedName name="_88.18асы">'[12]Общие продажи'!#REF!</definedName>
    <definedName name="_88.2.Оргтехника" localSheetId="12">'[12]Общие продажи'!#REF!</definedName>
    <definedName name="_88.2.Оргтехника" localSheetId="11">'[12]Общие продажи'!#REF!</definedName>
    <definedName name="_88.2.Оргтехника" localSheetId="10">'[12]Общие продажи'!#REF!</definedName>
    <definedName name="_88.2.Оргтехника">'[12]Общие продажи'!#REF!</definedName>
    <definedName name="_88.5.Стендыподставки" localSheetId="12">'[12]Общие продажи'!#REF!</definedName>
    <definedName name="_88.5.Стендыподставки" localSheetId="11">'[12]Общие продажи'!#REF!</definedName>
    <definedName name="_88.5.Стендыподставки" localSheetId="10">'[12]Общие продажи'!#REF!</definedName>
    <definedName name="_88.5.Стендыподставки">'[12]Общие продажи'!#REF!</definedName>
    <definedName name="_88.6.Игры" localSheetId="12">'[12]Общие продажи'!#REF!</definedName>
    <definedName name="_88.6.Игры" localSheetId="11">'[12]Общие продажи'!#REF!</definedName>
    <definedName name="_88.6.Игры" localSheetId="10">'[12]Общие продажи'!#REF!</definedName>
    <definedName name="_88.6.Игры">'[12]Общие продажи'!#REF!</definedName>
    <definedName name="_88.7.Микрофоны" localSheetId="12">'[12]Общие продажи'!#REF!</definedName>
    <definedName name="_88.7.Микрофоны" localSheetId="11">'[12]Общие продажи'!#REF!</definedName>
    <definedName name="_88.7.Микрофоны" localSheetId="10">'[12]Общие продажи'!#REF!</definedName>
    <definedName name="_88.7.Микрофоны">'[12]Общие продажи'!#REF!</definedName>
    <definedName name="_88.8.Антенны" localSheetId="12">'[12]Общие продажи'!#REF!</definedName>
    <definedName name="_88.8.Антенны" localSheetId="11">'[12]Общие продажи'!#REF!</definedName>
    <definedName name="_88.8.Антенны" localSheetId="10">'[12]Общие продажи'!#REF!</definedName>
    <definedName name="_88.8.Антенны">'[12]Общие продажи'!#REF!</definedName>
    <definedName name="_88.9.Адапт.акк." localSheetId="12">'[12]Общие продажи'!#REF!</definedName>
    <definedName name="_88.9.Адапт.акк." localSheetId="11">'[12]Общие продажи'!#REF!</definedName>
    <definedName name="_88.9.Адапт.акк." localSheetId="10">'[12]Общие продажи'!#REF!</definedName>
    <definedName name="_88.9.Адапт.акк.">'[12]Общие продажи'!#REF!</definedName>
    <definedName name="_8DVDLDHiFiк" localSheetId="12">'[12]Общие продажи'!#REF!</definedName>
    <definedName name="_8DVDLDHiFiк" localSheetId="11">'[12]Общие продажи'!#REF!</definedName>
    <definedName name="_8DVDLDHiFiк" localSheetId="10">'[12]Общие продажи'!#REF!</definedName>
    <definedName name="_8DVDLDHiFiк">'[12]Общие продажи'!#REF!</definedName>
    <definedName name="_8Канц.товары" localSheetId="12">'[12]Общие продажи'!#REF!</definedName>
    <definedName name="_8Канц.товары" localSheetId="11">'[12]Общие продажи'!#REF!</definedName>
    <definedName name="_8Канц.товары" localSheetId="10">'[12]Общие продажи'!#REF!</definedName>
    <definedName name="_8Канц.товары">'[12]Общие продажи'!#REF!</definedName>
    <definedName name="_9.Компьютеры" localSheetId="12">'[12]Общие продажи'!#REF!</definedName>
    <definedName name="_9.Компьютеры" localSheetId="11">'[12]Общие продажи'!#REF!</definedName>
    <definedName name="_9.Компьютеры" localSheetId="10">'[12]Общие продажи'!#REF!</definedName>
    <definedName name="_9.Компьютеры">'[12]Общие продажи'!#REF!</definedName>
    <definedName name="_90212.3Быт.Техник" localSheetId="12">'[12]Общие продажи'!#REF!</definedName>
    <definedName name="_90212.3Быт.Техник" localSheetId="11">'[12]Общие продажи'!#REF!</definedName>
    <definedName name="_90212.3Быт.Техник" localSheetId="10">'[12]Общие продажи'!#REF!</definedName>
    <definedName name="_90212.3Быт.Техник">'[12]Общие продажи'!#REF!</definedName>
    <definedName name="_9Вводвывод" localSheetId="12">'[12]Общие продажи'!#REF!</definedName>
    <definedName name="_9Вводвывод" localSheetId="11">'[12]Общие продажи'!#REF!</definedName>
    <definedName name="_9Вводвывод" localSheetId="10">'[12]Общие продажи'!#REF!</definedName>
    <definedName name="_9Вводвывод">'[12]Общие продажи'!#REF!</definedName>
    <definedName name="_9Готовыерешения" localSheetId="12">'[12]Общие продажи'!#REF!</definedName>
    <definedName name="_9Готовыерешения" localSheetId="11">'[12]Общие продажи'!#REF!</definedName>
    <definedName name="_9Готовыерешения" localSheetId="10">'[12]Общие продажи'!#REF!</definedName>
    <definedName name="_9Готовыерешения">'[12]Общие продажи'!#REF!</definedName>
    <definedName name="_9Игры" localSheetId="12">'[12]Общие продажи'!#REF!</definedName>
    <definedName name="_9Игры" localSheetId="11">'[12]Общие продажи'!#REF!</definedName>
    <definedName name="_9Игры" localSheetId="10">'[12]Общие продажи'!#REF!</definedName>
    <definedName name="_9Игры">'[12]Общие продажи'!#REF!</definedName>
    <definedName name="_9Кабеляперходн." localSheetId="12">'[12]Общие продажи'!#REF!</definedName>
    <definedName name="_9Кабеляперходн." localSheetId="11">'[12]Общие продажи'!#REF!</definedName>
    <definedName name="_9Кабеляперходн." localSheetId="10">'[12]Общие продажи'!#REF!</definedName>
    <definedName name="_9Кабеляперходн.">'[12]Общие продажи'!#REF!</definedName>
    <definedName name="_9Комп.мебель" localSheetId="12">'[12]Общие продажи'!#REF!</definedName>
    <definedName name="_9Комп.мебель" localSheetId="11">'[12]Общие продажи'!#REF!</definedName>
    <definedName name="_9Комп.мебель" localSheetId="10">'[12]Общие продажи'!#REF!</definedName>
    <definedName name="_9Комп.мебель">'[12]Общие продажи'!#REF!</definedName>
    <definedName name="_9Комплектующие" localSheetId="12">'[12]Общие продажи'!#REF!</definedName>
    <definedName name="_9Комплектующие" localSheetId="11">'[12]Общие продажи'!#REF!</definedName>
    <definedName name="_9Комплектующие" localSheetId="10">'[12]Общие продажи'!#REF!</definedName>
    <definedName name="_9Комплектующие">'[12]Общие продажи'!#REF!</definedName>
    <definedName name="_9Мониторы" localSheetId="12">'[12]Общие продажи'!#REF!</definedName>
    <definedName name="_9Мониторы" localSheetId="11">'[12]Общие продажи'!#REF!</definedName>
    <definedName name="_9Мониторы" localSheetId="10">'[12]Общие продажи'!#REF!</definedName>
    <definedName name="_9Мониторы">'[12]Общие продажи'!#REF!</definedName>
    <definedName name="_9Мультимедиа" localSheetId="12">'[12]Общие продажи'!#REF!</definedName>
    <definedName name="_9Мультимедиа" localSheetId="11">'[12]Общие продажи'!#REF!</definedName>
    <definedName name="_9Мультимедиа" localSheetId="10">'[12]Общие продажи'!#REF!</definedName>
    <definedName name="_9Мультимедиа">'[12]Общие продажи'!#REF!</definedName>
    <definedName name="_9Оргтехника" localSheetId="12">'[12]Общие продажи'!#REF!</definedName>
    <definedName name="_9Оргтехника" localSheetId="11">'[12]Общие продажи'!#REF!</definedName>
    <definedName name="_9Оргтехника" localSheetId="10">'[12]Общие продажи'!#REF!</definedName>
    <definedName name="_9Оргтехника">'[12]Общие продажи'!#REF!</definedName>
    <definedName name="_9ПО" localSheetId="12">'[12]Общие продажи'!#REF!</definedName>
    <definedName name="_9ПО" localSheetId="11">'[12]Общие продажи'!#REF!</definedName>
    <definedName name="_9ПО" localSheetId="10">'[12]Общие продажи'!#REF!</definedName>
    <definedName name="_9ПО">'[12]Общие продажи'!#REF!</definedName>
    <definedName name="_9Разное" localSheetId="12">'[12]Общие продажи'!#REF!</definedName>
    <definedName name="_9Разное" localSheetId="11">'[12]Общие продажи'!#REF!</definedName>
    <definedName name="_9Разное" localSheetId="10">'[12]Общие продажи'!#REF!</definedName>
    <definedName name="_9Разное">'[12]Общие продажи'!#REF!</definedName>
    <definedName name="_9Расх.мат.оргтех" localSheetId="12">'[12]Общие продажи'!#REF!</definedName>
    <definedName name="_9Расх.мат.оргтех" localSheetId="11">'[12]Общие продажи'!#REF!</definedName>
    <definedName name="_9Расх.мат.оргтех" localSheetId="10">'[12]Общие продажи'!#REF!</definedName>
    <definedName name="_9Расх.мат.оргтех">'[12]Общие продажи'!#REF!</definedName>
    <definedName name="_9Расх.материалы" localSheetId="12">'[12]Общие продажи'!#REF!</definedName>
    <definedName name="_9Расх.материалы" localSheetId="11">'[12]Общие продажи'!#REF!</definedName>
    <definedName name="_9Расх.материалы" localSheetId="10">'[12]Общие продажи'!#REF!</definedName>
    <definedName name="_9Расх.материалы">'[12]Общие продажи'!#REF!</definedName>
    <definedName name="_9Услуги" localSheetId="12">'[12]Общие продажи'!#REF!</definedName>
    <definedName name="_9Услуги" localSheetId="11">'[12]Общие продажи'!#REF!</definedName>
    <definedName name="_9Услуги" localSheetId="10">'[12]Общие продажи'!#REF!</definedName>
    <definedName name="_9Услуги">'[12]Общие продажи'!#REF!</definedName>
    <definedName name="_a02" localSheetId="15">#REF!</definedName>
    <definedName name="_a02" localSheetId="12">#REF!</definedName>
    <definedName name="_a02" localSheetId="11">#REF!</definedName>
    <definedName name="_a02" localSheetId="8">#REF!</definedName>
    <definedName name="_a02" localSheetId="9">#REF!</definedName>
    <definedName name="_a02" localSheetId="10">#REF!</definedName>
    <definedName name="_a02" localSheetId="6">#REF!</definedName>
    <definedName name="_a02" localSheetId="5">#REF!</definedName>
    <definedName name="_a02" localSheetId="4">#REF!</definedName>
    <definedName name="_a02">#REF!</definedName>
    <definedName name="_A1" localSheetId="15">#REF!</definedName>
    <definedName name="_A1" localSheetId="12">#REF!</definedName>
    <definedName name="_A1" localSheetId="11">#REF!</definedName>
    <definedName name="_A1" localSheetId="8">#REF!</definedName>
    <definedName name="_A1" localSheetId="9">#REF!</definedName>
    <definedName name="_A1" localSheetId="10">#REF!</definedName>
    <definedName name="_A1">#REF!</definedName>
    <definedName name="_A100000" localSheetId="12">#REF!</definedName>
    <definedName name="_A100000" localSheetId="11">#REF!</definedName>
    <definedName name="_A100000">#REF!</definedName>
    <definedName name="_A1000000" localSheetId="12">#REF!</definedName>
    <definedName name="_A1000000" localSheetId="11">#REF!</definedName>
    <definedName name="_A1000000">#REF!</definedName>
    <definedName name="_cur1" localSheetId="15">'[13]#ССЫЛКА'!$Q$2</definedName>
    <definedName name="_cur1" localSheetId="11">'[14]#ССЫЛКА'!$Q$2</definedName>
    <definedName name="_cur1" localSheetId="8">'[14]#ССЫЛКА'!$Q$2</definedName>
    <definedName name="_cur1" localSheetId="9">'[14]#ССЫЛКА'!$Q$2</definedName>
    <definedName name="_cur1" localSheetId="6">'[14]#ССЫЛКА'!$Q$2</definedName>
    <definedName name="_cur1" localSheetId="5">'[14]#ССЫЛКА'!$Q$2</definedName>
    <definedName name="_cur1" localSheetId="4">'[14]#ССЫЛКА'!$Q$2</definedName>
    <definedName name="_cur1">'[14]#ССЫЛКА'!$Q$2</definedName>
    <definedName name="_def1999" localSheetId="2">'[15]1999-veca'!#REF!</definedName>
    <definedName name="_def1999" localSheetId="3">'[16]1999-veca'!#REF!</definedName>
    <definedName name="_def1999" localSheetId="12">'[15]1999-veca'!#REF!</definedName>
    <definedName name="_def1999" localSheetId="11">'[15]1999-veca'!#REF!</definedName>
    <definedName name="_def1999" localSheetId="8">'[15]1999-veca'!#REF!</definedName>
    <definedName name="_def1999" localSheetId="9">'[15]1999-veca'!#REF!</definedName>
    <definedName name="_def1999" localSheetId="10">'[15]1999-veca'!#REF!</definedName>
    <definedName name="_def1999" localSheetId="6">'[15]1999-veca'!#REF!</definedName>
    <definedName name="_def1999" localSheetId="5">'[15]1999-veca'!#REF!</definedName>
    <definedName name="_def1999" localSheetId="4">'[16]1999-veca'!#REF!</definedName>
    <definedName name="_def1999">'[15]1999-veca'!#REF!</definedName>
    <definedName name="_def2000г" localSheetId="2">#REF!</definedName>
    <definedName name="_def2000г" localSheetId="3">#REF!</definedName>
    <definedName name="_def2000г" localSheetId="12">#REF!</definedName>
    <definedName name="_def2000г" localSheetId="11">#REF!</definedName>
    <definedName name="_def2000г" localSheetId="8">#REF!</definedName>
    <definedName name="_def2000г" localSheetId="9">#REF!</definedName>
    <definedName name="_def2000г" localSheetId="10">#REF!</definedName>
    <definedName name="_def2000г" localSheetId="6">#REF!</definedName>
    <definedName name="_def2000г" localSheetId="5">#REF!</definedName>
    <definedName name="_def2000г" localSheetId="4">#REF!</definedName>
    <definedName name="_def2000г">#REF!</definedName>
    <definedName name="_def2001г" localSheetId="12">#REF!</definedName>
    <definedName name="_def2001г" localSheetId="11">#REF!</definedName>
    <definedName name="_def2001г" localSheetId="10">#REF!</definedName>
    <definedName name="_def2001г" localSheetId="6">#REF!</definedName>
    <definedName name="_def2001г" localSheetId="5">#REF!</definedName>
    <definedName name="_def2001г" localSheetId="4">#REF!</definedName>
    <definedName name="_def2001г">#REF!</definedName>
    <definedName name="_def2002г" localSheetId="12">#REF!</definedName>
    <definedName name="_def2002г" localSheetId="11">#REF!</definedName>
    <definedName name="_def2002г" localSheetId="10">#REF!</definedName>
    <definedName name="_def2002г" localSheetId="6">#REF!</definedName>
    <definedName name="_def2002г" localSheetId="5">#REF!</definedName>
    <definedName name="_def2002г" localSheetId="4">#REF!</definedName>
    <definedName name="_def2002г">#REF!</definedName>
    <definedName name="_FOT1">'[4]ФОТ по месяцам'!$D$5:$D$41</definedName>
    <definedName name="_FY1">#N/A</definedName>
    <definedName name="_gf2" localSheetId="15">#REF!</definedName>
    <definedName name="_gf2" localSheetId="12">#REF!</definedName>
    <definedName name="_gf2" localSheetId="11">#REF!</definedName>
    <definedName name="_gf2" localSheetId="8">#REF!</definedName>
    <definedName name="_gf2" localSheetId="9">#REF!</definedName>
    <definedName name="_gf2" localSheetId="10">#REF!</definedName>
    <definedName name="_gf2" localSheetId="6">#REF!</definedName>
    <definedName name="_gf2" localSheetId="5">#REF!</definedName>
    <definedName name="_gf2" localSheetId="4">#REF!</definedName>
    <definedName name="_gf2">#REF!</definedName>
    <definedName name="_ghg1" localSheetId="15" hidden="1">{#N/A,#N/A,FALSE,"Себестоимсть-97"}</definedName>
    <definedName name="_ghg1" localSheetId="2" hidden="1">{#N/A,#N/A,FALSE,"Себестоимсть-97"}</definedName>
    <definedName name="_ghg1" localSheetId="3" hidden="1">{#N/A,#N/A,FALSE,"Себестоимсть-97"}</definedName>
    <definedName name="_ghg1" localSheetId="11" hidden="1">{#N/A,#N/A,FALSE,"Себестоимсть-97"}</definedName>
    <definedName name="_ghg1" localSheetId="8" hidden="1">{#N/A,#N/A,FALSE,"Себестоимсть-97"}</definedName>
    <definedName name="_ghg1" localSheetId="9" hidden="1">{#N/A,#N/A,FALSE,"Себестоимсть-97"}</definedName>
    <definedName name="_ghg1" localSheetId="10" hidden="1">{#N/A,#N/A,FALSE,"Себестоимсть-97"}</definedName>
    <definedName name="_ghg1" localSheetId="6" hidden="1">{#N/A,#N/A,FALSE,"Себестоимсть-97"}</definedName>
    <definedName name="_ghg1" localSheetId="5" hidden="1">{#N/A,#N/A,FALSE,"Себестоимсть-97"}</definedName>
    <definedName name="_ghg1" localSheetId="4" hidden="1">{#N/A,#N/A,FALSE,"Себестоимсть-97"}</definedName>
    <definedName name="_ghg1" hidden="1">{#N/A,#N/A,FALSE,"Себестоимсть-97"}</definedName>
    <definedName name="_inf2000" localSheetId="2">#REF!</definedName>
    <definedName name="_inf2000" localSheetId="3">#REF!</definedName>
    <definedName name="_inf2000" localSheetId="12">#REF!</definedName>
    <definedName name="_inf2000" localSheetId="11">#REF!</definedName>
    <definedName name="_inf2000" localSheetId="8">#REF!</definedName>
    <definedName name="_inf2000" localSheetId="9">#REF!</definedName>
    <definedName name="_inf2000" localSheetId="10">#REF!</definedName>
    <definedName name="_inf2000" localSheetId="6">#REF!</definedName>
    <definedName name="_inf2000" localSheetId="5">#REF!</definedName>
    <definedName name="_inf2000" localSheetId="4">#REF!</definedName>
    <definedName name="_inf2000">#REF!</definedName>
    <definedName name="_inf2001" localSheetId="12">#REF!</definedName>
    <definedName name="_inf2001" localSheetId="11">#REF!</definedName>
    <definedName name="_inf2001" localSheetId="10">#REF!</definedName>
    <definedName name="_inf2001">#REF!</definedName>
    <definedName name="_inf2002" localSheetId="12">#REF!</definedName>
    <definedName name="_inf2002" localSheetId="11">#REF!</definedName>
    <definedName name="_inf2002" localSheetId="10">#REF!</definedName>
    <definedName name="_inf2002">#REF!</definedName>
    <definedName name="_inf2003" localSheetId="12">#REF!</definedName>
    <definedName name="_inf2003" localSheetId="11">#REF!</definedName>
    <definedName name="_inf2003" localSheetId="10">#REF!</definedName>
    <definedName name="_inf2003">#REF!</definedName>
    <definedName name="_inf2004" localSheetId="12">#REF!</definedName>
    <definedName name="_inf2004" localSheetId="11">#REF!</definedName>
    <definedName name="_inf2004" localSheetId="10">#REF!</definedName>
    <definedName name="_inf2004">#REF!</definedName>
    <definedName name="_inf2005" localSheetId="12">#REF!</definedName>
    <definedName name="_inf2005" localSheetId="11">#REF!</definedName>
    <definedName name="_inf2005" localSheetId="10">#REF!</definedName>
    <definedName name="_inf2005">#REF!</definedName>
    <definedName name="_inf2006" localSheetId="12">#REF!</definedName>
    <definedName name="_inf2006" localSheetId="11">#REF!</definedName>
    <definedName name="_inf2006" localSheetId="10">#REF!</definedName>
    <definedName name="_inf2006">#REF!</definedName>
    <definedName name="_inf2007" localSheetId="12">#REF!</definedName>
    <definedName name="_inf2007" localSheetId="11">#REF!</definedName>
    <definedName name="_inf2007" localSheetId="10">#REF!</definedName>
    <definedName name="_inf2007">#REF!</definedName>
    <definedName name="_inf2008" localSheetId="12">#REF!</definedName>
    <definedName name="_inf2008" localSheetId="11">#REF!</definedName>
    <definedName name="_inf2008" localSheetId="10">#REF!</definedName>
    <definedName name="_inf2008">#REF!</definedName>
    <definedName name="_inf2009" localSheetId="12">#REF!</definedName>
    <definedName name="_inf2009" localSheetId="11">#REF!</definedName>
    <definedName name="_inf2009" localSheetId="10">#REF!</definedName>
    <definedName name="_inf2009">#REF!</definedName>
    <definedName name="_inf2010" localSheetId="12">#REF!</definedName>
    <definedName name="_inf2010" localSheetId="11">#REF!</definedName>
    <definedName name="_inf2010" localSheetId="10">#REF!</definedName>
    <definedName name="_inf2010">#REF!</definedName>
    <definedName name="_inf2011" localSheetId="12">#REF!</definedName>
    <definedName name="_inf2011" localSheetId="11">#REF!</definedName>
    <definedName name="_inf2011" localSheetId="10">#REF!</definedName>
    <definedName name="_inf2011">#REF!</definedName>
    <definedName name="_inf2012" localSheetId="12">#REF!</definedName>
    <definedName name="_inf2012" localSheetId="11">#REF!</definedName>
    <definedName name="_inf2012" localSheetId="10">#REF!</definedName>
    <definedName name="_inf2012">#REF!</definedName>
    <definedName name="_inf2013" localSheetId="12">#REF!</definedName>
    <definedName name="_inf2013" localSheetId="11">#REF!</definedName>
    <definedName name="_inf2013" localSheetId="10">#REF!</definedName>
    <definedName name="_inf2013">#REF!</definedName>
    <definedName name="_inf2014" localSheetId="12">#REF!</definedName>
    <definedName name="_inf2014" localSheetId="11">#REF!</definedName>
    <definedName name="_inf2014" localSheetId="10">#REF!</definedName>
    <definedName name="_inf2014">#REF!</definedName>
    <definedName name="_inf2015" localSheetId="12">#REF!</definedName>
    <definedName name="_inf2015" localSheetId="11">#REF!</definedName>
    <definedName name="_inf2015" localSheetId="10">#REF!</definedName>
    <definedName name="_inf2015">#REF!</definedName>
    <definedName name="_M8">#N/A</definedName>
    <definedName name="_M9">#N/A</definedName>
    <definedName name="_mmm1" localSheetId="15" hidden="1">{#N/A,#N/A,FALSE,"Себестоимсть-97"}</definedName>
    <definedName name="_mmm1" localSheetId="2" hidden="1">{#N/A,#N/A,FALSE,"Себестоимсть-97"}</definedName>
    <definedName name="_mmm1" localSheetId="3" hidden="1">{#N/A,#N/A,FALSE,"Себестоимсть-97"}</definedName>
    <definedName name="_mmm1" localSheetId="11" hidden="1">{#N/A,#N/A,FALSE,"Себестоимсть-97"}</definedName>
    <definedName name="_mmm1" localSheetId="8" hidden="1">{#N/A,#N/A,FALSE,"Себестоимсть-97"}</definedName>
    <definedName name="_mmm1" localSheetId="9" hidden="1">{#N/A,#N/A,FALSE,"Себестоимсть-97"}</definedName>
    <definedName name="_mmm1" localSheetId="10" hidden="1">{#N/A,#N/A,FALSE,"Себестоимсть-97"}</definedName>
    <definedName name="_mmm1" localSheetId="6" hidden="1">{#N/A,#N/A,FALSE,"Себестоимсть-97"}</definedName>
    <definedName name="_mmm1" localSheetId="5" hidden="1">{#N/A,#N/A,FALSE,"Себестоимсть-97"}</definedName>
    <definedName name="_mmm1" localSheetId="4" hidden="1">{#N/A,#N/A,FALSE,"Себестоимсть-97"}</definedName>
    <definedName name="_mmm1" hidden="1">{#N/A,#N/A,FALSE,"Себестоимсть-97"}</definedName>
    <definedName name="_mmm89" localSheetId="15">#REF!</definedName>
    <definedName name="_mmm89" localSheetId="12">#REF!</definedName>
    <definedName name="_mmm89" localSheetId="11">#REF!</definedName>
    <definedName name="_mmm89" localSheetId="8">#REF!</definedName>
    <definedName name="_mmm89" localSheetId="9">#REF!</definedName>
    <definedName name="_mmm89" localSheetId="10">#REF!</definedName>
    <definedName name="_mmm89" localSheetId="6">#REF!</definedName>
    <definedName name="_mmm89" localSheetId="5">#REF!</definedName>
    <definedName name="_mmm89" localSheetId="4">#REF!</definedName>
    <definedName name="_mmm89">#REF!</definedName>
    <definedName name="_mn5">'[10]BCS APP CR'!$E$24</definedName>
    <definedName name="_Ob1" localSheetId="15">#REF!</definedName>
    <definedName name="_Ob1" localSheetId="12">#REF!</definedName>
    <definedName name="_Ob1" localSheetId="11">#REF!</definedName>
    <definedName name="_Ob1" localSheetId="8">#REF!</definedName>
    <definedName name="_Ob1" localSheetId="9">#REF!</definedName>
    <definedName name="_Ob1" localSheetId="10">#REF!</definedName>
    <definedName name="_Ob1" localSheetId="6">#REF!</definedName>
    <definedName name="_Ob1" localSheetId="5">#REF!</definedName>
    <definedName name="_Ob1" localSheetId="4">#REF!</definedName>
    <definedName name="_Ob1">#REF!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15">#REF!</definedName>
    <definedName name="_qwe1" localSheetId="12">#REF!</definedName>
    <definedName name="_qwe1" localSheetId="11">#REF!</definedName>
    <definedName name="_qwe1" localSheetId="8">#REF!</definedName>
    <definedName name="_qwe1" localSheetId="9">#REF!</definedName>
    <definedName name="_qwe1" localSheetId="10">#REF!</definedName>
    <definedName name="_qwe1" localSheetId="6">#REF!</definedName>
    <definedName name="_qwe1" localSheetId="5">#REF!</definedName>
    <definedName name="_qwe1" localSheetId="4">#REF!</definedName>
    <definedName name="_qwe1">#REF!</definedName>
    <definedName name="_qwe123" localSheetId="15">#REF!</definedName>
    <definedName name="_qwe123" localSheetId="12">#REF!</definedName>
    <definedName name="_qwe123" localSheetId="11">#REF!</definedName>
    <definedName name="_qwe123" localSheetId="8">#REF!</definedName>
    <definedName name="_qwe123" localSheetId="9">#REF!</definedName>
    <definedName name="_qwe123" localSheetId="10">#REF!</definedName>
    <definedName name="_qwe123">#REF!</definedName>
    <definedName name="_qwe1237" localSheetId="15">#REF!</definedName>
    <definedName name="_qwe1237" localSheetId="12">#REF!</definedName>
    <definedName name="_qwe1237" localSheetId="11">#REF!</definedName>
    <definedName name="_qwe1237" localSheetId="8">#REF!</definedName>
    <definedName name="_qwe1237" localSheetId="9">#REF!</definedName>
    <definedName name="_qwe1237" localSheetId="10">#REF!</definedName>
    <definedName name="_qwe1237">#REF!</definedName>
    <definedName name="_qwe23" localSheetId="12">#REF!</definedName>
    <definedName name="_qwe23" localSheetId="11">#REF!</definedName>
    <definedName name="_qwe23" localSheetId="8">#REF!</definedName>
    <definedName name="_qwe23" localSheetId="9">#REF!</definedName>
    <definedName name="_qwe23" localSheetId="10">#REF!</definedName>
    <definedName name="_qwe23">#REF!</definedName>
    <definedName name="_s45" localSheetId="12">#REF!</definedName>
    <definedName name="_s45" localSheetId="11">#REF!</definedName>
    <definedName name="_s45" localSheetId="8">#REF!</definedName>
    <definedName name="_s45" localSheetId="9">#REF!</definedName>
    <definedName name="_s45" localSheetId="10">#REF!</definedName>
    <definedName name="_s45">#REF!</definedName>
    <definedName name="_sl1" localSheetId="12">#REF!</definedName>
    <definedName name="_sl1" localSheetId="11">#REF!</definedName>
    <definedName name="_sl1">#REF!</definedName>
    <definedName name="_sl10" localSheetId="12">#REF!</definedName>
    <definedName name="_sl10" localSheetId="11">#REF!</definedName>
    <definedName name="_sl10">#REF!</definedName>
    <definedName name="_sl11" localSheetId="12">#REF!</definedName>
    <definedName name="_sl11" localSheetId="11">#REF!</definedName>
    <definedName name="_sl11">#REF!</definedName>
    <definedName name="_sl12" localSheetId="12">#REF!</definedName>
    <definedName name="_sl12" localSheetId="11">#REF!</definedName>
    <definedName name="_sl12">#REF!</definedName>
    <definedName name="_sl13" localSheetId="12">#REF!</definedName>
    <definedName name="_sl13" localSheetId="11">#REF!</definedName>
    <definedName name="_sl13">#REF!</definedName>
    <definedName name="_sl14" localSheetId="12">#REF!</definedName>
    <definedName name="_sl14" localSheetId="11">#REF!</definedName>
    <definedName name="_sl14">#REF!</definedName>
    <definedName name="_sl15" localSheetId="12">#REF!</definedName>
    <definedName name="_sl15" localSheetId="11">#REF!</definedName>
    <definedName name="_sl15">#REF!</definedName>
    <definedName name="_sl16" localSheetId="12">#REF!</definedName>
    <definedName name="_sl16" localSheetId="11">#REF!</definedName>
    <definedName name="_sl16">#REF!</definedName>
    <definedName name="_sl17" localSheetId="12">#REF!</definedName>
    <definedName name="_sl17" localSheetId="11">#REF!</definedName>
    <definedName name="_sl17">#REF!</definedName>
    <definedName name="_sl18" localSheetId="12">#REF!</definedName>
    <definedName name="_sl18" localSheetId="11">#REF!</definedName>
    <definedName name="_sl18">#REF!</definedName>
    <definedName name="_sl19" localSheetId="12">#REF!</definedName>
    <definedName name="_sl19" localSheetId="11">#REF!</definedName>
    <definedName name="_sl19">#REF!</definedName>
    <definedName name="_sl2" localSheetId="12">#REF!</definedName>
    <definedName name="_sl2" localSheetId="11">#REF!</definedName>
    <definedName name="_sl2">#REF!</definedName>
    <definedName name="_sl20" localSheetId="12">#REF!</definedName>
    <definedName name="_sl20" localSheetId="11">#REF!</definedName>
    <definedName name="_sl20">#REF!</definedName>
    <definedName name="_sl21" localSheetId="12">#REF!</definedName>
    <definedName name="_sl21" localSheetId="11">#REF!</definedName>
    <definedName name="_sl21">#REF!</definedName>
    <definedName name="_sl22" localSheetId="12">#REF!</definedName>
    <definedName name="_sl22" localSheetId="11">#REF!</definedName>
    <definedName name="_sl22">#REF!</definedName>
    <definedName name="_sl23" localSheetId="12">#REF!</definedName>
    <definedName name="_sl23" localSheetId="11">#REF!</definedName>
    <definedName name="_sl23">#REF!</definedName>
    <definedName name="_sl24" localSheetId="12">#REF!</definedName>
    <definedName name="_sl24" localSheetId="11">#REF!</definedName>
    <definedName name="_sl24">#REF!</definedName>
    <definedName name="_sl3" localSheetId="12">#REF!</definedName>
    <definedName name="_sl3" localSheetId="11">#REF!</definedName>
    <definedName name="_sl3">#REF!</definedName>
    <definedName name="_sl4" localSheetId="12">#REF!</definedName>
    <definedName name="_sl4" localSheetId="11">#REF!</definedName>
    <definedName name="_sl4">#REF!</definedName>
    <definedName name="_sl5" localSheetId="12">#REF!</definedName>
    <definedName name="_sl5" localSheetId="11">#REF!</definedName>
    <definedName name="_sl5">#REF!</definedName>
    <definedName name="_sl6" localSheetId="12">#REF!</definedName>
    <definedName name="_sl6" localSheetId="11">#REF!</definedName>
    <definedName name="_sl6">#REF!</definedName>
    <definedName name="_sl7" localSheetId="12">#REF!</definedName>
    <definedName name="_sl7" localSheetId="11">#REF!</definedName>
    <definedName name="_sl7">#REF!</definedName>
    <definedName name="_sl8" localSheetId="12">#REF!</definedName>
    <definedName name="_sl8" localSheetId="11">#REF!</definedName>
    <definedName name="_sl8">#REF!</definedName>
    <definedName name="_sl9" localSheetId="12">#REF!</definedName>
    <definedName name="_sl9" localSheetId="11">#REF!</definedName>
    <definedName name="_sl9">#REF!</definedName>
    <definedName name="_sy1" localSheetId="12">#REF!</definedName>
    <definedName name="_sy1" localSheetId="11">#REF!</definedName>
    <definedName name="_sy1">#REF!</definedName>
    <definedName name="_sy10" localSheetId="12">#REF!</definedName>
    <definedName name="_sy10" localSheetId="11">#REF!</definedName>
    <definedName name="_sy10">#REF!</definedName>
    <definedName name="_sy11" localSheetId="12">#REF!</definedName>
    <definedName name="_sy11" localSheetId="11">#REF!</definedName>
    <definedName name="_sy11">#REF!</definedName>
    <definedName name="_sy12" localSheetId="12">#REF!</definedName>
    <definedName name="_sy12" localSheetId="11">#REF!</definedName>
    <definedName name="_sy12">#REF!</definedName>
    <definedName name="_sy13" localSheetId="12">#REF!</definedName>
    <definedName name="_sy13" localSheetId="11">#REF!</definedName>
    <definedName name="_sy13">#REF!</definedName>
    <definedName name="_sy14" localSheetId="12">#REF!</definedName>
    <definedName name="_sy14" localSheetId="11">#REF!</definedName>
    <definedName name="_sy14">#REF!</definedName>
    <definedName name="_sy147" localSheetId="12">#REF!</definedName>
    <definedName name="_sy147" localSheetId="11">#REF!</definedName>
    <definedName name="_sy147">#REF!</definedName>
    <definedName name="_sy15" localSheetId="12">#REF!</definedName>
    <definedName name="_sy15" localSheetId="11">#REF!</definedName>
    <definedName name="_sy15">#REF!</definedName>
    <definedName name="_sy16" localSheetId="12">#REF!</definedName>
    <definedName name="_sy16" localSheetId="11">#REF!</definedName>
    <definedName name="_sy16">#REF!</definedName>
    <definedName name="_sy17" localSheetId="12">#REF!</definedName>
    <definedName name="_sy17" localSheetId="11">#REF!</definedName>
    <definedName name="_sy17">#REF!</definedName>
    <definedName name="_sy18" localSheetId="12">#REF!</definedName>
    <definedName name="_sy18" localSheetId="11">#REF!</definedName>
    <definedName name="_sy18">#REF!</definedName>
    <definedName name="_sy19" localSheetId="12">#REF!</definedName>
    <definedName name="_sy19" localSheetId="11">#REF!</definedName>
    <definedName name="_sy19">#REF!</definedName>
    <definedName name="_sy2" localSheetId="12">#REF!</definedName>
    <definedName name="_sy2" localSheetId="11">#REF!</definedName>
    <definedName name="_sy2">#REF!</definedName>
    <definedName name="_sy20" localSheetId="12">#REF!</definedName>
    <definedName name="_sy20" localSheetId="11">#REF!</definedName>
    <definedName name="_sy20">#REF!</definedName>
    <definedName name="_sy21" localSheetId="12">#REF!</definedName>
    <definedName name="_sy21" localSheetId="11">#REF!</definedName>
    <definedName name="_sy21">#REF!</definedName>
    <definedName name="_sy22" localSheetId="12">#REF!</definedName>
    <definedName name="_sy22" localSheetId="11">#REF!</definedName>
    <definedName name="_sy22">#REF!</definedName>
    <definedName name="_sy23" localSheetId="12">#REF!</definedName>
    <definedName name="_sy23" localSheetId="11">#REF!</definedName>
    <definedName name="_sy23">#REF!</definedName>
    <definedName name="_sy24" localSheetId="12">#REF!</definedName>
    <definedName name="_sy24" localSheetId="11">#REF!</definedName>
    <definedName name="_sy24">#REF!</definedName>
    <definedName name="_sy3" localSheetId="12">#REF!</definedName>
    <definedName name="_sy3" localSheetId="11">#REF!</definedName>
    <definedName name="_sy3">#REF!</definedName>
    <definedName name="_sy4" localSheetId="12">#REF!</definedName>
    <definedName name="_sy4" localSheetId="11">#REF!</definedName>
    <definedName name="_sy4">#REF!</definedName>
    <definedName name="_sy5" localSheetId="12">#REF!</definedName>
    <definedName name="_sy5" localSheetId="11">#REF!</definedName>
    <definedName name="_sy5">#REF!</definedName>
    <definedName name="_sy6" localSheetId="12">#REF!</definedName>
    <definedName name="_sy6" localSheetId="11">#REF!</definedName>
    <definedName name="_sy6">#REF!</definedName>
    <definedName name="_sy67">'[11]APP Systems'!$H$49</definedName>
    <definedName name="_sy7" localSheetId="3">#REF!</definedName>
    <definedName name="_sy7" localSheetId="12">#REF!</definedName>
    <definedName name="_sy7" localSheetId="11">#REF!</definedName>
    <definedName name="_sy7" localSheetId="6">#REF!</definedName>
    <definedName name="_sy7" localSheetId="5">#REF!</definedName>
    <definedName name="_sy7" localSheetId="4">#REF!</definedName>
    <definedName name="_sy7">#REF!</definedName>
    <definedName name="_sy8" localSheetId="12">#REF!</definedName>
    <definedName name="_sy8" localSheetId="11">#REF!</definedName>
    <definedName name="_sy8">#REF!</definedName>
    <definedName name="_sy9" localSheetId="12">#REF!</definedName>
    <definedName name="_sy9" localSheetId="11">#REF!</definedName>
    <definedName name="_sy9">#REF!</definedName>
    <definedName name="_TAX1" localSheetId="12">#REF!</definedName>
    <definedName name="_TAX1" localSheetId="11">#REF!</definedName>
    <definedName name="_TAX1">#REF!</definedName>
    <definedName name="_TAX2" localSheetId="12">#REF!</definedName>
    <definedName name="_TAX2" localSheetId="11">#REF!</definedName>
    <definedName name="_TAX2">#REF!</definedName>
    <definedName name="_TAX3" localSheetId="12">#REF!</definedName>
    <definedName name="_TAX3" localSheetId="11">#REF!</definedName>
    <definedName name="_TAX3">#REF!</definedName>
    <definedName name="_л4604" localSheetId="12">[17]киев!#REF!</definedName>
    <definedName name="_л4604" localSheetId="11">[17]киев!#REF!</definedName>
    <definedName name="_л4604" localSheetId="8">[17]киев!#REF!</definedName>
    <definedName name="_л4604" localSheetId="9">[17]киев!#REF!</definedName>
    <definedName name="_л4604" localSheetId="10">[17]киев!#REF!</definedName>
    <definedName name="_л4604">[17]киев!#REF!</definedName>
    <definedName name="_ф23" localSheetId="15">#REF!</definedName>
    <definedName name="_ф23" localSheetId="12">#REF!</definedName>
    <definedName name="_ф23" localSheetId="11">#REF!</definedName>
    <definedName name="_ф23" localSheetId="8">#REF!</definedName>
    <definedName name="_ф23" localSheetId="9">#REF!</definedName>
    <definedName name="_ф23" localSheetId="10">#REF!</definedName>
    <definedName name="_ф23" localSheetId="6">#REF!</definedName>
    <definedName name="_ф23" localSheetId="5">#REF!</definedName>
    <definedName name="_ф23" localSheetId="4">#REF!</definedName>
    <definedName name="_ф23">#REF!</definedName>
    <definedName name="a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15">#REF!</definedName>
    <definedName name="a0" localSheetId="12">#REF!</definedName>
    <definedName name="a0" localSheetId="11">#REF!</definedName>
    <definedName name="a0" localSheetId="8">#REF!</definedName>
    <definedName name="a0" localSheetId="9">#REF!</definedName>
    <definedName name="a0" localSheetId="10">#REF!</definedName>
    <definedName name="a0" localSheetId="6">#REF!</definedName>
    <definedName name="a0" localSheetId="5">#REF!</definedName>
    <definedName name="a0" localSheetId="4">#REF!</definedName>
    <definedName name="a0">#REF!</definedName>
    <definedName name="a02new" localSheetId="15">#REF!</definedName>
    <definedName name="a02new" localSheetId="12">#REF!</definedName>
    <definedName name="a02new" localSheetId="11">#REF!</definedName>
    <definedName name="a02new" localSheetId="8">#REF!</definedName>
    <definedName name="a02new" localSheetId="9">#REF!</definedName>
    <definedName name="a02new" localSheetId="10">#REF!</definedName>
    <definedName name="a02new">#REF!</definedName>
    <definedName name="a04t" localSheetId="12">#REF!</definedName>
    <definedName name="a04t" localSheetId="11">#REF!</definedName>
    <definedName name="a04t" localSheetId="10">#REF!</definedName>
    <definedName name="a04t">#REF!</definedName>
    <definedName name="a1_" localSheetId="15">#REF!</definedName>
    <definedName name="a1_" localSheetId="12">#REF!</definedName>
    <definedName name="a1_" localSheetId="11">#REF!</definedName>
    <definedName name="a1_" localSheetId="8">#REF!</definedName>
    <definedName name="a1_" localSheetId="9">#REF!</definedName>
    <definedName name="a1_" localSheetId="10">#REF!</definedName>
    <definedName name="a1_">#REF!</definedName>
    <definedName name="a2_" localSheetId="12">#REF!</definedName>
    <definedName name="a2_" localSheetId="11">#REF!</definedName>
    <definedName name="a2_" localSheetId="8">#REF!</definedName>
    <definedName name="a2_" localSheetId="9">#REF!</definedName>
    <definedName name="a2_" localSheetId="10">#REF!</definedName>
    <definedName name="a2_">#REF!</definedName>
    <definedName name="a2_2" localSheetId="12">#REF!</definedName>
    <definedName name="a2_2" localSheetId="11">#REF!</definedName>
    <definedName name="a2_2" localSheetId="8">#REF!</definedName>
    <definedName name="a2_2" localSheetId="9">#REF!</definedName>
    <definedName name="a2_2" localSheetId="10">#REF!</definedName>
    <definedName name="a2_2">#REF!</definedName>
    <definedName name="a2_2new" localSheetId="12">#REF!</definedName>
    <definedName name="a2_2new" localSheetId="11">#REF!</definedName>
    <definedName name="a2_2new" localSheetId="8">#REF!</definedName>
    <definedName name="a2_2new" localSheetId="9">#REF!</definedName>
    <definedName name="a2_2new" localSheetId="10">#REF!</definedName>
    <definedName name="a2_2new">#REF!</definedName>
    <definedName name="a3_" localSheetId="12">#REF!</definedName>
    <definedName name="a3_" localSheetId="11">#REF!</definedName>
    <definedName name="a3_" localSheetId="8">#REF!</definedName>
    <definedName name="a3_" localSheetId="9">#REF!</definedName>
    <definedName name="a3_" localSheetId="10">#REF!</definedName>
    <definedName name="a3_">#REF!</definedName>
    <definedName name="a4_" localSheetId="12">#REF!</definedName>
    <definedName name="a4_" localSheetId="11">#REF!</definedName>
    <definedName name="a4_" localSheetId="8">#REF!</definedName>
    <definedName name="a4_" localSheetId="9">#REF!</definedName>
    <definedName name="a4_" localSheetId="10">#REF!</definedName>
    <definedName name="a4_">#REF!</definedName>
    <definedName name="a4_2" localSheetId="12">#REF!</definedName>
    <definedName name="a4_2" localSheetId="11">#REF!</definedName>
    <definedName name="a4_2" localSheetId="8">#REF!</definedName>
    <definedName name="a4_2" localSheetId="9">#REF!</definedName>
    <definedName name="a4_2" localSheetId="10">#REF!</definedName>
    <definedName name="a4_2">#REF!</definedName>
    <definedName name="a4_2new" localSheetId="12">#REF!</definedName>
    <definedName name="a4_2new" localSheetId="11">#REF!</definedName>
    <definedName name="a4_2new" localSheetId="8">#REF!</definedName>
    <definedName name="a4_2new" localSheetId="9">#REF!</definedName>
    <definedName name="a4_2new" localSheetId="10">#REF!</definedName>
    <definedName name="a4_2new">#REF!</definedName>
    <definedName name="a5_" localSheetId="12">#REF!</definedName>
    <definedName name="a5_" localSheetId="11">#REF!</definedName>
    <definedName name="a5_" localSheetId="8">#REF!</definedName>
    <definedName name="a5_" localSheetId="9">#REF!</definedName>
    <definedName name="a5_" localSheetId="10">#REF!</definedName>
    <definedName name="a5_">#REF!</definedName>
    <definedName name="a5_2" localSheetId="12">#REF!</definedName>
    <definedName name="a5_2" localSheetId="11">#REF!</definedName>
    <definedName name="a5_2" localSheetId="8">#REF!</definedName>
    <definedName name="a5_2" localSheetId="9">#REF!</definedName>
    <definedName name="a5_2" localSheetId="10">#REF!</definedName>
    <definedName name="a5_2">#REF!</definedName>
    <definedName name="a5_2new" localSheetId="12">#REF!</definedName>
    <definedName name="a5_2new" localSheetId="11">#REF!</definedName>
    <definedName name="a5_2new" localSheetId="8">#REF!</definedName>
    <definedName name="a5_2new" localSheetId="9">#REF!</definedName>
    <definedName name="a5_2new" localSheetId="10">#REF!</definedName>
    <definedName name="a5_2new">#REF!</definedName>
    <definedName name="ab">'[18]Продажи реальные и прогноз 20 л'!$E$47</definedName>
    <definedName name="AccessDatabase" hidden="1">"C:\Мои документы\НоваяОборотка.mdb"</definedName>
    <definedName name="ActualPE" localSheetId="15">'[19]Dairy Precedents'!#REF!</definedName>
    <definedName name="ActualPE" localSheetId="2">'[19]Dairy Precedents'!#REF!</definedName>
    <definedName name="ActualPE" localSheetId="3">'[19]Dairy Precedents'!#REF!</definedName>
    <definedName name="ActualPE" localSheetId="12">'[19]Dairy Precedents'!#REF!</definedName>
    <definedName name="ActualPE" localSheetId="11">'[19]Dairy Precedents'!#REF!</definedName>
    <definedName name="ActualPE" localSheetId="8">'[19]Dairy Precedents'!#REF!</definedName>
    <definedName name="ActualPE" localSheetId="9">'[19]Dairy Precedents'!#REF!</definedName>
    <definedName name="ActualPE" localSheetId="10">'[19]Dairy Precedents'!#REF!</definedName>
    <definedName name="ActualPE" localSheetId="6">'[19]Dairy Precedents'!#REF!</definedName>
    <definedName name="ActualPE" localSheetId="5">'[19]Dairy Precedents'!#REF!</definedName>
    <definedName name="ActualPE" localSheetId="4">'[19]Dairy Precedents'!#REF!</definedName>
    <definedName name="ActualPE">'[19]Dairy Precedents'!#REF!</definedName>
    <definedName name="advertaxrate" localSheetId="15">[20]Справочно!#REF!</definedName>
    <definedName name="advertaxrate" localSheetId="12">[20]Справочно!#REF!</definedName>
    <definedName name="advertaxrate" localSheetId="11">[20]Справочно!#REF!</definedName>
    <definedName name="advertaxrate" localSheetId="8">[20]Справочно!#REF!</definedName>
    <definedName name="advertaxrate" localSheetId="9">[20]Справочно!#REF!</definedName>
    <definedName name="advertaxrate" localSheetId="10">[20]Справочно!#REF!</definedName>
    <definedName name="advertaxrate" localSheetId="6">[20]Справочно!#REF!</definedName>
    <definedName name="advertaxrate" localSheetId="5">[20]Справочно!#REF!</definedName>
    <definedName name="advertaxrate" localSheetId="4">[20]Справочно!#REF!</definedName>
    <definedName name="advertaxrate">[20]Справочно!#REF!</definedName>
    <definedName name="al">'[21]0_33'!$E$43</definedName>
    <definedName name="AmoncostofSales">[20]Справочно!$B$18</definedName>
    <definedName name="AmonGA">[20]Справочно!$B$20</definedName>
    <definedName name="AmonLeasedEquip">[20]Справочно!$B$21</definedName>
    <definedName name="AmonSD">[20]Справочно!$B$19</definedName>
    <definedName name="AN" localSheetId="15">[7]!AN</definedName>
    <definedName name="AN" localSheetId="11">#N/A</definedName>
    <definedName name="AN" localSheetId="8">#N/A</definedName>
    <definedName name="AN" localSheetId="9">#N/A</definedName>
    <definedName name="AN" localSheetId="6">#N/A</definedName>
    <definedName name="AN" localSheetId="5">#N/A</definedName>
    <definedName name="AN" localSheetId="4">#N/A</definedName>
    <definedName name="AN">#N/A</definedName>
    <definedName name="ANLAGE_III">[22]Anlagevermögen!$A$1:$Z$29</definedName>
    <definedName name="anscount" hidden="1">1</definedName>
    <definedName name="arpu" localSheetId="15">'[23]Input-Moscow'!#REF!</definedName>
    <definedName name="arpu" localSheetId="2">'[23]Input-Moscow'!#REF!</definedName>
    <definedName name="arpu" localSheetId="3">'[23]Input-Moscow'!#REF!</definedName>
    <definedName name="arpu" localSheetId="12">'[23]Input-Moscow'!#REF!</definedName>
    <definedName name="arpu" localSheetId="11">'[23]Input-Moscow'!#REF!</definedName>
    <definedName name="arpu" localSheetId="8">'[23]Input-Moscow'!#REF!</definedName>
    <definedName name="arpu" localSheetId="9">'[23]Input-Moscow'!#REF!</definedName>
    <definedName name="arpu" localSheetId="10">'[23]Input-Moscow'!#REF!</definedName>
    <definedName name="arpu" localSheetId="6">'[23]Input-Moscow'!#REF!</definedName>
    <definedName name="arpu" localSheetId="5">'[23]Input-Moscow'!#REF!</definedName>
    <definedName name="arpu" localSheetId="4">'[23]Input-Moscow'!#REF!</definedName>
    <definedName name="arpu">'[23]Input-Moscow'!#REF!</definedName>
    <definedName name="as" localSheetId="15">#REF!</definedName>
    <definedName name="as" localSheetId="12">#REF!</definedName>
    <definedName name="as" localSheetId="11">#REF!</definedName>
    <definedName name="as" localSheetId="8">#REF!</definedName>
    <definedName name="as" localSheetId="9">#REF!</definedName>
    <definedName name="as" localSheetId="10">#REF!</definedName>
    <definedName name="as" localSheetId="6">#REF!</definedName>
    <definedName name="as" localSheetId="5">#REF!</definedName>
    <definedName name="as" localSheetId="4">#REF!</definedName>
    <definedName name="as">#REF!</definedName>
    <definedName name="AS2DocOpenMode" hidden="1">"AS2DocumentEdit"</definedName>
    <definedName name="AS2HasNoAutoHeaderFooter">"OFF"</definedName>
    <definedName name="as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15">#REF!</definedName>
    <definedName name="asdf" localSheetId="12">#REF!</definedName>
    <definedName name="asdf" localSheetId="11">#REF!</definedName>
    <definedName name="asdf" localSheetId="8">#REF!</definedName>
    <definedName name="asdf" localSheetId="9">#REF!</definedName>
    <definedName name="asdf" localSheetId="10">#REF!</definedName>
    <definedName name="asdf" localSheetId="6">#REF!</definedName>
    <definedName name="asdf" localSheetId="5">#REF!</definedName>
    <definedName name="asdf" localSheetId="4">#REF!</definedName>
    <definedName name="asdf">#REF!</definedName>
    <definedName name="asdwqe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15">#REF!</definedName>
    <definedName name="aswer1" localSheetId="12">#REF!</definedName>
    <definedName name="aswer1" localSheetId="11">#REF!</definedName>
    <definedName name="aswer1" localSheetId="8">#REF!</definedName>
    <definedName name="aswer1" localSheetId="9">#REF!</definedName>
    <definedName name="aswer1" localSheetId="10">#REF!</definedName>
    <definedName name="aswer1" localSheetId="6">#REF!</definedName>
    <definedName name="aswer1" localSheetId="5">#REF!</definedName>
    <definedName name="aswer1" localSheetId="4">#REF!</definedName>
    <definedName name="aswer1">#REF!</definedName>
    <definedName name="b">'[24]продажи (н)'!$B$2</definedName>
    <definedName name="B_FIO" localSheetId="3">[25]Титульный!$F$32</definedName>
    <definedName name="B_FIO" localSheetId="11">[26]Титульный!$F$32</definedName>
    <definedName name="B_FIO" localSheetId="8">[26]Титульный!$F$32</definedName>
    <definedName name="B_FIO" localSheetId="9">[26]Титульный!$F$32</definedName>
    <definedName name="B_FIO" localSheetId="10">[26]Титульный!$F$32</definedName>
    <definedName name="B_FIO" localSheetId="6">[26]Титульный!$F$32</definedName>
    <definedName name="B_FIO" localSheetId="5">[26]Титульный!$F$32</definedName>
    <definedName name="B_FIO" localSheetId="4">[27]Титульный!$F$32</definedName>
    <definedName name="B_FIO">[28]Титульный!$F$32</definedName>
    <definedName name="B_POST" localSheetId="3">[25]Титульный!$F$33</definedName>
    <definedName name="B_POST" localSheetId="11">[26]Титульный!$F$33</definedName>
    <definedName name="B_POST" localSheetId="8">[26]Титульный!$F$33</definedName>
    <definedName name="B_POST" localSheetId="9">[26]Титульный!$F$33</definedName>
    <definedName name="B_POST" localSheetId="10">[26]Титульный!$F$33</definedName>
    <definedName name="B_POST" localSheetId="6">[26]Титульный!$F$33</definedName>
    <definedName name="B_POST" localSheetId="5">[26]Титульный!$F$33</definedName>
    <definedName name="B_POST" localSheetId="4">[27]Титульный!$F$33</definedName>
    <definedName name="B_POST">[28]Титульный!$F$33</definedName>
    <definedName name="b1_" localSheetId="15">#REF!</definedName>
    <definedName name="b1_" localSheetId="12">#REF!</definedName>
    <definedName name="b1_" localSheetId="11">#REF!</definedName>
    <definedName name="b1_" localSheetId="8">#REF!</definedName>
    <definedName name="b1_" localSheetId="9">#REF!</definedName>
    <definedName name="b1_" localSheetId="10">#REF!</definedName>
    <definedName name="b1_" localSheetId="6">#REF!</definedName>
    <definedName name="b1_" localSheetId="5">#REF!</definedName>
    <definedName name="b1_" localSheetId="4">#REF!</definedName>
    <definedName name="b1_">#REF!</definedName>
    <definedName name="b1_2" localSheetId="15">#REF!</definedName>
    <definedName name="b1_2" localSheetId="12">#REF!</definedName>
    <definedName name="b1_2" localSheetId="11">#REF!</definedName>
    <definedName name="b1_2" localSheetId="8">#REF!</definedName>
    <definedName name="b1_2" localSheetId="9">#REF!</definedName>
    <definedName name="b1_2" localSheetId="10">#REF!</definedName>
    <definedName name="b1_2">#REF!</definedName>
    <definedName name="b1_2new" localSheetId="15">#REF!</definedName>
    <definedName name="b1_2new" localSheetId="12">#REF!</definedName>
    <definedName name="b1_2new" localSheetId="11">#REF!</definedName>
    <definedName name="b1_2new" localSheetId="8">#REF!</definedName>
    <definedName name="b1_2new" localSheetId="9">#REF!</definedName>
    <definedName name="b1_2new" localSheetId="10">#REF!</definedName>
    <definedName name="b1_2new">#REF!</definedName>
    <definedName name="b2_" localSheetId="12">#REF!</definedName>
    <definedName name="b2_" localSheetId="11">#REF!</definedName>
    <definedName name="b2_" localSheetId="8">#REF!</definedName>
    <definedName name="b2_" localSheetId="9">#REF!</definedName>
    <definedName name="b2_" localSheetId="10">#REF!</definedName>
    <definedName name="b2_">#REF!</definedName>
    <definedName name="b3_" localSheetId="12">#REF!</definedName>
    <definedName name="b3_" localSheetId="11">#REF!</definedName>
    <definedName name="b3_" localSheetId="8">#REF!</definedName>
    <definedName name="b3_" localSheetId="9">#REF!</definedName>
    <definedName name="b3_" localSheetId="10">#REF!</definedName>
    <definedName name="b3_">#REF!</definedName>
    <definedName name="b4_" localSheetId="12">#REF!</definedName>
    <definedName name="b4_" localSheetId="11">#REF!</definedName>
    <definedName name="b4_" localSheetId="8">#REF!</definedName>
    <definedName name="b4_" localSheetId="9">#REF!</definedName>
    <definedName name="b4_" localSheetId="10">#REF!</definedName>
    <definedName name="b4_">#REF!</definedName>
    <definedName name="b5_" localSheetId="12">#REF!</definedName>
    <definedName name="b5_" localSheetId="11">#REF!</definedName>
    <definedName name="b5_" localSheetId="8">#REF!</definedName>
    <definedName name="b5_" localSheetId="9">#REF!</definedName>
    <definedName name="b5_" localSheetId="10">#REF!</definedName>
    <definedName name="b5_">#REF!</definedName>
    <definedName name="BAL_PER_CALC_AREA">'[29]Баланс передача'!$F$13:$O$96</definedName>
    <definedName name="BAL_PR_CALC_AREA">'[29]Баланс производство'!$F$14:$GO$97</definedName>
    <definedName name="balance" localSheetId="12">[30]!balance</definedName>
    <definedName name="balance" localSheetId="11">[30]!balance</definedName>
    <definedName name="balance" localSheetId="10">[30]!balance</definedName>
    <definedName name="balance">[30]!balance</definedName>
    <definedName name="BALEE_FLOAD" localSheetId="15">#REF!</definedName>
    <definedName name="BALEE_FLOAD" localSheetId="12">#REF!</definedName>
    <definedName name="BALEE_FLOAD" localSheetId="11">#REF!</definedName>
    <definedName name="BALEE_FLOAD" localSheetId="8">#REF!</definedName>
    <definedName name="BALEE_FLOAD" localSheetId="9">#REF!</definedName>
    <definedName name="BALEE_FLOAD" localSheetId="10">#REF!</definedName>
    <definedName name="BALEE_FLOAD" localSheetId="6">#REF!</definedName>
    <definedName name="BALEE_FLOAD" localSheetId="5">#REF!</definedName>
    <definedName name="BALEE_FLOAD" localSheetId="4">#REF!</definedName>
    <definedName name="BALEE_FLOAD">#REF!</definedName>
    <definedName name="BALM_FLOAD" localSheetId="15">#REF!</definedName>
    <definedName name="BALM_FLOAD" localSheetId="12">#REF!</definedName>
    <definedName name="BALM_FLOAD" localSheetId="11">#REF!</definedName>
    <definedName name="BALM_FLOAD" localSheetId="8">#REF!</definedName>
    <definedName name="BALM_FLOAD" localSheetId="9">#REF!</definedName>
    <definedName name="BALM_FLOAD" localSheetId="10">#REF!</definedName>
    <definedName name="BALM_FLOAD">#REF!</definedName>
    <definedName name="bb">'[18]Продажи реальные и прогноз 20 л'!$F$47</definedName>
    <definedName name="bl">'[21]0_33'!$F$43</definedName>
    <definedName name="bn" localSheetId="15" hidden="1">{#N/A,#N/A,TRUE,"Лист1";#N/A,#N/A,TRUE,"Лист2";#N/A,#N/A,TRUE,"Лист3"}</definedName>
    <definedName name="bn" localSheetId="2" hidden="1">{#N/A,#N/A,TRUE,"Лист1";#N/A,#N/A,TRUE,"Лист2";#N/A,#N/A,TRUE,"Лист3"}</definedName>
    <definedName name="bn" localSheetId="3" hidden="1">{#N/A,#N/A,TRUE,"Лист1";#N/A,#N/A,TRUE,"Лист2";#N/A,#N/A,TRUE,"Лист3"}</definedName>
    <definedName name="bn" localSheetId="7" hidden="1">{#N/A,#N/A,TRUE,"Лист1";#N/A,#N/A,TRUE,"Лист2";#N/A,#N/A,TRUE,"Лист3"}</definedName>
    <definedName name="bn" localSheetId="11" hidden="1">{#N/A,#N/A,TRUE,"Лист1";#N/A,#N/A,TRUE,"Лист2";#N/A,#N/A,TRUE,"Лист3"}</definedName>
    <definedName name="bn" localSheetId="8" hidden="1">{#N/A,#N/A,TRUE,"Лист1";#N/A,#N/A,TRUE,"Лист2";#N/A,#N/A,TRUE,"Лист3"}</definedName>
    <definedName name="bn" localSheetId="9" hidden="1">{#N/A,#N/A,TRUE,"Лист1";#N/A,#N/A,TRUE,"Лист2";#N/A,#N/A,TRUE,"Лист3"}</definedName>
    <definedName name="bn" localSheetId="10" hidden="1">{#N/A,#N/A,TRUE,"Лист1";#N/A,#N/A,TRUE,"Лист2";#N/A,#N/A,TRUE,"Лист3"}</definedName>
    <definedName name="bn" localSheetId="6" hidden="1">{#N/A,#N/A,TRUE,"Лист1";#N/A,#N/A,TRUE,"Лист2";#N/A,#N/A,TRUE,"Лист3"}</definedName>
    <definedName name="bn" localSheetId="5" hidden="1">{#N/A,#N/A,TRUE,"Лист1";#N/A,#N/A,TRUE,"Лист2";#N/A,#N/A,TRUE,"Лист3"}</definedName>
    <definedName name="bn" localSheetId="4" hidden="1">{#N/A,#N/A,TRUE,"Лист1";#N/A,#N/A,TRUE,"Лист2";#N/A,#N/A,TRUE,"Лист3"}</definedName>
    <definedName name="bn" hidden="1">{#N/A,#N/A,TRUE,"Лист1";#N/A,#N/A,TRUE,"Лист2";#N/A,#N/A,TRUE,"Лист3"}</definedName>
    <definedName name="BODYS" localSheetId="3">#REF!</definedName>
    <definedName name="BODYS" localSheetId="12">#REF!</definedName>
    <definedName name="BODYS" localSheetId="11">#REF!</definedName>
    <definedName name="BODYS" localSheetId="6">#REF!</definedName>
    <definedName name="BODYS" localSheetId="5">#REF!</definedName>
    <definedName name="BODYS" localSheetId="4">#REF!</definedName>
    <definedName name="BODYS">#REF!</definedName>
    <definedName name="bodys1" localSheetId="12">#REF!</definedName>
    <definedName name="bodys1" localSheetId="11">#REF!</definedName>
    <definedName name="bodys1" localSheetId="6">#REF!</definedName>
    <definedName name="bodys1" localSheetId="5">#REF!</definedName>
    <definedName name="bodys1" localSheetId="4">#REF!</definedName>
    <definedName name="bodys1">#REF!</definedName>
    <definedName name="Button_1">"НоваяОборотка_Лист1_Таблица"</definedName>
    <definedName name="c_мфзп" localSheetId="15">#REF!</definedName>
    <definedName name="c_мфзп" localSheetId="12">#REF!</definedName>
    <definedName name="c_мфзп" localSheetId="11">#REF!</definedName>
    <definedName name="c_мфзп" localSheetId="8">#REF!</definedName>
    <definedName name="c_мфзп" localSheetId="9">#REF!</definedName>
    <definedName name="c_мфзп" localSheetId="10">#REF!</definedName>
    <definedName name="c_мфзп" localSheetId="6">#REF!</definedName>
    <definedName name="c_мфзп" localSheetId="5">#REF!</definedName>
    <definedName name="c_мфзп" localSheetId="4">#REF!</definedName>
    <definedName name="c_мфзп">#REF!</definedName>
    <definedName name="CC" localSheetId="12">#REF!</definedName>
    <definedName name="CC" localSheetId="11">#REF!</definedName>
    <definedName name="CC">#REF!</definedName>
    <definedName name="cd" localSheetId="15">[7]!cd</definedName>
    <definedName name="cd" localSheetId="11">#N/A</definedName>
    <definedName name="cd" localSheetId="8">#N/A</definedName>
    <definedName name="cd" localSheetId="9">#N/A</definedName>
    <definedName name="cd" localSheetId="6">#N/A</definedName>
    <definedName name="cd" localSheetId="5">#N/A</definedName>
    <definedName name="cd" localSheetId="4">#N/A</definedName>
    <definedName name="cd">#N/A</definedName>
    <definedName name="CF_minority" localSheetId="15">#REF!</definedName>
    <definedName name="CF_minority" localSheetId="12">#REF!</definedName>
    <definedName name="CF_minority" localSheetId="11">#REF!</definedName>
    <definedName name="CF_minority" localSheetId="8">#REF!</definedName>
    <definedName name="CF_minority" localSheetId="9">#REF!</definedName>
    <definedName name="CF_minority" localSheetId="10">#REF!</definedName>
    <definedName name="CF_minority" localSheetId="6">#REF!</definedName>
    <definedName name="CF_minority" localSheetId="5">#REF!</definedName>
    <definedName name="CF_minority" localSheetId="4">#REF!</definedName>
    <definedName name="CF_minority">#REF!</definedName>
    <definedName name="ChangeInCommonEquity" localSheetId="15">#REF!</definedName>
    <definedName name="ChangeInCommonEquity" localSheetId="12">#REF!</definedName>
    <definedName name="ChangeInCommonEquity" localSheetId="11">#REF!</definedName>
    <definedName name="ChangeInCommonEquity" localSheetId="8">#REF!</definedName>
    <definedName name="ChangeInCommonEquity" localSheetId="9">#REF!</definedName>
    <definedName name="ChangeInCommonEquity" localSheetId="10">#REF!</definedName>
    <definedName name="ChangeInCommonEquity">#REF!</definedName>
    <definedName name="ChangeInDeferredCompensation" localSheetId="15">#REF!</definedName>
    <definedName name="ChangeInDeferredCompensation" localSheetId="12">#REF!</definedName>
    <definedName name="ChangeInDeferredCompensation" localSheetId="11">#REF!</definedName>
    <definedName name="ChangeInDeferredCompensation" localSheetId="8">#REF!</definedName>
    <definedName name="ChangeInDeferredCompensation" localSheetId="9">#REF!</definedName>
    <definedName name="ChangeInDeferredCompensation" localSheetId="10">#REF!</definedName>
    <definedName name="ChangeInDeferredCompensation">#REF!</definedName>
    <definedName name="chel_pen" localSheetId="15">'[23]Input-Moscow'!#REF!</definedName>
    <definedName name="chel_pen" localSheetId="2">'[23]Input-Moscow'!#REF!</definedName>
    <definedName name="chel_pen" localSheetId="3">'[23]Input-Moscow'!#REF!</definedName>
    <definedName name="chel_pen" localSheetId="12">'[23]Input-Moscow'!#REF!</definedName>
    <definedName name="chel_pen" localSheetId="11">'[23]Input-Moscow'!#REF!</definedName>
    <definedName name="chel_pen" localSheetId="8">'[23]Input-Moscow'!#REF!</definedName>
    <definedName name="chel_pen" localSheetId="9">'[23]Input-Moscow'!#REF!</definedName>
    <definedName name="chel_pen" localSheetId="10">'[23]Input-Moscow'!#REF!</definedName>
    <definedName name="chel_pen" localSheetId="6">'[23]Input-Moscow'!#REF!</definedName>
    <definedName name="chel_pen" localSheetId="5">'[23]Input-Moscow'!#REF!</definedName>
    <definedName name="chel_pen" localSheetId="4">'[23]Input-Moscow'!#REF!</definedName>
    <definedName name="chel_pen">'[23]Input-Moscow'!#REF!</definedName>
    <definedName name="client" localSheetId="15">#REF!</definedName>
    <definedName name="client" localSheetId="12">#REF!</definedName>
    <definedName name="client" localSheetId="11">#REF!</definedName>
    <definedName name="client" localSheetId="8">#REF!</definedName>
    <definedName name="client" localSheetId="9">#REF!</definedName>
    <definedName name="client" localSheetId="10">#REF!</definedName>
    <definedName name="client" localSheetId="6">#REF!</definedName>
    <definedName name="client" localSheetId="5">#REF!</definedName>
    <definedName name="client" localSheetId="4">#REF!</definedName>
    <definedName name="client">#REF!</definedName>
    <definedName name="Coeff2">[31]Лист2!$C$12</definedName>
    <definedName name="Coeff3">[31]Лист2!$C$14</definedName>
    <definedName name="Coeff4">[31]Лист2!$C$16</definedName>
    <definedName name="Company" localSheetId="11">'[32]Macro Assumptions'!$A$1</definedName>
    <definedName name="Company" localSheetId="8">'[32]Macro Assumptions'!$A$1</definedName>
    <definedName name="Company" localSheetId="9">'[32]Macro Assumptions'!$A$1</definedName>
    <definedName name="Company">'[32]Macro Assumptions'!$A$1</definedName>
    <definedName name="CompOt" localSheetId="15">[7]!CompOt</definedName>
    <definedName name="CompOt" localSheetId="11">#N/A</definedName>
    <definedName name="CompOt" localSheetId="8">#N/A</definedName>
    <definedName name="CompOt" localSheetId="9">#N/A</definedName>
    <definedName name="CompOt" localSheetId="6">#N/A</definedName>
    <definedName name="CompOt" localSheetId="5">#N/A</definedName>
    <definedName name="CompOt" localSheetId="4">#N/A</definedName>
    <definedName name="CompOt">#N/A</definedName>
    <definedName name="CompOt2" localSheetId="15">[7]!CompOt2</definedName>
    <definedName name="CompOt2" localSheetId="11">#N/A</definedName>
    <definedName name="CompOt2" localSheetId="8">#N/A</definedName>
    <definedName name="CompOt2" localSheetId="9">#N/A</definedName>
    <definedName name="CompOt2" localSheetId="6">#N/A</definedName>
    <definedName name="CompOt2" localSheetId="5">#N/A</definedName>
    <definedName name="CompOt2" localSheetId="4">#N/A</definedName>
    <definedName name="CompOt2">#N/A</definedName>
    <definedName name="CompRas" localSheetId="15">[7]!CompRas</definedName>
    <definedName name="CompRas" localSheetId="11">#N/A</definedName>
    <definedName name="CompRas" localSheetId="8">#N/A</definedName>
    <definedName name="CompRas" localSheetId="9">#N/A</definedName>
    <definedName name="CompRas" localSheetId="6">#N/A</definedName>
    <definedName name="CompRas" localSheetId="5">#N/A</definedName>
    <definedName name="CompRas" localSheetId="4">#N/A</definedName>
    <definedName name="CompRas">#N/A</definedName>
    <definedName name="conflict" localSheetId="15">#REF!</definedName>
    <definedName name="conflict" localSheetId="12">#REF!</definedName>
    <definedName name="conflict" localSheetId="11">#REF!</definedName>
    <definedName name="conflict" localSheetId="8">#REF!</definedName>
    <definedName name="conflict" localSheetId="9">#REF!</definedName>
    <definedName name="conflict" localSheetId="10">#REF!</definedName>
    <definedName name="conflict" localSheetId="6">#REF!</definedName>
    <definedName name="conflict" localSheetId="5">#REF!</definedName>
    <definedName name="conflict" localSheetId="4">#REF!</definedName>
    <definedName name="conflict">#REF!</definedName>
    <definedName name="conflict1" localSheetId="15">#REF!</definedName>
    <definedName name="conflict1" localSheetId="12">#REF!</definedName>
    <definedName name="conflict1" localSheetId="11">#REF!</definedName>
    <definedName name="conflict1" localSheetId="8">#REF!</definedName>
    <definedName name="conflict1" localSheetId="9">#REF!</definedName>
    <definedName name="conflict1" localSheetId="10">#REF!</definedName>
    <definedName name="conflict1">#REF!</definedName>
    <definedName name="conflict2" localSheetId="15">#REF!</definedName>
    <definedName name="conflict2" localSheetId="12">#REF!</definedName>
    <definedName name="conflict2" localSheetId="11">#REF!</definedName>
    <definedName name="conflict2" localSheetId="8">#REF!</definedName>
    <definedName name="conflict2" localSheetId="9">#REF!</definedName>
    <definedName name="conflict2" localSheetId="10">#REF!</definedName>
    <definedName name="conflict2">#REF!</definedName>
    <definedName name="Consol" localSheetId="12">[33]!Consol</definedName>
    <definedName name="Consol" localSheetId="11">[33]!Consol</definedName>
    <definedName name="Consol" localSheetId="10">[33]!Consol</definedName>
    <definedName name="Consol">[33]!Consol</definedName>
    <definedName name="CONTROL_OR_NOT" localSheetId="15">[34]TSheet!$Z$2:$Z$3</definedName>
    <definedName name="CONTROL_OR_NOT" localSheetId="2">[35]TSheet!$Z$2:$Z$3</definedName>
    <definedName name="CONTROL_OR_NOT" localSheetId="3">[35]TSheet!$Z$2:$Z$3</definedName>
    <definedName name="CONTROL_OR_NOT" localSheetId="11">[36]TSheet!$Z$2:$Z$3</definedName>
    <definedName name="CONTROL_OR_NOT" localSheetId="8">[36]TSheet!$Z$2:$Z$3</definedName>
    <definedName name="CONTROL_OR_NOT" localSheetId="9">[36]TSheet!$Z$2:$Z$3</definedName>
    <definedName name="CONTROL_OR_NOT" localSheetId="10">[37]TSheet!$Z$2:$Z$3</definedName>
    <definedName name="CONTROL_OR_NOT" localSheetId="6">[37]TSheet!$Z$2:$Z$3</definedName>
    <definedName name="CONTROL_OR_NOT" localSheetId="5">[37]TSheet!$Z$2:$Z$3</definedName>
    <definedName name="CONTROL_OR_NOT" localSheetId="4">[38]TSheet!$Z$2:$Z$3</definedName>
    <definedName name="CONTROL_OR_NOT">[35]TSheet!$Z$2:$Z$3</definedName>
    <definedName name="CONTROL_OR_NOT_2" localSheetId="15">[34]TSheet!$AA$2:$AA$4</definedName>
    <definedName name="CONTROL_OR_NOT_2" localSheetId="2">[35]TSheet!$AA$2:$AA$4</definedName>
    <definedName name="CONTROL_OR_NOT_2" localSheetId="3">[35]TSheet!$AA$2:$AA$4</definedName>
    <definedName name="CONTROL_OR_NOT_2" localSheetId="11">[36]TSheet!$AA$2:$AA$4</definedName>
    <definedName name="CONTROL_OR_NOT_2" localSheetId="8">[36]TSheet!$AA$2:$AA$4</definedName>
    <definedName name="CONTROL_OR_NOT_2" localSheetId="9">[36]TSheet!$AA$2:$AA$4</definedName>
    <definedName name="CONTROL_OR_NOT_2" localSheetId="10">[37]TSheet!$AA$2:$AA$4</definedName>
    <definedName name="CONTROL_OR_NOT_2" localSheetId="6">[37]TSheet!$AA$2:$AA$4</definedName>
    <definedName name="CONTROL_OR_NOT_2" localSheetId="5">[37]TSheet!$AA$2:$AA$4</definedName>
    <definedName name="CONTROL_OR_NOT_2" localSheetId="4">[38]TSheet!$AA$2:$AA$4</definedName>
    <definedName name="CONTROL_OR_NOT_2">[35]TSheet!$AA$2:$AA$4</definedName>
    <definedName name="convdebtshares" localSheetId="15">#REF!</definedName>
    <definedName name="convdebtshares" localSheetId="12">#REF!</definedName>
    <definedName name="convdebtshares" localSheetId="11">#REF!</definedName>
    <definedName name="convdebtshares" localSheetId="8">#REF!</definedName>
    <definedName name="convdebtshares" localSheetId="9">#REF!</definedName>
    <definedName name="convdebtshares" localSheetId="10">#REF!</definedName>
    <definedName name="convdebtshares" localSheetId="6">#REF!</definedName>
    <definedName name="convdebtshares" localSheetId="5">#REF!</definedName>
    <definedName name="convdebtshares" localSheetId="4">#REF!</definedName>
    <definedName name="convdebtshares">#REF!</definedName>
    <definedName name="convprefshares" localSheetId="15">#REF!</definedName>
    <definedName name="convprefshares" localSheetId="12">#REF!</definedName>
    <definedName name="convprefshares" localSheetId="11">#REF!</definedName>
    <definedName name="convprefshares" localSheetId="8">#REF!</definedName>
    <definedName name="convprefshares" localSheetId="9">#REF!</definedName>
    <definedName name="convprefshares" localSheetId="10">#REF!</definedName>
    <definedName name="convprefshares">#REF!</definedName>
    <definedName name="convpricepref" localSheetId="15">#REF!</definedName>
    <definedName name="convpricepref" localSheetId="12">#REF!</definedName>
    <definedName name="convpricepref" localSheetId="11">#REF!</definedName>
    <definedName name="convpricepref" localSheetId="8">#REF!</definedName>
    <definedName name="convpricepref" localSheetId="9">#REF!</definedName>
    <definedName name="convpricepref" localSheetId="10">#REF!</definedName>
    <definedName name="convpricepref">#REF!</definedName>
    <definedName name="CostOfEquity" localSheetId="12">#REF!</definedName>
    <definedName name="CostOfEquity" localSheetId="11">#REF!</definedName>
    <definedName name="CostOfEquity" localSheetId="8">#REF!</definedName>
    <definedName name="CostOfEquity" localSheetId="9">#REF!</definedName>
    <definedName name="CostOfEquity" localSheetId="10">#REF!</definedName>
    <definedName name="CostOfEquity">#REF!</definedName>
    <definedName name="credits" localSheetId="15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redits" localSheetId="2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redits" localSheetId="3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redits" localSheetId="12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redits" localSheetId="11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redits" localSheetId="8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redits" localSheetId="9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redits" localSheetId="10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redits" localSheetId="6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redits" localSheetId="5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redits" localSheetId="4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redits">'[39]Проводки''02'!$B$37:$C$37,'[39]Проводки''02'!$B$50:$C$50,'[39]Проводки''02'!$B$53:$C$53,'[39]Проводки''02'!$B$69:$C$69,'[39]Проводки''02'!$B$78:$C$78,'[39]Проводки''02'!$B$81:$C$81,'[39]Проводки''02'!$B$84:$C$84,'[39]Проводки''02'!$C$89,'[39]Проводки''02'!$B$89,'[39]Проводки''02'!$B$99:$C$99,'[39]Проводки''02'!#REF!,'[39]Проводки''02'!#REF!,'[39]Проводки''02'!#REF!,'[39]Проводки''02'!#REF!,'[39]Проводки''02'!$B$123:$C$124,'[39]Проводки''02'!$C$124,'[39]Проводки''02'!$B$126:$C$126,'[39]Проводки''02'!$B$129:$C$129,'[39]Проводки''02'!$B$132:$C$132,'[39]Проводки''02'!$B$135:$C$135,'[39]Проводки''02'!$B$144:$C$144</definedName>
    <definedName name="ct" localSheetId="15">[7]!ct</definedName>
    <definedName name="ct" localSheetId="11">#N/A</definedName>
    <definedName name="ct" localSheetId="8">#N/A</definedName>
    <definedName name="ct" localSheetId="9">#N/A</definedName>
    <definedName name="ct" localSheetId="6">#N/A</definedName>
    <definedName name="ct" localSheetId="5">#N/A</definedName>
    <definedName name="ct" localSheetId="4">#N/A</definedName>
    <definedName name="ct">#N/A</definedName>
    <definedName name="cur">'[6]#ССЫЛКА'!$K$2</definedName>
    <definedName name="Currency" localSheetId="15">[40]Output!#REF!</definedName>
    <definedName name="Currency" localSheetId="2">[40]Output!#REF!</definedName>
    <definedName name="Currency" localSheetId="3">[40]Output!#REF!</definedName>
    <definedName name="Currency" localSheetId="12">[40]Output!#REF!</definedName>
    <definedName name="Currency" localSheetId="11">[40]Output!#REF!</definedName>
    <definedName name="Currency" localSheetId="8">[40]Output!#REF!</definedName>
    <definedName name="Currency" localSheetId="9">[40]Output!#REF!</definedName>
    <definedName name="Currency" localSheetId="10">[40]Output!#REF!</definedName>
    <definedName name="Currency" localSheetId="6">[40]Output!#REF!</definedName>
    <definedName name="Currency" localSheetId="5">[40]Output!#REF!</definedName>
    <definedName name="Currency" localSheetId="4">[40]Output!#REF!</definedName>
    <definedName name="Currency">[40]Output!#REF!</definedName>
    <definedName name="cyp">'[41]FS-97'!$BA$90</definedName>
    <definedName name="D" localSheetId="15">#REF!</definedName>
    <definedName name="D" localSheetId="12">#REF!</definedName>
    <definedName name="D" localSheetId="11">#REF!</definedName>
    <definedName name="D" localSheetId="8">#REF!</definedName>
    <definedName name="D" localSheetId="9">#REF!</definedName>
    <definedName name="D" localSheetId="10">#REF!</definedName>
    <definedName name="D" localSheetId="6">#REF!</definedName>
    <definedName name="D" localSheetId="5">#REF!</definedName>
    <definedName name="D" localSheetId="4">#REF!</definedName>
    <definedName name="D">#REF!</definedName>
    <definedName name="d4602_41" localSheetId="15">#REF!</definedName>
    <definedName name="d4602_41" localSheetId="12">#REF!</definedName>
    <definedName name="d4602_41" localSheetId="11">#REF!</definedName>
    <definedName name="d4602_41" localSheetId="8">#REF!</definedName>
    <definedName name="d4602_41" localSheetId="9">#REF!</definedName>
    <definedName name="d4602_41" localSheetId="10">#REF!</definedName>
    <definedName name="d4602_41">#REF!</definedName>
    <definedName name="DATA" localSheetId="15">#REF!</definedName>
    <definedName name="DATA" localSheetId="12">#REF!</definedName>
    <definedName name="DATA" localSheetId="11">#REF!</definedName>
    <definedName name="DATA" localSheetId="8">#REF!</definedName>
    <definedName name="DATA" localSheetId="9">#REF!</definedName>
    <definedName name="DATA" localSheetId="10">#REF!</definedName>
    <definedName name="DATA">#REF!</definedName>
    <definedName name="DATE" localSheetId="12">#REF!</definedName>
    <definedName name="DATE" localSheetId="11">#REF!</definedName>
    <definedName name="DATE" localSheetId="8">#REF!</definedName>
    <definedName name="DATE" localSheetId="9">#REF!</definedName>
    <definedName name="DATE" localSheetId="10">#REF!</definedName>
    <definedName name="DATE">#REF!</definedName>
    <definedName name="date_displ" localSheetId="12">#REF!</definedName>
    <definedName name="date_displ" localSheetId="11">#REF!</definedName>
    <definedName name="date_displ">#REF!</definedName>
    <definedName name="dbo_PlanForm1" localSheetId="12">#REF!</definedName>
    <definedName name="dbo_PlanForm1" localSheetId="11">#REF!</definedName>
    <definedName name="dbo_PlanForm1" localSheetId="8">#REF!</definedName>
    <definedName name="dbo_PlanForm1" localSheetId="9">#REF!</definedName>
    <definedName name="dbo_PlanForm1" localSheetId="10">#REF!</definedName>
    <definedName name="dbo_PlanForm1">#REF!</definedName>
    <definedName name="DCF_analysis___Standard_model" localSheetId="12">#REF!</definedName>
    <definedName name="DCF_analysis___Standard_model" localSheetId="11">#REF!</definedName>
    <definedName name="DCF_analysis___Standard_model" localSheetId="8">#REF!</definedName>
    <definedName name="DCF_analysis___Standard_model" localSheetId="9">#REF!</definedName>
    <definedName name="DCF_analysis___Standard_model" localSheetId="10">#REF!</definedName>
    <definedName name="DCF_analysis___Standard_model">#REF!</definedName>
    <definedName name="dcf_year" localSheetId="12">#REF!</definedName>
    <definedName name="dcf_year" localSheetId="11">#REF!</definedName>
    <definedName name="dcf_year" localSheetId="8">#REF!</definedName>
    <definedName name="dcf_year" localSheetId="9">#REF!</definedName>
    <definedName name="dcf_year" localSheetId="10">#REF!</definedName>
    <definedName name="dcf_year">#REF!</definedName>
    <definedName name="dd" localSheetId="12">'[42]2003'!#REF!</definedName>
    <definedName name="dd" localSheetId="11">'[42]2003'!#REF!</definedName>
    <definedName name="dd" localSheetId="8">'[42]2003'!#REF!</definedName>
    <definedName name="dd" localSheetId="9">'[42]2003'!#REF!</definedName>
    <definedName name="dd" localSheetId="10">'[42]2003'!#REF!</definedName>
    <definedName name="dd">'[42]2003'!#REF!</definedName>
    <definedName name="ddd" localSheetId="15">#REF!</definedName>
    <definedName name="ddd" localSheetId="12">#REF!</definedName>
    <definedName name="ddd" localSheetId="11">#REF!</definedName>
    <definedName name="ddd" localSheetId="8">#REF!</definedName>
    <definedName name="ddd" localSheetId="9">#REF!</definedName>
    <definedName name="ddd" localSheetId="10">#REF!</definedName>
    <definedName name="ddd" localSheetId="6">#REF!</definedName>
    <definedName name="ddd" localSheetId="5">#REF!</definedName>
    <definedName name="ddd" localSheetId="4">#REF!</definedName>
    <definedName name="ddd">#REF!</definedName>
    <definedName name="debt_terminal" localSheetId="15">#REF!</definedName>
    <definedName name="debt_terminal" localSheetId="12">#REF!</definedName>
    <definedName name="debt_terminal" localSheetId="11">#REF!</definedName>
    <definedName name="debt_terminal" localSheetId="8">#REF!</definedName>
    <definedName name="debt_terminal" localSheetId="9">#REF!</definedName>
    <definedName name="debt_terminal" localSheetId="10">#REF!</definedName>
    <definedName name="debt_terminal">#REF!</definedName>
    <definedName name="df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15">[43]TSheet!$Q$2:$Q$4</definedName>
    <definedName name="DIMENSION_TYPE" localSheetId="3">[44]TSheet!$Q$2:$Q$4</definedName>
    <definedName name="DIMENSION_TYPE" localSheetId="11">[45]TSheet!$Q$2:$Q$4</definedName>
    <definedName name="DIMENSION_TYPE" localSheetId="8">[45]TSheet!$Q$2:$Q$4</definedName>
    <definedName name="DIMENSION_TYPE" localSheetId="9">[45]TSheet!$Q$2:$Q$4</definedName>
    <definedName name="DIMENSION_TYPE" localSheetId="10">[46]TSheet!$Q$2:$Q$4</definedName>
    <definedName name="DIMENSION_TYPE" localSheetId="6">[46]TSheet!$Q$2:$Q$4</definedName>
    <definedName name="DIMENSION_TYPE" localSheetId="5">[46]TSheet!$Q$2:$Q$4</definedName>
    <definedName name="DIMENSION_TYPE" localSheetId="4">[47]TSheet!$Q$2:$Q$4</definedName>
    <definedName name="DIMENSION_TYPE">[48]TSheet!$Q$2:$Q$4</definedName>
    <definedName name="DOLL" localSheetId="2">#REF!</definedName>
    <definedName name="DOLL" localSheetId="3">#REF!</definedName>
    <definedName name="DOLL" localSheetId="12">#REF!</definedName>
    <definedName name="DOLL" localSheetId="11">#REF!</definedName>
    <definedName name="DOLL" localSheetId="8">#REF!</definedName>
    <definedName name="DOLL" localSheetId="9">#REF!</definedName>
    <definedName name="DOLL" localSheetId="10">#REF!</definedName>
    <definedName name="DOLL" localSheetId="6">#REF!</definedName>
    <definedName name="DOLL" localSheetId="5">#REF!</definedName>
    <definedName name="DOLL" localSheetId="4">#REF!</definedName>
    <definedName name="DOLL">#REF!</definedName>
    <definedName name="Dollar">'[49]на 2000 год'!$G$2</definedName>
    <definedName name="Down_range" localSheetId="15">#REF!</definedName>
    <definedName name="Down_range" localSheetId="12">#REF!</definedName>
    <definedName name="Down_range" localSheetId="11">#REF!</definedName>
    <definedName name="Down_range" localSheetId="8">#REF!</definedName>
    <definedName name="Down_range" localSheetId="9">#REF!</definedName>
    <definedName name="Down_range" localSheetId="10">#REF!</definedName>
    <definedName name="Down_range" localSheetId="6">#REF!</definedName>
    <definedName name="Down_range" localSheetId="5">#REF!</definedName>
    <definedName name="Down_range" localSheetId="4">#REF!</definedName>
    <definedName name="Down_range">#REF!</definedName>
    <definedName name="DP" localSheetId="3">[50]Титульный!$F$1</definedName>
    <definedName name="DP" localSheetId="6">[51]Титульный!$F$1</definedName>
    <definedName name="DP" localSheetId="5">[51]Титульный!$F$1</definedName>
    <definedName name="DP" localSheetId="4">[50]Титульный!$F$1</definedName>
    <definedName name="DP">[51]Титульный!$F$1</definedName>
    <definedName name="DP_Begin" localSheetId="3">[52]Титульный!$F$27</definedName>
    <definedName name="DP_Begin" localSheetId="11">[36]Титульный!$F$27</definedName>
    <definedName name="DP_Begin" localSheetId="8">[36]Титульный!$F$27</definedName>
    <definedName name="DP_Begin" localSheetId="9">[36]Титульный!$F$27</definedName>
    <definedName name="DP_Begin" localSheetId="10">[37]Титульный!$F$27</definedName>
    <definedName name="DP_Begin" localSheetId="6">[37]Титульный!$F$27</definedName>
    <definedName name="DP_Begin" localSheetId="5">[37]Титульный!$F$27</definedName>
    <definedName name="DP_Begin" localSheetId="4">[38]Титульный!$F$27</definedName>
    <definedName name="DP_Begin">[34]Титульный!$F$27</definedName>
    <definedName name="DP_Period" localSheetId="3">[52]Титульный!$F$28</definedName>
    <definedName name="DP_Period" localSheetId="11">[36]Титульный!$F$28</definedName>
    <definedName name="DP_Period" localSheetId="8">[36]Титульный!$F$28</definedName>
    <definedName name="DP_Period" localSheetId="9">[36]Титульный!$F$28</definedName>
    <definedName name="DP_Period" localSheetId="10">[37]Титульный!$F$28</definedName>
    <definedName name="DP_Period" localSheetId="6">[37]Титульный!$F$28</definedName>
    <definedName name="DP_Period" localSheetId="5">[37]Титульный!$F$28</definedName>
    <definedName name="DP_Period" localSheetId="4">[38]Титульный!$F$28</definedName>
    <definedName name="DP_Period">[34]Титульный!$F$28</definedName>
    <definedName name="draft" localSheetId="15">#REF!</definedName>
    <definedName name="draft" localSheetId="12">#REF!</definedName>
    <definedName name="draft" localSheetId="11">#REF!</definedName>
    <definedName name="draft" localSheetId="8">#REF!</definedName>
    <definedName name="draft" localSheetId="9">#REF!</definedName>
    <definedName name="draft" localSheetId="10">#REF!</definedName>
    <definedName name="draft" localSheetId="6">#REF!</definedName>
    <definedName name="draft" localSheetId="5">#REF!</definedName>
    <definedName name="draft" localSheetId="4">#REF!</definedName>
    <definedName name="draft">#REF!</definedName>
    <definedName name="DRANGE_1" localSheetId="12">#REF!</definedName>
    <definedName name="DRANGE_1" localSheetId="11">#REF!</definedName>
    <definedName name="DRANGE_1" localSheetId="10">#REF!</definedName>
    <definedName name="DRANGE_1" localSheetId="6">#REF!</definedName>
    <definedName name="DRANGE_1" localSheetId="5">#REF!</definedName>
    <definedName name="DRANGE_1" localSheetId="4">#REF!</definedName>
    <definedName name="DRANGE_1">#REF!</definedName>
    <definedName name="DRANGE_2" localSheetId="12">#REF!</definedName>
    <definedName name="DRANGE_2" localSheetId="11">#REF!</definedName>
    <definedName name="DRANGE_2" localSheetId="10">#REF!</definedName>
    <definedName name="DRANGE_2">#REF!</definedName>
    <definedName name="dsragh" localSheetId="15">[7]!dsragh</definedName>
    <definedName name="dsragh" localSheetId="11">#N/A</definedName>
    <definedName name="dsragh" localSheetId="8">#N/A</definedName>
    <definedName name="dsragh" localSheetId="9">#N/A</definedName>
    <definedName name="dsragh" localSheetId="6">#N/A</definedName>
    <definedName name="dsragh" localSheetId="5">#N/A</definedName>
    <definedName name="dsragh" localSheetId="4">#N/A</definedName>
    <definedName name="dsragh">#N/A</definedName>
    <definedName name="dt20kt10" localSheetId="15">#REF!</definedName>
    <definedName name="dt20kt10" localSheetId="12">#REF!</definedName>
    <definedName name="dt20kt10" localSheetId="11">#REF!</definedName>
    <definedName name="dt20kt10" localSheetId="8">#REF!</definedName>
    <definedName name="dt20kt10" localSheetId="9">#REF!</definedName>
    <definedName name="dt20kt10" localSheetId="10">#REF!</definedName>
    <definedName name="dt20kt10" localSheetId="6">#REF!</definedName>
    <definedName name="dt20kt10" localSheetId="5">#REF!</definedName>
    <definedName name="dt20kt10" localSheetId="4">#REF!</definedName>
    <definedName name="dt20kt10">#REF!</definedName>
    <definedName name="DURATION" localSheetId="3">[25]Титульный!$F$25</definedName>
    <definedName name="DURATION" localSheetId="11">[26]Титульный!$F$25</definedName>
    <definedName name="DURATION" localSheetId="8">[26]Титульный!$F$25</definedName>
    <definedName name="DURATION" localSheetId="9">[26]Титульный!$F$25</definedName>
    <definedName name="DURATION" localSheetId="10">[26]Титульный!$F$25</definedName>
    <definedName name="DURATION" localSheetId="6">[26]Титульный!$F$25</definedName>
    <definedName name="DURATION" localSheetId="5">[26]Титульный!$F$25</definedName>
    <definedName name="DURATION" localSheetId="4">[27]Титульный!$F$25</definedName>
    <definedName name="DURATION">[28]Титульный!$F$25</definedName>
    <definedName name="EBITDA_mult1" localSheetId="15">#REF!</definedName>
    <definedName name="EBITDA_mult1" localSheetId="12">#REF!</definedName>
    <definedName name="EBITDA_mult1" localSheetId="11">#REF!</definedName>
    <definedName name="EBITDA_mult1" localSheetId="8">#REF!</definedName>
    <definedName name="EBITDA_mult1" localSheetId="9">#REF!</definedName>
    <definedName name="EBITDA_mult1" localSheetId="10">#REF!</definedName>
    <definedName name="EBITDA_mult1" localSheetId="6">#REF!</definedName>
    <definedName name="EBITDA_mult1" localSheetId="5">#REF!</definedName>
    <definedName name="EBITDA_mult1" localSheetId="4">#REF!</definedName>
    <definedName name="EBITDA_mult1">#REF!</definedName>
    <definedName name="EBITDA_mult3" localSheetId="15">#REF!</definedName>
    <definedName name="EBITDA_mult3" localSheetId="12">#REF!</definedName>
    <definedName name="EBITDA_mult3" localSheetId="11">#REF!</definedName>
    <definedName name="EBITDA_mult3" localSheetId="8">#REF!</definedName>
    <definedName name="EBITDA_mult3" localSheetId="9">#REF!</definedName>
    <definedName name="EBITDA_mult3" localSheetId="10">#REF!</definedName>
    <definedName name="EBITDA_mult3">#REF!</definedName>
    <definedName name="EBITDA_mult5" localSheetId="12">#REF!</definedName>
    <definedName name="EBITDA_mult5" localSheetId="11">#REF!</definedName>
    <definedName name="EBITDA_mult5" localSheetId="8">#REF!</definedName>
    <definedName name="EBITDA_mult5" localSheetId="9">#REF!</definedName>
    <definedName name="EBITDA_mult5" localSheetId="10">#REF!</definedName>
    <definedName name="EBITDA_mult5">#REF!</definedName>
    <definedName name="enr" localSheetId="12">#REF!</definedName>
    <definedName name="enr" localSheetId="11">#REF!</definedName>
    <definedName name="enr" localSheetId="8">#REF!</definedName>
    <definedName name="enr" localSheetId="9">#REF!</definedName>
    <definedName name="enr" localSheetId="10">#REF!</definedName>
    <definedName name="enr">#REF!</definedName>
    <definedName name="Enterprize">[53]Настройка!$A$5</definedName>
    <definedName name="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[54]Anlagevermögen!$A$1:$Z$29</definedName>
    <definedName name="ert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_PROT">#N/A</definedName>
    <definedName name="ew" localSheetId="15">[7]!ew</definedName>
    <definedName name="ew" localSheetId="11">#N/A</definedName>
    <definedName name="ew" localSheetId="8">#N/A</definedName>
    <definedName name="ew" localSheetId="9">#N/A</definedName>
    <definedName name="ew" localSheetId="6">#N/A</definedName>
    <definedName name="ew" localSheetId="5">#N/A</definedName>
    <definedName name="ew" localSheetId="4">#N/A</definedName>
    <definedName name="ew">#N/A</definedName>
    <definedName name="ewqreq" localSheetId="15">#REF!</definedName>
    <definedName name="ewqreq" localSheetId="12">#REF!</definedName>
    <definedName name="ewqreq" localSheetId="11">#REF!</definedName>
    <definedName name="ewqreq" localSheetId="8">#REF!</definedName>
    <definedName name="ewqreq" localSheetId="9">#REF!</definedName>
    <definedName name="ewqreq" localSheetId="10">#REF!</definedName>
    <definedName name="ewqreq" localSheetId="6">#REF!</definedName>
    <definedName name="ewqreq" localSheetId="5">#REF!</definedName>
    <definedName name="ewqreq" localSheetId="4">#REF!</definedName>
    <definedName name="ewqreq">#REF!</definedName>
    <definedName name="Excel_BuiltIn_Database" localSheetId="15">#REF!</definedName>
    <definedName name="Excel_BuiltIn_Database" localSheetId="12">#REF!</definedName>
    <definedName name="Excel_BuiltIn_Database" localSheetId="11">#REF!</definedName>
    <definedName name="Excel_BuiltIn_Database" localSheetId="8">#REF!</definedName>
    <definedName name="Excel_BuiltIn_Database" localSheetId="9">#REF!</definedName>
    <definedName name="Excel_BuiltIn_Database" localSheetId="10">#REF!</definedName>
    <definedName name="Excel_BuiltIn_Database">#REF!</definedName>
    <definedName name="Excel_BuiltIn_Print_Area" localSheetId="15">#REF!</definedName>
    <definedName name="Excel_BuiltIn_Print_Area" localSheetId="12">#REF!</definedName>
    <definedName name="Excel_BuiltIn_Print_Area" localSheetId="11">#REF!</definedName>
    <definedName name="Excel_BuiltIn_Print_Area" localSheetId="8">#REF!</definedName>
    <definedName name="Excel_BuiltIn_Print_Area" localSheetId="9">#REF!</definedName>
    <definedName name="Excel_BuiltIn_Print_Area" localSheetId="10">#REF!</definedName>
    <definedName name="Excel_BuiltIn_Print_Area">#REF!</definedName>
    <definedName name="Excel_BuiltIn_Print_Area_1" localSheetId="12">#REF!</definedName>
    <definedName name="Excel_BuiltIn_Print_Area_1" localSheetId="11">#REF!</definedName>
    <definedName name="Excel_BuiltIn_Print_Area_1" localSheetId="8">#REF!</definedName>
    <definedName name="Excel_BuiltIn_Print_Area_1" localSheetId="9">#REF!</definedName>
    <definedName name="Excel_BuiltIn_Print_Area_1" localSheetId="10">#REF!</definedName>
    <definedName name="Excel_BuiltIn_Print_Area_1">#REF!</definedName>
    <definedName name="Excel_BuiltIn_Print_Titles" localSheetId="12">#REF!</definedName>
    <definedName name="Excel_BuiltIn_Print_Titles" localSheetId="11">#REF!</definedName>
    <definedName name="Excel_BuiltIn_Print_Titles" localSheetId="8">#REF!</definedName>
    <definedName name="Excel_BuiltIn_Print_Titles" localSheetId="9">#REF!</definedName>
    <definedName name="Excel_BuiltIn_Print_Titles" localSheetId="10">#REF!</definedName>
    <definedName name="Excel_BuiltIn_Print_Titles">#REF!</definedName>
    <definedName name="EXTPR" localSheetId="12">#REF!</definedName>
    <definedName name="EXTPR" localSheetId="11">#REF!</definedName>
    <definedName name="EXTPR">#REF!</definedName>
    <definedName name="f" localSheetId="12">#REF!</definedName>
    <definedName name="f" localSheetId="11">#REF!</definedName>
    <definedName name="f" localSheetId="8">#REF!</definedName>
    <definedName name="f" localSheetId="9">#REF!</definedName>
    <definedName name="f" localSheetId="10">#REF!</definedName>
    <definedName name="f">#REF!</definedName>
    <definedName name="fa" localSheetId="12">#REF!</definedName>
    <definedName name="fa" localSheetId="11">#REF!</definedName>
    <definedName name="fa" localSheetId="8">#REF!</definedName>
    <definedName name="fa" localSheetId="9">#REF!</definedName>
    <definedName name="fa" localSheetId="10">#REF!</definedName>
    <definedName name="fa">#REF!</definedName>
    <definedName name="fbgffnjfgg" localSheetId="15">[7]!fbgffnjfgg</definedName>
    <definedName name="fbgffnjfgg" localSheetId="11">#N/A</definedName>
    <definedName name="fbgffnjfgg" localSheetId="8">#N/A</definedName>
    <definedName name="fbgffnjfgg" localSheetId="9">#N/A</definedName>
    <definedName name="fbgffnjfgg" localSheetId="6">#N/A</definedName>
    <definedName name="fbgffnjfgg" localSheetId="5">#N/A</definedName>
    <definedName name="fbgffnjfgg" localSheetId="4">#N/A</definedName>
    <definedName name="fbgffnjfgg">#N/A</definedName>
    <definedName name="fd" localSheetId="15">#REF!</definedName>
    <definedName name="fd" localSheetId="12">#REF!</definedName>
    <definedName name="fd" localSheetId="11">#REF!</definedName>
    <definedName name="fd" localSheetId="8">#REF!</definedName>
    <definedName name="fd" localSheetId="9">#REF!</definedName>
    <definedName name="fd" localSheetId="10">#REF!</definedName>
    <definedName name="fd" localSheetId="6">#REF!</definedName>
    <definedName name="fd" localSheetId="5">#REF!</definedName>
    <definedName name="fd" localSheetId="4">#REF!</definedName>
    <definedName name="fd">#REF!</definedName>
    <definedName name="fdgdf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f" localSheetId="2">#REF!</definedName>
    <definedName name="ff" localSheetId="3">#REF!</definedName>
    <definedName name="ff" localSheetId="12">#REF!</definedName>
    <definedName name="ff" localSheetId="11">#REF!</definedName>
    <definedName name="ff" localSheetId="8">#REF!</definedName>
    <definedName name="ff" localSheetId="9">#REF!</definedName>
    <definedName name="ff" localSheetId="10">#REF!</definedName>
    <definedName name="ff" localSheetId="6">#REF!</definedName>
    <definedName name="ff" localSheetId="5">#REF!</definedName>
    <definedName name="ff" localSheetId="4">#REF!</definedName>
    <definedName name="ff">#REF!</definedName>
    <definedName name="fff" localSheetId="15">#REF!</definedName>
    <definedName name="fff" localSheetId="12">#REF!</definedName>
    <definedName name="fff" localSheetId="11">#REF!</definedName>
    <definedName name="fff" localSheetId="8">#REF!</definedName>
    <definedName name="fff" localSheetId="9">#REF!</definedName>
    <definedName name="fff" localSheetId="10">#REF!</definedName>
    <definedName name="fff" localSheetId="6">#REF!</definedName>
    <definedName name="fff" localSheetId="5">#REF!</definedName>
    <definedName name="fff" localSheetId="4">#REF!</definedName>
    <definedName name="fff">#REF!</definedName>
    <definedName name="fffff" localSheetId="3">'[55]Гр5(о)'!#REF!</definedName>
    <definedName name="fffff" localSheetId="12">'[56]Гр5(о)'!#REF!</definedName>
    <definedName name="fffff" localSheetId="11">'[56]Гр5(о)'!#REF!</definedName>
    <definedName name="fffff" localSheetId="10">'[56]Гр5(о)'!#REF!</definedName>
    <definedName name="fffff" localSheetId="6">'[56]Гр5(о)'!#REF!</definedName>
    <definedName name="fffff" localSheetId="5">'[56]Гр5(о)'!#REF!</definedName>
    <definedName name="fffff" localSheetId="4">'[55]Гр5(о)'!#REF!</definedName>
    <definedName name="fffff">'[56]Гр5(о)'!#REF!</definedName>
    <definedName name="fg" localSheetId="15">[7]!fg</definedName>
    <definedName name="fg" localSheetId="11">#N/A</definedName>
    <definedName name="fg" localSheetId="8">#N/A</definedName>
    <definedName name="fg" localSheetId="9">#N/A</definedName>
    <definedName name="fg" localSheetId="6">#N/A</definedName>
    <definedName name="fg" localSheetId="5">#N/A</definedName>
    <definedName name="fg" localSheetId="4">#N/A</definedName>
    <definedName name="fg">#N/A</definedName>
    <definedName name="fghfg" localSheetId="15">#REF!</definedName>
    <definedName name="fghfg" localSheetId="12">#REF!</definedName>
    <definedName name="fghfg" localSheetId="11">#REF!</definedName>
    <definedName name="fghfg" localSheetId="8">#REF!</definedName>
    <definedName name="fghfg" localSheetId="9">#REF!</definedName>
    <definedName name="fghfg" localSheetId="10">#REF!</definedName>
    <definedName name="fghfg" localSheetId="6">#REF!</definedName>
    <definedName name="fghfg" localSheetId="5">#REF!</definedName>
    <definedName name="fghfg" localSheetId="4">#REF!</definedName>
    <definedName name="fghfg">#REF!</definedName>
    <definedName name="fgjgj" localSheetId="15">#REF!</definedName>
    <definedName name="fgjgj" localSheetId="12">#REF!</definedName>
    <definedName name="fgjgj" localSheetId="11">#REF!</definedName>
    <definedName name="fgjgj" localSheetId="8">#REF!</definedName>
    <definedName name="fgjgj" localSheetId="9">#REF!</definedName>
    <definedName name="fgjgj" localSheetId="10">#REF!</definedName>
    <definedName name="fgjgj">#REF!</definedName>
    <definedName name="fhfyfyu" localSheetId="15" hidden="1">#REF!,#REF!,#REF!,амортизация!P1_SCOPE_PER_PRT,амортизация!P2_SCOPE_PER_PRT,амортизация!P3_SCOPE_PER_PRT,амортизация!P4_SCOPE_PER_PRT</definedName>
    <definedName name="fhfyfyu" localSheetId="2" hidden="1">#REF!,#REF!,#REF!,P1_SCOPE_PER_PRT,P2_SCOPE_PER_PRT,P3_SCOPE_PER_PRT,P4_SCOPE_PER_PRT</definedName>
    <definedName name="fhfyfyu" localSheetId="3" hidden="1">#REF!,#REF!,#REF!,P1_SCOPE_PER_PRT,P2_SCOPE_PER_PRT,P3_SCOPE_PER_PRT,P4_SCOPE_PER_PRT</definedName>
    <definedName name="fhfyfyu" localSheetId="12" hidden="1">#REF!,#REF!,#REF!,'переменные на 5 лет'!P1_SCOPE_PER_PRT,'переменные на 5 лет'!P2_SCOPE_PER_PRT,'переменные на 5 лет'!P3_SCOPE_PER_PRT,'переменные на 5 лет'!P4_SCOPE_PER_PRT</definedName>
    <definedName name="fhfyfyu" localSheetId="7" hidden="1">#REF!,#REF!,#REF!,подконтрольные!P1_SCOPE_PER_PRT,подконтрольные!P2_SCOPE_PER_PRT,подконтрольные!P3_SCOPE_PER_PRT,подконтрольные!P4_SCOPE_PER_PRT</definedName>
    <definedName name="fhfyfyu" localSheetId="11" hidden="1">#REF!,#REF!,#REF!,'Прил 6 к расп'!P1_SCOPE_PER_PRT,'Прил 6 к расп'!P2_SCOPE_PER_PRT,'Прил 6 к расп'!P3_SCOPE_PER_PRT,'Прил 6 к расп'!P4_SCOPE_PER_PRT</definedName>
    <definedName name="fhfyfyu" localSheetId="8" hidden="1">#REF!,#REF!,#REF!,Прил2!P1_SCOPE_PER_PRT,Прил2!P2_SCOPE_PER_PRT,Прил2!P3_SCOPE_PER_PRT,Прил2!P4_SCOPE_PER_PRT</definedName>
    <definedName name="fhfyfyu" localSheetId="9" hidden="1">#REF!,#REF!,#REF!,Прил3!P1_SCOPE_PER_PRT,Прил3!P2_SCOPE_PER_PRT,Прил3!P3_SCOPE_PER_PRT,Прил3!P4_SCOPE_PER_PRT</definedName>
    <definedName name="fhfyfyu" localSheetId="10" hidden="1">#REF!,#REF!,#REF!,Прил4!P1_SCOPE_PER_PRT,Прил4!P2_SCOPE_PER_PRT,Прил4!P3_SCOPE_PER_PRT,Прил4!P4_SCOPE_PER_PRT</definedName>
    <definedName name="fhfyfyu" localSheetId="6" hidden="1">#REF!,#REF!,#REF!,Тарифы!P1_SCOPE_PER_PRT,Тарифы!P2_SCOPE_PER_PRT,Тарифы!P3_SCOPE_PER_PRT,Тарифы!P4_SCOPE_PER_PRT</definedName>
    <definedName name="fhfyfyu" localSheetId="5" hidden="1">#REF!,#REF!,#REF!,'Тарифы (2)'!P1_SCOPE_PER_PRT,'Тарифы (2)'!P2_SCOPE_PER_PRT,'Тарифы (2)'!P3_SCOPE_PER_PRT,'Тарифы (2)'!P4_SCOPE_PER_PRT</definedName>
    <definedName name="fhfyfyu" localSheetId="4" hidden="1">#REF!,#REF!,#REF!,'Тарифы (3)'!P1_SCOPE_PER_PRT,'Тарифы (3)'!P2_SCOPE_PER_PRT,'Тарифы (3)'!P3_SCOPE_PER_PRT,'Тарифы (3)'!P4_SCOPE_PER_PRT</definedName>
    <definedName name="fhfyfyu" hidden="1">#REF!,#REF!,#REF!,P1_SCOPE_PER_PRT,P2_SCOPE_PER_PRT,P3_SCOPE_PER_PRT,P4_SCOPE_PER_PRT</definedName>
    <definedName name="fhj" localSheetId="15">#REF!</definedName>
    <definedName name="fhj" localSheetId="12">#REF!</definedName>
    <definedName name="fhj" localSheetId="11">#REF!</definedName>
    <definedName name="fhj" localSheetId="8">#REF!</definedName>
    <definedName name="fhj" localSheetId="9">#REF!</definedName>
    <definedName name="fhj" localSheetId="10">#REF!</definedName>
    <definedName name="fhj" localSheetId="6">#REF!</definedName>
    <definedName name="fhj" localSheetId="5">#REF!</definedName>
    <definedName name="fhj" localSheetId="4">#REF!</definedName>
    <definedName name="fhj">#REF!</definedName>
    <definedName name="file" localSheetId="15">#REF!</definedName>
    <definedName name="file" localSheetId="12">#REF!</definedName>
    <definedName name="file" localSheetId="11">#REF!</definedName>
    <definedName name="file" localSheetId="8">#REF!</definedName>
    <definedName name="file" localSheetId="9">#REF!</definedName>
    <definedName name="file" localSheetId="10">#REF!</definedName>
    <definedName name="file">#REF!</definedName>
    <definedName name="fjhgkj" localSheetId="15">#REF!</definedName>
    <definedName name="fjhgkj" localSheetId="12">#REF!</definedName>
    <definedName name="fjhgkj" localSheetId="11">#REF!</definedName>
    <definedName name="fjhgkj" localSheetId="8">#REF!</definedName>
    <definedName name="fjhgkj" localSheetId="9">#REF!</definedName>
    <definedName name="fjhgkj" localSheetId="10">#REF!</definedName>
    <definedName name="fjhgkj">#REF!</definedName>
    <definedName name="FORMCODE" localSheetId="15">[34]TSheet!$C$2</definedName>
    <definedName name="FORMCODE" localSheetId="2">[57]TSheet!$C$2</definedName>
    <definedName name="FORMCODE" localSheetId="3">[57]TSheet!$C$2</definedName>
    <definedName name="FORMCODE" localSheetId="11">[36]TSheet!$C$2</definedName>
    <definedName name="FORMCODE" localSheetId="8">[36]TSheet!$C$2</definedName>
    <definedName name="FORMCODE" localSheetId="9">[36]TSheet!$C$2</definedName>
    <definedName name="FORMCODE" localSheetId="10">[37]TSheet!$C$2</definedName>
    <definedName name="FORMCODE" localSheetId="6">[37]TSheet!$C$2</definedName>
    <definedName name="FORMCODE" localSheetId="5">[37]TSheet!$C$2</definedName>
    <definedName name="FORMCODE" localSheetId="4">[38]TSheet!$C$2</definedName>
    <definedName name="FORMCODE">[57]TSheet!$C$2</definedName>
    <definedName name="FORMNAME" localSheetId="15">[34]TSheet!$C$3</definedName>
    <definedName name="FORMNAME" localSheetId="2">[57]TSheet!$C$3</definedName>
    <definedName name="FORMNAME" localSheetId="3">[57]TSheet!$C$3</definedName>
    <definedName name="FORMNAME" localSheetId="11">[36]TSheet!$C$3</definedName>
    <definedName name="FORMNAME" localSheetId="8">[36]TSheet!$C$3</definedName>
    <definedName name="FORMNAME" localSheetId="9">[36]TSheet!$C$3</definedName>
    <definedName name="FORMNAME" localSheetId="10">[37]TSheet!$C$3</definedName>
    <definedName name="FORMNAME" localSheetId="6">[37]TSheet!$C$3</definedName>
    <definedName name="FORMNAME" localSheetId="5">[37]TSheet!$C$3</definedName>
    <definedName name="FORMNAME" localSheetId="4">[38]TSheet!$C$3</definedName>
    <definedName name="FORMNAME">[57]TSheet!$C$3</definedName>
    <definedName name="FUEL_GROUP" localSheetId="15">[34]TSheet!$T$2:$T$7</definedName>
    <definedName name="FUEL_GROUP" localSheetId="2">[35]TSheet!$T$2:$T$7</definedName>
    <definedName name="FUEL_GROUP" localSheetId="3">[35]TSheet!$T$2:$T$7</definedName>
    <definedName name="FUEL_GROUP" localSheetId="11">[36]TSheet!$T$2:$T$7</definedName>
    <definedName name="FUEL_GROUP" localSheetId="8">[36]TSheet!$T$2:$T$7</definedName>
    <definedName name="FUEL_GROUP" localSheetId="9">[36]TSheet!$T$2:$T$7</definedName>
    <definedName name="FUEL_GROUP" localSheetId="10">[37]TSheet!$T$2:$T$7</definedName>
    <definedName name="FUEL_GROUP" localSheetId="6">[37]TSheet!$T$2:$T$7</definedName>
    <definedName name="FUEL_GROUP" localSheetId="5">[37]TSheet!$T$2:$T$7</definedName>
    <definedName name="FUEL_GROUP" localSheetId="4">[38]TSheet!$T$2:$T$7</definedName>
    <definedName name="FUEL_GROUP">[35]TSheet!$T$2:$T$7</definedName>
    <definedName name="FUR" localSheetId="2">#REF!</definedName>
    <definedName name="FUR" localSheetId="3">#REF!</definedName>
    <definedName name="FUR" localSheetId="12">#REF!</definedName>
    <definedName name="FUR" localSheetId="11">#REF!</definedName>
    <definedName name="FUR" localSheetId="6">#REF!</definedName>
    <definedName name="FUR" localSheetId="5">#REF!</definedName>
    <definedName name="FUR" localSheetId="4">#REF!</definedName>
    <definedName name="FUR">#REF!</definedName>
    <definedName name="fytf" localSheetId="15">#REF!</definedName>
    <definedName name="fytf" localSheetId="12">#REF!</definedName>
    <definedName name="fytf" localSheetId="11">#REF!</definedName>
    <definedName name="fytf" localSheetId="8">#REF!</definedName>
    <definedName name="fytf" localSheetId="9">#REF!</definedName>
    <definedName name="fytf" localSheetId="10">#REF!</definedName>
    <definedName name="fytf" localSheetId="6">#REF!</definedName>
    <definedName name="fytf" localSheetId="5">#REF!</definedName>
    <definedName name="fytf" localSheetId="4">#REF!</definedName>
    <definedName name="fytf">#REF!</definedName>
    <definedName name="g" localSheetId="15">#REF!</definedName>
    <definedName name="g" localSheetId="12">#REF!</definedName>
    <definedName name="g" localSheetId="11">#REF!</definedName>
    <definedName name="g" localSheetId="8">#REF!</definedName>
    <definedName name="g" localSheetId="9">#REF!</definedName>
    <definedName name="g" localSheetId="10">#REF!</definedName>
    <definedName name="g">#REF!</definedName>
    <definedName name="Gala" localSheetId="15">#REF!</definedName>
    <definedName name="Gala" localSheetId="12">#REF!</definedName>
    <definedName name="Gala" localSheetId="11">#REF!</definedName>
    <definedName name="Gala" localSheetId="8">#REF!</definedName>
    <definedName name="Gala" localSheetId="9">#REF!</definedName>
    <definedName name="Gala" localSheetId="10">#REF!</definedName>
    <definedName name="Gala">#REF!</definedName>
    <definedName name="GAS_GROUP" localSheetId="15">[34]TSheet!$R$2:$R$8</definedName>
    <definedName name="GAS_GROUP" localSheetId="2">[35]TSheet!$R$2:$R$8</definedName>
    <definedName name="GAS_GROUP" localSheetId="3">[35]TSheet!$R$2:$R$8</definedName>
    <definedName name="GAS_GROUP" localSheetId="11">[36]TSheet!$R$2:$R$8</definedName>
    <definedName name="GAS_GROUP" localSheetId="8">[36]TSheet!$R$2:$R$8</definedName>
    <definedName name="GAS_GROUP" localSheetId="9">[36]TSheet!$R$2:$R$8</definedName>
    <definedName name="GAS_GROUP" localSheetId="10">[37]TSheet!$R$2:$R$8</definedName>
    <definedName name="GAS_GROUP" localSheetId="6">[37]TSheet!$R$2:$R$8</definedName>
    <definedName name="GAS_GROUP" localSheetId="5">[37]TSheet!$R$2:$R$8</definedName>
    <definedName name="GAS_GROUP" localSheetId="4">[38]TSheet!$R$2:$R$8</definedName>
    <definedName name="GAS_GROUP">[35]TSheet!$R$2:$R$8</definedName>
    <definedName name="gf">'[18]Продажи реальные и прогноз 20 л'!$E$47</definedName>
    <definedName name="gf2new" localSheetId="15">#REF!</definedName>
    <definedName name="gf2new" localSheetId="12">#REF!</definedName>
    <definedName name="gf2new" localSheetId="11">#REF!</definedName>
    <definedName name="gf2new" localSheetId="8">#REF!</definedName>
    <definedName name="gf2new" localSheetId="9">#REF!</definedName>
    <definedName name="gf2new" localSheetId="10">#REF!</definedName>
    <definedName name="gf2new" localSheetId="6">#REF!</definedName>
    <definedName name="gf2new" localSheetId="5">#REF!</definedName>
    <definedName name="gf2new" localSheetId="4">#REF!</definedName>
    <definedName name="gf2new">#REF!</definedName>
    <definedName name="gfg" localSheetId="15">[7]!gfg</definedName>
    <definedName name="gfg" localSheetId="11">#N/A</definedName>
    <definedName name="gfg" localSheetId="8">#N/A</definedName>
    <definedName name="gfg" localSheetId="9">#N/A</definedName>
    <definedName name="gfg" localSheetId="6">#N/A</definedName>
    <definedName name="gfg" localSheetId="5">#N/A</definedName>
    <definedName name="gfg" localSheetId="4">#N/A</definedName>
    <definedName name="gfg">#N/A</definedName>
    <definedName name="ggf" localSheetId="15">'[6]Общие продажи'!#REF!</definedName>
    <definedName name="ggf" localSheetId="12">'[6]Общие продажи'!#REF!</definedName>
    <definedName name="ggf" localSheetId="11">'[6]Общие продажи'!#REF!</definedName>
    <definedName name="ggf" localSheetId="8">'[6]Общие продажи'!#REF!</definedName>
    <definedName name="ggf" localSheetId="9">'[6]Общие продажи'!#REF!</definedName>
    <definedName name="ggf" localSheetId="10">'[6]Общие продажи'!#REF!</definedName>
    <definedName name="ggf" localSheetId="6">'[6]Общие продажи'!#REF!</definedName>
    <definedName name="ggf" localSheetId="5">'[6]Общие продажи'!#REF!</definedName>
    <definedName name="ggf" localSheetId="4">'[6]Общие продажи'!#REF!</definedName>
    <definedName name="ggf">'[6]Общие продажи'!#REF!</definedName>
    <definedName name="gggg" localSheetId="2">#REF!</definedName>
    <definedName name="gggg" localSheetId="3">#REF!</definedName>
    <definedName name="gggg" localSheetId="12">#REF!</definedName>
    <definedName name="gggg" localSheetId="11">#REF!</definedName>
    <definedName name="gggg" localSheetId="8">#REF!</definedName>
    <definedName name="gggg" localSheetId="9">#REF!</definedName>
    <definedName name="gggg" localSheetId="10">#REF!</definedName>
    <definedName name="gggg" localSheetId="6">#REF!</definedName>
    <definedName name="gggg" localSheetId="5">#REF!</definedName>
    <definedName name="gggg" localSheetId="4">#REF!</definedName>
    <definedName name="gggg">#REF!</definedName>
    <definedName name="gh" localSheetId="15">'[6]Общие продажи'!#REF!</definedName>
    <definedName name="gh" localSheetId="2">'[6]Общие продажи'!#REF!</definedName>
    <definedName name="gh" localSheetId="3">'[6]Общие продажи'!#REF!</definedName>
    <definedName name="gh" localSheetId="12">'[6]Общие продажи'!#REF!</definedName>
    <definedName name="gh" localSheetId="11">'[6]Общие продажи'!#REF!</definedName>
    <definedName name="gh" localSheetId="8">'[6]Общие продажи'!#REF!</definedName>
    <definedName name="gh" localSheetId="9">'[6]Общие продажи'!#REF!</definedName>
    <definedName name="gh" localSheetId="10">'[6]Общие продажи'!#REF!</definedName>
    <definedName name="gh" localSheetId="6">'[6]Общие продажи'!#REF!</definedName>
    <definedName name="gh" localSheetId="5">'[6]Общие продажи'!#REF!</definedName>
    <definedName name="gh" localSheetId="4">'[6]Общие продажи'!#REF!</definedName>
    <definedName name="gh">'[6]Общие продажи'!#REF!</definedName>
    <definedName name="ghhktyi" localSheetId="15">[7]!ghhktyi</definedName>
    <definedName name="ghhktyi" localSheetId="11">#N/A</definedName>
    <definedName name="ghhktyi" localSheetId="8">#N/A</definedName>
    <definedName name="ghhktyi" localSheetId="9">#N/A</definedName>
    <definedName name="ghhktyi" localSheetId="6">#N/A</definedName>
    <definedName name="ghhktyi" localSheetId="5">#N/A</definedName>
    <definedName name="ghhktyi" localSheetId="4">#N/A</definedName>
    <definedName name="ghhktyi">#N/A</definedName>
    <definedName name="ghjjhj" localSheetId="15">#REF!</definedName>
    <definedName name="ghjjhj" localSheetId="12">#REF!</definedName>
    <definedName name="ghjjhj" localSheetId="11">#REF!</definedName>
    <definedName name="ghjjhj" localSheetId="8">#REF!</definedName>
    <definedName name="ghjjhj" localSheetId="9">#REF!</definedName>
    <definedName name="ghjjhj" localSheetId="10">#REF!</definedName>
    <definedName name="ghjjhj" localSheetId="6">#REF!</definedName>
    <definedName name="ghjjhj" localSheetId="5">#REF!</definedName>
    <definedName name="ghjjhj" localSheetId="4">#REF!</definedName>
    <definedName name="ghjjhj">#REF!</definedName>
    <definedName name="ghrthr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15">#REF!</definedName>
    <definedName name="ghy" localSheetId="12">#REF!</definedName>
    <definedName name="ghy" localSheetId="11">#REF!</definedName>
    <definedName name="ghy" localSheetId="8">#REF!</definedName>
    <definedName name="ghy" localSheetId="9">#REF!</definedName>
    <definedName name="ghy" localSheetId="10">#REF!</definedName>
    <definedName name="ghy" localSheetId="6">#REF!</definedName>
    <definedName name="ghy" localSheetId="5">#REF!</definedName>
    <definedName name="ghy" localSheetId="4">#REF!</definedName>
    <definedName name="ghy">#REF!</definedName>
    <definedName name="god" localSheetId="15">[58]Титульный!$F$10</definedName>
    <definedName name="god" localSheetId="2">'[59]Затраты на газ'!#REF!</definedName>
    <definedName name="god" localSheetId="3">'[60]Затраты на газ'!#REF!</definedName>
    <definedName name="god" localSheetId="12">'[59]Затраты на газ'!#REF!</definedName>
    <definedName name="god" localSheetId="11">'[59]Затраты на газ'!#REF!</definedName>
    <definedName name="god" localSheetId="8">'[59]Затраты на газ'!#REF!</definedName>
    <definedName name="god" localSheetId="9">'[59]Затраты на газ'!#REF!</definedName>
    <definedName name="god" localSheetId="10">'[61]Затраты на газ'!#REF!</definedName>
    <definedName name="god" localSheetId="6">'[61]Затраты на газ'!#REF!</definedName>
    <definedName name="god" localSheetId="5">'[61]Затраты на газ'!#REF!</definedName>
    <definedName name="god" localSheetId="4">'[62]Затраты на газ'!#REF!</definedName>
    <definedName name="god">'[59]Затраты на газ'!#REF!</definedName>
    <definedName name="GRANGE_11" localSheetId="2">#REF!</definedName>
    <definedName name="GRANGE_11" localSheetId="3">#REF!</definedName>
    <definedName name="GRANGE_11" localSheetId="12">#REF!</definedName>
    <definedName name="GRANGE_11" localSheetId="11">#REF!</definedName>
    <definedName name="GRANGE_11" localSheetId="8">#REF!</definedName>
    <definedName name="GRANGE_11" localSheetId="9">#REF!</definedName>
    <definedName name="GRANGE_11" localSheetId="10">#REF!</definedName>
    <definedName name="GRANGE_11" localSheetId="6">#REF!</definedName>
    <definedName name="GRANGE_11" localSheetId="5">#REF!</definedName>
    <definedName name="GRANGE_11" localSheetId="4">#REF!</definedName>
    <definedName name="GRANGE_11">#REF!</definedName>
    <definedName name="GRANGE_12" localSheetId="12">#REF!</definedName>
    <definedName name="GRANGE_12" localSheetId="11">#REF!</definedName>
    <definedName name="GRANGE_12" localSheetId="10">#REF!</definedName>
    <definedName name="GRANGE_12" localSheetId="6">#REF!</definedName>
    <definedName name="GRANGE_12" localSheetId="5">#REF!</definedName>
    <definedName name="GRANGE_12" localSheetId="4">#REF!</definedName>
    <definedName name="GRANGE_12">#REF!</definedName>
    <definedName name="GRANGE_13" localSheetId="12">#REF!</definedName>
    <definedName name="GRANGE_13" localSheetId="11">#REF!</definedName>
    <definedName name="GRANGE_13" localSheetId="10">#REF!</definedName>
    <definedName name="GRANGE_13" localSheetId="6">#REF!</definedName>
    <definedName name="GRANGE_13" localSheetId="5">#REF!</definedName>
    <definedName name="GRANGE_13" localSheetId="4">#REF!</definedName>
    <definedName name="GRANGE_13">#REF!</definedName>
    <definedName name="GRANGE_21" localSheetId="12">#REF!</definedName>
    <definedName name="GRANGE_21" localSheetId="11">#REF!</definedName>
    <definedName name="GRANGE_21" localSheetId="10">#REF!</definedName>
    <definedName name="GRANGE_21">#REF!</definedName>
    <definedName name="GRANGE_22" localSheetId="12">#REF!</definedName>
    <definedName name="GRANGE_22" localSheetId="11">#REF!</definedName>
    <definedName name="GRANGE_22" localSheetId="10">#REF!</definedName>
    <definedName name="GRANGE_22">#REF!</definedName>
    <definedName name="GRANGE_23" localSheetId="12">#REF!</definedName>
    <definedName name="GRANGE_23" localSheetId="11">#REF!</definedName>
    <definedName name="GRANGE_23" localSheetId="10">#REF!</definedName>
    <definedName name="GRANGE_23">#REF!</definedName>
    <definedName name="grety5e" localSheetId="15">[7]!grety5e</definedName>
    <definedName name="grety5e" localSheetId="11">#N/A</definedName>
    <definedName name="grety5e" localSheetId="8">#N/A</definedName>
    <definedName name="grety5e" localSheetId="9">#N/A</definedName>
    <definedName name="grety5e" localSheetId="6">#N/A</definedName>
    <definedName name="grety5e" localSheetId="5">#N/A</definedName>
    <definedName name="grety5e" localSheetId="4">#N/A</definedName>
    <definedName name="grety5e">#N/A</definedName>
    <definedName name="gyu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15">#REF!</definedName>
    <definedName name="H" localSheetId="12">#REF!</definedName>
    <definedName name="H" localSheetId="11">#REF!</definedName>
    <definedName name="H" localSheetId="8">#REF!</definedName>
    <definedName name="H" localSheetId="9">#REF!</definedName>
    <definedName name="H" localSheetId="10">#REF!</definedName>
    <definedName name="H" localSheetId="6">#REF!</definedName>
    <definedName name="H" localSheetId="5">#REF!</definedName>
    <definedName name="H" localSheetId="4">#REF!</definedName>
    <definedName name="H">#REF!</definedName>
    <definedName name="HELP" localSheetId="15">#REF!</definedName>
    <definedName name="HELP" localSheetId="12">#REF!</definedName>
    <definedName name="HELP" localSheetId="11">#REF!</definedName>
    <definedName name="HELP" localSheetId="8">#REF!</definedName>
    <definedName name="HELP" localSheetId="9">#REF!</definedName>
    <definedName name="HELP" localSheetId="10">#REF!</definedName>
    <definedName name="HELP">#REF!</definedName>
    <definedName name="hfte" localSheetId="15">[7]!hfte</definedName>
    <definedName name="hfte" localSheetId="11">#N/A</definedName>
    <definedName name="hfte" localSheetId="8">#N/A</definedName>
    <definedName name="hfte" localSheetId="9">#N/A</definedName>
    <definedName name="hfte" localSheetId="6">#N/A</definedName>
    <definedName name="hfte" localSheetId="5">#N/A</definedName>
    <definedName name="hfte" localSheetId="4">#N/A</definedName>
    <definedName name="hfte">#N/A</definedName>
    <definedName name="hgkj">'[63]Продажи реальные и прогноз 20 л'!$E$47</definedName>
    <definedName name="hhh" localSheetId="15" hidden="1">{#N/A,#N/A,TRUE,"Лист1";#N/A,#N/A,TRUE,"Лист2";#N/A,#N/A,TRUE,"Лист3"}</definedName>
    <definedName name="hhh" localSheetId="2" hidden="1">{#N/A,#N/A,TRUE,"Лист1";#N/A,#N/A,TRUE,"Лист2";#N/A,#N/A,TRUE,"Лист3"}</definedName>
    <definedName name="hhh" localSheetId="3" hidden="1">{#N/A,#N/A,TRUE,"Лист1";#N/A,#N/A,TRUE,"Лист2";#N/A,#N/A,TRUE,"Лист3"}</definedName>
    <definedName name="hhh" localSheetId="7" hidden="1">{#N/A,#N/A,TRUE,"Лист1";#N/A,#N/A,TRUE,"Лист2";#N/A,#N/A,TRUE,"Лист3"}</definedName>
    <definedName name="hhh" localSheetId="11" hidden="1">{#N/A,#N/A,TRUE,"Лист1";#N/A,#N/A,TRUE,"Лист2";#N/A,#N/A,TRUE,"Лист3"}</definedName>
    <definedName name="hhh" localSheetId="8" hidden="1">{#N/A,#N/A,TRUE,"Лист1";#N/A,#N/A,TRUE,"Лист2";#N/A,#N/A,TRUE,"Лист3"}</definedName>
    <definedName name="hhh" localSheetId="9" hidden="1">{#N/A,#N/A,TRUE,"Лист1";#N/A,#N/A,TRUE,"Лист2";#N/A,#N/A,TRUE,"Лист3"}</definedName>
    <definedName name="hhh" localSheetId="10" hidden="1">{#N/A,#N/A,TRUE,"Лист1";#N/A,#N/A,TRUE,"Лист2";#N/A,#N/A,TRUE,"Лист3"}</definedName>
    <definedName name="hhh" localSheetId="6" hidden="1">{#N/A,#N/A,TRUE,"Лист1";#N/A,#N/A,TRUE,"Лист2";#N/A,#N/A,TRUE,"Лист3"}</definedName>
    <definedName name="hhh" localSheetId="5" hidden="1">{#N/A,#N/A,TRUE,"Лист1";#N/A,#N/A,TRUE,"Лист2";#N/A,#N/A,TRUE,"Лист3"}</definedName>
    <definedName name="hhh" localSheetId="4" hidden="1">{#N/A,#N/A,TRUE,"Лист1";#N/A,#N/A,TRUE,"Лист2";#N/A,#N/A,TRUE,"Лист3"}</definedName>
    <definedName name="hhh" hidden="1">{#N/A,#N/A,TRUE,"Лист1";#N/A,#N/A,TRUE,"Лист2";#N/A,#N/A,TRUE,"Лист3"}</definedName>
    <definedName name="hhj">'[10]BCS APP Slovakia'!$AF$6</definedName>
    <definedName name="hhjhjjkkjjk">'[10]BCS APP CR'!$D$24</definedName>
    <definedName name="hjg" localSheetId="15">#REF!</definedName>
    <definedName name="hjg" localSheetId="12">#REF!</definedName>
    <definedName name="hjg" localSheetId="11">#REF!</definedName>
    <definedName name="hjg" localSheetId="8">#REF!</definedName>
    <definedName name="hjg" localSheetId="9">#REF!</definedName>
    <definedName name="hjg" localSheetId="10">#REF!</definedName>
    <definedName name="hjg" localSheetId="6">#REF!</definedName>
    <definedName name="hjg" localSheetId="5">#REF!</definedName>
    <definedName name="hjg" localSheetId="4">#REF!</definedName>
    <definedName name="hjg">#REF!</definedName>
    <definedName name="hjjkjklkl" localSheetId="15">#REF!</definedName>
    <definedName name="hjjkjklkl" localSheetId="12">#REF!</definedName>
    <definedName name="hjjkjklkl" localSheetId="11">#REF!</definedName>
    <definedName name="hjjkjklkl" localSheetId="10">#REF!</definedName>
    <definedName name="hjjkjklkl">#REF!</definedName>
    <definedName name="hjytjty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15">#REF!</definedName>
    <definedName name="homr" localSheetId="12">#REF!</definedName>
    <definedName name="homr" localSheetId="11">#REF!</definedName>
    <definedName name="homr" localSheetId="8">#REF!</definedName>
    <definedName name="homr" localSheetId="9">#REF!</definedName>
    <definedName name="homr" localSheetId="10">#REF!</definedName>
    <definedName name="homr" localSheetId="6">#REF!</definedName>
    <definedName name="homr" localSheetId="5">#REF!</definedName>
    <definedName name="homr" localSheetId="4">#REF!</definedName>
    <definedName name="homr">#REF!</definedName>
    <definedName name="hpo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15" hidden="1">{"'D'!$A$1:$E$13"}</definedName>
    <definedName name="HTML_Control" localSheetId="2" hidden="1">{"'D'!$A$1:$E$13"}</definedName>
    <definedName name="HTML_Control" localSheetId="3" hidden="1">{"'D'!$A$1:$E$13"}</definedName>
    <definedName name="HTML_Control" localSheetId="11" hidden="1">{"'D'!$A$1:$E$13"}</definedName>
    <definedName name="HTML_Control" localSheetId="8" hidden="1">{"'D'!$A$1:$E$13"}</definedName>
    <definedName name="HTML_Control" localSheetId="9" hidden="1">{"'D'!$A$1:$E$13"}</definedName>
    <definedName name="HTML_Control" localSheetId="10" hidden="1">{"'D'!$A$1:$E$13"}</definedName>
    <definedName name="HTML_Control" localSheetId="6" hidden="1">{"'D'!$A$1:$E$13"}</definedName>
    <definedName name="HTML_Control" localSheetId="5" hidden="1">{"'D'!$A$1:$E$13"}</definedName>
    <definedName name="HTML_Control" localSheetId="4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15">[64]TSheet!$S$2:$S$22</definedName>
    <definedName name="i_list" localSheetId="3">[65]TSheet!$S$2:$S$22</definedName>
    <definedName name="i_list" localSheetId="6">[64]TSheet!$S$2:$S$22</definedName>
    <definedName name="i_list" localSheetId="5">[64]TSheet!$S$2:$S$22</definedName>
    <definedName name="i_list" localSheetId="4">[66]TSheet!$S$2:$S$22</definedName>
    <definedName name="i_list">[67]TSheet!$S$2:$S$22</definedName>
    <definedName name="I_LIST_1" localSheetId="15">[68]TSheet!$G$30:$G$34</definedName>
    <definedName name="I_LIST_1" localSheetId="2">[69]TSheet!$G$30:$G$34</definedName>
    <definedName name="I_LIST_1" localSheetId="3">[69]TSheet!$G$30:$G$34</definedName>
    <definedName name="I_LIST_1" localSheetId="11">[68]TSheet!$G$30:$G$34</definedName>
    <definedName name="I_LIST_1" localSheetId="8">[68]TSheet!$G$30:$G$34</definedName>
    <definedName name="I_LIST_1" localSheetId="9">[68]TSheet!$G$30:$G$34</definedName>
    <definedName name="I_LIST_1" localSheetId="10">[70]TSheet!$G$30:$G$34</definedName>
    <definedName name="I_LIST_1" localSheetId="6">[70]TSheet!$G$30:$G$34</definedName>
    <definedName name="I_LIST_1" localSheetId="5">[70]TSheet!$G$30:$G$34</definedName>
    <definedName name="I_LIST_1" localSheetId="4">[71]TSheet!$G$30:$G$34</definedName>
    <definedName name="I_LIST_1">[69]TSheet!$G$30:$G$34</definedName>
    <definedName name="I_LIST_3" localSheetId="15">[68]TSheet!$G$50:$G$61</definedName>
    <definedName name="I_LIST_3" localSheetId="2">[69]TSheet!$G$50:$G$61</definedName>
    <definedName name="I_LIST_3" localSheetId="3">[69]TSheet!$G$50:$G$61</definedName>
    <definedName name="I_LIST_3" localSheetId="11">[68]TSheet!$G$50:$G$61</definedName>
    <definedName name="I_LIST_3" localSheetId="8">[68]TSheet!$G$50:$G$61</definedName>
    <definedName name="I_LIST_3" localSheetId="9">[68]TSheet!$G$50:$G$61</definedName>
    <definedName name="I_LIST_3" localSheetId="10">[70]TSheet!$G$50:$G$61</definedName>
    <definedName name="I_LIST_3" localSheetId="6">[70]TSheet!$G$50:$G$61</definedName>
    <definedName name="I_LIST_3" localSheetId="5">[70]TSheet!$G$50:$G$61</definedName>
    <definedName name="I_LIST_3" localSheetId="4">[71]TSheet!$G$50:$G$61</definedName>
    <definedName name="I_LIST_3">[69]TSheet!$G$50:$G$61</definedName>
    <definedName name="I_LIST_4" localSheetId="15">[72]TSheet!$G$66:$G$74</definedName>
    <definedName name="I_LIST_4" localSheetId="2">[69]TSheet!$G$66:$G$74</definedName>
    <definedName name="I_LIST_4" localSheetId="3">[69]TSheet!$G$66:$G$74</definedName>
    <definedName name="I_LIST_4" localSheetId="11">[72]TSheet!$G$66:$G$74</definedName>
    <definedName name="I_LIST_4" localSheetId="8">[72]TSheet!$G$66:$G$74</definedName>
    <definedName name="I_LIST_4" localSheetId="9">[72]TSheet!$G$66:$G$74</definedName>
    <definedName name="I_LIST_4" localSheetId="10">[72]TSheet!$G$66:$G$74</definedName>
    <definedName name="I_LIST_4" localSheetId="6">[72]TSheet!$G$66:$G$74</definedName>
    <definedName name="I_LIST_4" localSheetId="5">[72]TSheet!$G$66:$G$74</definedName>
    <definedName name="I_LIST_4" localSheetId="4">[73]TSheet!$G$66:$G$74</definedName>
    <definedName name="I_LIST_4">[69]TSheet!$G$66:$G$74</definedName>
    <definedName name="ID" localSheetId="15">[34]Титульный!$A$1</definedName>
    <definedName name="ID" localSheetId="2">[35]Титульный!$A$1</definedName>
    <definedName name="ID" localSheetId="3">[35]Титульный!$A$1</definedName>
    <definedName name="ID" localSheetId="11">[36]Титульный!$A$1</definedName>
    <definedName name="ID" localSheetId="8">[36]Титульный!$A$1</definedName>
    <definedName name="ID" localSheetId="9">[36]Титульный!$A$1</definedName>
    <definedName name="ID" localSheetId="10">[37]Титульный!$A$1</definedName>
    <definedName name="ID" localSheetId="6">[37]Титульный!$A$1</definedName>
    <definedName name="ID" localSheetId="5">[37]Титульный!$A$1</definedName>
    <definedName name="ID" localSheetId="4">[38]Титульный!$A$1</definedName>
    <definedName name="ID">[35]Титульный!$A$1</definedName>
    <definedName name="Industry" localSheetId="12">'[32]Dairy Precedents'!#REF!</definedName>
    <definedName name="Industry" localSheetId="11">'[32]Dairy Precedents'!#REF!</definedName>
    <definedName name="Industry" localSheetId="8">'[32]Dairy Precedents'!#REF!</definedName>
    <definedName name="Industry" localSheetId="9">'[32]Dairy Precedents'!#REF!</definedName>
    <definedName name="Industry" localSheetId="10">'[32]Dairy Precedents'!#REF!</definedName>
    <definedName name="Industry">'[32]Dairy Precedents'!#REF!</definedName>
    <definedName name="INPUT_FIELDS_APPCZ">'[74]4 Fin &amp; Publ'!$B$8:$Z$11,'[74]4 Fin &amp; Publ'!$B$14:$Z$19</definedName>
    <definedName name="INPUT_FIELDS_APPSK" localSheetId="3">#REF!,#REF!</definedName>
    <definedName name="INPUT_FIELDS_APPSK" localSheetId="12">#REF!,#REF!</definedName>
    <definedName name="INPUT_FIELDS_APPSK" localSheetId="11">#REF!,#REF!</definedName>
    <definedName name="INPUT_FIELDS_APPSK" localSheetId="6">#REF!,#REF!</definedName>
    <definedName name="INPUT_FIELDS_APPSK" localSheetId="5">#REF!,#REF!</definedName>
    <definedName name="INPUT_FIELDS_APPSK" localSheetId="4">#REF!,#REF!</definedName>
    <definedName name="INPUT_FIELDS_APPSK">#REF!,#REF!</definedName>
    <definedName name="Interval">[53]Настройка!$B$13</definedName>
    <definedName name="Interval1">[75]Настройка!$B$15</definedName>
    <definedName name="INTPR" localSheetId="2">#REF!</definedName>
    <definedName name="INTPR" localSheetId="3">#REF!</definedName>
    <definedName name="INTPR" localSheetId="12">#REF!</definedName>
    <definedName name="INTPR" localSheetId="11">#REF!</definedName>
    <definedName name="INTPR" localSheetId="6">#REF!</definedName>
    <definedName name="INTPR" localSheetId="5">#REF!</definedName>
    <definedName name="INTPR" localSheetId="4">#REF!</definedName>
    <definedName name="INTPR">#REF!</definedName>
    <definedName name="IS" localSheetId="12">#REF!</definedName>
    <definedName name="IS" localSheetId="11">#REF!</definedName>
    <definedName name="IS">#REF!</definedName>
    <definedName name="ISTFIN_LIST" localSheetId="15">[68]TSheet!$S$2:$S$12</definedName>
    <definedName name="ISTFIN_LIST" localSheetId="2">[69]TSheet!$S$2:$S$12</definedName>
    <definedName name="ISTFIN_LIST" localSheetId="3">[69]TSheet!$S$2:$S$12</definedName>
    <definedName name="ISTFIN_LIST" localSheetId="11">[68]TSheet!$S$2:$S$12</definedName>
    <definedName name="ISTFIN_LIST" localSheetId="8">[68]TSheet!$S$2:$S$12</definedName>
    <definedName name="ISTFIN_LIST" localSheetId="9">[68]TSheet!$S$2:$S$12</definedName>
    <definedName name="ISTFIN_LIST" localSheetId="10">[70]TSheet!$S$2:$S$12</definedName>
    <definedName name="ISTFIN_LIST" localSheetId="6">[70]TSheet!$S$2:$S$12</definedName>
    <definedName name="ISTFIN_LIST" localSheetId="5">[70]TSheet!$S$2:$S$12</definedName>
    <definedName name="ISTFIN_LIST" localSheetId="4">[71]TSheet!$S$2:$S$12</definedName>
    <definedName name="ISTFIN_LIST">[69]TSheet!$S$2:$S$12</definedName>
    <definedName name="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hjhdjhfj" localSheetId="15">#REF!</definedName>
    <definedName name="jhjhdjhfj" localSheetId="12">#REF!</definedName>
    <definedName name="jhjhdjhfj" localSheetId="11">#REF!</definedName>
    <definedName name="jhjhdjhfj" localSheetId="8">#REF!</definedName>
    <definedName name="jhjhdjhfj" localSheetId="9">#REF!</definedName>
    <definedName name="jhjhdjhfj" localSheetId="10">#REF!</definedName>
    <definedName name="jhjhdjhfj" localSheetId="6">#REF!</definedName>
    <definedName name="jhjhdjhfj" localSheetId="5">#REF!</definedName>
    <definedName name="jhjhdjhfj" localSheetId="4">#REF!</definedName>
    <definedName name="jhjhdjhfj">#REF!</definedName>
    <definedName name="jjjj" localSheetId="3">'[76]Гр5(о)'!#REF!</definedName>
    <definedName name="jjjj" localSheetId="12">'[77]Гр5(о)'!#REF!</definedName>
    <definedName name="jjjj" localSheetId="11">'[77]Гр5(о)'!#REF!</definedName>
    <definedName name="jjjj" localSheetId="10">'[77]Гр5(о)'!#REF!</definedName>
    <definedName name="jjjj" localSheetId="6">'[77]Гр5(о)'!#REF!</definedName>
    <definedName name="jjjj" localSheetId="5">'[77]Гр5(о)'!#REF!</definedName>
    <definedName name="jjjj" localSheetId="4">'[76]Гр5(о)'!#REF!</definedName>
    <definedName name="jjjj">'[77]Гр5(о)'!#REF!</definedName>
    <definedName name="jk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K">[78]Лист1!$C$14</definedName>
    <definedName name="k_dz">'[79]К-ты'!$H$9</definedName>
    <definedName name="k_el">'[79]К-ты'!$I$9</definedName>
    <definedName name="K111_" localSheetId="15">#REF!</definedName>
    <definedName name="K111_" localSheetId="12">#REF!</definedName>
    <definedName name="K111_" localSheetId="11">#REF!</definedName>
    <definedName name="K111_" localSheetId="8">#REF!</definedName>
    <definedName name="K111_" localSheetId="9">#REF!</definedName>
    <definedName name="K111_" localSheetId="10">#REF!</definedName>
    <definedName name="K111_" localSheetId="6">#REF!</definedName>
    <definedName name="K111_" localSheetId="5">#REF!</definedName>
    <definedName name="K111_" localSheetId="4">#REF!</definedName>
    <definedName name="K111_">#REF!</definedName>
    <definedName name="K112_" localSheetId="15">#REF!</definedName>
    <definedName name="K112_" localSheetId="12">#REF!</definedName>
    <definedName name="K112_" localSheetId="11">#REF!</definedName>
    <definedName name="K112_" localSheetId="8">#REF!</definedName>
    <definedName name="K112_" localSheetId="9">#REF!</definedName>
    <definedName name="K112_" localSheetId="10">#REF!</definedName>
    <definedName name="K112_">#REF!</definedName>
    <definedName name="K120_" localSheetId="15">#REF!</definedName>
    <definedName name="K120_" localSheetId="12">#REF!</definedName>
    <definedName name="K120_" localSheetId="11">#REF!</definedName>
    <definedName name="K120_" localSheetId="8">#REF!</definedName>
    <definedName name="K120_" localSheetId="9">#REF!</definedName>
    <definedName name="K120_" localSheetId="10">#REF!</definedName>
    <definedName name="K120_">#REF!</definedName>
    <definedName name="K121_" localSheetId="12">#REF!</definedName>
    <definedName name="K121_" localSheetId="11">#REF!</definedName>
    <definedName name="K121_" localSheetId="8">#REF!</definedName>
    <definedName name="K121_" localSheetId="9">#REF!</definedName>
    <definedName name="K121_" localSheetId="10">#REF!</definedName>
    <definedName name="K121_">#REF!</definedName>
    <definedName name="K122_" localSheetId="12">#REF!</definedName>
    <definedName name="K122_" localSheetId="11">#REF!</definedName>
    <definedName name="K122_" localSheetId="8">#REF!</definedName>
    <definedName name="K122_" localSheetId="9">#REF!</definedName>
    <definedName name="K122_" localSheetId="10">#REF!</definedName>
    <definedName name="K122_">#REF!</definedName>
    <definedName name="K123_" localSheetId="12">#REF!</definedName>
    <definedName name="K123_" localSheetId="11">#REF!</definedName>
    <definedName name="K123_" localSheetId="8">#REF!</definedName>
    <definedName name="K123_" localSheetId="9">#REF!</definedName>
    <definedName name="K123_" localSheetId="10">#REF!</definedName>
    <definedName name="K123_">#REF!</definedName>
    <definedName name="K130_" localSheetId="12">#REF!</definedName>
    <definedName name="K130_" localSheetId="11">#REF!</definedName>
    <definedName name="K130_" localSheetId="8">#REF!</definedName>
    <definedName name="K130_" localSheetId="9">#REF!</definedName>
    <definedName name="K130_" localSheetId="10">#REF!</definedName>
    <definedName name="K130_">#REF!</definedName>
    <definedName name="K131_" localSheetId="12">#REF!</definedName>
    <definedName name="K131_" localSheetId="11">#REF!</definedName>
    <definedName name="K131_" localSheetId="8">#REF!</definedName>
    <definedName name="K131_" localSheetId="9">#REF!</definedName>
    <definedName name="K131_" localSheetId="10">#REF!</definedName>
    <definedName name="K131_">#REF!</definedName>
    <definedName name="K132_" localSheetId="12">#REF!</definedName>
    <definedName name="K132_" localSheetId="11">#REF!</definedName>
    <definedName name="K132_" localSheetId="8">#REF!</definedName>
    <definedName name="K132_" localSheetId="9">#REF!</definedName>
    <definedName name="K132_" localSheetId="10">#REF!</definedName>
    <definedName name="K132_">#REF!</definedName>
    <definedName name="K133_" localSheetId="12">#REF!</definedName>
    <definedName name="K133_" localSheetId="11">#REF!</definedName>
    <definedName name="K133_" localSheetId="8">#REF!</definedName>
    <definedName name="K133_" localSheetId="9">#REF!</definedName>
    <definedName name="K133_" localSheetId="10">#REF!</definedName>
    <definedName name="K133_">#REF!</definedName>
    <definedName name="K134_" localSheetId="12">#REF!</definedName>
    <definedName name="K134_" localSheetId="11">#REF!</definedName>
    <definedName name="K134_" localSheetId="8">#REF!</definedName>
    <definedName name="K134_" localSheetId="9">#REF!</definedName>
    <definedName name="K134_" localSheetId="10">#REF!</definedName>
    <definedName name="K134_">#REF!</definedName>
    <definedName name="K135_" localSheetId="12">#REF!</definedName>
    <definedName name="K135_" localSheetId="11">#REF!</definedName>
    <definedName name="K135_" localSheetId="8">#REF!</definedName>
    <definedName name="K135_" localSheetId="9">#REF!</definedName>
    <definedName name="K135_" localSheetId="10">#REF!</definedName>
    <definedName name="K135_">#REF!</definedName>
    <definedName name="K136_" localSheetId="12">#REF!</definedName>
    <definedName name="K136_" localSheetId="11">#REF!</definedName>
    <definedName name="K136_" localSheetId="8">#REF!</definedName>
    <definedName name="K136_" localSheetId="9">#REF!</definedName>
    <definedName name="K136_" localSheetId="10">#REF!</definedName>
    <definedName name="K136_">#REF!</definedName>
    <definedName name="K140_" localSheetId="12">#REF!</definedName>
    <definedName name="K140_" localSheetId="11">#REF!</definedName>
    <definedName name="K140_" localSheetId="8">#REF!</definedName>
    <definedName name="K140_" localSheetId="9">#REF!</definedName>
    <definedName name="K140_" localSheetId="10">#REF!</definedName>
    <definedName name="K140_">#REF!</definedName>
    <definedName name="K190_" localSheetId="12">#REF!</definedName>
    <definedName name="K190_" localSheetId="11">#REF!</definedName>
    <definedName name="K190_" localSheetId="8">#REF!</definedName>
    <definedName name="K190_" localSheetId="9">#REF!</definedName>
    <definedName name="K190_" localSheetId="10">#REF!</definedName>
    <definedName name="K190_">#REF!</definedName>
    <definedName name="K210_" localSheetId="12">#REF!</definedName>
    <definedName name="K210_" localSheetId="11">#REF!</definedName>
    <definedName name="K210_" localSheetId="8">#REF!</definedName>
    <definedName name="K210_" localSheetId="9">#REF!</definedName>
    <definedName name="K210_" localSheetId="10">#REF!</definedName>
    <definedName name="K210_">#REF!</definedName>
    <definedName name="K211_" localSheetId="12">#REF!</definedName>
    <definedName name="K211_" localSheetId="11">#REF!</definedName>
    <definedName name="K211_" localSheetId="8">#REF!</definedName>
    <definedName name="K211_" localSheetId="9">#REF!</definedName>
    <definedName name="K211_" localSheetId="10">#REF!</definedName>
    <definedName name="K211_">#REF!</definedName>
    <definedName name="K212_" localSheetId="12">#REF!</definedName>
    <definedName name="K212_" localSheetId="11">#REF!</definedName>
    <definedName name="K212_" localSheetId="8">#REF!</definedName>
    <definedName name="K212_" localSheetId="9">#REF!</definedName>
    <definedName name="K212_" localSheetId="10">#REF!</definedName>
    <definedName name="K212_">#REF!</definedName>
    <definedName name="K213_" localSheetId="12">#REF!</definedName>
    <definedName name="K213_" localSheetId="11">#REF!</definedName>
    <definedName name="K213_" localSheetId="8">#REF!</definedName>
    <definedName name="K213_" localSheetId="9">#REF!</definedName>
    <definedName name="K213_" localSheetId="10">#REF!</definedName>
    <definedName name="K213_">#REF!</definedName>
    <definedName name="K214_" localSheetId="12">#REF!</definedName>
    <definedName name="K214_" localSheetId="11">#REF!</definedName>
    <definedName name="K214_" localSheetId="8">#REF!</definedName>
    <definedName name="K214_" localSheetId="9">#REF!</definedName>
    <definedName name="K214_" localSheetId="10">#REF!</definedName>
    <definedName name="K214_">#REF!</definedName>
    <definedName name="K215_" localSheetId="12">#REF!</definedName>
    <definedName name="K215_" localSheetId="11">#REF!</definedName>
    <definedName name="K215_" localSheetId="8">#REF!</definedName>
    <definedName name="K215_" localSheetId="9">#REF!</definedName>
    <definedName name="K215_" localSheetId="10">#REF!</definedName>
    <definedName name="K215_">#REF!</definedName>
    <definedName name="K216_" localSheetId="12">#REF!</definedName>
    <definedName name="K216_" localSheetId="11">#REF!</definedName>
    <definedName name="K216_" localSheetId="8">#REF!</definedName>
    <definedName name="K216_" localSheetId="9">#REF!</definedName>
    <definedName name="K216_" localSheetId="10">#REF!</definedName>
    <definedName name="K216_">#REF!</definedName>
    <definedName name="K217_" localSheetId="12">#REF!</definedName>
    <definedName name="K217_" localSheetId="11">#REF!</definedName>
    <definedName name="K217_" localSheetId="8">#REF!</definedName>
    <definedName name="K217_" localSheetId="9">#REF!</definedName>
    <definedName name="K217_" localSheetId="10">#REF!</definedName>
    <definedName name="K217_">#REF!</definedName>
    <definedName name="K218_" localSheetId="12">#REF!</definedName>
    <definedName name="K218_" localSheetId="11">#REF!</definedName>
    <definedName name="K218_" localSheetId="8">#REF!</definedName>
    <definedName name="K218_" localSheetId="9">#REF!</definedName>
    <definedName name="K218_" localSheetId="10">#REF!</definedName>
    <definedName name="K218_">#REF!</definedName>
    <definedName name="K220_" localSheetId="12">#REF!</definedName>
    <definedName name="K220_" localSheetId="11">#REF!</definedName>
    <definedName name="K220_" localSheetId="8">#REF!</definedName>
    <definedName name="K220_" localSheetId="9">#REF!</definedName>
    <definedName name="K220_" localSheetId="10">#REF!</definedName>
    <definedName name="K220_">#REF!</definedName>
    <definedName name="K221_" localSheetId="12">#REF!</definedName>
    <definedName name="K221_" localSheetId="11">#REF!</definedName>
    <definedName name="K221_" localSheetId="8">#REF!</definedName>
    <definedName name="K221_" localSheetId="9">#REF!</definedName>
    <definedName name="K221_" localSheetId="10">#REF!</definedName>
    <definedName name="K221_">#REF!</definedName>
    <definedName name="K222_" localSheetId="12">#REF!</definedName>
    <definedName name="K222_" localSheetId="11">#REF!</definedName>
    <definedName name="K222_" localSheetId="8">#REF!</definedName>
    <definedName name="K222_" localSheetId="9">#REF!</definedName>
    <definedName name="K222_" localSheetId="10">#REF!</definedName>
    <definedName name="K222_">#REF!</definedName>
    <definedName name="K223_" localSheetId="12">#REF!</definedName>
    <definedName name="K223_" localSheetId="11">#REF!</definedName>
    <definedName name="K223_" localSheetId="8">#REF!</definedName>
    <definedName name="K223_" localSheetId="9">#REF!</definedName>
    <definedName name="K223_" localSheetId="10">#REF!</definedName>
    <definedName name="K223_">#REF!</definedName>
    <definedName name="K224_" localSheetId="12">#REF!</definedName>
    <definedName name="K224_" localSheetId="11">#REF!</definedName>
    <definedName name="K224_" localSheetId="8">#REF!</definedName>
    <definedName name="K224_" localSheetId="9">#REF!</definedName>
    <definedName name="K224_" localSheetId="10">#REF!</definedName>
    <definedName name="K224_">#REF!</definedName>
    <definedName name="K225_" localSheetId="12">#REF!</definedName>
    <definedName name="K225_" localSheetId="11">#REF!</definedName>
    <definedName name="K225_" localSheetId="8">#REF!</definedName>
    <definedName name="K225_" localSheetId="9">#REF!</definedName>
    <definedName name="K225_" localSheetId="10">#REF!</definedName>
    <definedName name="K225_">#REF!</definedName>
    <definedName name="K226_" localSheetId="12">#REF!</definedName>
    <definedName name="K226_" localSheetId="11">#REF!</definedName>
    <definedName name="K226_" localSheetId="8">#REF!</definedName>
    <definedName name="K226_" localSheetId="9">#REF!</definedName>
    <definedName name="K226_" localSheetId="10">#REF!</definedName>
    <definedName name="K226_">#REF!</definedName>
    <definedName name="K230_" localSheetId="12">#REF!</definedName>
    <definedName name="K230_" localSheetId="11">#REF!</definedName>
    <definedName name="K230_" localSheetId="8">#REF!</definedName>
    <definedName name="K230_" localSheetId="9">#REF!</definedName>
    <definedName name="K230_" localSheetId="10">#REF!</definedName>
    <definedName name="K230_">#REF!</definedName>
    <definedName name="K231_" localSheetId="12">#REF!</definedName>
    <definedName name="K231_" localSheetId="11">#REF!</definedName>
    <definedName name="K231_" localSheetId="8">#REF!</definedName>
    <definedName name="K231_" localSheetId="9">#REF!</definedName>
    <definedName name="K231_" localSheetId="10">#REF!</definedName>
    <definedName name="K231_">#REF!</definedName>
    <definedName name="K232_" localSheetId="12">#REF!</definedName>
    <definedName name="K232_" localSheetId="11">#REF!</definedName>
    <definedName name="K232_" localSheetId="8">#REF!</definedName>
    <definedName name="K232_" localSheetId="9">#REF!</definedName>
    <definedName name="K232_" localSheetId="10">#REF!</definedName>
    <definedName name="K232_">#REF!</definedName>
    <definedName name="K233_" localSheetId="12">#REF!</definedName>
    <definedName name="K233_" localSheetId="11">#REF!</definedName>
    <definedName name="K233_" localSheetId="8">#REF!</definedName>
    <definedName name="K233_" localSheetId="9">#REF!</definedName>
    <definedName name="K233_" localSheetId="10">#REF!</definedName>
    <definedName name="K233_">#REF!</definedName>
    <definedName name="K234_" localSheetId="12">#REF!</definedName>
    <definedName name="K234_" localSheetId="11">#REF!</definedName>
    <definedName name="K234_" localSheetId="8">#REF!</definedName>
    <definedName name="K234_" localSheetId="9">#REF!</definedName>
    <definedName name="K234_" localSheetId="10">#REF!</definedName>
    <definedName name="K234_">#REF!</definedName>
    <definedName name="K235_" localSheetId="12">#REF!</definedName>
    <definedName name="K235_" localSheetId="11">#REF!</definedName>
    <definedName name="K235_" localSheetId="8">#REF!</definedName>
    <definedName name="K235_" localSheetId="9">#REF!</definedName>
    <definedName name="K235_" localSheetId="10">#REF!</definedName>
    <definedName name="K235_">#REF!</definedName>
    <definedName name="K236_" localSheetId="12">#REF!</definedName>
    <definedName name="K236_" localSheetId="11">#REF!</definedName>
    <definedName name="K236_" localSheetId="8">#REF!</definedName>
    <definedName name="K236_" localSheetId="9">#REF!</definedName>
    <definedName name="K236_" localSheetId="10">#REF!</definedName>
    <definedName name="K236_">#REF!</definedName>
    <definedName name="K240_" localSheetId="12">#REF!</definedName>
    <definedName name="K240_" localSheetId="11">#REF!</definedName>
    <definedName name="K240_" localSheetId="8">#REF!</definedName>
    <definedName name="K240_" localSheetId="9">#REF!</definedName>
    <definedName name="K240_" localSheetId="10">#REF!</definedName>
    <definedName name="K240_">#REF!</definedName>
    <definedName name="K241_" localSheetId="12">#REF!</definedName>
    <definedName name="K241_" localSheetId="11">#REF!</definedName>
    <definedName name="K241_" localSheetId="8">#REF!</definedName>
    <definedName name="K241_" localSheetId="9">#REF!</definedName>
    <definedName name="K241_" localSheetId="10">#REF!</definedName>
    <definedName name="K241_">#REF!</definedName>
    <definedName name="K242_" localSheetId="12">#REF!</definedName>
    <definedName name="K242_" localSheetId="11">#REF!</definedName>
    <definedName name="K242_" localSheetId="8">#REF!</definedName>
    <definedName name="K242_" localSheetId="9">#REF!</definedName>
    <definedName name="K242_" localSheetId="10">#REF!</definedName>
    <definedName name="K242_">#REF!</definedName>
    <definedName name="K243_" localSheetId="12">#REF!</definedName>
    <definedName name="K243_" localSheetId="11">#REF!</definedName>
    <definedName name="K243_" localSheetId="8">#REF!</definedName>
    <definedName name="K243_" localSheetId="9">#REF!</definedName>
    <definedName name="K243_" localSheetId="10">#REF!</definedName>
    <definedName name="K243_">#REF!</definedName>
    <definedName name="K250_" localSheetId="12">#REF!</definedName>
    <definedName name="K250_" localSheetId="11">#REF!</definedName>
    <definedName name="K250_" localSheetId="8">#REF!</definedName>
    <definedName name="K250_" localSheetId="9">#REF!</definedName>
    <definedName name="K250_" localSheetId="10">#REF!</definedName>
    <definedName name="K250_">#REF!</definedName>
    <definedName name="K251_" localSheetId="12">#REF!</definedName>
    <definedName name="K251_" localSheetId="11">#REF!</definedName>
    <definedName name="K251_" localSheetId="8">#REF!</definedName>
    <definedName name="K251_" localSheetId="9">#REF!</definedName>
    <definedName name="K251_" localSheetId="10">#REF!</definedName>
    <definedName name="K251_">#REF!</definedName>
    <definedName name="K252_" localSheetId="12">#REF!</definedName>
    <definedName name="K252_" localSheetId="11">#REF!</definedName>
    <definedName name="K252_" localSheetId="8">#REF!</definedName>
    <definedName name="K252_" localSheetId="9">#REF!</definedName>
    <definedName name="K252_" localSheetId="10">#REF!</definedName>
    <definedName name="K252_">#REF!</definedName>
    <definedName name="K253_" localSheetId="12">#REF!</definedName>
    <definedName name="K253_" localSheetId="11">#REF!</definedName>
    <definedName name="K253_" localSheetId="8">#REF!</definedName>
    <definedName name="K253_" localSheetId="9">#REF!</definedName>
    <definedName name="K253_" localSheetId="10">#REF!</definedName>
    <definedName name="K253_">#REF!</definedName>
    <definedName name="K254_" localSheetId="12">#REF!</definedName>
    <definedName name="K254_" localSheetId="11">#REF!</definedName>
    <definedName name="K254_" localSheetId="8">#REF!</definedName>
    <definedName name="K254_" localSheetId="9">#REF!</definedName>
    <definedName name="K254_" localSheetId="10">#REF!</definedName>
    <definedName name="K254_">#REF!</definedName>
    <definedName name="K260_" localSheetId="12">#REF!</definedName>
    <definedName name="K260_" localSheetId="11">#REF!</definedName>
    <definedName name="K260_" localSheetId="8">#REF!</definedName>
    <definedName name="K260_" localSheetId="9">#REF!</definedName>
    <definedName name="K260_" localSheetId="10">#REF!</definedName>
    <definedName name="K260_">#REF!</definedName>
    <definedName name="K290_" localSheetId="12">#REF!</definedName>
    <definedName name="K290_" localSheetId="11">#REF!</definedName>
    <definedName name="K290_" localSheetId="8">#REF!</definedName>
    <definedName name="K290_" localSheetId="9">#REF!</definedName>
    <definedName name="K290_" localSheetId="10">#REF!</definedName>
    <definedName name="K290_">#REF!</definedName>
    <definedName name="K310_" localSheetId="12">#REF!</definedName>
    <definedName name="K310_" localSheetId="11">#REF!</definedName>
    <definedName name="K310_" localSheetId="8">#REF!</definedName>
    <definedName name="K310_" localSheetId="9">#REF!</definedName>
    <definedName name="K310_" localSheetId="10">#REF!</definedName>
    <definedName name="K310_">#REF!</definedName>
    <definedName name="K320_" localSheetId="12">#REF!</definedName>
    <definedName name="K320_" localSheetId="11">#REF!</definedName>
    <definedName name="K320_" localSheetId="8">#REF!</definedName>
    <definedName name="K320_" localSheetId="9">#REF!</definedName>
    <definedName name="K320_" localSheetId="10">#REF!</definedName>
    <definedName name="K320_">#REF!</definedName>
    <definedName name="K390_" localSheetId="12">#REF!</definedName>
    <definedName name="K390_" localSheetId="11">#REF!</definedName>
    <definedName name="K390_" localSheetId="8">#REF!</definedName>
    <definedName name="K390_" localSheetId="9">#REF!</definedName>
    <definedName name="K390_" localSheetId="10">#REF!</definedName>
    <definedName name="K390_">#REF!</definedName>
    <definedName name="K399_" localSheetId="12">#REF!</definedName>
    <definedName name="K399_" localSheetId="11">#REF!</definedName>
    <definedName name="K399_" localSheetId="8">#REF!</definedName>
    <definedName name="K399_" localSheetId="9">#REF!</definedName>
    <definedName name="K399_" localSheetId="10">#REF!</definedName>
    <definedName name="K399_">#REF!</definedName>
    <definedName name="K410_" localSheetId="12">#REF!</definedName>
    <definedName name="K410_" localSheetId="11">#REF!</definedName>
    <definedName name="K410_" localSheetId="8">#REF!</definedName>
    <definedName name="K410_" localSheetId="9">#REF!</definedName>
    <definedName name="K410_" localSheetId="10">#REF!</definedName>
    <definedName name="K410_">#REF!</definedName>
    <definedName name="K420_" localSheetId="12">#REF!</definedName>
    <definedName name="K420_" localSheetId="11">#REF!</definedName>
    <definedName name="K420_" localSheetId="8">#REF!</definedName>
    <definedName name="K420_" localSheetId="9">#REF!</definedName>
    <definedName name="K420_" localSheetId="10">#REF!</definedName>
    <definedName name="K420_">#REF!</definedName>
    <definedName name="K430_" localSheetId="12">#REF!</definedName>
    <definedName name="K430_" localSheetId="11">#REF!</definedName>
    <definedName name="K430_" localSheetId="8">#REF!</definedName>
    <definedName name="K430_" localSheetId="9">#REF!</definedName>
    <definedName name="K430_" localSheetId="10">#REF!</definedName>
    <definedName name="K430_">#REF!</definedName>
    <definedName name="K431_" localSheetId="12">#REF!</definedName>
    <definedName name="K431_" localSheetId="11">#REF!</definedName>
    <definedName name="K431_" localSheetId="8">#REF!</definedName>
    <definedName name="K431_" localSheetId="9">#REF!</definedName>
    <definedName name="K431_" localSheetId="10">#REF!</definedName>
    <definedName name="K431_">#REF!</definedName>
    <definedName name="K432_" localSheetId="12">#REF!</definedName>
    <definedName name="K432_" localSheetId="11">#REF!</definedName>
    <definedName name="K432_" localSheetId="8">#REF!</definedName>
    <definedName name="K432_" localSheetId="9">#REF!</definedName>
    <definedName name="K432_" localSheetId="10">#REF!</definedName>
    <definedName name="K432_">#REF!</definedName>
    <definedName name="K440_" localSheetId="12">#REF!</definedName>
    <definedName name="K440_" localSheetId="11">#REF!</definedName>
    <definedName name="K440_" localSheetId="8">#REF!</definedName>
    <definedName name="K440_" localSheetId="9">#REF!</definedName>
    <definedName name="K440_" localSheetId="10">#REF!</definedName>
    <definedName name="K440_">#REF!</definedName>
    <definedName name="K450_" localSheetId="12">#REF!</definedName>
    <definedName name="K450_" localSheetId="11">#REF!</definedName>
    <definedName name="K450_" localSheetId="8">#REF!</definedName>
    <definedName name="K450_" localSheetId="9">#REF!</definedName>
    <definedName name="K450_" localSheetId="10">#REF!</definedName>
    <definedName name="K450_">#REF!</definedName>
    <definedName name="K460_" localSheetId="12">#REF!</definedName>
    <definedName name="K460_" localSheetId="11">#REF!</definedName>
    <definedName name="K460_" localSheetId="8">#REF!</definedName>
    <definedName name="K460_" localSheetId="9">#REF!</definedName>
    <definedName name="K460_" localSheetId="10">#REF!</definedName>
    <definedName name="K460_">#REF!</definedName>
    <definedName name="K470_" localSheetId="12">#REF!</definedName>
    <definedName name="K470_" localSheetId="11">#REF!</definedName>
    <definedName name="K470_" localSheetId="8">#REF!</definedName>
    <definedName name="K470_" localSheetId="9">#REF!</definedName>
    <definedName name="K470_" localSheetId="10">#REF!</definedName>
    <definedName name="K470_">#REF!</definedName>
    <definedName name="K480_" localSheetId="12">#REF!</definedName>
    <definedName name="K480_" localSheetId="11">#REF!</definedName>
    <definedName name="K480_" localSheetId="8">#REF!</definedName>
    <definedName name="K480_" localSheetId="9">#REF!</definedName>
    <definedName name="K480_" localSheetId="10">#REF!</definedName>
    <definedName name="K480_">#REF!</definedName>
    <definedName name="K490_" localSheetId="12">#REF!</definedName>
    <definedName name="K490_" localSheetId="11">#REF!</definedName>
    <definedName name="K490_" localSheetId="8">#REF!</definedName>
    <definedName name="K490_" localSheetId="9">#REF!</definedName>
    <definedName name="K490_" localSheetId="10">#REF!</definedName>
    <definedName name="K490_">#REF!</definedName>
    <definedName name="K510_" localSheetId="12">#REF!</definedName>
    <definedName name="K510_" localSheetId="11">#REF!</definedName>
    <definedName name="K510_" localSheetId="8">#REF!</definedName>
    <definedName name="K510_" localSheetId="9">#REF!</definedName>
    <definedName name="K510_" localSheetId="10">#REF!</definedName>
    <definedName name="K510_">#REF!</definedName>
    <definedName name="K511_" localSheetId="12">#REF!</definedName>
    <definedName name="K511_" localSheetId="11">#REF!</definedName>
    <definedName name="K511_" localSheetId="8">#REF!</definedName>
    <definedName name="K511_" localSheetId="9">#REF!</definedName>
    <definedName name="K511_" localSheetId="10">#REF!</definedName>
    <definedName name="K511_">#REF!</definedName>
    <definedName name="K512_" localSheetId="12">#REF!</definedName>
    <definedName name="K512_" localSheetId="11">#REF!</definedName>
    <definedName name="K512_" localSheetId="8">#REF!</definedName>
    <definedName name="K512_" localSheetId="9">#REF!</definedName>
    <definedName name="K512_" localSheetId="10">#REF!</definedName>
    <definedName name="K512_">#REF!</definedName>
    <definedName name="K513_" localSheetId="12">#REF!</definedName>
    <definedName name="K513_" localSheetId="11">#REF!</definedName>
    <definedName name="K513_" localSheetId="8">#REF!</definedName>
    <definedName name="K513_" localSheetId="9">#REF!</definedName>
    <definedName name="K513_" localSheetId="10">#REF!</definedName>
    <definedName name="K513_">#REF!</definedName>
    <definedName name="K590_" localSheetId="12">#REF!</definedName>
    <definedName name="K590_" localSheetId="11">#REF!</definedName>
    <definedName name="K590_" localSheetId="8">#REF!</definedName>
    <definedName name="K590_" localSheetId="9">#REF!</definedName>
    <definedName name="K590_" localSheetId="10">#REF!</definedName>
    <definedName name="K590_">#REF!</definedName>
    <definedName name="K610_" localSheetId="12">#REF!</definedName>
    <definedName name="K610_" localSheetId="11">#REF!</definedName>
    <definedName name="K610_" localSheetId="8">#REF!</definedName>
    <definedName name="K610_" localSheetId="9">#REF!</definedName>
    <definedName name="K610_" localSheetId="10">#REF!</definedName>
    <definedName name="K610_">#REF!</definedName>
    <definedName name="K611_" localSheetId="12">#REF!</definedName>
    <definedName name="K611_" localSheetId="11">#REF!</definedName>
    <definedName name="K611_" localSheetId="8">#REF!</definedName>
    <definedName name="K611_" localSheetId="9">#REF!</definedName>
    <definedName name="K611_" localSheetId="10">#REF!</definedName>
    <definedName name="K611_">#REF!</definedName>
    <definedName name="K612_" localSheetId="12">#REF!</definedName>
    <definedName name="K612_" localSheetId="11">#REF!</definedName>
    <definedName name="K612_" localSheetId="8">#REF!</definedName>
    <definedName name="K612_" localSheetId="9">#REF!</definedName>
    <definedName name="K612_" localSheetId="10">#REF!</definedName>
    <definedName name="K612_">#REF!</definedName>
    <definedName name="K620_" localSheetId="12">#REF!</definedName>
    <definedName name="K620_" localSheetId="11">#REF!</definedName>
    <definedName name="K620_" localSheetId="8">#REF!</definedName>
    <definedName name="K620_" localSheetId="9">#REF!</definedName>
    <definedName name="K620_" localSheetId="10">#REF!</definedName>
    <definedName name="K620_">#REF!</definedName>
    <definedName name="K621_" localSheetId="12">#REF!</definedName>
    <definedName name="K621_" localSheetId="11">#REF!</definedName>
    <definedName name="K621_" localSheetId="8">#REF!</definedName>
    <definedName name="K621_" localSheetId="9">#REF!</definedName>
    <definedName name="K621_" localSheetId="10">#REF!</definedName>
    <definedName name="K621_">#REF!</definedName>
    <definedName name="K622_" localSheetId="12">#REF!</definedName>
    <definedName name="K622_" localSheetId="11">#REF!</definedName>
    <definedName name="K622_" localSheetId="8">#REF!</definedName>
    <definedName name="K622_" localSheetId="9">#REF!</definedName>
    <definedName name="K622_" localSheetId="10">#REF!</definedName>
    <definedName name="K622_">#REF!</definedName>
    <definedName name="K623_" localSheetId="12">#REF!</definedName>
    <definedName name="K623_" localSheetId="11">#REF!</definedName>
    <definedName name="K623_" localSheetId="8">#REF!</definedName>
    <definedName name="K623_" localSheetId="9">#REF!</definedName>
    <definedName name="K623_" localSheetId="10">#REF!</definedName>
    <definedName name="K623_">#REF!</definedName>
    <definedName name="K624_" localSheetId="12">#REF!</definedName>
    <definedName name="K624_" localSheetId="11">#REF!</definedName>
    <definedName name="K624_" localSheetId="8">#REF!</definedName>
    <definedName name="K624_" localSheetId="9">#REF!</definedName>
    <definedName name="K624_" localSheetId="10">#REF!</definedName>
    <definedName name="K624_">#REF!</definedName>
    <definedName name="K625_" localSheetId="12">#REF!</definedName>
    <definedName name="K625_" localSheetId="11">#REF!</definedName>
    <definedName name="K625_" localSheetId="8">#REF!</definedName>
    <definedName name="K625_" localSheetId="9">#REF!</definedName>
    <definedName name="K625_" localSheetId="10">#REF!</definedName>
    <definedName name="K625_">#REF!</definedName>
    <definedName name="K626_" localSheetId="12">#REF!</definedName>
    <definedName name="K626_" localSheetId="11">#REF!</definedName>
    <definedName name="K626_" localSheetId="8">#REF!</definedName>
    <definedName name="K626_" localSheetId="9">#REF!</definedName>
    <definedName name="K626_" localSheetId="10">#REF!</definedName>
    <definedName name="K626_">#REF!</definedName>
    <definedName name="K627_" localSheetId="12">#REF!</definedName>
    <definedName name="K627_" localSheetId="11">#REF!</definedName>
    <definedName name="K627_" localSheetId="8">#REF!</definedName>
    <definedName name="K627_" localSheetId="9">#REF!</definedName>
    <definedName name="K627_" localSheetId="10">#REF!</definedName>
    <definedName name="K627_">#REF!</definedName>
    <definedName name="K628_" localSheetId="12">#REF!</definedName>
    <definedName name="K628_" localSheetId="11">#REF!</definedName>
    <definedName name="K628_" localSheetId="8">#REF!</definedName>
    <definedName name="K628_" localSheetId="9">#REF!</definedName>
    <definedName name="K628_" localSheetId="10">#REF!</definedName>
    <definedName name="K628_">#REF!</definedName>
    <definedName name="K630_" localSheetId="12">#REF!</definedName>
    <definedName name="K630_" localSheetId="11">#REF!</definedName>
    <definedName name="K630_" localSheetId="8">#REF!</definedName>
    <definedName name="K630_" localSheetId="9">#REF!</definedName>
    <definedName name="K630_" localSheetId="10">#REF!</definedName>
    <definedName name="K630_">#REF!</definedName>
    <definedName name="K640_" localSheetId="12">#REF!</definedName>
    <definedName name="K640_" localSheetId="11">#REF!</definedName>
    <definedName name="K640_" localSheetId="8">#REF!</definedName>
    <definedName name="K640_" localSheetId="9">#REF!</definedName>
    <definedName name="K640_" localSheetId="10">#REF!</definedName>
    <definedName name="K640_">#REF!</definedName>
    <definedName name="K650_" localSheetId="12">#REF!</definedName>
    <definedName name="K650_" localSheetId="11">#REF!</definedName>
    <definedName name="K650_" localSheetId="8">#REF!</definedName>
    <definedName name="K650_" localSheetId="9">#REF!</definedName>
    <definedName name="K650_" localSheetId="10">#REF!</definedName>
    <definedName name="K650_">#REF!</definedName>
    <definedName name="K660_" localSheetId="12">#REF!</definedName>
    <definedName name="K660_" localSheetId="11">#REF!</definedName>
    <definedName name="K660_" localSheetId="8">#REF!</definedName>
    <definedName name="K660_" localSheetId="9">#REF!</definedName>
    <definedName name="K660_" localSheetId="10">#REF!</definedName>
    <definedName name="K660_">#REF!</definedName>
    <definedName name="K670_" localSheetId="12">#REF!</definedName>
    <definedName name="K670_" localSheetId="11">#REF!</definedName>
    <definedName name="K670_" localSheetId="8">#REF!</definedName>
    <definedName name="K670_" localSheetId="9">#REF!</definedName>
    <definedName name="K670_" localSheetId="10">#REF!</definedName>
    <definedName name="K670_">#REF!</definedName>
    <definedName name="K690_" localSheetId="12">#REF!</definedName>
    <definedName name="K690_" localSheetId="11">#REF!</definedName>
    <definedName name="K690_" localSheetId="8">#REF!</definedName>
    <definedName name="K690_" localSheetId="9">#REF!</definedName>
    <definedName name="K690_" localSheetId="10">#REF!</definedName>
    <definedName name="K690_">#REF!</definedName>
    <definedName name="K699_" localSheetId="12">#REF!</definedName>
    <definedName name="K699_" localSheetId="11">#REF!</definedName>
    <definedName name="K699_" localSheetId="8">#REF!</definedName>
    <definedName name="K699_" localSheetId="9">#REF!</definedName>
    <definedName name="K699_" localSheetId="10">#REF!</definedName>
    <definedName name="K699_">#REF!</definedName>
    <definedName name="kb">'[18]Продажи реальные и прогноз 20 л'!$G$47</definedName>
    <definedName name="Kdr">'[79]К-ты'!$G$9</definedName>
    <definedName name="Kgaz">'[79]К-ты'!$D$9</definedName>
    <definedName name="khkhjkh" localSheetId="15">#REF!</definedName>
    <definedName name="khkhjkh" localSheetId="12">#REF!</definedName>
    <definedName name="khkhjkh" localSheetId="11">#REF!</definedName>
    <definedName name="khkhjkh" localSheetId="8">#REF!</definedName>
    <definedName name="khkhjkh" localSheetId="9">#REF!</definedName>
    <definedName name="khkhjkh" localSheetId="10">#REF!</definedName>
    <definedName name="khkhjkh" localSheetId="6">#REF!</definedName>
    <definedName name="khkhjkh" localSheetId="5">#REF!</definedName>
    <definedName name="khkhjkh" localSheetId="4">#REF!</definedName>
    <definedName name="khkhjkh">#REF!</definedName>
    <definedName name="kl">'[21]0_33'!$G$43</definedName>
    <definedName name="klk">'[10]BCS APP CR'!$G$24</definedName>
    <definedName name="Kmaz">'[79]К-ты'!$E$9</definedName>
    <definedName name="knkn.n." localSheetId="15">[7]!knkn.n.</definedName>
    <definedName name="knkn.n." localSheetId="11">#N/A</definedName>
    <definedName name="knkn.n." localSheetId="8">#N/A</definedName>
    <definedName name="knkn.n." localSheetId="9">#N/A</definedName>
    <definedName name="knkn.n." localSheetId="6">#N/A</definedName>
    <definedName name="knkn.n." localSheetId="5">#N/A</definedName>
    <definedName name="knkn.n." localSheetId="4">#N/A</definedName>
    <definedName name="knkn.n.">#N/A</definedName>
    <definedName name="Kug">'[79]К-ты'!$F$9</definedName>
    <definedName name="kurg_pen" localSheetId="15">'[23]Input-Moscow'!#REF!</definedName>
    <definedName name="kurg_pen" localSheetId="2">'[23]Input-Moscow'!#REF!</definedName>
    <definedName name="kurg_pen" localSheetId="3">'[23]Input-Moscow'!#REF!</definedName>
    <definedName name="kurg_pen" localSheetId="12">'[23]Input-Moscow'!#REF!</definedName>
    <definedName name="kurg_pen" localSheetId="11">'[23]Input-Moscow'!#REF!</definedName>
    <definedName name="kurg_pen" localSheetId="8">'[23]Input-Moscow'!#REF!</definedName>
    <definedName name="kurg_pen" localSheetId="9">'[23]Input-Moscow'!#REF!</definedName>
    <definedName name="kurg_pen" localSheetId="10">'[23]Input-Moscow'!#REF!</definedName>
    <definedName name="kurg_pen" localSheetId="6">'[23]Input-Moscow'!#REF!</definedName>
    <definedName name="kurg_pen" localSheetId="5">'[23]Input-Moscow'!#REF!</definedName>
    <definedName name="kurg_pen" localSheetId="4">'[23]Input-Moscow'!#REF!</definedName>
    <definedName name="kurg_pen">'[23]Input-Moscow'!#REF!</definedName>
    <definedName name="Language">[78]Лист1!$C$407</definedName>
    <definedName name="LocalNetDebt" localSheetId="15">'[19]Dairy Precedents'!#REF!</definedName>
    <definedName name="LocalNetDebt" localSheetId="2">'[19]Dairy Precedents'!#REF!</definedName>
    <definedName name="LocalNetDebt" localSheetId="3">'[19]Dairy Precedents'!#REF!</definedName>
    <definedName name="LocalNetDebt" localSheetId="12">'[19]Dairy Precedents'!#REF!</definedName>
    <definedName name="LocalNetDebt" localSheetId="11">'[19]Dairy Precedents'!#REF!</definedName>
    <definedName name="LocalNetDebt" localSheetId="8">'[19]Dairy Precedents'!#REF!</definedName>
    <definedName name="LocalNetDebt" localSheetId="9">'[19]Dairy Precedents'!#REF!</definedName>
    <definedName name="LocalNetDebt" localSheetId="10">'[19]Dairy Precedents'!#REF!</definedName>
    <definedName name="LocalNetDebt" localSheetId="6">'[19]Dairy Precedents'!#REF!</definedName>
    <definedName name="LocalNetDebt" localSheetId="5">'[19]Dairy Precedents'!#REF!</definedName>
    <definedName name="LocalNetDebt" localSheetId="4">'[19]Dairy Precedents'!#REF!</definedName>
    <definedName name="LocalNetDebt">'[19]Dairy Precedents'!#REF!</definedName>
    <definedName name="LocalNetIncome" localSheetId="15">'[19]Dairy Precedents'!#REF!</definedName>
    <definedName name="LocalNetIncome" localSheetId="12">'[19]Dairy Precedents'!#REF!</definedName>
    <definedName name="LocalNetIncome" localSheetId="11">'[19]Dairy Precedents'!#REF!</definedName>
    <definedName name="LocalNetIncome" localSheetId="8">'[19]Dairy Precedents'!#REF!</definedName>
    <definedName name="LocalNetIncome" localSheetId="9">'[19]Dairy Precedents'!#REF!</definedName>
    <definedName name="LocalNetIncome" localSheetId="10">'[19]Dairy Precedents'!#REF!</definedName>
    <definedName name="LocalNetIncome" localSheetId="6">'[19]Dairy Precedents'!#REF!</definedName>
    <definedName name="LocalNetIncome" localSheetId="5">'[19]Dairy Precedents'!#REF!</definedName>
    <definedName name="LocalNetIncome" localSheetId="4">'[19]Dairy Precedents'!#REF!</definedName>
    <definedName name="LocalNetIncome">'[19]Dairy Precedents'!#REF!</definedName>
    <definedName name="LocalSales" localSheetId="15">'[19]Dairy Precedents'!#REF!</definedName>
    <definedName name="LocalSales" localSheetId="12">'[19]Dairy Precedents'!#REF!</definedName>
    <definedName name="LocalSales" localSheetId="11">'[19]Dairy Precedents'!#REF!</definedName>
    <definedName name="LocalSales" localSheetId="8">'[19]Dairy Precedents'!#REF!</definedName>
    <definedName name="LocalSales" localSheetId="9">'[19]Dairy Precedents'!#REF!</definedName>
    <definedName name="LocalSales" localSheetId="10">'[19]Dairy Precedents'!#REF!</definedName>
    <definedName name="LocalSales">'[19]Dairy Precedents'!#REF!</definedName>
    <definedName name="Ltitle" localSheetId="15">#REF!</definedName>
    <definedName name="Ltitle" localSheetId="12">#REF!</definedName>
    <definedName name="Ltitle" localSheetId="11">#REF!</definedName>
    <definedName name="Ltitle" localSheetId="8">#REF!</definedName>
    <definedName name="Ltitle" localSheetId="9">#REF!</definedName>
    <definedName name="Ltitle" localSheetId="10">#REF!</definedName>
    <definedName name="Ltitle" localSheetId="6">#REF!</definedName>
    <definedName name="Ltitle" localSheetId="5">#REF!</definedName>
    <definedName name="Ltitle" localSheetId="4">#REF!</definedName>
    <definedName name="Ltitle">#REF!</definedName>
    <definedName name="m">[80]Anlagevermögen!$A$1:$Z$29</definedName>
    <definedName name="m_PERIOD_NAME" hidden="1">[81]XLR_NoRangeSheet!$C$6</definedName>
    <definedName name="material" localSheetId="15">#REF!</definedName>
    <definedName name="material" localSheetId="12">#REF!</definedName>
    <definedName name="material" localSheetId="11">#REF!</definedName>
    <definedName name="material" localSheetId="8">#REF!</definedName>
    <definedName name="material" localSheetId="9">#REF!</definedName>
    <definedName name="material" localSheetId="10">#REF!</definedName>
    <definedName name="material" localSheetId="6">#REF!</definedName>
    <definedName name="material" localSheetId="5">#REF!</definedName>
    <definedName name="material" localSheetId="4">#REF!</definedName>
    <definedName name="material">#REF!</definedName>
    <definedName name="MET_GROUP" localSheetId="15">[34]TSheet!$X$2:$X$3</definedName>
    <definedName name="MET_GROUP" localSheetId="2">[35]TSheet!$X$2:$X$3</definedName>
    <definedName name="MET_GROUP" localSheetId="3">[35]TSheet!$X$2:$X$3</definedName>
    <definedName name="MET_GROUP" localSheetId="11">[36]TSheet!$X$2:$X$3</definedName>
    <definedName name="MET_GROUP" localSheetId="8">[36]TSheet!$X$2:$X$3</definedName>
    <definedName name="MET_GROUP" localSheetId="9">[36]TSheet!$X$2:$X$3</definedName>
    <definedName name="MET_GROUP" localSheetId="10">[37]TSheet!$X$2:$X$3</definedName>
    <definedName name="MET_GROUP" localSheetId="6">[37]TSheet!$X$2:$X$3</definedName>
    <definedName name="MET_GROUP" localSheetId="5">[37]TSheet!$X$2:$X$3</definedName>
    <definedName name="MET_GROUP" localSheetId="4">[38]TSheet!$X$2:$X$3</definedName>
    <definedName name="MET_GROUP">[35]TSheet!$X$2:$X$3</definedName>
    <definedName name="METHOD" localSheetId="2">[82]TSheet!$L$2:$L$5</definedName>
    <definedName name="METHOD" localSheetId="5">[82]TSheet!$L$2:$L$5</definedName>
    <definedName name="METHOD">[83]TSheet!$L$2:$L$5</definedName>
    <definedName name="mi_re_end01">[39]УрРасч!$H$31,[39]УрРасч!$H$29</definedName>
    <definedName name="mincash" localSheetId="15">#REF!</definedName>
    <definedName name="mincash" localSheetId="12">#REF!</definedName>
    <definedName name="mincash" localSheetId="11">#REF!</definedName>
    <definedName name="mincash" localSheetId="8">#REF!</definedName>
    <definedName name="mincash" localSheetId="9">#REF!</definedName>
    <definedName name="mincash" localSheetId="10">#REF!</definedName>
    <definedName name="mincash" localSheetId="6">#REF!</definedName>
    <definedName name="mincash" localSheetId="5">#REF!</definedName>
    <definedName name="mincash" localSheetId="4">#REF!</definedName>
    <definedName name="mincash">#REF!</definedName>
    <definedName name="mmm" localSheetId="15" hidden="1">{#N/A,#N/A,FALSE,"Себестоимсть-97"}</definedName>
    <definedName name="mmm" localSheetId="2" hidden="1">{#N/A,#N/A,FALSE,"Себестоимсть-97"}</definedName>
    <definedName name="mmm" localSheetId="3" hidden="1">{#N/A,#N/A,FALSE,"Себестоимсть-97"}</definedName>
    <definedName name="mmm" localSheetId="11" hidden="1">{#N/A,#N/A,FALSE,"Себестоимсть-97"}</definedName>
    <definedName name="mmm" localSheetId="8" hidden="1">{#N/A,#N/A,FALSE,"Себестоимсть-97"}</definedName>
    <definedName name="mmm" localSheetId="9" hidden="1">{#N/A,#N/A,FALSE,"Себестоимсть-97"}</definedName>
    <definedName name="mmm" localSheetId="10" hidden="1">{#N/A,#N/A,FALSE,"Себестоимсть-97"}</definedName>
    <definedName name="mmm" localSheetId="6" hidden="1">{#N/A,#N/A,FALSE,"Себестоимсть-97"}</definedName>
    <definedName name="mmm" localSheetId="5" hidden="1">{#N/A,#N/A,FALSE,"Себестоимсть-97"}</definedName>
    <definedName name="mmm" localSheetId="4" hidden="1">{#N/A,#N/A,FALSE,"Себестоимсть-97"}</definedName>
    <definedName name="mmm" hidden="1">{#N/A,#N/A,FALSE,"Себестоимсть-97"}</definedName>
    <definedName name="mn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15">#REF!</definedName>
    <definedName name="MO" localSheetId="12">#REF!</definedName>
    <definedName name="MO" localSheetId="11">#REF!</definedName>
    <definedName name="MO" localSheetId="8">#REF!</definedName>
    <definedName name="MO" localSheetId="9">#REF!</definedName>
    <definedName name="MO" localSheetId="10">#REF!</definedName>
    <definedName name="MO" localSheetId="6">#REF!</definedName>
    <definedName name="MO" localSheetId="5">#REF!</definedName>
    <definedName name="MO" localSheetId="4">#REF!</definedName>
    <definedName name="MO">#REF!</definedName>
    <definedName name="MO_LIST_2" localSheetId="3">[84]REESTR_MO!$B$2</definedName>
    <definedName name="MO_LIST_2" localSheetId="11">[85]REESTR_MO!$B$2</definedName>
    <definedName name="MO_LIST_2" localSheetId="8">[85]REESTR_MO!$B$2</definedName>
    <definedName name="MO_LIST_2" localSheetId="9">[85]REESTR_MO!$B$2</definedName>
    <definedName name="MO_LIST_2" localSheetId="10">[86]REESTR_MO!$B$2</definedName>
    <definedName name="MO_LIST_2" localSheetId="6">[86]REESTR_MO!$B$2</definedName>
    <definedName name="MO_LIST_2" localSheetId="5">[86]REESTR_MO!$B$2</definedName>
    <definedName name="MO_LIST_2" localSheetId="4">[87]REESTR_MO!$B$2</definedName>
    <definedName name="MO_LIST_2">[85]REESTR_MO!$B$2</definedName>
    <definedName name="mol4602_41" localSheetId="15">#REF!</definedName>
    <definedName name="mol4602_41" localSheetId="12">#REF!</definedName>
    <definedName name="mol4602_41" localSheetId="11">#REF!</definedName>
    <definedName name="mol4602_41" localSheetId="8">#REF!</definedName>
    <definedName name="mol4602_41" localSheetId="9">#REF!</definedName>
    <definedName name="mol4602_41" localSheetId="10">#REF!</definedName>
    <definedName name="mol4602_41" localSheetId="6">#REF!</definedName>
    <definedName name="mol4602_41" localSheetId="5">#REF!</definedName>
    <definedName name="mol4602_41" localSheetId="4">#REF!</definedName>
    <definedName name="mol4602_41">#REF!</definedName>
    <definedName name="mol4604_41" localSheetId="15">#REF!</definedName>
    <definedName name="mol4604_41" localSheetId="12">#REF!</definedName>
    <definedName name="mol4604_41" localSheetId="11">#REF!</definedName>
    <definedName name="mol4604_41" localSheetId="8">#REF!</definedName>
    <definedName name="mol4604_41" localSheetId="9">#REF!</definedName>
    <definedName name="mol4604_41" localSheetId="10">#REF!</definedName>
    <definedName name="mol4604_41">#REF!</definedName>
    <definedName name="month" localSheetId="15">#REF!</definedName>
    <definedName name="month" localSheetId="12">#REF!</definedName>
    <definedName name="month" localSheetId="11">#REF!</definedName>
    <definedName name="month" localSheetId="8">#REF!</definedName>
    <definedName name="month" localSheetId="9">#REF!</definedName>
    <definedName name="month" localSheetId="10">#REF!</definedName>
    <definedName name="month">#REF!</definedName>
    <definedName name="MONTH_PERIOD" localSheetId="3">[52]Титульный!$F$24</definedName>
    <definedName name="MONTH_PERIOD" localSheetId="11">[36]Титульный!$F$24</definedName>
    <definedName name="MONTH_PERIOD" localSheetId="8">[36]Титульный!$F$24</definedName>
    <definedName name="MONTH_PERIOD" localSheetId="9">[36]Титульный!$F$24</definedName>
    <definedName name="MONTH_PERIOD" localSheetId="10">[37]Титульный!$F$24</definedName>
    <definedName name="MONTH_PERIOD" localSheetId="6">[37]Титульный!$F$24</definedName>
    <definedName name="MONTH_PERIOD" localSheetId="5">[37]Титульный!$F$24</definedName>
    <definedName name="MONTH_PERIOD" localSheetId="4">[38]Титульный!$F$24</definedName>
    <definedName name="MONTH_PERIOD">[34]Титульный!$F$24</definedName>
    <definedName name="MP" localSheetId="2">#REF!</definedName>
    <definedName name="MP" localSheetId="3">#REF!</definedName>
    <definedName name="MP" localSheetId="12">#REF!</definedName>
    <definedName name="MP" localSheetId="11">#REF!</definedName>
    <definedName name="MP" localSheetId="6">#REF!</definedName>
    <definedName name="MP" localSheetId="5">#REF!</definedName>
    <definedName name="MP" localSheetId="4">#REF!</definedName>
    <definedName name="MP">#REF!</definedName>
    <definedName name="MR" localSheetId="12">#REF!</definedName>
    <definedName name="MR" localSheetId="11">#REF!</definedName>
    <definedName name="MR">#REF!</definedName>
    <definedName name="MR_LIST" localSheetId="3">[84]REESTR_MO!$D$2</definedName>
    <definedName name="MR_LIST" localSheetId="11">[85]REESTR_MO!$D$2</definedName>
    <definedName name="MR_LIST" localSheetId="8">[85]REESTR_MO!$D$2</definedName>
    <definedName name="MR_LIST" localSheetId="9">[85]REESTR_MO!$D$2</definedName>
    <definedName name="MR_LIST" localSheetId="10">[86]REESTR_MO!$D$2</definedName>
    <definedName name="MR_LIST" localSheetId="6">[86]REESTR_MO!$D$2</definedName>
    <definedName name="MR_LIST" localSheetId="5">[86]REESTR_MO!$D$2</definedName>
    <definedName name="MR_LIST" localSheetId="4">[87]REESTR_MO!$D$2</definedName>
    <definedName name="MR_LIST">[85]REESTR_MO!$D$2</definedName>
    <definedName name="Mth_Count_0" localSheetId="15">[34]TSheet!$J$3</definedName>
    <definedName name="Mth_Count_0" localSheetId="2">[35]TSheet!$J$3</definedName>
    <definedName name="Mth_Count_0" localSheetId="3">[35]TSheet!$J$3</definedName>
    <definedName name="Mth_Count_0" localSheetId="11">[88]TSheet!$J$3</definedName>
    <definedName name="Mth_Count_0" localSheetId="8">[88]TSheet!$J$3</definedName>
    <definedName name="Mth_Count_0" localSheetId="9">[88]TSheet!$J$3</definedName>
    <definedName name="Mth_Count_0" localSheetId="10">[37]TSheet!$J$3</definedName>
    <definedName name="Mth_Count_0" localSheetId="6">[37]TSheet!$J$3</definedName>
    <definedName name="Mth_Count_0" localSheetId="5">[37]TSheet!$J$3</definedName>
    <definedName name="Mth_Count_0" localSheetId="4">[38]TSheet!$J$3</definedName>
    <definedName name="Mth_Count_0">[35]TSheet!$J$3</definedName>
    <definedName name="mult_sen" localSheetId="15">#REF!</definedName>
    <definedName name="mult_sen" localSheetId="12">#REF!</definedName>
    <definedName name="mult_sen" localSheetId="11">#REF!</definedName>
    <definedName name="mult_sen" localSheetId="8">#REF!</definedName>
    <definedName name="mult_sen" localSheetId="9">#REF!</definedName>
    <definedName name="mult_sen" localSheetId="10">#REF!</definedName>
    <definedName name="mult_sen" localSheetId="6">#REF!</definedName>
    <definedName name="mult_sen" localSheetId="5">#REF!</definedName>
    <definedName name="mult_sen" localSheetId="4">#REF!</definedName>
    <definedName name="mult_sen">#REF!</definedName>
    <definedName name="n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15">#REF!</definedName>
    <definedName name="N112_" localSheetId="12">#REF!</definedName>
    <definedName name="N112_" localSheetId="11">#REF!</definedName>
    <definedName name="N112_" localSheetId="8">#REF!</definedName>
    <definedName name="N112_" localSheetId="9">#REF!</definedName>
    <definedName name="N112_" localSheetId="10">#REF!</definedName>
    <definedName name="N112_" localSheetId="6">#REF!</definedName>
    <definedName name="N112_" localSheetId="5">#REF!</definedName>
    <definedName name="N112_" localSheetId="4">#REF!</definedName>
    <definedName name="N112_">#REF!</definedName>
    <definedName name="N120_" localSheetId="15">#REF!</definedName>
    <definedName name="N120_" localSheetId="12">#REF!</definedName>
    <definedName name="N120_" localSheetId="11">#REF!</definedName>
    <definedName name="N120_" localSheetId="8">#REF!</definedName>
    <definedName name="N120_" localSheetId="9">#REF!</definedName>
    <definedName name="N120_" localSheetId="10">#REF!</definedName>
    <definedName name="N120_">#REF!</definedName>
    <definedName name="N121_" localSheetId="15">#REF!</definedName>
    <definedName name="N121_" localSheetId="12">#REF!</definedName>
    <definedName name="N121_" localSheetId="11">#REF!</definedName>
    <definedName name="N121_" localSheetId="8">#REF!</definedName>
    <definedName name="N121_" localSheetId="9">#REF!</definedName>
    <definedName name="N121_" localSheetId="10">#REF!</definedName>
    <definedName name="N121_">#REF!</definedName>
    <definedName name="N122_" localSheetId="12">#REF!</definedName>
    <definedName name="N122_" localSheetId="11">#REF!</definedName>
    <definedName name="N122_" localSheetId="8">#REF!</definedName>
    <definedName name="N122_" localSheetId="9">#REF!</definedName>
    <definedName name="N122_" localSheetId="10">#REF!</definedName>
    <definedName name="N122_">#REF!</definedName>
    <definedName name="N123_" localSheetId="12">#REF!</definedName>
    <definedName name="N123_" localSheetId="11">#REF!</definedName>
    <definedName name="N123_" localSheetId="8">#REF!</definedName>
    <definedName name="N123_" localSheetId="9">#REF!</definedName>
    <definedName name="N123_" localSheetId="10">#REF!</definedName>
    <definedName name="N123_">#REF!</definedName>
    <definedName name="N130_" localSheetId="12">#REF!</definedName>
    <definedName name="N130_" localSheetId="11">#REF!</definedName>
    <definedName name="N130_" localSheetId="8">#REF!</definedName>
    <definedName name="N130_" localSheetId="9">#REF!</definedName>
    <definedName name="N130_" localSheetId="10">#REF!</definedName>
    <definedName name="N130_">#REF!</definedName>
    <definedName name="N131_" localSheetId="12">#REF!</definedName>
    <definedName name="N131_" localSheetId="11">#REF!</definedName>
    <definedName name="N131_" localSheetId="8">#REF!</definedName>
    <definedName name="N131_" localSheetId="9">#REF!</definedName>
    <definedName name="N131_" localSheetId="10">#REF!</definedName>
    <definedName name="N131_">#REF!</definedName>
    <definedName name="N132_" localSheetId="12">#REF!</definedName>
    <definedName name="N132_" localSheetId="11">#REF!</definedName>
    <definedName name="N132_" localSheetId="8">#REF!</definedName>
    <definedName name="N132_" localSheetId="9">#REF!</definedName>
    <definedName name="N132_" localSheetId="10">#REF!</definedName>
    <definedName name="N132_">#REF!</definedName>
    <definedName name="N133_" localSheetId="12">#REF!</definedName>
    <definedName name="N133_" localSheetId="11">#REF!</definedName>
    <definedName name="N133_" localSheetId="8">#REF!</definedName>
    <definedName name="N133_" localSheetId="9">#REF!</definedName>
    <definedName name="N133_" localSheetId="10">#REF!</definedName>
    <definedName name="N133_">#REF!</definedName>
    <definedName name="N134_" localSheetId="12">#REF!</definedName>
    <definedName name="N134_" localSheetId="11">#REF!</definedName>
    <definedName name="N134_" localSheetId="8">#REF!</definedName>
    <definedName name="N134_" localSheetId="9">#REF!</definedName>
    <definedName name="N134_" localSheetId="10">#REF!</definedName>
    <definedName name="N134_">#REF!</definedName>
    <definedName name="N135_" localSheetId="12">#REF!</definedName>
    <definedName name="N135_" localSheetId="11">#REF!</definedName>
    <definedName name="N135_" localSheetId="8">#REF!</definedName>
    <definedName name="N135_" localSheetId="9">#REF!</definedName>
    <definedName name="N135_" localSheetId="10">#REF!</definedName>
    <definedName name="N135_">#REF!</definedName>
    <definedName name="N136_" localSheetId="12">#REF!</definedName>
    <definedName name="N136_" localSheetId="11">#REF!</definedName>
    <definedName name="N136_" localSheetId="8">#REF!</definedName>
    <definedName name="N136_" localSheetId="9">#REF!</definedName>
    <definedName name="N136_" localSheetId="10">#REF!</definedName>
    <definedName name="N136_">#REF!</definedName>
    <definedName name="N140_" localSheetId="12">#REF!</definedName>
    <definedName name="N140_" localSheetId="11">#REF!</definedName>
    <definedName name="N140_" localSheetId="8">#REF!</definedName>
    <definedName name="N140_" localSheetId="9">#REF!</definedName>
    <definedName name="N140_" localSheetId="10">#REF!</definedName>
    <definedName name="N140_">#REF!</definedName>
    <definedName name="N190_" localSheetId="12">#REF!</definedName>
    <definedName name="N190_" localSheetId="11">#REF!</definedName>
    <definedName name="N190_" localSheetId="8">#REF!</definedName>
    <definedName name="N190_" localSheetId="9">#REF!</definedName>
    <definedName name="N190_" localSheetId="10">#REF!</definedName>
    <definedName name="N190_">#REF!</definedName>
    <definedName name="N210_" localSheetId="12">#REF!</definedName>
    <definedName name="N210_" localSheetId="11">#REF!</definedName>
    <definedName name="N210_" localSheetId="8">#REF!</definedName>
    <definedName name="N210_" localSheetId="9">#REF!</definedName>
    <definedName name="N210_" localSheetId="10">#REF!</definedName>
    <definedName name="N210_">#REF!</definedName>
    <definedName name="N211_" localSheetId="12">#REF!</definedName>
    <definedName name="N211_" localSheetId="11">#REF!</definedName>
    <definedName name="N211_" localSheetId="8">#REF!</definedName>
    <definedName name="N211_" localSheetId="9">#REF!</definedName>
    <definedName name="N211_" localSheetId="10">#REF!</definedName>
    <definedName name="N211_">#REF!</definedName>
    <definedName name="N212_" localSheetId="12">#REF!</definedName>
    <definedName name="N212_" localSheetId="11">#REF!</definedName>
    <definedName name="N212_" localSheetId="8">#REF!</definedName>
    <definedName name="N212_" localSheetId="9">#REF!</definedName>
    <definedName name="N212_" localSheetId="10">#REF!</definedName>
    <definedName name="N212_">#REF!</definedName>
    <definedName name="N213_" localSheetId="12">#REF!</definedName>
    <definedName name="N213_" localSheetId="11">#REF!</definedName>
    <definedName name="N213_" localSheetId="8">#REF!</definedName>
    <definedName name="N213_" localSheetId="9">#REF!</definedName>
    <definedName name="N213_" localSheetId="10">#REF!</definedName>
    <definedName name="N213_">#REF!</definedName>
    <definedName name="N214_" localSheetId="12">#REF!</definedName>
    <definedName name="N214_" localSheetId="11">#REF!</definedName>
    <definedName name="N214_" localSheetId="8">#REF!</definedName>
    <definedName name="N214_" localSheetId="9">#REF!</definedName>
    <definedName name="N214_" localSheetId="10">#REF!</definedName>
    <definedName name="N214_">#REF!</definedName>
    <definedName name="N215_" localSheetId="12">#REF!</definedName>
    <definedName name="N215_" localSheetId="11">#REF!</definedName>
    <definedName name="N215_" localSheetId="8">#REF!</definedName>
    <definedName name="N215_" localSheetId="9">#REF!</definedName>
    <definedName name="N215_" localSheetId="10">#REF!</definedName>
    <definedName name="N215_">#REF!</definedName>
    <definedName name="N216_" localSheetId="12">#REF!</definedName>
    <definedName name="N216_" localSheetId="11">#REF!</definedName>
    <definedName name="N216_" localSheetId="8">#REF!</definedName>
    <definedName name="N216_" localSheetId="9">#REF!</definedName>
    <definedName name="N216_" localSheetId="10">#REF!</definedName>
    <definedName name="N216_">#REF!</definedName>
    <definedName name="N217_" localSheetId="12">#REF!</definedName>
    <definedName name="N217_" localSheetId="11">#REF!</definedName>
    <definedName name="N217_" localSheetId="8">#REF!</definedName>
    <definedName name="N217_" localSheetId="9">#REF!</definedName>
    <definedName name="N217_" localSheetId="10">#REF!</definedName>
    <definedName name="N217_">#REF!</definedName>
    <definedName name="N218_" localSheetId="12">#REF!</definedName>
    <definedName name="N218_" localSheetId="11">#REF!</definedName>
    <definedName name="N218_" localSheetId="8">#REF!</definedName>
    <definedName name="N218_" localSheetId="9">#REF!</definedName>
    <definedName name="N218_" localSheetId="10">#REF!</definedName>
    <definedName name="N218_">#REF!</definedName>
    <definedName name="N220_" localSheetId="12">#REF!</definedName>
    <definedName name="N220_" localSheetId="11">#REF!</definedName>
    <definedName name="N220_" localSheetId="8">#REF!</definedName>
    <definedName name="N220_" localSheetId="9">#REF!</definedName>
    <definedName name="N220_" localSheetId="10">#REF!</definedName>
    <definedName name="N220_">#REF!</definedName>
    <definedName name="N221_" localSheetId="12">#REF!</definedName>
    <definedName name="N221_" localSheetId="11">#REF!</definedName>
    <definedName name="N221_" localSheetId="8">#REF!</definedName>
    <definedName name="N221_" localSheetId="9">#REF!</definedName>
    <definedName name="N221_" localSheetId="10">#REF!</definedName>
    <definedName name="N221_">#REF!</definedName>
    <definedName name="N222_" localSheetId="12">#REF!</definedName>
    <definedName name="N222_" localSheetId="11">#REF!</definedName>
    <definedName name="N222_" localSheetId="8">#REF!</definedName>
    <definedName name="N222_" localSheetId="9">#REF!</definedName>
    <definedName name="N222_" localSheetId="10">#REF!</definedName>
    <definedName name="N222_">#REF!</definedName>
    <definedName name="N223_" localSheetId="12">#REF!</definedName>
    <definedName name="N223_" localSheetId="11">#REF!</definedName>
    <definedName name="N223_" localSheetId="8">#REF!</definedName>
    <definedName name="N223_" localSheetId="9">#REF!</definedName>
    <definedName name="N223_" localSheetId="10">#REF!</definedName>
    <definedName name="N223_">#REF!</definedName>
    <definedName name="N224_" localSheetId="12">#REF!</definedName>
    <definedName name="N224_" localSheetId="11">#REF!</definedName>
    <definedName name="N224_" localSheetId="8">#REF!</definedName>
    <definedName name="N224_" localSheetId="9">#REF!</definedName>
    <definedName name="N224_" localSheetId="10">#REF!</definedName>
    <definedName name="N224_">#REF!</definedName>
    <definedName name="N225_" localSheetId="12">#REF!</definedName>
    <definedName name="N225_" localSheetId="11">#REF!</definedName>
    <definedName name="N225_" localSheetId="8">#REF!</definedName>
    <definedName name="N225_" localSheetId="9">#REF!</definedName>
    <definedName name="N225_" localSheetId="10">#REF!</definedName>
    <definedName name="N225_">#REF!</definedName>
    <definedName name="N226_" localSheetId="12">#REF!</definedName>
    <definedName name="N226_" localSheetId="11">#REF!</definedName>
    <definedName name="N226_" localSheetId="8">#REF!</definedName>
    <definedName name="N226_" localSheetId="9">#REF!</definedName>
    <definedName name="N226_" localSheetId="10">#REF!</definedName>
    <definedName name="N226_">#REF!</definedName>
    <definedName name="N230_" localSheetId="12">#REF!</definedName>
    <definedName name="N230_" localSheetId="11">#REF!</definedName>
    <definedName name="N230_" localSheetId="8">#REF!</definedName>
    <definedName name="N230_" localSheetId="9">#REF!</definedName>
    <definedName name="N230_" localSheetId="10">#REF!</definedName>
    <definedName name="N230_">#REF!</definedName>
    <definedName name="N231_" localSheetId="12">#REF!</definedName>
    <definedName name="N231_" localSheetId="11">#REF!</definedName>
    <definedName name="N231_" localSheetId="8">#REF!</definedName>
    <definedName name="N231_" localSheetId="9">#REF!</definedName>
    <definedName name="N231_" localSheetId="10">#REF!</definedName>
    <definedName name="N231_">#REF!</definedName>
    <definedName name="N232_" localSheetId="12">#REF!</definedName>
    <definedName name="N232_" localSheetId="11">#REF!</definedName>
    <definedName name="N232_" localSheetId="8">#REF!</definedName>
    <definedName name="N232_" localSheetId="9">#REF!</definedName>
    <definedName name="N232_" localSheetId="10">#REF!</definedName>
    <definedName name="N232_">#REF!</definedName>
    <definedName name="N233_" localSheetId="12">#REF!</definedName>
    <definedName name="N233_" localSheetId="11">#REF!</definedName>
    <definedName name="N233_" localSheetId="8">#REF!</definedName>
    <definedName name="N233_" localSheetId="9">#REF!</definedName>
    <definedName name="N233_" localSheetId="10">#REF!</definedName>
    <definedName name="N233_">#REF!</definedName>
    <definedName name="N234_" localSheetId="12">#REF!</definedName>
    <definedName name="N234_" localSheetId="11">#REF!</definedName>
    <definedName name="N234_" localSheetId="8">#REF!</definedName>
    <definedName name="N234_" localSheetId="9">#REF!</definedName>
    <definedName name="N234_" localSheetId="10">#REF!</definedName>
    <definedName name="N234_">#REF!</definedName>
    <definedName name="N235_" localSheetId="12">#REF!</definedName>
    <definedName name="N235_" localSheetId="11">#REF!</definedName>
    <definedName name="N235_" localSheetId="8">#REF!</definedName>
    <definedName name="N235_" localSheetId="9">#REF!</definedName>
    <definedName name="N235_" localSheetId="10">#REF!</definedName>
    <definedName name="N235_">#REF!</definedName>
    <definedName name="N236_" localSheetId="12">#REF!</definedName>
    <definedName name="N236_" localSheetId="11">#REF!</definedName>
    <definedName name="N236_" localSheetId="8">#REF!</definedName>
    <definedName name="N236_" localSheetId="9">#REF!</definedName>
    <definedName name="N236_" localSheetId="10">#REF!</definedName>
    <definedName name="N236_">#REF!</definedName>
    <definedName name="N240_" localSheetId="12">#REF!</definedName>
    <definedName name="N240_" localSheetId="11">#REF!</definedName>
    <definedName name="N240_" localSheetId="8">#REF!</definedName>
    <definedName name="N240_" localSheetId="9">#REF!</definedName>
    <definedName name="N240_" localSheetId="10">#REF!</definedName>
    <definedName name="N240_">#REF!</definedName>
    <definedName name="N241_" localSheetId="12">#REF!</definedName>
    <definedName name="N241_" localSheetId="11">#REF!</definedName>
    <definedName name="N241_" localSheetId="8">#REF!</definedName>
    <definedName name="N241_" localSheetId="9">#REF!</definedName>
    <definedName name="N241_" localSheetId="10">#REF!</definedName>
    <definedName name="N241_">#REF!</definedName>
    <definedName name="N242_" localSheetId="12">#REF!</definedName>
    <definedName name="N242_" localSheetId="11">#REF!</definedName>
    <definedName name="N242_" localSheetId="8">#REF!</definedName>
    <definedName name="N242_" localSheetId="9">#REF!</definedName>
    <definedName name="N242_" localSheetId="10">#REF!</definedName>
    <definedName name="N242_">#REF!</definedName>
    <definedName name="N243_" localSheetId="12">#REF!</definedName>
    <definedName name="N243_" localSheetId="11">#REF!</definedName>
    <definedName name="N243_" localSheetId="8">#REF!</definedName>
    <definedName name="N243_" localSheetId="9">#REF!</definedName>
    <definedName name="N243_" localSheetId="10">#REF!</definedName>
    <definedName name="N243_">#REF!</definedName>
    <definedName name="N250_" localSheetId="12">#REF!</definedName>
    <definedName name="N250_" localSheetId="11">#REF!</definedName>
    <definedName name="N250_" localSheetId="8">#REF!</definedName>
    <definedName name="N250_" localSheetId="9">#REF!</definedName>
    <definedName name="N250_" localSheetId="10">#REF!</definedName>
    <definedName name="N250_">#REF!</definedName>
    <definedName name="N251_" localSheetId="12">#REF!</definedName>
    <definedName name="N251_" localSheetId="11">#REF!</definedName>
    <definedName name="N251_" localSheetId="8">#REF!</definedName>
    <definedName name="N251_" localSheetId="9">#REF!</definedName>
    <definedName name="N251_" localSheetId="10">#REF!</definedName>
    <definedName name="N251_">#REF!</definedName>
    <definedName name="N252_" localSheetId="12">#REF!</definedName>
    <definedName name="N252_" localSheetId="11">#REF!</definedName>
    <definedName name="N252_" localSheetId="8">#REF!</definedName>
    <definedName name="N252_" localSheetId="9">#REF!</definedName>
    <definedName name="N252_" localSheetId="10">#REF!</definedName>
    <definedName name="N252_">#REF!</definedName>
    <definedName name="N253_" localSheetId="12">#REF!</definedName>
    <definedName name="N253_" localSheetId="11">#REF!</definedName>
    <definedName name="N253_" localSheetId="8">#REF!</definedName>
    <definedName name="N253_" localSheetId="9">#REF!</definedName>
    <definedName name="N253_" localSheetId="10">#REF!</definedName>
    <definedName name="N253_">#REF!</definedName>
    <definedName name="N254_" localSheetId="12">#REF!</definedName>
    <definedName name="N254_" localSheetId="11">#REF!</definedName>
    <definedName name="N254_" localSheetId="8">#REF!</definedName>
    <definedName name="N254_" localSheetId="9">#REF!</definedName>
    <definedName name="N254_" localSheetId="10">#REF!</definedName>
    <definedName name="N254_">#REF!</definedName>
    <definedName name="N260_" localSheetId="12">#REF!</definedName>
    <definedName name="N260_" localSheetId="11">#REF!</definedName>
    <definedName name="N260_" localSheetId="8">#REF!</definedName>
    <definedName name="N260_" localSheetId="9">#REF!</definedName>
    <definedName name="N260_" localSheetId="10">#REF!</definedName>
    <definedName name="N260_">#REF!</definedName>
    <definedName name="N290_" localSheetId="12">#REF!</definedName>
    <definedName name="N290_" localSheetId="11">#REF!</definedName>
    <definedName name="N290_" localSheetId="8">#REF!</definedName>
    <definedName name="N290_" localSheetId="9">#REF!</definedName>
    <definedName name="N290_" localSheetId="10">#REF!</definedName>
    <definedName name="N290_">#REF!</definedName>
    <definedName name="N310_" localSheetId="12">#REF!</definedName>
    <definedName name="N310_" localSheetId="11">#REF!</definedName>
    <definedName name="N310_" localSheetId="8">#REF!</definedName>
    <definedName name="N310_" localSheetId="9">#REF!</definedName>
    <definedName name="N310_" localSheetId="10">#REF!</definedName>
    <definedName name="N310_">#REF!</definedName>
    <definedName name="N390_" localSheetId="12">#REF!</definedName>
    <definedName name="N390_" localSheetId="11">#REF!</definedName>
    <definedName name="N390_" localSheetId="8">#REF!</definedName>
    <definedName name="N390_" localSheetId="9">#REF!</definedName>
    <definedName name="N390_" localSheetId="10">#REF!</definedName>
    <definedName name="N390_">#REF!</definedName>
    <definedName name="N399_" localSheetId="12">#REF!</definedName>
    <definedName name="N399_" localSheetId="11">#REF!</definedName>
    <definedName name="N399_" localSheetId="8">#REF!</definedName>
    <definedName name="N399_" localSheetId="9">#REF!</definedName>
    <definedName name="N399_" localSheetId="10">#REF!</definedName>
    <definedName name="N399_">#REF!</definedName>
    <definedName name="N410_" localSheetId="12">#REF!</definedName>
    <definedName name="N410_" localSheetId="11">#REF!</definedName>
    <definedName name="N410_" localSheetId="8">#REF!</definedName>
    <definedName name="N410_" localSheetId="9">#REF!</definedName>
    <definedName name="N410_" localSheetId="10">#REF!</definedName>
    <definedName name="N410_">#REF!</definedName>
    <definedName name="N420_" localSheetId="12">#REF!</definedName>
    <definedName name="N420_" localSheetId="11">#REF!</definedName>
    <definedName name="N420_" localSheetId="8">#REF!</definedName>
    <definedName name="N420_" localSheetId="9">#REF!</definedName>
    <definedName name="N420_" localSheetId="10">#REF!</definedName>
    <definedName name="N420_">#REF!</definedName>
    <definedName name="N430_" localSheetId="12">#REF!</definedName>
    <definedName name="N430_" localSheetId="11">#REF!</definedName>
    <definedName name="N430_" localSheetId="8">#REF!</definedName>
    <definedName name="N430_" localSheetId="9">#REF!</definedName>
    <definedName name="N430_" localSheetId="10">#REF!</definedName>
    <definedName name="N430_">#REF!</definedName>
    <definedName name="N431_" localSheetId="12">#REF!</definedName>
    <definedName name="N431_" localSheetId="11">#REF!</definedName>
    <definedName name="N431_" localSheetId="8">#REF!</definedName>
    <definedName name="N431_" localSheetId="9">#REF!</definedName>
    <definedName name="N431_" localSheetId="10">#REF!</definedName>
    <definedName name="N431_">#REF!</definedName>
    <definedName name="N432_" localSheetId="12">#REF!</definedName>
    <definedName name="N432_" localSheetId="11">#REF!</definedName>
    <definedName name="N432_" localSheetId="8">#REF!</definedName>
    <definedName name="N432_" localSheetId="9">#REF!</definedName>
    <definedName name="N432_" localSheetId="10">#REF!</definedName>
    <definedName name="N432_">#REF!</definedName>
    <definedName name="N440_" localSheetId="12">#REF!</definedName>
    <definedName name="N440_" localSheetId="11">#REF!</definedName>
    <definedName name="N440_" localSheetId="8">#REF!</definedName>
    <definedName name="N440_" localSheetId="9">#REF!</definedName>
    <definedName name="N440_" localSheetId="10">#REF!</definedName>
    <definedName name="N440_">#REF!</definedName>
    <definedName name="N450_" localSheetId="12">#REF!</definedName>
    <definedName name="N450_" localSheetId="11">#REF!</definedName>
    <definedName name="N450_" localSheetId="8">#REF!</definedName>
    <definedName name="N450_" localSheetId="9">#REF!</definedName>
    <definedName name="N450_" localSheetId="10">#REF!</definedName>
    <definedName name="N450_">#REF!</definedName>
    <definedName name="N460_" localSheetId="12">#REF!</definedName>
    <definedName name="N460_" localSheetId="11">#REF!</definedName>
    <definedName name="N460_" localSheetId="8">#REF!</definedName>
    <definedName name="N460_" localSheetId="9">#REF!</definedName>
    <definedName name="N460_" localSheetId="10">#REF!</definedName>
    <definedName name="N460_">#REF!</definedName>
    <definedName name="N470_" localSheetId="12">#REF!</definedName>
    <definedName name="N470_" localSheetId="11">#REF!</definedName>
    <definedName name="N470_" localSheetId="8">#REF!</definedName>
    <definedName name="N470_" localSheetId="9">#REF!</definedName>
    <definedName name="N470_" localSheetId="10">#REF!</definedName>
    <definedName name="N470_">#REF!</definedName>
    <definedName name="N480_" localSheetId="12">#REF!</definedName>
    <definedName name="N480_" localSheetId="11">#REF!</definedName>
    <definedName name="N480_" localSheetId="8">#REF!</definedName>
    <definedName name="N480_" localSheetId="9">#REF!</definedName>
    <definedName name="N480_" localSheetId="10">#REF!</definedName>
    <definedName name="N480_">#REF!</definedName>
    <definedName name="N490_" localSheetId="12">#REF!</definedName>
    <definedName name="N490_" localSheetId="11">#REF!</definedName>
    <definedName name="N490_" localSheetId="8">#REF!</definedName>
    <definedName name="N490_" localSheetId="9">#REF!</definedName>
    <definedName name="N490_" localSheetId="10">#REF!</definedName>
    <definedName name="N490_">#REF!</definedName>
    <definedName name="N510_" localSheetId="12">#REF!</definedName>
    <definedName name="N510_" localSheetId="11">#REF!</definedName>
    <definedName name="N510_" localSheetId="8">#REF!</definedName>
    <definedName name="N510_" localSheetId="9">#REF!</definedName>
    <definedName name="N510_" localSheetId="10">#REF!</definedName>
    <definedName name="N510_">#REF!</definedName>
    <definedName name="N511_" localSheetId="12">#REF!</definedName>
    <definedName name="N511_" localSheetId="11">#REF!</definedName>
    <definedName name="N511_" localSheetId="8">#REF!</definedName>
    <definedName name="N511_" localSheetId="9">#REF!</definedName>
    <definedName name="N511_" localSheetId="10">#REF!</definedName>
    <definedName name="N511_">#REF!</definedName>
    <definedName name="N512_" localSheetId="12">#REF!</definedName>
    <definedName name="N512_" localSheetId="11">#REF!</definedName>
    <definedName name="N512_" localSheetId="8">#REF!</definedName>
    <definedName name="N512_" localSheetId="9">#REF!</definedName>
    <definedName name="N512_" localSheetId="10">#REF!</definedName>
    <definedName name="N512_">#REF!</definedName>
    <definedName name="N513_" localSheetId="12">#REF!</definedName>
    <definedName name="N513_" localSheetId="11">#REF!</definedName>
    <definedName name="N513_" localSheetId="8">#REF!</definedName>
    <definedName name="N513_" localSheetId="9">#REF!</definedName>
    <definedName name="N513_" localSheetId="10">#REF!</definedName>
    <definedName name="N513_">#REF!</definedName>
    <definedName name="N590_" localSheetId="12">#REF!</definedName>
    <definedName name="N590_" localSheetId="11">#REF!</definedName>
    <definedName name="N590_" localSheetId="8">#REF!</definedName>
    <definedName name="N590_" localSheetId="9">#REF!</definedName>
    <definedName name="N590_" localSheetId="10">#REF!</definedName>
    <definedName name="N590_">#REF!</definedName>
    <definedName name="N610_" localSheetId="12">#REF!</definedName>
    <definedName name="N610_" localSheetId="11">#REF!</definedName>
    <definedName name="N610_" localSheetId="8">#REF!</definedName>
    <definedName name="N610_" localSheetId="9">#REF!</definedName>
    <definedName name="N610_" localSheetId="10">#REF!</definedName>
    <definedName name="N610_">#REF!</definedName>
    <definedName name="N611_" localSheetId="12">#REF!</definedName>
    <definedName name="N611_" localSheetId="11">#REF!</definedName>
    <definedName name="N611_" localSheetId="8">#REF!</definedName>
    <definedName name="N611_" localSheetId="9">#REF!</definedName>
    <definedName name="N611_" localSheetId="10">#REF!</definedName>
    <definedName name="N611_">#REF!</definedName>
    <definedName name="N612_" localSheetId="12">#REF!</definedName>
    <definedName name="N612_" localSheetId="11">#REF!</definedName>
    <definedName name="N612_" localSheetId="8">#REF!</definedName>
    <definedName name="N612_" localSheetId="9">#REF!</definedName>
    <definedName name="N612_" localSheetId="10">#REF!</definedName>
    <definedName name="N612_">#REF!</definedName>
    <definedName name="N620_" localSheetId="12">#REF!</definedName>
    <definedName name="N620_" localSheetId="11">#REF!</definedName>
    <definedName name="N620_" localSheetId="8">#REF!</definedName>
    <definedName name="N620_" localSheetId="9">#REF!</definedName>
    <definedName name="N620_" localSheetId="10">#REF!</definedName>
    <definedName name="N620_">#REF!</definedName>
    <definedName name="N621_" localSheetId="12">#REF!</definedName>
    <definedName name="N621_" localSheetId="11">#REF!</definedName>
    <definedName name="N621_" localSheetId="8">#REF!</definedName>
    <definedName name="N621_" localSheetId="9">#REF!</definedName>
    <definedName name="N621_" localSheetId="10">#REF!</definedName>
    <definedName name="N621_">#REF!</definedName>
    <definedName name="N622_" localSheetId="12">#REF!</definedName>
    <definedName name="N622_" localSheetId="11">#REF!</definedName>
    <definedName name="N622_" localSheetId="8">#REF!</definedName>
    <definedName name="N622_" localSheetId="9">#REF!</definedName>
    <definedName name="N622_" localSheetId="10">#REF!</definedName>
    <definedName name="N622_">#REF!</definedName>
    <definedName name="N623_" localSheetId="12">#REF!</definedName>
    <definedName name="N623_" localSheetId="11">#REF!</definedName>
    <definedName name="N623_" localSheetId="8">#REF!</definedName>
    <definedName name="N623_" localSheetId="9">#REF!</definedName>
    <definedName name="N623_" localSheetId="10">#REF!</definedName>
    <definedName name="N623_">#REF!</definedName>
    <definedName name="N624_" localSheetId="12">#REF!</definedName>
    <definedName name="N624_" localSheetId="11">#REF!</definedName>
    <definedName name="N624_" localSheetId="8">#REF!</definedName>
    <definedName name="N624_" localSheetId="9">#REF!</definedName>
    <definedName name="N624_" localSheetId="10">#REF!</definedName>
    <definedName name="N624_">#REF!</definedName>
    <definedName name="N625_" localSheetId="12">#REF!</definedName>
    <definedName name="N625_" localSheetId="11">#REF!</definedName>
    <definedName name="N625_" localSheetId="8">#REF!</definedName>
    <definedName name="N625_" localSheetId="9">#REF!</definedName>
    <definedName name="N625_" localSheetId="10">#REF!</definedName>
    <definedName name="N625_">#REF!</definedName>
    <definedName name="N626_" localSheetId="12">#REF!</definedName>
    <definedName name="N626_" localSheetId="11">#REF!</definedName>
    <definedName name="N626_" localSheetId="8">#REF!</definedName>
    <definedName name="N626_" localSheetId="9">#REF!</definedName>
    <definedName name="N626_" localSheetId="10">#REF!</definedName>
    <definedName name="N626_">#REF!</definedName>
    <definedName name="N627_" localSheetId="12">#REF!</definedName>
    <definedName name="N627_" localSheetId="11">#REF!</definedName>
    <definedName name="N627_" localSheetId="8">#REF!</definedName>
    <definedName name="N627_" localSheetId="9">#REF!</definedName>
    <definedName name="N627_" localSheetId="10">#REF!</definedName>
    <definedName name="N627_">#REF!</definedName>
    <definedName name="N628_" localSheetId="12">#REF!</definedName>
    <definedName name="N628_" localSheetId="11">#REF!</definedName>
    <definedName name="N628_" localSheetId="8">#REF!</definedName>
    <definedName name="N628_" localSheetId="9">#REF!</definedName>
    <definedName name="N628_" localSheetId="10">#REF!</definedName>
    <definedName name="N628_">#REF!</definedName>
    <definedName name="N630_" localSheetId="12">#REF!</definedName>
    <definedName name="N630_" localSheetId="11">#REF!</definedName>
    <definedName name="N630_" localSheetId="8">#REF!</definedName>
    <definedName name="N630_" localSheetId="9">#REF!</definedName>
    <definedName name="N630_" localSheetId="10">#REF!</definedName>
    <definedName name="N630_">#REF!</definedName>
    <definedName name="N640_" localSheetId="12">#REF!</definedName>
    <definedName name="N640_" localSheetId="11">#REF!</definedName>
    <definedName name="N640_" localSheetId="8">#REF!</definedName>
    <definedName name="N640_" localSheetId="9">#REF!</definedName>
    <definedName name="N640_" localSheetId="10">#REF!</definedName>
    <definedName name="N640_">#REF!</definedName>
    <definedName name="N650_" localSheetId="12">#REF!</definedName>
    <definedName name="N650_" localSheetId="11">#REF!</definedName>
    <definedName name="N650_" localSheetId="8">#REF!</definedName>
    <definedName name="N650_" localSheetId="9">#REF!</definedName>
    <definedName name="N650_" localSheetId="10">#REF!</definedName>
    <definedName name="N650_">#REF!</definedName>
    <definedName name="N660_" localSheetId="12">#REF!</definedName>
    <definedName name="N660_" localSheetId="11">#REF!</definedName>
    <definedName name="N660_" localSheetId="8">#REF!</definedName>
    <definedName name="N660_" localSheetId="9">#REF!</definedName>
    <definedName name="N660_" localSheetId="10">#REF!</definedName>
    <definedName name="N660_">#REF!</definedName>
    <definedName name="N670_" localSheetId="12">#REF!</definedName>
    <definedName name="N670_" localSheetId="11">#REF!</definedName>
    <definedName name="N670_" localSheetId="8">#REF!</definedName>
    <definedName name="N670_" localSheetId="9">#REF!</definedName>
    <definedName name="N670_" localSheetId="10">#REF!</definedName>
    <definedName name="N670_">#REF!</definedName>
    <definedName name="N690_" localSheetId="12">#REF!</definedName>
    <definedName name="N690_" localSheetId="11">#REF!</definedName>
    <definedName name="N690_" localSheetId="8">#REF!</definedName>
    <definedName name="N690_" localSheetId="9">#REF!</definedName>
    <definedName name="N690_" localSheetId="10">#REF!</definedName>
    <definedName name="N690_">#REF!</definedName>
    <definedName name="N699_" localSheetId="12">#REF!</definedName>
    <definedName name="N699_" localSheetId="11">#REF!</definedName>
    <definedName name="N699_" localSheetId="8">#REF!</definedName>
    <definedName name="N699_" localSheetId="9">#REF!</definedName>
    <definedName name="N699_" localSheetId="10">#REF!</definedName>
    <definedName name="N699_">#REF!</definedName>
    <definedName name="nakl" localSheetId="12">#REF!</definedName>
    <definedName name="nakl" localSheetId="11">#REF!</definedName>
    <definedName name="nakl" localSheetId="8">#REF!</definedName>
    <definedName name="nakl" localSheetId="9">#REF!</definedName>
    <definedName name="nakl" localSheetId="10">#REF!</definedName>
    <definedName name="nakl">#REF!</definedName>
    <definedName name="nakl_r" localSheetId="12">#REF!</definedName>
    <definedName name="nakl_r" localSheetId="11">#REF!</definedName>
    <definedName name="nakl_r" localSheetId="8">#REF!</definedName>
    <definedName name="nakl_r" localSheetId="9">#REF!</definedName>
    <definedName name="nakl_r" localSheetId="10">#REF!</definedName>
    <definedName name="nakl_r">#REF!</definedName>
    <definedName name="nakl_r1" localSheetId="12">#REF!</definedName>
    <definedName name="nakl_r1" localSheetId="11">#REF!</definedName>
    <definedName name="nakl_r1" localSheetId="8">#REF!</definedName>
    <definedName name="nakl_r1" localSheetId="9">#REF!</definedName>
    <definedName name="nakl_r1" localSheetId="10">#REF!</definedName>
    <definedName name="nakl_r1">#REF!</definedName>
    <definedName name="Name">[78]Лист1!$C$408</definedName>
    <definedName name="NewTaxGW" localSheetId="2">#REF!</definedName>
    <definedName name="NewTaxGW" localSheetId="3">#REF!</definedName>
    <definedName name="NewTaxGW" localSheetId="12">#REF!</definedName>
    <definedName name="NewTaxGW" localSheetId="11">#REF!</definedName>
    <definedName name="NewTaxGW" localSheetId="8">#REF!</definedName>
    <definedName name="NewTaxGW" localSheetId="9">#REF!</definedName>
    <definedName name="NewTaxGW" localSheetId="10">#REF!</definedName>
    <definedName name="NewTaxGW" localSheetId="6">#REF!</definedName>
    <definedName name="NewTaxGW" localSheetId="5">#REF!</definedName>
    <definedName name="NewTaxGW" localSheetId="4">#REF!</definedName>
    <definedName name="NewTaxGW">#REF!</definedName>
    <definedName name="NewTaxIntangibles" localSheetId="12">#REF!</definedName>
    <definedName name="NewTaxIntangibles" localSheetId="11">#REF!</definedName>
    <definedName name="NewTaxIntangibles" localSheetId="8">#REF!</definedName>
    <definedName name="NewTaxIntangibles" localSheetId="9">#REF!</definedName>
    <definedName name="NewTaxIntangibles" localSheetId="10">#REF!</definedName>
    <definedName name="NewTaxIntangibles">#REF!</definedName>
    <definedName name="nfyz" localSheetId="15">[7]!nfyz</definedName>
    <definedName name="nfyz" localSheetId="11">#N/A</definedName>
    <definedName name="nfyz" localSheetId="8">#N/A</definedName>
    <definedName name="nfyz" localSheetId="9">#N/A</definedName>
    <definedName name="nfyz" localSheetId="6">#N/A</definedName>
    <definedName name="nfyz" localSheetId="5">#N/A</definedName>
    <definedName name="nfyz" localSheetId="4">#N/A</definedName>
    <definedName name="nfyz">#N/A</definedName>
    <definedName name="nhj">[89]PL!$A$36:$D$47</definedName>
    <definedName name="ni_mult" localSheetId="15">#REF!</definedName>
    <definedName name="ni_mult" localSheetId="12">#REF!</definedName>
    <definedName name="ni_mult" localSheetId="11">#REF!</definedName>
    <definedName name="ni_mult" localSheetId="8">#REF!</definedName>
    <definedName name="ni_mult" localSheetId="9">#REF!</definedName>
    <definedName name="ni_mult" localSheetId="10">#REF!</definedName>
    <definedName name="ni_mult" localSheetId="6">#REF!</definedName>
    <definedName name="ni_mult" localSheetId="5">#REF!</definedName>
    <definedName name="ni_mult" localSheetId="4">#REF!</definedName>
    <definedName name="ni_mult">#REF!</definedName>
    <definedName name="ni_mult_sen" localSheetId="15">#REF!</definedName>
    <definedName name="ni_mult_sen" localSheetId="12">#REF!</definedName>
    <definedName name="ni_mult_sen" localSheetId="11">#REF!</definedName>
    <definedName name="ni_mult_sen" localSheetId="8">#REF!</definedName>
    <definedName name="ni_mult_sen" localSheetId="9">#REF!</definedName>
    <definedName name="ni_mult_sen" localSheetId="10">#REF!</definedName>
    <definedName name="ni_mult_sen">#REF!</definedName>
    <definedName name="ni_mult1" localSheetId="15">#REF!</definedName>
    <definedName name="ni_mult1" localSheetId="12">#REF!</definedName>
    <definedName name="ni_mult1" localSheetId="11">#REF!</definedName>
    <definedName name="ni_mult1" localSheetId="8">#REF!</definedName>
    <definedName name="ni_mult1" localSheetId="9">#REF!</definedName>
    <definedName name="ni_mult1" localSheetId="10">#REF!</definedName>
    <definedName name="ni_mult1">#REF!</definedName>
    <definedName name="ni_mult2" localSheetId="12">#REF!</definedName>
    <definedName name="ni_mult2" localSheetId="11">#REF!</definedName>
    <definedName name="ni_mult2" localSheetId="8">#REF!</definedName>
    <definedName name="ni_mult2" localSheetId="9">#REF!</definedName>
    <definedName name="ni_mult2" localSheetId="10">#REF!</definedName>
    <definedName name="ni_mult2">#REF!</definedName>
    <definedName name="ni_mult3" localSheetId="12">#REF!</definedName>
    <definedName name="ni_mult3" localSheetId="11">#REF!</definedName>
    <definedName name="ni_mult3" localSheetId="8">#REF!</definedName>
    <definedName name="ni_mult3" localSheetId="9">#REF!</definedName>
    <definedName name="ni_mult3" localSheetId="10">#REF!</definedName>
    <definedName name="ni_mult3">#REF!</definedName>
    <definedName name="ni_mult4" localSheetId="12">#REF!</definedName>
    <definedName name="ni_mult4" localSheetId="11">#REF!</definedName>
    <definedName name="ni_mult4" localSheetId="8">#REF!</definedName>
    <definedName name="ni_mult4" localSheetId="9">#REF!</definedName>
    <definedName name="ni_mult4" localSheetId="10">#REF!</definedName>
    <definedName name="ni_mult4">#REF!</definedName>
    <definedName name="ni_mult5" localSheetId="12">#REF!</definedName>
    <definedName name="ni_mult5" localSheetId="11">#REF!</definedName>
    <definedName name="ni_mult5" localSheetId="8">#REF!</definedName>
    <definedName name="ni_mult5" localSheetId="9">#REF!</definedName>
    <definedName name="ni_mult5" localSheetId="10">#REF!</definedName>
    <definedName name="ni_mult5">#REF!</definedName>
    <definedName name="ni_terminal" localSheetId="12">#REF!</definedName>
    <definedName name="ni_terminal" localSheetId="11">#REF!</definedName>
    <definedName name="ni_terminal" localSheetId="8">#REF!</definedName>
    <definedName name="ni_terminal" localSheetId="9">#REF!</definedName>
    <definedName name="ni_terminal" localSheetId="10">#REF!</definedName>
    <definedName name="ni_terminal">#REF!</definedName>
    <definedName name="NOM" localSheetId="12">#REF!</definedName>
    <definedName name="NOM" localSheetId="11">#REF!</definedName>
    <definedName name="NOM" localSheetId="8">#REF!</definedName>
    <definedName name="NOM" localSheetId="9">#REF!</definedName>
    <definedName name="NOM" localSheetId="10">#REF!</definedName>
    <definedName name="NOM">#REF!</definedName>
    <definedName name="NONPR" localSheetId="12">#REF!</definedName>
    <definedName name="NONPR" localSheetId="11">#REF!</definedName>
    <definedName name="NONPR">#REF!</definedName>
    <definedName name="norm_apple_02" localSheetId="12">#REF!</definedName>
    <definedName name="norm_apple_02" localSheetId="11">#REF!</definedName>
    <definedName name="norm_apple_02" localSheetId="8">#REF!</definedName>
    <definedName name="norm_apple_02" localSheetId="9">#REF!</definedName>
    <definedName name="norm_apple_02" localSheetId="10">#REF!</definedName>
    <definedName name="norm_apple_02">#REF!</definedName>
    <definedName name="norm_apple_blackcurrantapple_new" localSheetId="12">#REF!</definedName>
    <definedName name="norm_apple_blackcurrantapple_new" localSheetId="11">#REF!</definedName>
    <definedName name="norm_apple_blackcurrantapple_new" localSheetId="8">#REF!</definedName>
    <definedName name="norm_apple_blackcurrantapple_new" localSheetId="9">#REF!</definedName>
    <definedName name="norm_apple_blackcurrantapple_new" localSheetId="10">#REF!</definedName>
    <definedName name="norm_apple_blackcurrantapple_new">#REF!</definedName>
    <definedName name="norm_apple_cherryapple_new" localSheetId="12">#REF!</definedName>
    <definedName name="norm_apple_cherryapple_new" localSheetId="11">#REF!</definedName>
    <definedName name="norm_apple_cherryapple_new" localSheetId="8">#REF!</definedName>
    <definedName name="norm_apple_cherryapple_new" localSheetId="9">#REF!</definedName>
    <definedName name="norm_apple_cherryapple_new" localSheetId="10">#REF!</definedName>
    <definedName name="norm_apple_cherryapple_new">#REF!</definedName>
    <definedName name="norm_apple_nectgrapeapple" localSheetId="12">#REF!</definedName>
    <definedName name="norm_apple_nectgrapeapple" localSheetId="11">#REF!</definedName>
    <definedName name="norm_apple_nectgrapeapple" localSheetId="8">#REF!</definedName>
    <definedName name="norm_apple_nectgrapeapple" localSheetId="9">#REF!</definedName>
    <definedName name="norm_apple_nectgrapeapple" localSheetId="10">#REF!</definedName>
    <definedName name="norm_apple_nectgrapeapple">#REF!</definedName>
    <definedName name="norm_apple_nectlesnojbuket" localSheetId="12">#REF!</definedName>
    <definedName name="norm_apple_nectlesnojbuket" localSheetId="11">#REF!</definedName>
    <definedName name="norm_apple_nectlesnojbuket" localSheetId="8">#REF!</definedName>
    <definedName name="norm_apple_nectlesnojbuket" localSheetId="9">#REF!</definedName>
    <definedName name="norm_apple_nectlesnojbuket" localSheetId="10">#REF!</definedName>
    <definedName name="norm_apple_nectlesnojbuket">#REF!</definedName>
    <definedName name="norm_apple_nectrosehipapple" localSheetId="12">#REF!</definedName>
    <definedName name="norm_apple_nectrosehipapple" localSheetId="11">#REF!</definedName>
    <definedName name="norm_apple_nectrosehipapple" localSheetId="8">#REF!</definedName>
    <definedName name="norm_apple_nectrosehipapple" localSheetId="9">#REF!</definedName>
    <definedName name="norm_apple_nectrosehipapple" localSheetId="10">#REF!</definedName>
    <definedName name="norm_apple_nectrosehipapple">#REF!</definedName>
    <definedName name="norm_apple_nectsadovyjbuket" localSheetId="12">#REF!</definedName>
    <definedName name="norm_apple_nectsadovyjbuket" localSheetId="11">#REF!</definedName>
    <definedName name="norm_apple_nectsadovyjbuket" localSheetId="8">#REF!</definedName>
    <definedName name="norm_apple_nectsadovyjbuket" localSheetId="9">#REF!</definedName>
    <definedName name="norm_apple_nectsadovyjbuket" localSheetId="10">#REF!</definedName>
    <definedName name="norm_apple_nectsadovyjbuket">#REF!</definedName>
    <definedName name="norm_apple_raspberryapple_new" localSheetId="12">#REF!</definedName>
    <definedName name="norm_apple_raspberryapple_new" localSheetId="11">#REF!</definedName>
    <definedName name="norm_apple_raspberryapple_new" localSheetId="8">#REF!</definedName>
    <definedName name="norm_apple_raspberryapple_new" localSheetId="9">#REF!</definedName>
    <definedName name="norm_apple_raspberryapple_new" localSheetId="10">#REF!</definedName>
    <definedName name="norm_apple_raspberryapple_new">#REF!</definedName>
    <definedName name="norm_apple_recap" localSheetId="12">#REF!</definedName>
    <definedName name="norm_apple_recap" localSheetId="11">#REF!</definedName>
    <definedName name="norm_apple_recap" localSheetId="8">#REF!</definedName>
    <definedName name="norm_apple_recap" localSheetId="9">#REF!</definedName>
    <definedName name="norm_apple_recap" localSheetId="10">#REF!</definedName>
    <definedName name="norm_apple_recap">#REF!</definedName>
    <definedName name="norm_apple_standard" localSheetId="12">#REF!</definedName>
    <definedName name="norm_apple_standard" localSheetId="11">#REF!</definedName>
    <definedName name="norm_apple_standard" localSheetId="8">#REF!</definedName>
    <definedName name="norm_apple_standard" localSheetId="9">#REF!</definedName>
    <definedName name="norm_apple_standard" localSheetId="10">#REF!</definedName>
    <definedName name="norm_apple_standard">#REF!</definedName>
    <definedName name="norm_apple_strawberryapple_new" localSheetId="12">#REF!</definedName>
    <definedName name="norm_apple_strawberryapple_new" localSheetId="11">#REF!</definedName>
    <definedName name="norm_apple_strawberryapple_new" localSheetId="8">#REF!</definedName>
    <definedName name="norm_apple_strawberryapple_new" localSheetId="9">#REF!</definedName>
    <definedName name="norm_apple_strawberryapple_new" localSheetId="10">#REF!</definedName>
    <definedName name="norm_apple_strawberryapple_new">#REF!</definedName>
    <definedName name="norm_appleobst_recap" localSheetId="12">#REF!</definedName>
    <definedName name="norm_appleobst_recap" localSheetId="11">#REF!</definedName>
    <definedName name="norm_appleobst_recap" localSheetId="8">#REF!</definedName>
    <definedName name="norm_appleobst_recap" localSheetId="9">#REF!</definedName>
    <definedName name="norm_appleobst_recap" localSheetId="10">#REF!</definedName>
    <definedName name="norm_appleobst_recap">#REF!</definedName>
    <definedName name="norm_apricot_recap" localSheetId="12">#REF!</definedName>
    <definedName name="norm_apricot_recap" localSheetId="11">#REF!</definedName>
    <definedName name="norm_apricot_recap" localSheetId="8">#REF!</definedName>
    <definedName name="norm_apricot_recap" localSheetId="9">#REF!</definedName>
    <definedName name="norm_apricot_recap" localSheetId="10">#REF!</definedName>
    <definedName name="norm_apricot_recap">#REF!</definedName>
    <definedName name="norm_apricotpuree_recap" localSheetId="12">#REF!</definedName>
    <definedName name="norm_apricotpuree_recap" localSheetId="11">#REF!</definedName>
    <definedName name="norm_apricotpuree_recap" localSheetId="8">#REF!</definedName>
    <definedName name="norm_apricotpuree_recap" localSheetId="9">#REF!</definedName>
    <definedName name="norm_apricotpuree_recap" localSheetId="10">#REF!</definedName>
    <definedName name="norm_apricotpuree_recap">#REF!</definedName>
    <definedName name="norm_blackcurrant_blackcurrantapple_new" localSheetId="12">#REF!</definedName>
    <definedName name="norm_blackcurrant_blackcurrantapple_new" localSheetId="11">#REF!</definedName>
    <definedName name="norm_blackcurrant_blackcurrantapple_new" localSheetId="8">#REF!</definedName>
    <definedName name="norm_blackcurrant_blackcurrantapple_new" localSheetId="9">#REF!</definedName>
    <definedName name="norm_blackcurrant_blackcurrantapple_new" localSheetId="10">#REF!</definedName>
    <definedName name="norm_blackcurrant_blackcurrantapple_new">#REF!</definedName>
    <definedName name="norm_blackcurrantapple_old" localSheetId="12">#REF!</definedName>
    <definedName name="norm_blackcurrantapple_old" localSheetId="11">#REF!</definedName>
    <definedName name="norm_blackcurrantapple_old" localSheetId="8">#REF!</definedName>
    <definedName name="norm_blackcurrantapple_old" localSheetId="9">#REF!</definedName>
    <definedName name="norm_blackcurrantapple_old" localSheetId="10">#REF!</definedName>
    <definedName name="norm_blackcurrantapple_old">#REF!</definedName>
    <definedName name="norm_cherry_cherryapple_new" localSheetId="12">#REF!</definedName>
    <definedName name="norm_cherry_cherryapple_new" localSheetId="11">#REF!</definedName>
    <definedName name="norm_cherry_cherryapple_new" localSheetId="8">#REF!</definedName>
    <definedName name="norm_cherry_cherryapple_new" localSheetId="9">#REF!</definedName>
    <definedName name="norm_cherry_cherryapple_new" localSheetId="10">#REF!</definedName>
    <definedName name="norm_cherry_cherryapple_new">#REF!</definedName>
    <definedName name="norm_cherry_nectsadovyjbuket" localSheetId="12">#REF!</definedName>
    <definedName name="norm_cherry_nectsadovyjbuket" localSheetId="11">#REF!</definedName>
    <definedName name="norm_cherry_nectsadovyjbuket" localSheetId="8">#REF!</definedName>
    <definedName name="norm_cherry_nectsadovyjbuket" localSheetId="9">#REF!</definedName>
    <definedName name="norm_cherry_nectsadovyjbuket" localSheetId="10">#REF!</definedName>
    <definedName name="norm_cherry_nectsadovyjbuket">#REF!</definedName>
    <definedName name="norm_cherryapple_old" localSheetId="12">#REF!</definedName>
    <definedName name="norm_cherryapple_old" localSheetId="11">#REF!</definedName>
    <definedName name="norm_cherryapple_old" localSheetId="8">#REF!</definedName>
    <definedName name="norm_cherryapple_old" localSheetId="9">#REF!</definedName>
    <definedName name="norm_cherryapple_old" localSheetId="10">#REF!</definedName>
    <definedName name="norm_cherryapple_old">#REF!</definedName>
    <definedName name="norm_exotic_juicemultivitamin_recap" localSheetId="12">#REF!</definedName>
    <definedName name="norm_exotic_juicemultivitamin_recap" localSheetId="11">#REF!</definedName>
    <definedName name="norm_exotic_juicemultivitamin_recap" localSheetId="8">#REF!</definedName>
    <definedName name="norm_exotic_juicemultivitamin_recap" localSheetId="9">#REF!</definedName>
    <definedName name="norm_exotic_juicemultivitamin_recap" localSheetId="10">#REF!</definedName>
    <definedName name="norm_exotic_juicemultivitamin_recap">#REF!</definedName>
    <definedName name="norm_grape_nectgrapeapple" localSheetId="12">#REF!</definedName>
    <definedName name="norm_grape_nectgrapeapple" localSheetId="11">#REF!</definedName>
    <definedName name="norm_grape_nectgrapeapple" localSheetId="8">#REF!</definedName>
    <definedName name="norm_grape_nectgrapeapple" localSheetId="9">#REF!</definedName>
    <definedName name="norm_grape_nectgrapeapple" localSheetId="10">#REF!</definedName>
    <definedName name="norm_grape_nectgrapeapple">#REF!</definedName>
    <definedName name="norm_grape_old" localSheetId="12">#REF!</definedName>
    <definedName name="norm_grape_old" localSheetId="11">#REF!</definedName>
    <definedName name="norm_grape_old" localSheetId="8">#REF!</definedName>
    <definedName name="norm_grape_old" localSheetId="9">#REF!</definedName>
    <definedName name="norm_grape_old" localSheetId="10">#REF!</definedName>
    <definedName name="norm_grape_old">#REF!</definedName>
    <definedName name="norm_holosas_nectrosehipapple" localSheetId="12">#REF!</definedName>
    <definedName name="norm_holosas_nectrosehipapple" localSheetId="11">#REF!</definedName>
    <definedName name="norm_holosas_nectrosehipapple" localSheetId="8">#REF!</definedName>
    <definedName name="norm_holosas_nectrosehipapple" localSheetId="9">#REF!</definedName>
    <definedName name="norm_holosas_nectrosehipapple" localSheetId="10">#REF!</definedName>
    <definedName name="norm_holosas_nectrosehipapple">#REF!</definedName>
    <definedName name="norm_lemon_nectpineapplemangolemon" localSheetId="12">#REF!</definedName>
    <definedName name="norm_lemon_nectpineapplemangolemon" localSheetId="11">#REF!</definedName>
    <definedName name="norm_lemon_nectpineapplemangolemon" localSheetId="8">#REF!</definedName>
    <definedName name="norm_lemon_nectpineapplemangolemon" localSheetId="9">#REF!</definedName>
    <definedName name="norm_lemon_nectpineapplemangolemon" localSheetId="10">#REF!</definedName>
    <definedName name="norm_lemon_nectpineapplemangolemon">#REF!</definedName>
    <definedName name="norm_mango_nectpineapplemangolemon" localSheetId="12">#REF!</definedName>
    <definedName name="norm_mango_nectpineapplemangolemon" localSheetId="11">#REF!</definedName>
    <definedName name="norm_mango_nectpineapplemangolemon" localSheetId="8">#REF!</definedName>
    <definedName name="norm_mango_nectpineapplemangolemon" localSheetId="9">#REF!</definedName>
    <definedName name="norm_mango_nectpineapplemangolemon" localSheetId="10">#REF!</definedName>
    <definedName name="norm_mango_nectpineapplemangolemon">#REF!</definedName>
    <definedName name="norm_multifruit_nectmultivitamin" localSheetId="12">#REF!</definedName>
    <definedName name="norm_multifruit_nectmultivitamin" localSheetId="11">#REF!</definedName>
    <definedName name="norm_multifruit_nectmultivitamin" localSheetId="8">#REF!</definedName>
    <definedName name="norm_multifruit_nectmultivitamin" localSheetId="9">#REF!</definedName>
    <definedName name="norm_multifruit_nectmultivitamin" localSheetId="10">#REF!</definedName>
    <definedName name="norm_multifruit_nectmultivitamin">#REF!</definedName>
    <definedName name="norm_multifruit_nectmultivitamin02" localSheetId="12">#REF!</definedName>
    <definedName name="norm_multifruit_nectmultivitamin02" localSheetId="11">#REF!</definedName>
    <definedName name="norm_multifruit_nectmultivitamin02" localSheetId="8">#REF!</definedName>
    <definedName name="norm_multifruit_nectmultivitamin02" localSheetId="9">#REF!</definedName>
    <definedName name="norm_multifruit_nectmultivitamin02" localSheetId="10">#REF!</definedName>
    <definedName name="norm_multifruit_nectmultivitamin02">#REF!</definedName>
    <definedName name="norm_N02_apple_apple" localSheetId="12">#REF!</definedName>
    <definedName name="norm_N02_apple_apple" localSheetId="11">#REF!</definedName>
    <definedName name="norm_N02_apple_apple" localSheetId="8">#REF!</definedName>
    <definedName name="norm_N02_apple_apple" localSheetId="9">#REF!</definedName>
    <definedName name="norm_N02_apple_apple" localSheetId="10">#REF!</definedName>
    <definedName name="norm_N02_apple_apple">#REF!</definedName>
    <definedName name="norm_N02_mango_8661" localSheetId="12">#REF!</definedName>
    <definedName name="norm_N02_mango_8661" localSheetId="11">#REF!</definedName>
    <definedName name="norm_N02_mango_8661" localSheetId="8">#REF!</definedName>
    <definedName name="norm_N02_mango_8661" localSheetId="9">#REF!</definedName>
    <definedName name="norm_N02_mango_8661" localSheetId="10">#REF!</definedName>
    <definedName name="norm_N02_mango_8661">#REF!</definedName>
    <definedName name="norm_N02_multivit_3503" localSheetId="12">#REF!</definedName>
    <definedName name="norm_N02_multivit_3503" localSheetId="11">#REF!</definedName>
    <definedName name="norm_N02_multivit_3503" localSheetId="8">#REF!</definedName>
    <definedName name="norm_N02_multivit_3503" localSheetId="9">#REF!</definedName>
    <definedName name="norm_N02_multivit_3503" localSheetId="10">#REF!</definedName>
    <definedName name="norm_N02_multivit_3503">#REF!</definedName>
    <definedName name="norm_N02_multivitnec_8553" localSheetId="12">#REF!</definedName>
    <definedName name="norm_N02_multivitnec_8553" localSheetId="11">#REF!</definedName>
    <definedName name="norm_N02_multivitnec_8553" localSheetId="8">#REF!</definedName>
    <definedName name="norm_N02_multivitnec_8553" localSheetId="9">#REF!</definedName>
    <definedName name="norm_N02_multivitnec_8553" localSheetId="10">#REF!</definedName>
    <definedName name="norm_N02_multivitnec_8553">#REF!</definedName>
    <definedName name="norm_N02_orange_3503" localSheetId="12">#REF!</definedName>
    <definedName name="norm_N02_orange_3503" localSheetId="11">#REF!</definedName>
    <definedName name="norm_N02_orange_3503" localSheetId="8">#REF!</definedName>
    <definedName name="norm_N02_orange_3503" localSheetId="9">#REF!</definedName>
    <definedName name="norm_N02_orange_3503" localSheetId="10">#REF!</definedName>
    <definedName name="norm_N02_orange_3503">#REF!</definedName>
    <definedName name="norm_N02_orange_cargillfrozen" localSheetId="12">#REF!</definedName>
    <definedName name="norm_N02_orange_cargillfrozen" localSheetId="11">#REF!</definedName>
    <definedName name="norm_N02_orange_cargillfrozen" localSheetId="8">#REF!</definedName>
    <definedName name="norm_N02_orange_cargillfrozen" localSheetId="9">#REF!</definedName>
    <definedName name="norm_N02_orange_cargillfrozen" localSheetId="10">#REF!</definedName>
    <definedName name="norm_N02_orange_cargillfrozen">#REF!</definedName>
    <definedName name="norm_N02_peach_8549" localSheetId="12">#REF!</definedName>
    <definedName name="norm_N02_peach_8549" localSheetId="11">#REF!</definedName>
    <definedName name="norm_N02_peach_8549" localSheetId="8">#REF!</definedName>
    <definedName name="norm_N02_peach_8549" localSheetId="9">#REF!</definedName>
    <definedName name="norm_N02_peach_8549" localSheetId="10">#REF!</definedName>
    <definedName name="norm_N02_peach_8549">#REF!</definedName>
    <definedName name="norm_N02_pineapple_8518" localSheetId="12">#REF!</definedName>
    <definedName name="norm_N02_pineapple_8518" localSheetId="11">#REF!</definedName>
    <definedName name="norm_N02_pineapple_8518" localSheetId="8">#REF!</definedName>
    <definedName name="norm_N02_pineapple_8518" localSheetId="9">#REF!</definedName>
    <definedName name="norm_N02_pineapple_8518" localSheetId="10">#REF!</definedName>
    <definedName name="norm_N02_pineapple_8518">#REF!</definedName>
    <definedName name="norm_NRC_apple_apple" localSheetId="12">#REF!</definedName>
    <definedName name="norm_NRC_apple_apple" localSheetId="11">#REF!</definedName>
    <definedName name="norm_NRC_apple_apple" localSheetId="8">#REF!</definedName>
    <definedName name="norm_NRC_apple_apple" localSheetId="9">#REF!</definedName>
    <definedName name="norm_NRC_apple_apple" localSheetId="10">#REF!</definedName>
    <definedName name="norm_NRC_apple_apple">#REF!</definedName>
    <definedName name="norm_NRC_grape_apple" localSheetId="12">#REF!</definedName>
    <definedName name="norm_NRC_grape_apple" localSheetId="11">#REF!</definedName>
    <definedName name="norm_NRC_grape_apple" localSheetId="8">#REF!</definedName>
    <definedName name="norm_NRC_grape_apple" localSheetId="9">#REF!</definedName>
    <definedName name="norm_NRC_grape_apple" localSheetId="10">#REF!</definedName>
    <definedName name="norm_NRC_grape_apple">#REF!</definedName>
    <definedName name="norm_NRC_grape_grape" localSheetId="12">#REF!</definedName>
    <definedName name="norm_NRC_grape_grape" localSheetId="11">#REF!</definedName>
    <definedName name="norm_NRC_grape_grape" localSheetId="8">#REF!</definedName>
    <definedName name="norm_NRC_grape_grape" localSheetId="9">#REF!</definedName>
    <definedName name="norm_NRC_grape_grape" localSheetId="10">#REF!</definedName>
    <definedName name="norm_NRC_grape_grape">#REF!</definedName>
    <definedName name="norm_NRC_grapefruit_buzina" localSheetId="12">#REF!</definedName>
    <definedName name="norm_NRC_grapefruit_buzina" localSheetId="11">#REF!</definedName>
    <definedName name="norm_NRC_grapefruit_buzina" localSheetId="8">#REF!</definedName>
    <definedName name="norm_NRC_grapefruit_buzina" localSheetId="9">#REF!</definedName>
    <definedName name="norm_NRC_grapefruit_buzina" localSheetId="10">#REF!</definedName>
    <definedName name="norm_NRC_grapefruit_buzina">#REF!</definedName>
    <definedName name="norm_NRC_grapefruit_redgrapefruit4573" localSheetId="12">#REF!</definedName>
    <definedName name="norm_NRC_grapefruit_redgrapefruit4573" localSheetId="11">#REF!</definedName>
    <definedName name="norm_NRC_grapefruit_redgrapefruit4573" localSheetId="8">#REF!</definedName>
    <definedName name="norm_NRC_grapefruit_redgrapefruit4573" localSheetId="9">#REF!</definedName>
    <definedName name="norm_NRC_grapefruit_redgrapefruit4573" localSheetId="10">#REF!</definedName>
    <definedName name="norm_NRC_grapefruit_redgrapefruit4573">#REF!</definedName>
    <definedName name="norm_NRC_grapefruit_whitegrapefruit" localSheetId="12">#REF!</definedName>
    <definedName name="norm_NRC_grapefruit_whitegrapefruit" localSheetId="11">#REF!</definedName>
    <definedName name="norm_NRC_grapefruit_whitegrapefruit" localSheetId="8">#REF!</definedName>
    <definedName name="norm_NRC_grapefruit_whitegrapefruit" localSheetId="9">#REF!</definedName>
    <definedName name="norm_NRC_grapefruit_whitegrapefruit" localSheetId="10">#REF!</definedName>
    <definedName name="norm_NRC_grapefruit_whitegrapefruit">#REF!</definedName>
    <definedName name="norm_NRC_mango_8661" localSheetId="12">#REF!</definedName>
    <definedName name="norm_NRC_mango_8661" localSheetId="11">#REF!</definedName>
    <definedName name="norm_NRC_mango_8661" localSheetId="8">#REF!</definedName>
    <definedName name="norm_NRC_mango_8661" localSheetId="9">#REF!</definedName>
    <definedName name="norm_NRC_mango_8661" localSheetId="10">#REF!</definedName>
    <definedName name="norm_NRC_mango_8661">#REF!</definedName>
    <definedName name="norm_NRC_mangolemonpineapplenec_lemon" localSheetId="12">#REF!</definedName>
    <definedName name="norm_NRC_mangolemonpineapplenec_lemon" localSheetId="11">#REF!</definedName>
    <definedName name="norm_NRC_mangolemonpineapplenec_lemon" localSheetId="8">#REF!</definedName>
    <definedName name="norm_NRC_mangolemonpineapplenec_lemon" localSheetId="9">#REF!</definedName>
    <definedName name="norm_NRC_mangolemonpineapplenec_lemon" localSheetId="10">#REF!</definedName>
    <definedName name="norm_NRC_mangolemonpineapplenec_lemon">#REF!</definedName>
    <definedName name="norm_NRC_mangolemonpineapplenec_mango8508" localSheetId="12">#REF!</definedName>
    <definedName name="norm_NRC_mangolemonpineapplenec_mango8508" localSheetId="11">#REF!</definedName>
    <definedName name="norm_NRC_mangolemonpineapplenec_mango8508" localSheetId="8">#REF!</definedName>
    <definedName name="norm_NRC_mangolemonpineapplenec_mango8508" localSheetId="9">#REF!</definedName>
    <definedName name="norm_NRC_mangolemonpineapplenec_mango8508" localSheetId="10">#REF!</definedName>
    <definedName name="norm_NRC_mangolemonpineapplenec_mango8508">#REF!</definedName>
    <definedName name="norm_NRC_mangolemonpineapplenec_pineapple8518" localSheetId="12">#REF!</definedName>
    <definedName name="norm_NRC_mangolemonpineapplenec_pineapple8518" localSheetId="11">#REF!</definedName>
    <definedName name="norm_NRC_mangolemonpineapplenec_pineapple8518" localSheetId="8">#REF!</definedName>
    <definedName name="norm_NRC_mangolemonpineapplenec_pineapple8518" localSheetId="9">#REF!</definedName>
    <definedName name="norm_NRC_mangolemonpineapplenec_pineapple8518" localSheetId="10">#REF!</definedName>
    <definedName name="norm_NRC_mangolemonpineapplenec_pineapple8518">#REF!</definedName>
    <definedName name="norm_NRC_multivitnec_3503dark" localSheetId="12">#REF!</definedName>
    <definedName name="norm_NRC_multivitnec_3503dark" localSheetId="11">#REF!</definedName>
    <definedName name="norm_NRC_multivitnec_3503dark" localSheetId="8">#REF!</definedName>
    <definedName name="norm_NRC_multivitnec_3503dark" localSheetId="9">#REF!</definedName>
    <definedName name="norm_NRC_multivitnec_3503dark" localSheetId="10">#REF!</definedName>
    <definedName name="norm_NRC_multivitnec_3503dark">#REF!</definedName>
    <definedName name="norm_NRC_multivitnec_8553" localSheetId="12">#REF!</definedName>
    <definedName name="norm_NRC_multivitnec_8553" localSheetId="11">#REF!</definedName>
    <definedName name="norm_NRC_multivitnec_8553" localSheetId="8">#REF!</definedName>
    <definedName name="norm_NRC_multivitnec_8553" localSheetId="9">#REF!</definedName>
    <definedName name="norm_NRC_multivitnec_8553" localSheetId="10">#REF!</definedName>
    <definedName name="norm_NRC_multivitnec_8553">#REF!</definedName>
    <definedName name="norm_NRC_orange_3503" localSheetId="12">#REF!</definedName>
    <definedName name="norm_NRC_orange_3503" localSheetId="11">#REF!</definedName>
    <definedName name="norm_NRC_orange_3503" localSheetId="8">#REF!</definedName>
    <definedName name="norm_NRC_orange_3503" localSheetId="9">#REF!</definedName>
    <definedName name="norm_NRC_orange_3503" localSheetId="10">#REF!</definedName>
    <definedName name="norm_NRC_orange_3503">#REF!</definedName>
    <definedName name="norm_NRC_orange_cargill" localSheetId="12">#REF!</definedName>
    <definedName name="norm_NRC_orange_cargill" localSheetId="11">#REF!</definedName>
    <definedName name="norm_NRC_orange_cargill" localSheetId="8">#REF!</definedName>
    <definedName name="norm_NRC_orange_cargill" localSheetId="9">#REF!</definedName>
    <definedName name="norm_NRC_orange_cargill" localSheetId="10">#REF!</definedName>
    <definedName name="norm_NRC_orange_cargill">#REF!</definedName>
    <definedName name="norm_NRC_orange_pulp" localSheetId="12">#REF!</definedName>
    <definedName name="norm_NRC_orange_pulp" localSheetId="11">#REF!</definedName>
    <definedName name="norm_NRC_orange_pulp" localSheetId="8">#REF!</definedName>
    <definedName name="norm_NRC_orange_pulp" localSheetId="9">#REF!</definedName>
    <definedName name="norm_NRC_orange_pulp" localSheetId="10">#REF!</definedName>
    <definedName name="norm_NRC_orange_pulp">#REF!</definedName>
    <definedName name="norm_NRC_peach_8549" localSheetId="12">#REF!</definedName>
    <definedName name="norm_NRC_peach_8549" localSheetId="11">#REF!</definedName>
    <definedName name="norm_NRC_peach_8549" localSheetId="8">#REF!</definedName>
    <definedName name="norm_NRC_peach_8549" localSheetId="9">#REF!</definedName>
    <definedName name="norm_NRC_peach_8549" localSheetId="10">#REF!</definedName>
    <definedName name="norm_NRC_peach_8549">#REF!</definedName>
    <definedName name="norm_NRC_peach_applepuree" localSheetId="12">#REF!</definedName>
    <definedName name="norm_NRC_peach_applepuree" localSheetId="11">#REF!</definedName>
    <definedName name="norm_NRC_peach_applepuree" localSheetId="8">#REF!</definedName>
    <definedName name="norm_NRC_peach_applepuree" localSheetId="9">#REF!</definedName>
    <definedName name="norm_NRC_peach_applepuree" localSheetId="10">#REF!</definedName>
    <definedName name="norm_NRC_peach_applepuree">#REF!</definedName>
    <definedName name="norm_NRC_pineapple_8518" localSheetId="12">#REF!</definedName>
    <definedName name="norm_NRC_pineapple_8518" localSheetId="11">#REF!</definedName>
    <definedName name="norm_NRC_pineapple_8518" localSheetId="8">#REF!</definedName>
    <definedName name="norm_NRC_pineapple_8518" localSheetId="9">#REF!</definedName>
    <definedName name="norm_NRC_pineapple_8518" localSheetId="10">#REF!</definedName>
    <definedName name="norm_NRC_pineapple_8518">#REF!</definedName>
    <definedName name="norm_NRC_tomato_tomato" localSheetId="12">#REF!</definedName>
    <definedName name="norm_NRC_tomato_tomato" localSheetId="11">#REF!</definedName>
    <definedName name="norm_NRC_tomato_tomato" localSheetId="8">#REF!</definedName>
    <definedName name="norm_NRC_tomato_tomato" localSheetId="9">#REF!</definedName>
    <definedName name="norm_NRC_tomato_tomato" localSheetId="10">#REF!</definedName>
    <definedName name="norm_NRC_tomato_tomato">#REF!</definedName>
    <definedName name="norm_NRC_tomato_tomato15bx" localSheetId="12">#REF!</definedName>
    <definedName name="norm_NRC_tomato_tomato15bx" localSheetId="11">#REF!</definedName>
    <definedName name="norm_NRC_tomato_tomato15bx" localSheetId="8">#REF!</definedName>
    <definedName name="norm_NRC_tomato_tomato15bx" localSheetId="9">#REF!</definedName>
    <definedName name="norm_NRC_tomato_tomato15bx" localSheetId="10">#REF!</definedName>
    <definedName name="norm_NRC_tomato_tomato15bx">#REF!</definedName>
    <definedName name="norm_NRC_tomato_tomato25bx" localSheetId="12">#REF!</definedName>
    <definedName name="norm_NRC_tomato_tomato25bx" localSheetId="11">#REF!</definedName>
    <definedName name="norm_NRC_tomato_tomato25bx" localSheetId="8">#REF!</definedName>
    <definedName name="norm_NRC_tomato_tomato25bx" localSheetId="9">#REF!</definedName>
    <definedName name="norm_NRC_tomato_tomato25bx" localSheetId="10">#REF!</definedName>
    <definedName name="norm_NRC_tomato_tomato25bx">#REF!</definedName>
    <definedName name="norm_NTM_apple_appleGal" localSheetId="12">[90]к2!#REF!</definedName>
    <definedName name="norm_NTM_apple_appleGal" localSheetId="11">[90]к2!#REF!</definedName>
    <definedName name="norm_NTM_apple_appleGal" localSheetId="8">[90]к2!#REF!</definedName>
    <definedName name="norm_NTM_apple_appleGal" localSheetId="9">[90]к2!#REF!</definedName>
    <definedName name="norm_NTM_apple_appleGal" localSheetId="10">[90]к2!#REF!</definedName>
    <definedName name="norm_NTM_apple_appleGal">[90]к2!#REF!</definedName>
    <definedName name="norm_NTM_apple_aroma" localSheetId="12">[90]к2!#REF!</definedName>
    <definedName name="norm_NTM_apple_aroma" localSheetId="11">[90]к2!#REF!</definedName>
    <definedName name="norm_NTM_apple_aroma" localSheetId="10">[90]к2!#REF!</definedName>
    <definedName name="norm_NTM_apple_aroma">[90]к2!#REF!</definedName>
    <definedName name="norm_NTM_grapefruit_buzina" localSheetId="12">[90]к2!#REF!</definedName>
    <definedName name="norm_NTM_grapefruit_buzina" localSheetId="11">[90]к2!#REF!</definedName>
    <definedName name="norm_NTM_grapefruit_buzina" localSheetId="10">[90]к2!#REF!</definedName>
    <definedName name="norm_NTM_grapefruit_buzina">[90]к2!#REF!</definedName>
    <definedName name="norm_NTM_grapefruit_citricacid" localSheetId="12">[90]к2!#REF!</definedName>
    <definedName name="norm_NTM_grapefruit_citricacid" localSheetId="11">[90]к2!#REF!</definedName>
    <definedName name="norm_NTM_grapefruit_citricacid" localSheetId="10">[90]к2!#REF!</definedName>
    <definedName name="norm_NTM_grapefruit_citricacid">[90]к2!#REF!</definedName>
    <definedName name="norm_NTM_grapefruit_r4573" localSheetId="12">[90]к2!#REF!</definedName>
    <definedName name="norm_NTM_grapefruit_r4573" localSheetId="11">[90]к2!#REF!</definedName>
    <definedName name="norm_NTM_grapefruit_r4573" localSheetId="10">[90]к2!#REF!</definedName>
    <definedName name="norm_NTM_grapefruit_r4573">[90]к2!#REF!</definedName>
    <definedName name="norm_NTM_grapefruit_sugar" localSheetId="12">[90]к2!#REF!</definedName>
    <definedName name="norm_NTM_grapefruit_sugar" localSheetId="11">[90]к2!#REF!</definedName>
    <definedName name="norm_NTM_grapefruit_sugar" localSheetId="10">[90]к2!#REF!</definedName>
    <definedName name="norm_NTM_grapefruit_sugar">[90]к2!#REF!</definedName>
    <definedName name="norm_NTM_grapefruit_w4548" localSheetId="12">[90]к2!#REF!</definedName>
    <definedName name="norm_NTM_grapefruit_w4548" localSheetId="11">[90]к2!#REF!</definedName>
    <definedName name="norm_NTM_grapefruit_w4548" localSheetId="10">[90]к2!#REF!</definedName>
    <definedName name="norm_NTM_grapefruit_w4548">[90]к2!#REF!</definedName>
    <definedName name="norm_NTM_multivit_citricacid" localSheetId="12">[90]к2!#REF!</definedName>
    <definedName name="norm_NTM_multivit_citricacid" localSheetId="11">[90]к2!#REF!</definedName>
    <definedName name="norm_NTM_multivit_citricacid" localSheetId="10">[90]к2!#REF!</definedName>
    <definedName name="norm_NTM_multivit_citricacid">[90]к2!#REF!</definedName>
    <definedName name="norm_NTM_multivit_mult8553" localSheetId="12">[90]к2!#REF!</definedName>
    <definedName name="norm_NTM_multivit_mult8553" localSheetId="11">[90]к2!#REF!</definedName>
    <definedName name="norm_NTM_multivit_mult8553" localSheetId="10">[90]к2!#REF!</definedName>
    <definedName name="norm_NTM_multivit_mult8553">[90]к2!#REF!</definedName>
    <definedName name="norm_NTM_multivit_sugar" localSheetId="12">[90]к2!#REF!</definedName>
    <definedName name="norm_NTM_multivit_sugar" localSheetId="11">[90]к2!#REF!</definedName>
    <definedName name="norm_NTM_multivit_sugar" localSheetId="10">[90]к2!#REF!</definedName>
    <definedName name="norm_NTM_multivit_sugar">[90]к2!#REF!</definedName>
    <definedName name="norm_NTM_multivit_vitmix" localSheetId="12">[90]к2!#REF!</definedName>
    <definedName name="norm_NTM_multivit_vitmix" localSheetId="11">[90]к2!#REF!</definedName>
    <definedName name="norm_NTM_multivit_vitmix" localSheetId="10">[90]к2!#REF!</definedName>
    <definedName name="norm_NTM_multivit_vitmix">[90]к2!#REF!</definedName>
    <definedName name="norm_NTM_orange_citricacid" localSheetId="12">[90]к2!#REF!</definedName>
    <definedName name="norm_NTM_orange_citricacid" localSheetId="11">[90]к2!#REF!</definedName>
    <definedName name="norm_NTM_orange_citricacid" localSheetId="10">[90]к2!#REF!</definedName>
    <definedName name="norm_NTM_orange_citricacid">[90]к2!#REF!</definedName>
    <definedName name="norm_NTM_orange_pulp" localSheetId="12">[90]к2!#REF!</definedName>
    <definedName name="norm_NTM_orange_pulp" localSheetId="11">[90]к2!#REF!</definedName>
    <definedName name="norm_NTM_orange_pulp" localSheetId="10">[90]к2!#REF!</definedName>
    <definedName name="norm_NTM_orange_pulp">[90]к2!#REF!</definedName>
    <definedName name="norm_NTM_orange_sugar" localSheetId="12">[90]к2!#REF!</definedName>
    <definedName name="norm_NTM_orange_sugar" localSheetId="11">[90]к2!#REF!</definedName>
    <definedName name="norm_NTM_orange_sugar" localSheetId="10">[90]к2!#REF!</definedName>
    <definedName name="norm_NTM_orange_sugar">[90]к2!#REF!</definedName>
    <definedName name="norm_NTM_orangeapricotnectar_orangeapricot8555" localSheetId="12">[90]к2!#REF!</definedName>
    <definedName name="norm_NTM_orangeapricotnectar_orangeapricot8555" localSheetId="11">[90]к2!#REF!</definedName>
    <definedName name="norm_NTM_orangeapricotnectar_orangeapricot8555" localSheetId="10">[90]к2!#REF!</definedName>
    <definedName name="norm_NTM_orangeapricotnectar_orangeapricot8555">[90]к2!#REF!</definedName>
    <definedName name="norm_NTM_orangemango_3503" localSheetId="12">[90]к2!#REF!</definedName>
    <definedName name="norm_NTM_orangemango_3503" localSheetId="11">[90]к2!#REF!</definedName>
    <definedName name="norm_NTM_orangemango_3503" localSheetId="10">[90]к2!#REF!</definedName>
    <definedName name="norm_NTM_orangemango_3503">[90]к2!#REF!</definedName>
    <definedName name="norm_NTM_orangemango_citricacid" localSheetId="12">[90]к2!#REF!</definedName>
    <definedName name="norm_NTM_orangemango_citricacid" localSheetId="11">[90]к2!#REF!</definedName>
    <definedName name="norm_NTM_orangemango_citricacid" localSheetId="10">[90]к2!#REF!</definedName>
    <definedName name="norm_NTM_orangemango_citricacid">[90]к2!#REF!</definedName>
    <definedName name="norm_NTM_orangemango_mango8661" localSheetId="12">[90]к2!#REF!</definedName>
    <definedName name="norm_NTM_orangemango_mango8661" localSheetId="11">[90]к2!#REF!</definedName>
    <definedName name="norm_NTM_orangemango_mango8661" localSheetId="10">[90]к2!#REF!</definedName>
    <definedName name="norm_NTM_orangemango_mango8661">[90]к2!#REF!</definedName>
    <definedName name="norm_NTM_orangemango_sugar" localSheetId="12">[90]к2!#REF!</definedName>
    <definedName name="norm_NTM_orangemango_sugar" localSheetId="11">[90]к2!#REF!</definedName>
    <definedName name="norm_NTM_orangemango_sugar" localSheetId="10">[90]к2!#REF!</definedName>
    <definedName name="norm_NTM_orangemango_sugar">[90]к2!#REF!</definedName>
    <definedName name="norm_NTM_pineapple_citricacid" localSheetId="12">[90]к2!#REF!</definedName>
    <definedName name="norm_NTM_pineapple_citricacid" localSheetId="11">[90]к2!#REF!</definedName>
    <definedName name="norm_NTM_pineapple_citricacid" localSheetId="10">[90]к2!#REF!</definedName>
    <definedName name="norm_NTM_pineapple_citricacid">[90]к2!#REF!</definedName>
    <definedName name="norm_NTM_pineapple_pineapple8518" localSheetId="12">[90]к2!#REF!</definedName>
    <definedName name="norm_NTM_pineapple_pineapple8518" localSheetId="11">[90]к2!#REF!</definedName>
    <definedName name="norm_NTM_pineapple_pineapple8518" localSheetId="10">[90]к2!#REF!</definedName>
    <definedName name="norm_NTM_pineapple_pineapple8518">[90]к2!#REF!</definedName>
    <definedName name="norm_NTM_pineapple_sugar" localSheetId="12">[90]к2!#REF!</definedName>
    <definedName name="norm_NTM_pineapple_sugar" localSheetId="11">[90]к2!#REF!</definedName>
    <definedName name="norm_NTM_pineapple_sugar" localSheetId="10">[90]к2!#REF!</definedName>
    <definedName name="norm_NTM_pineapple_sugar">[90]к2!#REF!</definedName>
    <definedName name="norm_NTM_tomato_salt" localSheetId="12">[90]к2!#REF!</definedName>
    <definedName name="norm_NTM_tomato_salt" localSheetId="11">[90]к2!#REF!</definedName>
    <definedName name="norm_NTM_tomato_salt" localSheetId="10">[90]к2!#REF!</definedName>
    <definedName name="norm_NTM_tomato_salt">[90]к2!#REF!</definedName>
    <definedName name="norm_NTM_tomato_tomato25bx" localSheetId="12">[90]к2!#REF!</definedName>
    <definedName name="norm_NTM_tomato_tomato25bx" localSheetId="11">[90]к2!#REF!</definedName>
    <definedName name="norm_NTM_tomato_tomato25bx" localSheetId="10">[90]к2!#REF!</definedName>
    <definedName name="norm_NTM_tomato_tomato25bx">[90]к2!#REF!</definedName>
    <definedName name="norm_orange_02" localSheetId="15">#REF!</definedName>
    <definedName name="norm_orange_02" localSheetId="12">#REF!</definedName>
    <definedName name="norm_orange_02" localSheetId="11">#REF!</definedName>
    <definedName name="norm_orange_02" localSheetId="8">#REF!</definedName>
    <definedName name="norm_orange_02" localSheetId="9">#REF!</definedName>
    <definedName name="norm_orange_02" localSheetId="10">#REF!</definedName>
    <definedName name="norm_orange_02" localSheetId="6">#REF!</definedName>
    <definedName name="norm_orange_02" localSheetId="5">#REF!</definedName>
    <definedName name="norm_orange_02" localSheetId="4">#REF!</definedName>
    <definedName name="norm_orange_02">#REF!</definedName>
    <definedName name="norm_orange_3503_nectar" localSheetId="15">#REF!</definedName>
    <definedName name="norm_orange_3503_nectar" localSheetId="12">#REF!</definedName>
    <definedName name="norm_orange_3503_nectar" localSheetId="11">#REF!</definedName>
    <definedName name="norm_orange_3503_nectar" localSheetId="8">#REF!</definedName>
    <definedName name="norm_orange_3503_nectar" localSheetId="9">#REF!</definedName>
    <definedName name="norm_orange_3503_nectar" localSheetId="10">#REF!</definedName>
    <definedName name="norm_orange_3503_nectar">#REF!</definedName>
    <definedName name="norm_orange_3503_recap" localSheetId="15">#REF!</definedName>
    <definedName name="norm_orange_3503_recap" localSheetId="12">#REF!</definedName>
    <definedName name="norm_orange_3503_recap" localSheetId="11">#REF!</definedName>
    <definedName name="norm_orange_3503_recap" localSheetId="8">#REF!</definedName>
    <definedName name="norm_orange_3503_recap" localSheetId="9">#REF!</definedName>
    <definedName name="norm_orange_3503_recap" localSheetId="10">#REF!</definedName>
    <definedName name="norm_orange_3503_recap">#REF!</definedName>
    <definedName name="norm_orange_3550_nectar" localSheetId="12">#REF!</definedName>
    <definedName name="norm_orange_3550_nectar" localSheetId="11">#REF!</definedName>
    <definedName name="norm_orange_3550_nectar" localSheetId="8">#REF!</definedName>
    <definedName name="norm_orange_3550_nectar" localSheetId="9">#REF!</definedName>
    <definedName name="norm_orange_3550_nectar" localSheetId="10">#REF!</definedName>
    <definedName name="norm_orange_3550_nectar">#REF!</definedName>
    <definedName name="norm_orange_frozen_old" localSheetId="12">#REF!</definedName>
    <definedName name="norm_orange_frozen_old" localSheetId="11">#REF!</definedName>
    <definedName name="norm_orange_frozen_old" localSheetId="8">#REF!</definedName>
    <definedName name="norm_orange_frozen_old" localSheetId="9">#REF!</definedName>
    <definedName name="norm_orange_frozen_old" localSheetId="10">#REF!</definedName>
    <definedName name="norm_orange_frozen_old">#REF!</definedName>
    <definedName name="norm_orange_frozen_recap" localSheetId="12">#REF!</definedName>
    <definedName name="norm_orange_frozen_recap" localSheetId="11">#REF!</definedName>
    <definedName name="norm_orange_frozen_recap" localSheetId="8">#REF!</definedName>
    <definedName name="norm_orange_frozen_recap" localSheetId="9">#REF!</definedName>
    <definedName name="norm_orange_frozen_recap" localSheetId="10">#REF!</definedName>
    <definedName name="norm_orange_frozen_recap">#REF!</definedName>
    <definedName name="norm_orangeapricot_nectar" localSheetId="12">#REF!</definedName>
    <definedName name="norm_orangeapricot_nectar" localSheetId="11">#REF!</definedName>
    <definedName name="norm_orangeapricot_nectar" localSheetId="8">#REF!</definedName>
    <definedName name="norm_orangeapricot_nectar" localSheetId="9">#REF!</definedName>
    <definedName name="norm_orangeapricot_nectar" localSheetId="10">#REF!</definedName>
    <definedName name="norm_orangeapricot_nectar">#REF!</definedName>
    <definedName name="norm_orangeapricot_old" localSheetId="12">#REF!</definedName>
    <definedName name="norm_orangeapricot_old" localSheetId="11">#REF!</definedName>
    <definedName name="norm_orangeapricot_old" localSheetId="8">#REF!</definedName>
    <definedName name="norm_orangeapricot_old" localSheetId="9">#REF!</definedName>
    <definedName name="norm_orangeapricot_old" localSheetId="10">#REF!</definedName>
    <definedName name="norm_orangeapricot_old">#REF!</definedName>
    <definedName name="norm_peach_02" localSheetId="12">#REF!</definedName>
    <definedName name="norm_peach_02" localSheetId="11">#REF!</definedName>
    <definedName name="norm_peach_02" localSheetId="8">#REF!</definedName>
    <definedName name="norm_peach_02" localSheetId="9">#REF!</definedName>
    <definedName name="norm_peach_02" localSheetId="10">#REF!</definedName>
    <definedName name="norm_peach_02">#REF!</definedName>
    <definedName name="norm_peach_old" localSheetId="12">#REF!</definedName>
    <definedName name="norm_peach_old" localSheetId="11">#REF!</definedName>
    <definedName name="norm_peach_old" localSheetId="8">#REF!</definedName>
    <definedName name="norm_peach_old" localSheetId="9">#REF!</definedName>
    <definedName name="norm_peach_old" localSheetId="10">#REF!</definedName>
    <definedName name="norm_peach_old">#REF!</definedName>
    <definedName name="norm_peach_recap" localSheetId="12">#REF!</definedName>
    <definedName name="norm_peach_recap" localSheetId="11">#REF!</definedName>
    <definedName name="norm_peach_recap" localSheetId="8">#REF!</definedName>
    <definedName name="norm_peach_recap" localSheetId="9">#REF!</definedName>
    <definedName name="norm_peach_recap" localSheetId="10">#REF!</definedName>
    <definedName name="norm_peach_recap">#REF!</definedName>
    <definedName name="norm_peachpuree_recap" localSheetId="12">#REF!</definedName>
    <definedName name="norm_peachpuree_recap" localSheetId="11">#REF!</definedName>
    <definedName name="norm_peachpuree_recap" localSheetId="8">#REF!</definedName>
    <definedName name="norm_peachpuree_recap" localSheetId="9">#REF!</definedName>
    <definedName name="norm_peachpuree_recap" localSheetId="10">#REF!</definedName>
    <definedName name="norm_peachpuree_recap">#REF!</definedName>
    <definedName name="norm_pineapple_nectar" localSheetId="12">#REF!</definedName>
    <definedName name="norm_pineapple_nectar" localSheetId="11">#REF!</definedName>
    <definedName name="norm_pineapple_nectar" localSheetId="8">#REF!</definedName>
    <definedName name="norm_pineapple_nectar" localSheetId="9">#REF!</definedName>
    <definedName name="norm_pineapple_nectar" localSheetId="10">#REF!</definedName>
    <definedName name="norm_pineapple_nectar">#REF!</definedName>
    <definedName name="norm_pineapple_nectarpinapplemangolemon" localSheetId="12">#REF!</definedName>
    <definedName name="norm_pineapple_nectarpinapplemangolemon" localSheetId="11">#REF!</definedName>
    <definedName name="norm_pineapple_nectarpinapplemangolemon" localSheetId="8">#REF!</definedName>
    <definedName name="norm_pineapple_nectarpinapplemangolemon" localSheetId="9">#REF!</definedName>
    <definedName name="norm_pineapple_nectarpinapplemangolemon" localSheetId="10">#REF!</definedName>
    <definedName name="norm_pineapple_nectarpinapplemangolemon">#REF!</definedName>
    <definedName name="norm_pineapple_nectpineapplegrapefruit" localSheetId="12">#REF!</definedName>
    <definedName name="norm_pineapple_nectpineapplegrapefruit" localSheetId="11">#REF!</definedName>
    <definedName name="norm_pineapple_nectpineapplegrapefruit" localSheetId="8">#REF!</definedName>
    <definedName name="norm_pineapple_nectpineapplegrapefruit" localSheetId="9">#REF!</definedName>
    <definedName name="norm_pineapple_nectpineapplegrapefruit" localSheetId="10">#REF!</definedName>
    <definedName name="norm_pineapple_nectpineapplegrapefruit">#REF!</definedName>
    <definedName name="norm_pineapple_oldandrecap" localSheetId="12">#REF!</definedName>
    <definedName name="norm_pineapple_oldandrecap" localSheetId="11">#REF!</definedName>
    <definedName name="norm_pineapple_oldandrecap" localSheetId="8">#REF!</definedName>
    <definedName name="norm_pineapple_oldandrecap" localSheetId="9">#REF!</definedName>
    <definedName name="norm_pineapple_oldandrecap" localSheetId="10">#REF!</definedName>
    <definedName name="norm_pineapple_oldandrecap">#REF!</definedName>
    <definedName name="norm_pineapple_pineapple02" localSheetId="12">#REF!</definedName>
    <definedName name="norm_pineapple_pineapple02" localSheetId="11">#REF!</definedName>
    <definedName name="norm_pineapple_pineapple02" localSheetId="8">#REF!</definedName>
    <definedName name="norm_pineapple_pineapple02" localSheetId="9">#REF!</definedName>
    <definedName name="norm_pineapple_pineapple02" localSheetId="10">#REF!</definedName>
    <definedName name="norm_pineapple_pineapple02">#REF!</definedName>
    <definedName name="norm_pineapple_recap" localSheetId="12">#REF!</definedName>
    <definedName name="norm_pineapple_recap" localSheetId="11">#REF!</definedName>
    <definedName name="norm_pineapple_recap" localSheetId="8">#REF!</definedName>
    <definedName name="norm_pineapple_recap" localSheetId="9">#REF!</definedName>
    <definedName name="norm_pineapple_recap" localSheetId="10">#REF!</definedName>
    <definedName name="norm_pineapple_recap">#REF!</definedName>
    <definedName name="norm_pulp_nectar" localSheetId="12">#REF!</definedName>
    <definedName name="norm_pulp_nectar" localSheetId="11">#REF!</definedName>
    <definedName name="norm_pulp_nectar" localSheetId="8">#REF!</definedName>
    <definedName name="norm_pulp_nectar" localSheetId="9">#REF!</definedName>
    <definedName name="norm_pulp_nectar" localSheetId="10">#REF!</definedName>
    <definedName name="norm_pulp_nectar">#REF!</definedName>
    <definedName name="norm_pulp_recap" localSheetId="12">#REF!</definedName>
    <definedName name="norm_pulp_recap" localSheetId="11">#REF!</definedName>
    <definedName name="norm_pulp_recap" localSheetId="8">#REF!</definedName>
    <definedName name="norm_pulp_recap" localSheetId="9">#REF!</definedName>
    <definedName name="norm_pulp_recap" localSheetId="10">#REF!</definedName>
    <definedName name="norm_pulp_recap">#REF!</definedName>
    <definedName name="norm_raspberry_raspberryapple_new" localSheetId="12">#REF!</definedName>
    <definedName name="norm_raspberry_raspberryapple_new" localSheetId="11">#REF!</definedName>
    <definedName name="norm_raspberry_raspberryapple_new" localSheetId="8">#REF!</definedName>
    <definedName name="norm_raspberry_raspberryapple_new" localSheetId="9">#REF!</definedName>
    <definedName name="norm_raspberry_raspberryapple_new" localSheetId="10">#REF!</definedName>
    <definedName name="norm_raspberry_raspberryapple_new">#REF!</definedName>
    <definedName name="norm_raspberryapple_old" localSheetId="12">#REF!</definedName>
    <definedName name="norm_raspberryapple_old" localSheetId="11">#REF!</definedName>
    <definedName name="norm_raspberryapple_old" localSheetId="8">#REF!</definedName>
    <definedName name="norm_raspberryapple_old" localSheetId="9">#REF!</definedName>
    <definedName name="norm_raspberryapple_old" localSheetId="10">#REF!</definedName>
    <definedName name="norm_raspberryapple_old">#REF!</definedName>
    <definedName name="norm_redgrapefruit_nectar" localSheetId="12">#REF!</definedName>
    <definedName name="norm_redgrapefruit_nectar" localSheetId="11">#REF!</definedName>
    <definedName name="norm_redgrapefruit_nectar" localSheetId="8">#REF!</definedName>
    <definedName name="norm_redgrapefruit_nectar" localSheetId="9">#REF!</definedName>
    <definedName name="norm_redgrapefruit_nectar" localSheetId="10">#REF!</definedName>
    <definedName name="norm_redgrapefruit_nectar">#REF!</definedName>
    <definedName name="norm_redgrapefruit_nectpingrapefruit" localSheetId="12">#REF!</definedName>
    <definedName name="norm_redgrapefruit_nectpingrapefruit" localSheetId="11">#REF!</definedName>
    <definedName name="norm_redgrapefruit_nectpingrapefruit" localSheetId="8">#REF!</definedName>
    <definedName name="norm_redgrapefruit_nectpingrapefruit" localSheetId="9">#REF!</definedName>
    <definedName name="norm_redgrapefruit_nectpingrapefruit" localSheetId="10">#REF!</definedName>
    <definedName name="norm_redgrapefruit_nectpingrapefruit">#REF!</definedName>
    <definedName name="norm_redgrapefruit_old" localSheetId="12">#REF!</definedName>
    <definedName name="norm_redgrapefruit_old" localSheetId="11">#REF!</definedName>
    <definedName name="norm_redgrapefruit_old" localSheetId="8">#REF!</definedName>
    <definedName name="norm_redgrapefruit_old" localSheetId="9">#REF!</definedName>
    <definedName name="norm_redgrapefruit_old" localSheetId="10">#REF!</definedName>
    <definedName name="norm_redgrapefruit_old">#REF!</definedName>
    <definedName name="norm_redgrapefruit_recap" localSheetId="12">#REF!</definedName>
    <definedName name="norm_redgrapefruit_recap" localSheetId="11">#REF!</definedName>
    <definedName name="norm_redgrapefruit_recap" localSheetId="8">#REF!</definedName>
    <definedName name="norm_redgrapefruit_recap" localSheetId="9">#REF!</definedName>
    <definedName name="norm_redgrapefruit_recap" localSheetId="10">#REF!</definedName>
    <definedName name="norm_redgrapefruit_recap">#REF!</definedName>
    <definedName name="norm_strawberry_strawberryapple_new" localSheetId="12">#REF!</definedName>
    <definedName name="norm_strawberry_strawberryapple_new" localSheetId="11">#REF!</definedName>
    <definedName name="norm_strawberry_strawberryapple_new" localSheetId="8">#REF!</definedName>
    <definedName name="norm_strawberry_strawberryapple_new" localSheetId="9">#REF!</definedName>
    <definedName name="norm_strawberry_strawberryapple_new" localSheetId="10">#REF!</definedName>
    <definedName name="norm_strawberry_strawberryapple_new">#REF!</definedName>
    <definedName name="norm_strawberryapple_old" localSheetId="12">#REF!</definedName>
    <definedName name="norm_strawberryapple_old" localSheetId="11">#REF!</definedName>
    <definedName name="norm_strawberryapple_old" localSheetId="8">#REF!</definedName>
    <definedName name="norm_strawberryapple_old" localSheetId="9">#REF!</definedName>
    <definedName name="norm_strawberryapple_old" localSheetId="10">#REF!</definedName>
    <definedName name="norm_strawberryapple_old">#REF!</definedName>
    <definedName name="norm_tomato_old" localSheetId="12">#REF!</definedName>
    <definedName name="norm_tomato_old" localSheetId="11">#REF!</definedName>
    <definedName name="norm_tomato_old" localSheetId="8">#REF!</definedName>
    <definedName name="norm_tomato_old" localSheetId="9">#REF!</definedName>
    <definedName name="norm_tomato_old" localSheetId="10">#REF!</definedName>
    <definedName name="norm_tomato_old">#REF!</definedName>
    <definedName name="norm_tomato_recap" localSheetId="12">#REF!</definedName>
    <definedName name="norm_tomato_recap" localSheetId="11">#REF!</definedName>
    <definedName name="norm_tomato_recap" localSheetId="8">#REF!</definedName>
    <definedName name="norm_tomato_recap" localSheetId="9">#REF!</definedName>
    <definedName name="norm_tomato_recap" localSheetId="10">#REF!</definedName>
    <definedName name="norm_tomato_recap">#REF!</definedName>
    <definedName name="norm_tomato_standard" localSheetId="12">#REF!</definedName>
    <definedName name="norm_tomato_standard" localSheetId="11">#REF!</definedName>
    <definedName name="norm_tomato_standard" localSheetId="8">#REF!</definedName>
    <definedName name="norm_tomato_standard" localSheetId="9">#REF!</definedName>
    <definedName name="norm_tomato_standard" localSheetId="10">#REF!</definedName>
    <definedName name="norm_tomato_standard">#REF!</definedName>
    <definedName name="norm_whitegrapefruit_grapefruitrecap" localSheetId="12">#REF!</definedName>
    <definedName name="norm_whitegrapefruit_grapefruitrecap" localSheetId="11">#REF!</definedName>
    <definedName name="norm_whitegrapefruit_grapefruitrecap" localSheetId="8">#REF!</definedName>
    <definedName name="norm_whitegrapefruit_grapefruitrecap" localSheetId="9">#REF!</definedName>
    <definedName name="norm_whitegrapefruit_grapefruitrecap" localSheetId="10">#REF!</definedName>
    <definedName name="norm_whitegrapefruit_grapefruitrecap">#REF!</definedName>
    <definedName name="normNTM_orange_orangecargill" localSheetId="12">[90]к2!#REF!</definedName>
    <definedName name="normNTM_orange_orangecargill" localSheetId="11">[90]к2!#REF!</definedName>
    <definedName name="normNTM_orange_orangecargill" localSheetId="8">[90]к2!#REF!</definedName>
    <definedName name="normNTM_orange_orangecargill" localSheetId="9">[90]к2!#REF!</definedName>
    <definedName name="normNTM_orange_orangecargill" localSheetId="10">[90]к2!#REF!</definedName>
    <definedName name="normNTM_orange_orangecargill">[90]к2!#REF!</definedName>
    <definedName name="NSRF" localSheetId="15">#REF!</definedName>
    <definedName name="NSRF" localSheetId="12">#REF!</definedName>
    <definedName name="NSRF" localSheetId="11">#REF!</definedName>
    <definedName name="NSRF" localSheetId="8">#REF!</definedName>
    <definedName name="NSRF" localSheetId="9">#REF!</definedName>
    <definedName name="NSRF" localSheetId="10">#REF!</definedName>
    <definedName name="NSRF" localSheetId="6">#REF!</definedName>
    <definedName name="NSRF" localSheetId="5">#REF!</definedName>
    <definedName name="NSRF" localSheetId="4">#REF!</definedName>
    <definedName name="NSRF">#REF!</definedName>
    <definedName name="O" localSheetId="15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2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3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1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8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9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1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6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5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4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15">#REF!</definedName>
    <definedName name="Ob" localSheetId="12">#REF!</definedName>
    <definedName name="Ob" localSheetId="11">#REF!</definedName>
    <definedName name="Ob" localSheetId="8">#REF!</definedName>
    <definedName name="Ob" localSheetId="9">#REF!</definedName>
    <definedName name="Ob" localSheetId="10">#REF!</definedName>
    <definedName name="Ob" localSheetId="6">#REF!</definedName>
    <definedName name="Ob" localSheetId="5">#REF!</definedName>
    <definedName name="Ob" localSheetId="4">#REF!</definedName>
    <definedName name="Ob">#REF!</definedName>
    <definedName name="OBR46.XLS" localSheetId="15">#REF!</definedName>
    <definedName name="OBR46.XLS" localSheetId="12">#REF!</definedName>
    <definedName name="OBR46.XLS" localSheetId="11">#REF!</definedName>
    <definedName name="OBR46.XLS" localSheetId="8">#REF!</definedName>
    <definedName name="OBR46.XLS" localSheetId="9">#REF!</definedName>
    <definedName name="OBR46.XLS" localSheetId="10">#REF!</definedName>
    <definedName name="OBR46.XLS">#REF!</definedName>
    <definedName name="OKTMO" localSheetId="15">#REF!</definedName>
    <definedName name="OKTMO" localSheetId="12">#REF!</definedName>
    <definedName name="OKTMO" localSheetId="11">#REF!</definedName>
    <definedName name="OKTMO" localSheetId="8">#REF!</definedName>
    <definedName name="OKTMO" localSheetId="9">#REF!</definedName>
    <definedName name="OKTMO" localSheetId="10">#REF!</definedName>
    <definedName name="OKTMO">#REF!</definedName>
    <definedName name="Oplata" localSheetId="12">#REF!</definedName>
    <definedName name="Oplata" localSheetId="11">#REF!</definedName>
    <definedName name="Oplata" localSheetId="8">#REF!</definedName>
    <definedName name="Oplata" localSheetId="9">#REF!</definedName>
    <definedName name="Oplata" localSheetId="10">#REF!</definedName>
    <definedName name="Oplata">#REF!</definedName>
    <definedName name="org" localSheetId="3">[91]Титульный!$F$17</definedName>
    <definedName name="org" localSheetId="11">[92]Титульный!$F$17</definedName>
    <definedName name="org" localSheetId="8">[92]Титульный!$F$17</definedName>
    <definedName name="org" localSheetId="9">[92]Титульный!$F$17</definedName>
    <definedName name="org" localSheetId="10">[93]Титульный!$F$17</definedName>
    <definedName name="org" localSheetId="6">[93]Титульный!$F$17</definedName>
    <definedName name="org" localSheetId="5">[93]Титульный!$F$17</definedName>
    <definedName name="org" localSheetId="4">[94]Титульный!$F$17</definedName>
    <definedName name="org">[92]Титульный!$F$17</definedName>
    <definedName name="overheads" localSheetId="15">#REF!</definedName>
    <definedName name="overheads" localSheetId="12">#REF!</definedName>
    <definedName name="overheads" localSheetId="11">#REF!</definedName>
    <definedName name="overheads" localSheetId="8">#REF!</definedName>
    <definedName name="overheads" localSheetId="9">#REF!</definedName>
    <definedName name="overheads" localSheetId="10">#REF!</definedName>
    <definedName name="overheads" localSheetId="6">#REF!</definedName>
    <definedName name="overheads" localSheetId="5">#REF!</definedName>
    <definedName name="overheads" localSheetId="4">#REF!</definedName>
    <definedName name="overheads">#REF!</definedName>
    <definedName name="P_TYPE" localSheetId="12">[95]Титульный!#REF!</definedName>
    <definedName name="P_TYPE" localSheetId="11">[95]Титульный!#REF!</definedName>
    <definedName name="P_TYPE" localSheetId="6">[95]Титульный!#REF!</definedName>
    <definedName name="P_TYPE" localSheetId="5">[95]Титульный!#REF!</definedName>
    <definedName name="P_TYPE" localSheetId="4">[95]Титульный!#REF!</definedName>
    <definedName name="P_TYPE">[95]Титульный!#REF!</definedName>
    <definedName name="P_TYPE_GROUP">[95]TSheet!$W$2:$W$6</definedName>
    <definedName name="P1_ESO_PROT" localSheetId="15" hidden="1">#REF!,#REF!,#REF!,#REF!,#REF!,#REF!,#REF!,#REF!</definedName>
    <definedName name="P1_ESO_PROT" localSheetId="12" hidden="1">#REF!,#REF!,#REF!,#REF!,#REF!,#REF!,#REF!,#REF!</definedName>
    <definedName name="P1_ESO_PROT" localSheetId="7" hidden="1">#REF!,#REF!,#REF!,#REF!,#REF!,#REF!,#REF!,#REF!</definedName>
    <definedName name="P1_ESO_PROT" localSheetId="11" hidden="1">#REF!,#REF!,#REF!,#REF!,#REF!,#REF!,#REF!,#REF!</definedName>
    <definedName name="P1_ESO_PROT" localSheetId="8" hidden="1">#REF!,#REF!,#REF!,#REF!,#REF!,#REF!,#REF!,#REF!</definedName>
    <definedName name="P1_ESO_PROT" localSheetId="9" hidden="1">#REF!,#REF!,#REF!,#REF!,#REF!,#REF!,#REF!,#REF!</definedName>
    <definedName name="P1_ESO_PROT" localSheetId="10" hidden="1">#REF!,#REF!,#REF!,#REF!,#REF!,#REF!,#REF!,#REF!</definedName>
    <definedName name="P1_ESO_PROT" localSheetId="6" hidden="1">#REF!,#REF!,#REF!,#REF!,#REF!,#REF!,#REF!,#REF!</definedName>
    <definedName name="P1_ESO_PROT" localSheetId="5" hidden="1">#REF!,#REF!,#REF!,#REF!,#REF!,#REF!,#REF!,#REF!</definedName>
    <definedName name="P1_ESO_PROT" localSheetId="4" hidden="1">#REF!,#REF!,#REF!,#REF!,#REF!,#REF!,#REF!,#REF!</definedName>
    <definedName name="P1_ESO_PROT" hidden="1">#REF!,#REF!,#REF!,#REF!,#REF!,#REF!,#REF!,#REF!</definedName>
    <definedName name="P1_SBT_PROT" localSheetId="15" hidden="1">#REF!,#REF!,#REF!,#REF!,#REF!,#REF!,#REF!</definedName>
    <definedName name="P1_SBT_PROT" localSheetId="12" hidden="1">#REF!,#REF!,#REF!,#REF!,#REF!,#REF!,#REF!</definedName>
    <definedName name="P1_SBT_PROT" localSheetId="7" hidden="1">#REF!,#REF!,#REF!,#REF!,#REF!,#REF!,#REF!</definedName>
    <definedName name="P1_SBT_PROT" localSheetId="11" hidden="1">#REF!,#REF!,#REF!,#REF!,#REF!,#REF!,#REF!</definedName>
    <definedName name="P1_SBT_PROT" localSheetId="8" hidden="1">#REF!,#REF!,#REF!,#REF!,#REF!,#REF!,#REF!</definedName>
    <definedName name="P1_SBT_PROT" localSheetId="9" hidden="1">#REF!,#REF!,#REF!,#REF!,#REF!,#REF!,#REF!</definedName>
    <definedName name="P1_SBT_PROT" localSheetId="10" hidden="1">#REF!,#REF!,#REF!,#REF!,#REF!,#REF!,#REF!</definedName>
    <definedName name="P1_SBT_PROT" localSheetId="6" hidden="1">#REF!,#REF!,#REF!,#REF!,#REF!,#REF!,#REF!</definedName>
    <definedName name="P1_SBT_PROT" localSheetId="5" hidden="1">#REF!,#REF!,#REF!,#REF!,#REF!,#REF!,#REF!</definedName>
    <definedName name="P1_SBT_PROT" localSheetId="4" hidden="1">#REF!,#REF!,#REF!,#REF!,#REF!,#REF!,#REF!</definedName>
    <definedName name="P1_SBT_PROT" hidden="1">#REF!,#REF!,#REF!,#REF!,#REF!,#REF!,#REF!</definedName>
    <definedName name="P1_SCOPE_16_PRT" localSheetId="15" hidden="1">[96]Лист1!$E$15:$I$16,[96]Лист1!$E$18:$I$20,[96]Лист1!$E$23:$I$23,[96]Лист1!$E$26:$I$26,[96]Лист1!$E$29:$I$29,[96]Лист1!$E$32:$I$32,[96]Лист1!$E$35:$I$35,[96]Лист1!$B$34,[96]Лист1!$B$37</definedName>
    <definedName name="P1_SCOPE_16_PRT" localSheetId="11" hidden="1">[96]Лист1!$E$15:$I$16,[96]Лист1!$E$18:$I$20,[96]Лист1!$E$23:$I$23,[96]Лист1!$E$26:$I$26,[96]Лист1!$E$29:$I$29,[96]Лист1!$E$32:$I$32,[96]Лист1!$E$35:$I$35,[96]Лист1!$B$34,[96]Лист1!$B$37</definedName>
    <definedName name="P1_SCOPE_16_PRT" localSheetId="8" hidden="1">[96]Лист1!$E$15:$I$16,[96]Лист1!$E$18:$I$20,[96]Лист1!$E$23:$I$23,[96]Лист1!$E$26:$I$26,[96]Лист1!$E$29:$I$29,[96]Лист1!$E$32:$I$32,[96]Лист1!$E$35:$I$35,[96]Лист1!$B$34,[96]Лист1!$B$37</definedName>
    <definedName name="P1_SCOPE_16_PRT" localSheetId="9" hidden="1">[96]Лист1!$E$15:$I$16,[96]Лист1!$E$18:$I$20,[96]Лист1!$E$23:$I$23,[96]Лист1!$E$26:$I$26,[96]Лист1!$E$29:$I$29,[96]Лист1!$E$32:$I$32,[96]Лист1!$E$35:$I$35,[96]Лист1!$B$34,[96]Лист1!$B$37</definedName>
    <definedName name="P1_SCOPE_16_PRT" localSheetId="6" hidden="1">[97]Лист1!$E$15:$I$16,[97]Лист1!$E$18:$I$20,[97]Лист1!$E$23:$I$23,[97]Лист1!$E$26:$I$26,[97]Лист1!$E$29:$I$29,[97]Лист1!$E$32:$I$32,[97]Лист1!$E$35:$I$35,[97]Лист1!$B$34,[97]Лист1!$B$37</definedName>
    <definedName name="P1_SCOPE_16_PRT" localSheetId="5" hidden="1">[97]Лист1!$E$15:$I$16,[97]Лист1!$E$18:$I$20,[97]Лист1!$E$23:$I$23,[97]Лист1!$E$26:$I$26,[97]Лист1!$E$29:$I$29,[97]Лист1!$E$32:$I$32,[97]Лист1!$E$35:$I$35,[97]Лист1!$B$34,[97]Лист1!$B$37</definedName>
    <definedName name="P1_SCOPE_16_PRT" localSheetId="4" hidden="1">[97]Лист1!$E$15:$I$16,[97]Лист1!$E$18:$I$20,[97]Лист1!$E$23:$I$23,[97]Лист1!$E$26:$I$26,[97]Лист1!$E$29:$I$29,[97]Лист1!$E$32:$I$32,[97]Лист1!$E$35:$I$35,[97]Лист1!$B$34,[97]Лист1!$B$37</definedName>
    <definedName name="P1_SCOPE_16_PRT" hidden="1">[97]Лист1!$E$15:$I$16,[97]Лист1!$E$18:$I$20,[97]Лист1!$E$23:$I$23,[97]Лист1!$E$26:$I$26,[97]Лист1!$E$29:$I$29,[97]Лист1!$E$32:$I$32,[97]Лист1!$E$35:$I$35,[97]Лист1!$B$34,[97]Лист1!$B$37</definedName>
    <definedName name="P1_SCOPE_17_PRT" localSheetId="15" hidden="1">#REF!,#REF!,#REF!,#REF!,#REF!,#REF!,#REF!,#REF!</definedName>
    <definedName name="P1_SCOPE_17_PRT" localSheetId="12" hidden="1">#REF!,#REF!,#REF!,#REF!,#REF!,#REF!,#REF!,#REF!</definedName>
    <definedName name="P1_SCOPE_17_PRT" localSheetId="7" hidden="1">#REF!,#REF!,#REF!,#REF!,#REF!,#REF!,#REF!,#REF!</definedName>
    <definedName name="P1_SCOPE_17_PRT" localSheetId="11" hidden="1">#REF!,#REF!,#REF!,#REF!,#REF!,#REF!,#REF!,#REF!</definedName>
    <definedName name="P1_SCOPE_17_PRT" localSheetId="8" hidden="1">#REF!,#REF!,#REF!,#REF!,#REF!,#REF!,#REF!,#REF!</definedName>
    <definedName name="P1_SCOPE_17_PRT" localSheetId="9" hidden="1">#REF!,#REF!,#REF!,#REF!,#REF!,#REF!,#REF!,#REF!</definedName>
    <definedName name="P1_SCOPE_17_PRT" localSheetId="10" hidden="1">#REF!,#REF!,#REF!,#REF!,#REF!,#REF!,#REF!,#REF!</definedName>
    <definedName name="P1_SCOPE_17_PRT" localSheetId="6" hidden="1">#REF!,#REF!,#REF!,#REF!,#REF!,#REF!,#REF!,#REF!</definedName>
    <definedName name="P1_SCOPE_17_PRT" localSheetId="5" hidden="1">#REF!,#REF!,#REF!,#REF!,#REF!,#REF!,#REF!,#REF!</definedName>
    <definedName name="P1_SCOPE_17_PRT" localSheetId="4" hidden="1">#REF!,#REF!,#REF!,#REF!,#REF!,#REF!,#REF!,#REF!</definedName>
    <definedName name="P1_SCOPE_17_PRT" hidden="1">#REF!,#REF!,#REF!,#REF!,#REF!,#REF!,#REF!,#REF!</definedName>
    <definedName name="P1_SCOPE_4_PRT" localSheetId="15" hidden="1">#REF!,#REF!,#REF!,#REF!,#REF!,#REF!,#REF!,#REF!,#REF!</definedName>
    <definedName name="P1_SCOPE_4_PRT" localSheetId="12" hidden="1">#REF!,#REF!,#REF!,#REF!,#REF!,#REF!,#REF!,#REF!,#REF!</definedName>
    <definedName name="P1_SCOPE_4_PRT" localSheetId="7" hidden="1">#REF!,#REF!,#REF!,#REF!,#REF!,#REF!,#REF!,#REF!,#REF!</definedName>
    <definedName name="P1_SCOPE_4_PRT" localSheetId="11" hidden="1">#REF!,#REF!,#REF!,#REF!,#REF!,#REF!,#REF!,#REF!,#REF!</definedName>
    <definedName name="P1_SCOPE_4_PRT" localSheetId="8" hidden="1">#REF!,#REF!,#REF!,#REF!,#REF!,#REF!,#REF!,#REF!,#REF!</definedName>
    <definedName name="P1_SCOPE_4_PRT" localSheetId="9" hidden="1">#REF!,#REF!,#REF!,#REF!,#REF!,#REF!,#REF!,#REF!,#REF!</definedName>
    <definedName name="P1_SCOPE_4_PRT" localSheetId="10" hidden="1">#REF!,#REF!,#REF!,#REF!,#REF!,#REF!,#REF!,#REF!,#REF!</definedName>
    <definedName name="P1_SCOPE_4_PRT" localSheetId="6" hidden="1">#REF!,#REF!,#REF!,#REF!,#REF!,#REF!,#REF!,#REF!,#REF!</definedName>
    <definedName name="P1_SCOPE_4_PRT" localSheetId="5" hidden="1">#REF!,#REF!,#REF!,#REF!,#REF!,#REF!,#REF!,#REF!,#REF!</definedName>
    <definedName name="P1_SCOPE_4_PRT" localSheetId="4" hidden="1">#REF!,#REF!,#REF!,#REF!,#REF!,#REF!,#REF!,#REF!,#REF!</definedName>
    <definedName name="P1_SCOPE_4_PRT" hidden="1">#REF!,#REF!,#REF!,#REF!,#REF!,#REF!,#REF!,#REF!,#REF!</definedName>
    <definedName name="P1_SCOPE_5_PRT" localSheetId="12" hidden="1">#REF!,#REF!,#REF!,#REF!,#REF!,#REF!,#REF!,#REF!,#REF!</definedName>
    <definedName name="P1_SCOPE_5_PRT" localSheetId="7" hidden="1">#REF!,#REF!,#REF!,#REF!,#REF!,#REF!,#REF!,#REF!,#REF!</definedName>
    <definedName name="P1_SCOPE_5_PRT" localSheetId="11" hidden="1">#REF!,#REF!,#REF!,#REF!,#REF!,#REF!,#REF!,#REF!,#REF!</definedName>
    <definedName name="P1_SCOPE_5_PRT" localSheetId="8" hidden="1">#REF!,#REF!,#REF!,#REF!,#REF!,#REF!,#REF!,#REF!,#REF!</definedName>
    <definedName name="P1_SCOPE_5_PRT" localSheetId="9" hidden="1">#REF!,#REF!,#REF!,#REF!,#REF!,#REF!,#REF!,#REF!,#REF!</definedName>
    <definedName name="P1_SCOPE_5_PRT" localSheetId="10" hidden="1">#REF!,#REF!,#REF!,#REF!,#REF!,#REF!,#REF!,#REF!,#REF!</definedName>
    <definedName name="P1_SCOPE_5_PRT" hidden="1">#REF!,#REF!,#REF!,#REF!,#REF!,#REF!,#REF!,#REF!,#REF!</definedName>
    <definedName name="P1_SCOPE_F1_PRT" localSheetId="15" hidden="1">#REF!,#REF!,#REF!,#REF!</definedName>
    <definedName name="P1_SCOPE_F1_PRT" localSheetId="12" hidden="1">#REF!,#REF!,#REF!,#REF!</definedName>
    <definedName name="P1_SCOPE_F1_PRT" localSheetId="7" hidden="1">#REF!,#REF!,#REF!,#REF!</definedName>
    <definedName name="P1_SCOPE_F1_PRT" localSheetId="11" hidden="1">#REF!,#REF!,#REF!,#REF!</definedName>
    <definedName name="P1_SCOPE_F1_PRT" localSheetId="8" hidden="1">#REF!,#REF!,#REF!,#REF!</definedName>
    <definedName name="P1_SCOPE_F1_PRT" localSheetId="9" hidden="1">#REF!,#REF!,#REF!,#REF!</definedName>
    <definedName name="P1_SCOPE_F1_PRT" localSheetId="10" hidden="1">#REF!,#REF!,#REF!,#REF!</definedName>
    <definedName name="P1_SCOPE_F1_PRT" localSheetId="6" hidden="1">#REF!,#REF!,#REF!,#REF!</definedName>
    <definedName name="P1_SCOPE_F1_PRT" localSheetId="5" hidden="1">#REF!,#REF!,#REF!,#REF!</definedName>
    <definedName name="P1_SCOPE_F1_PRT" localSheetId="4" hidden="1">#REF!,#REF!,#REF!,#REF!</definedName>
    <definedName name="P1_SCOPE_F1_PRT" hidden="1">#REF!,#REF!,#REF!,#REF!</definedName>
    <definedName name="P1_SCOPE_F2_PRT" localSheetId="12" hidden="1">#REF!,#REF!,#REF!,#REF!</definedName>
    <definedName name="P1_SCOPE_F2_PRT" localSheetId="7" hidden="1">#REF!,#REF!,#REF!,#REF!</definedName>
    <definedName name="P1_SCOPE_F2_PRT" localSheetId="11" hidden="1">#REF!,#REF!,#REF!,#REF!</definedName>
    <definedName name="P1_SCOPE_F2_PRT" localSheetId="8" hidden="1">#REF!,#REF!,#REF!,#REF!</definedName>
    <definedName name="P1_SCOPE_F2_PRT" localSheetId="9" hidden="1">#REF!,#REF!,#REF!,#REF!</definedName>
    <definedName name="P1_SCOPE_F2_PRT" localSheetId="10" hidden="1">#REF!,#REF!,#REF!,#REF!</definedName>
    <definedName name="P1_SCOPE_F2_PRT" hidden="1">#REF!,#REF!,#REF!,#REF!</definedName>
    <definedName name="P1_SCOPE_FLOAD" localSheetId="15" hidden="1">#REF!,#REF!,#REF!,#REF!,#REF!,#REF!</definedName>
    <definedName name="P1_SCOPE_FLOAD" localSheetId="12" hidden="1">#REF!,#REF!,#REF!,#REF!,#REF!,#REF!</definedName>
    <definedName name="P1_SCOPE_FLOAD" localSheetId="7" hidden="1">#REF!,#REF!,#REF!,#REF!,#REF!,#REF!</definedName>
    <definedName name="P1_SCOPE_FLOAD" localSheetId="11" hidden="1">#REF!,#REF!,#REF!,#REF!,#REF!,#REF!</definedName>
    <definedName name="P1_SCOPE_FLOAD" localSheetId="8" hidden="1">#REF!,#REF!,#REF!,#REF!,#REF!,#REF!</definedName>
    <definedName name="P1_SCOPE_FLOAD" localSheetId="9" hidden="1">#REF!,#REF!,#REF!,#REF!,#REF!,#REF!</definedName>
    <definedName name="P1_SCOPE_FLOAD" localSheetId="10" hidden="1">#REF!,#REF!,#REF!,#REF!,#REF!,#REF!</definedName>
    <definedName name="P1_SCOPE_FLOAD" localSheetId="6" hidden="1">#REF!,#REF!,#REF!,#REF!,#REF!,#REF!</definedName>
    <definedName name="P1_SCOPE_FLOAD" localSheetId="5" hidden="1">#REF!,#REF!,#REF!,#REF!,#REF!,#REF!</definedName>
    <definedName name="P1_SCOPE_FLOAD" localSheetId="4" hidden="1">#REF!,#REF!,#REF!,#REF!,#REF!,#REF!</definedName>
    <definedName name="P1_SCOPE_FLOAD" hidden="1">#REF!,#REF!,#REF!,#REF!,#REF!,#REF!</definedName>
    <definedName name="P1_SCOPE_FRML" localSheetId="12" hidden="1">#REF!,#REF!,#REF!,#REF!,#REF!,#REF!</definedName>
    <definedName name="P1_SCOPE_FRML" localSheetId="7" hidden="1">#REF!,#REF!,#REF!,#REF!,#REF!,#REF!</definedName>
    <definedName name="P1_SCOPE_FRML" localSheetId="11" hidden="1">#REF!,#REF!,#REF!,#REF!,#REF!,#REF!</definedName>
    <definedName name="P1_SCOPE_FRML" localSheetId="8" hidden="1">#REF!,#REF!,#REF!,#REF!,#REF!,#REF!</definedName>
    <definedName name="P1_SCOPE_FRML" localSheetId="9" hidden="1">#REF!,#REF!,#REF!,#REF!,#REF!,#REF!</definedName>
    <definedName name="P1_SCOPE_FRML" localSheetId="10" hidden="1">#REF!,#REF!,#REF!,#REF!,#REF!,#REF!</definedName>
    <definedName name="P1_SCOPE_FRML" hidden="1">#REF!,#REF!,#REF!,#REF!,#REF!,#REF!</definedName>
    <definedName name="P1_SCOPE_PER_PRT" localSheetId="15" hidden="1">#REF!,#REF!,#REF!,#REF!,#REF!</definedName>
    <definedName name="P1_SCOPE_PER_PRT" localSheetId="12" hidden="1">#REF!,#REF!,#REF!,#REF!,#REF!</definedName>
    <definedName name="P1_SCOPE_PER_PRT" localSheetId="7" hidden="1">#REF!,#REF!,#REF!,#REF!,#REF!</definedName>
    <definedName name="P1_SCOPE_PER_PRT" localSheetId="11" hidden="1">#REF!,#REF!,#REF!,#REF!,#REF!</definedName>
    <definedName name="P1_SCOPE_PER_PRT" localSheetId="8" hidden="1">#REF!,#REF!,#REF!,#REF!,#REF!</definedName>
    <definedName name="P1_SCOPE_PER_PRT" localSheetId="9" hidden="1">#REF!,#REF!,#REF!,#REF!,#REF!</definedName>
    <definedName name="P1_SCOPE_PER_PRT" localSheetId="10" hidden="1">#REF!,#REF!,#REF!,#REF!,#REF!</definedName>
    <definedName name="P1_SCOPE_PER_PRT" localSheetId="6" hidden="1">#REF!,#REF!,#REF!,#REF!,#REF!</definedName>
    <definedName name="P1_SCOPE_PER_PRT" localSheetId="5" hidden="1">#REF!,#REF!,#REF!,#REF!,#REF!</definedName>
    <definedName name="P1_SCOPE_PER_PRT" localSheetId="4" hidden="1">#REF!,#REF!,#REF!,#REF!,#REF!</definedName>
    <definedName name="P1_SCOPE_PER_PRT" hidden="1">#REF!,#REF!,#REF!,#REF!,#REF!</definedName>
    <definedName name="P1_SCOPE_SV_LD" localSheetId="15" hidden="1">#REF!,#REF!,#REF!,#REF!,#REF!,#REF!,#REF!</definedName>
    <definedName name="P1_SCOPE_SV_LD" localSheetId="12" hidden="1">#REF!,#REF!,#REF!,#REF!,#REF!,#REF!,#REF!</definedName>
    <definedName name="P1_SCOPE_SV_LD" localSheetId="7" hidden="1">#REF!,#REF!,#REF!,#REF!,#REF!,#REF!,#REF!</definedName>
    <definedName name="P1_SCOPE_SV_LD" localSheetId="11" hidden="1">#REF!,#REF!,#REF!,#REF!,#REF!,#REF!,#REF!</definedName>
    <definedName name="P1_SCOPE_SV_LD" localSheetId="8" hidden="1">#REF!,#REF!,#REF!,#REF!,#REF!,#REF!,#REF!</definedName>
    <definedName name="P1_SCOPE_SV_LD" localSheetId="9" hidden="1">#REF!,#REF!,#REF!,#REF!,#REF!,#REF!,#REF!</definedName>
    <definedName name="P1_SCOPE_SV_LD" localSheetId="10" hidden="1">#REF!,#REF!,#REF!,#REF!,#REF!,#REF!,#REF!</definedName>
    <definedName name="P1_SCOPE_SV_LD" localSheetId="6" hidden="1">#REF!,#REF!,#REF!,#REF!,#REF!,#REF!,#REF!</definedName>
    <definedName name="P1_SCOPE_SV_LD" localSheetId="5" hidden="1">#REF!,#REF!,#REF!,#REF!,#REF!,#REF!,#REF!</definedName>
    <definedName name="P1_SCOPE_SV_LD" localSheetId="4" hidden="1">#REF!,#REF!,#REF!,#REF!,#REF!,#REF!,#REF!</definedName>
    <definedName name="P1_SCOPE_SV_LD" hidden="1">#REF!,#REF!,#REF!,#REF!,#REF!,#REF!,#REF!</definedName>
    <definedName name="P1_SCOPE_SV_LD1" localSheetId="12" hidden="1">#REF!,#REF!,#REF!,#REF!,#REF!,#REF!,#REF!</definedName>
    <definedName name="P1_SCOPE_SV_LD1" localSheetId="7" hidden="1">#REF!,#REF!,#REF!,#REF!,#REF!,#REF!,#REF!</definedName>
    <definedName name="P1_SCOPE_SV_LD1" localSheetId="11" hidden="1">#REF!,#REF!,#REF!,#REF!,#REF!,#REF!,#REF!</definedName>
    <definedName name="P1_SCOPE_SV_LD1" localSheetId="8" hidden="1">#REF!,#REF!,#REF!,#REF!,#REF!,#REF!,#REF!</definedName>
    <definedName name="P1_SCOPE_SV_LD1" localSheetId="9" hidden="1">#REF!,#REF!,#REF!,#REF!,#REF!,#REF!,#REF!</definedName>
    <definedName name="P1_SCOPE_SV_LD1" localSheetId="10" hidden="1">#REF!,#REF!,#REF!,#REF!,#REF!,#REF!,#REF!</definedName>
    <definedName name="P1_SCOPE_SV_LD1" hidden="1">#REF!,#REF!,#REF!,#REF!,#REF!,#REF!,#REF!</definedName>
    <definedName name="P1_SCOPE_SV_PRT" localSheetId="12" hidden="1">#REF!,#REF!,#REF!,#REF!,#REF!,#REF!,#REF!</definedName>
    <definedName name="P1_SCOPE_SV_PRT" localSheetId="7" hidden="1">#REF!,#REF!,#REF!,#REF!,#REF!,#REF!,#REF!</definedName>
    <definedName name="P1_SCOPE_SV_PRT" localSheetId="11" hidden="1">#REF!,#REF!,#REF!,#REF!,#REF!,#REF!,#REF!</definedName>
    <definedName name="P1_SCOPE_SV_PRT" localSheetId="8" hidden="1">#REF!,#REF!,#REF!,#REF!,#REF!,#REF!,#REF!</definedName>
    <definedName name="P1_SCOPE_SV_PRT" localSheetId="9" hidden="1">#REF!,#REF!,#REF!,#REF!,#REF!,#REF!,#REF!</definedName>
    <definedName name="P1_SCOPE_SV_PRT" localSheetId="10" hidden="1">#REF!,#REF!,#REF!,#REF!,#REF!,#REF!,#REF!</definedName>
    <definedName name="P1_SCOPE_SV_PRT" hidden="1">#REF!,#REF!,#REF!,#REF!,#REF!,#REF!,#REF!</definedName>
    <definedName name="P1_SET_PROT" localSheetId="12" hidden="1">#REF!,#REF!,#REF!,#REF!,#REF!,#REF!,#REF!</definedName>
    <definedName name="P1_SET_PROT" localSheetId="11" hidden="1">#REF!,#REF!,#REF!,#REF!,#REF!,#REF!,#REF!</definedName>
    <definedName name="P1_SET_PROT" localSheetId="8" hidden="1">#REF!,#REF!,#REF!,#REF!,#REF!,#REF!,#REF!</definedName>
    <definedName name="P1_SET_PROT" localSheetId="9" hidden="1">#REF!,#REF!,#REF!,#REF!,#REF!,#REF!,#REF!</definedName>
    <definedName name="P1_SET_PROT" localSheetId="10" hidden="1">#REF!,#REF!,#REF!,#REF!,#REF!,#REF!,#REF!</definedName>
    <definedName name="P1_SET_PROT" hidden="1">#REF!,#REF!,#REF!,#REF!,#REF!,#REF!,#REF!</definedName>
    <definedName name="P1_SET_PRT" localSheetId="12" hidden="1">#REF!,#REF!,#REF!,#REF!,#REF!,#REF!,#REF!</definedName>
    <definedName name="P1_SET_PRT" localSheetId="11" hidden="1">#REF!,#REF!,#REF!,#REF!,#REF!,#REF!,#REF!</definedName>
    <definedName name="P1_SET_PRT" localSheetId="8" hidden="1">#REF!,#REF!,#REF!,#REF!,#REF!,#REF!,#REF!</definedName>
    <definedName name="P1_SET_PRT" localSheetId="9" hidden="1">#REF!,#REF!,#REF!,#REF!,#REF!,#REF!,#REF!</definedName>
    <definedName name="P1_SET_PRT" localSheetId="10" hidden="1">#REF!,#REF!,#REF!,#REF!,#REF!,#REF!,#REF!</definedName>
    <definedName name="P1_SET_PRT" hidden="1">#REF!,#REF!,#REF!,#REF!,#REF!,#REF!,#REF!</definedName>
    <definedName name="P12_T28_Protection" localSheetId="15">P1_T28_Protection,P2_T28_Protection,P3_T28_Protection,P4_T28_Protection,P5_T28_Protection,P6_T28_Protection,P7_T28_Protection,P8_T28_Protection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12">P1_T28_Protection,P2_T28_Protection,P3_T28_Protection,P4_T28_Protection,P5_T28_Protection,P6_T28_Protection,P7_T28_Protection,P8_T28_Protection</definedName>
    <definedName name="P12_T28_Protection" localSheetId="11">P1_T28_Protection,P2_T28_Protection,P3_T28_Protection,P4_T28_Protection,P5_T28_Protection,P6_T28_Protection,P7_T28_Protection,P8_T28_Protection</definedName>
    <definedName name="P12_T28_Protection" localSheetId="8">P1_T28_Protection,P2_T28_Protection,P3_T28_Protection,P4_T28_Protection,P5_T28_Protection,P6_T28_Protection,P7_T28_Protection,P8_T28_Protection</definedName>
    <definedName name="P12_T28_Protection" localSheetId="9">P1_T28_Protection,P2_T28_Protection,P3_T28_Protection,P4_T28_Protection,P5_T28_Protection,P6_T28_Protection,P7_T28_Protection,P8_T28_Protection</definedName>
    <definedName name="P12_T28_Protection" localSheetId="10">P1_T28_Protection,P2_T28_Protection,P3_T28_Protection,P4_T28_Protection,P5_T28_Protection,P6_T28_Protection,P7_T28_Protection,P8_T28_Protection</definedName>
    <definedName name="P12_T28_Protection" localSheetId="6">P1_T28_Protection,P2_T28_Protection,P3_T28_Protection,P4_T28_Protection,P5_T28_Protection,P6_T28_Protection,P7_T28_Protection,P8_T28_Protection</definedName>
    <definedName name="P12_T28_Protection" localSheetId="5">P1_T28_Protection,P2_T28_Protection,P3_T28_Protection,P4_T28_Protection,P5_T28_Protection,P6_T28_Protection,P7_T28_Protection,P8_T28_Protection</definedName>
    <definedName name="P12_T28_Protection" localSheetId="4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9_T1_Protect" localSheetId="15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12" hidden="1">P5_T1_Protect,P6_T1_Protect,P7_T1_Protect,P8_T1_Protect,P9_T1_Protect,P10_T1_Protect,P11_T1_Protect,P12_T1_Protect,P13_T1_Protect,P14_T1_Protect</definedName>
    <definedName name="P19_T1_Protect" localSheetId="7" hidden="1">P5_T1_Protect,P6_T1_Protect,P7_T1_Protect,P8_T1_Protect,P9_T1_Protect,P10_T1_Protect,P11_T1_Protect,P12_T1_Protect,P13_T1_Protect,P14_T1_Protect</definedName>
    <definedName name="P19_T1_Protect" localSheetId="11" hidden="1">P5_T1_Protect,P6_T1_Protect,P7_T1_Protect,P8_T1_Protect,P9_T1_Protect,P10_T1_Protect,P11_T1_Protect,P12_T1_Protect,P13_T1_Protect,P14_T1_Protect</definedName>
    <definedName name="P19_T1_Protect" localSheetId="8" hidden="1">P5_T1_Protect,P6_T1_Protect,P7_T1_Protect,P8_T1_Protect,P9_T1_Protect,P10_T1_Protect,P11_T1_Protect,P12_T1_Protect,P13_T1_Protect,P14_T1_Protect</definedName>
    <definedName name="P19_T1_Protect" localSheetId="9" hidden="1">P5_T1_Protect,P6_T1_Protect,P7_T1_Protect,P8_T1_Protect,P9_T1_Protect,P10_T1_Protect,P11_T1_Protect,P12_T1_Protect,P13_T1_Protect,P14_T1_Protect</definedName>
    <definedName name="P19_T1_Protect" localSheetId="10" hidden="1">P5_T1_Protect,P6_T1_Protect,P7_T1_Protect,P8_T1_Protect,P9_T1_Protect,P10_T1_Protect,P11_T1_Protect,P12_T1_Protect,P13_T1_Protect,P14_T1_Protect</definedName>
    <definedName name="P19_T1_Protect" localSheetId="6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localSheetId="4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SCOPE_16_PRT" localSheetId="15" hidden="1">#REF!,#REF!,#REF!,#REF!,#REF!,#REF!,#REF!,#REF!</definedName>
    <definedName name="P2_SCOPE_16_PRT" localSheetId="12" hidden="1">#REF!,#REF!,#REF!,#REF!,#REF!,#REF!,#REF!,#REF!</definedName>
    <definedName name="P2_SCOPE_16_PRT" localSheetId="7" hidden="1">#REF!,#REF!,#REF!,#REF!,#REF!,#REF!,#REF!,#REF!</definedName>
    <definedName name="P2_SCOPE_16_PRT" localSheetId="11" hidden="1">#REF!,#REF!,#REF!,#REF!,#REF!,#REF!,#REF!,#REF!</definedName>
    <definedName name="P2_SCOPE_16_PRT" localSheetId="8" hidden="1">#REF!,#REF!,#REF!,#REF!,#REF!,#REF!,#REF!,#REF!</definedName>
    <definedName name="P2_SCOPE_16_PRT" localSheetId="9" hidden="1">#REF!,#REF!,#REF!,#REF!,#REF!,#REF!,#REF!,#REF!</definedName>
    <definedName name="P2_SCOPE_16_PRT" localSheetId="10" hidden="1">#REF!,#REF!,#REF!,#REF!,#REF!,#REF!,#REF!,#REF!</definedName>
    <definedName name="P2_SCOPE_16_PRT" localSheetId="6" hidden="1">#REF!,#REF!,#REF!,#REF!,#REF!,#REF!,#REF!,#REF!</definedName>
    <definedName name="P2_SCOPE_16_PRT" localSheetId="5" hidden="1">#REF!,#REF!,#REF!,#REF!,#REF!,#REF!,#REF!,#REF!</definedName>
    <definedName name="P2_SCOPE_16_PRT" localSheetId="4" hidden="1">#REF!,#REF!,#REF!,#REF!,#REF!,#REF!,#REF!,#REF!</definedName>
    <definedName name="P2_SCOPE_16_PRT" hidden="1">#REF!,#REF!,#REF!,#REF!,#REF!,#REF!,#REF!,#REF!</definedName>
    <definedName name="P2_SCOPE_4_PRT" localSheetId="15" hidden="1">#REF!,#REF!,#REF!,#REF!,#REF!,#REF!,#REF!,#REF!,#REF!</definedName>
    <definedName name="P2_SCOPE_4_PRT" localSheetId="12" hidden="1">#REF!,#REF!,#REF!,#REF!,#REF!,#REF!,#REF!,#REF!,#REF!</definedName>
    <definedName name="P2_SCOPE_4_PRT" localSheetId="7" hidden="1">#REF!,#REF!,#REF!,#REF!,#REF!,#REF!,#REF!,#REF!,#REF!</definedName>
    <definedName name="P2_SCOPE_4_PRT" localSheetId="11" hidden="1">#REF!,#REF!,#REF!,#REF!,#REF!,#REF!,#REF!,#REF!,#REF!</definedName>
    <definedName name="P2_SCOPE_4_PRT" localSheetId="8" hidden="1">#REF!,#REF!,#REF!,#REF!,#REF!,#REF!,#REF!,#REF!,#REF!</definedName>
    <definedName name="P2_SCOPE_4_PRT" localSheetId="9" hidden="1">#REF!,#REF!,#REF!,#REF!,#REF!,#REF!,#REF!,#REF!,#REF!</definedName>
    <definedName name="P2_SCOPE_4_PRT" localSheetId="10" hidden="1">#REF!,#REF!,#REF!,#REF!,#REF!,#REF!,#REF!,#REF!,#REF!</definedName>
    <definedName name="P2_SCOPE_4_PRT" localSheetId="6" hidden="1">#REF!,#REF!,#REF!,#REF!,#REF!,#REF!,#REF!,#REF!,#REF!</definedName>
    <definedName name="P2_SCOPE_4_PRT" localSheetId="5" hidden="1">#REF!,#REF!,#REF!,#REF!,#REF!,#REF!,#REF!,#REF!,#REF!</definedName>
    <definedName name="P2_SCOPE_4_PRT" localSheetId="4" hidden="1">#REF!,#REF!,#REF!,#REF!,#REF!,#REF!,#REF!,#REF!,#REF!</definedName>
    <definedName name="P2_SCOPE_4_PRT" hidden="1">#REF!,#REF!,#REF!,#REF!,#REF!,#REF!,#REF!,#REF!,#REF!</definedName>
    <definedName name="P2_SCOPE_5_PRT" localSheetId="12" hidden="1">#REF!,#REF!,#REF!,#REF!,#REF!,#REF!,#REF!,#REF!,#REF!</definedName>
    <definedName name="P2_SCOPE_5_PRT" localSheetId="7" hidden="1">#REF!,#REF!,#REF!,#REF!,#REF!,#REF!,#REF!,#REF!,#REF!</definedName>
    <definedName name="P2_SCOPE_5_PRT" localSheetId="11" hidden="1">#REF!,#REF!,#REF!,#REF!,#REF!,#REF!,#REF!,#REF!,#REF!</definedName>
    <definedName name="P2_SCOPE_5_PRT" localSheetId="8" hidden="1">#REF!,#REF!,#REF!,#REF!,#REF!,#REF!,#REF!,#REF!,#REF!</definedName>
    <definedName name="P2_SCOPE_5_PRT" localSheetId="9" hidden="1">#REF!,#REF!,#REF!,#REF!,#REF!,#REF!,#REF!,#REF!,#REF!</definedName>
    <definedName name="P2_SCOPE_5_PRT" localSheetId="10" hidden="1">#REF!,#REF!,#REF!,#REF!,#REF!,#REF!,#REF!,#REF!,#REF!</definedName>
    <definedName name="P2_SCOPE_5_PRT" hidden="1">#REF!,#REF!,#REF!,#REF!,#REF!,#REF!,#REF!,#REF!,#REF!</definedName>
    <definedName name="P2_SCOPE_F1_PRT" localSheetId="15" hidden="1">#REF!,#REF!,#REF!,#REF!</definedName>
    <definedName name="P2_SCOPE_F1_PRT" localSheetId="12" hidden="1">#REF!,#REF!,#REF!,#REF!</definedName>
    <definedName name="P2_SCOPE_F1_PRT" localSheetId="7" hidden="1">#REF!,#REF!,#REF!,#REF!</definedName>
    <definedName name="P2_SCOPE_F1_PRT" localSheetId="11" hidden="1">#REF!,#REF!,#REF!,#REF!</definedName>
    <definedName name="P2_SCOPE_F1_PRT" localSheetId="8" hidden="1">#REF!,#REF!,#REF!,#REF!</definedName>
    <definedName name="P2_SCOPE_F1_PRT" localSheetId="9" hidden="1">#REF!,#REF!,#REF!,#REF!</definedName>
    <definedName name="P2_SCOPE_F1_PRT" localSheetId="10" hidden="1">#REF!,#REF!,#REF!,#REF!</definedName>
    <definedName name="P2_SCOPE_F1_PRT" localSheetId="6" hidden="1">#REF!,#REF!,#REF!,#REF!</definedName>
    <definedName name="P2_SCOPE_F1_PRT" localSheetId="5" hidden="1">#REF!,#REF!,#REF!,#REF!</definedName>
    <definedName name="P2_SCOPE_F1_PRT" localSheetId="4" hidden="1">#REF!,#REF!,#REF!,#REF!</definedName>
    <definedName name="P2_SCOPE_F1_PRT" hidden="1">#REF!,#REF!,#REF!,#REF!</definedName>
    <definedName name="P2_SCOPE_F2_PRT" localSheetId="12" hidden="1">#REF!,#REF!,#REF!,#REF!</definedName>
    <definedName name="P2_SCOPE_F2_PRT" localSheetId="7" hidden="1">#REF!,#REF!,#REF!,#REF!</definedName>
    <definedName name="P2_SCOPE_F2_PRT" localSheetId="11" hidden="1">#REF!,#REF!,#REF!,#REF!</definedName>
    <definedName name="P2_SCOPE_F2_PRT" localSheetId="8" hidden="1">#REF!,#REF!,#REF!,#REF!</definedName>
    <definedName name="P2_SCOPE_F2_PRT" localSheetId="9" hidden="1">#REF!,#REF!,#REF!,#REF!</definedName>
    <definedName name="P2_SCOPE_F2_PRT" localSheetId="10" hidden="1">#REF!,#REF!,#REF!,#REF!</definedName>
    <definedName name="P2_SCOPE_F2_PRT" hidden="1">#REF!,#REF!,#REF!,#REF!</definedName>
    <definedName name="P2_SCOPE_PER_PRT" localSheetId="15" hidden="1">#REF!,#REF!,#REF!,#REF!,#REF!</definedName>
    <definedName name="P2_SCOPE_PER_PRT" localSheetId="12" hidden="1">#REF!,#REF!,#REF!,#REF!,#REF!</definedName>
    <definedName name="P2_SCOPE_PER_PRT" localSheetId="7" hidden="1">#REF!,#REF!,#REF!,#REF!,#REF!</definedName>
    <definedName name="P2_SCOPE_PER_PRT" localSheetId="11" hidden="1">#REF!,#REF!,#REF!,#REF!,#REF!</definedName>
    <definedName name="P2_SCOPE_PER_PRT" localSheetId="8" hidden="1">#REF!,#REF!,#REF!,#REF!,#REF!</definedName>
    <definedName name="P2_SCOPE_PER_PRT" localSheetId="9" hidden="1">#REF!,#REF!,#REF!,#REF!,#REF!</definedName>
    <definedName name="P2_SCOPE_PER_PRT" localSheetId="10" hidden="1">#REF!,#REF!,#REF!,#REF!,#REF!</definedName>
    <definedName name="P2_SCOPE_PER_PRT" localSheetId="6" hidden="1">#REF!,#REF!,#REF!,#REF!,#REF!</definedName>
    <definedName name="P2_SCOPE_PER_PRT" localSheetId="5" hidden="1">#REF!,#REF!,#REF!,#REF!,#REF!</definedName>
    <definedName name="P2_SCOPE_PER_PRT" localSheetId="4" hidden="1">#REF!,#REF!,#REF!,#REF!,#REF!</definedName>
    <definedName name="P2_SCOPE_PER_PRT" hidden="1">#REF!,#REF!,#REF!,#REF!,#REF!</definedName>
    <definedName name="P2_SCOPE_SV_PRT" localSheetId="15" hidden="1">#REF!,#REF!,#REF!,#REF!,#REF!,#REF!,#REF!</definedName>
    <definedName name="P2_SCOPE_SV_PRT" localSheetId="12" hidden="1">#REF!,#REF!,#REF!,#REF!,#REF!,#REF!,#REF!</definedName>
    <definedName name="P2_SCOPE_SV_PRT" localSheetId="7" hidden="1">#REF!,#REF!,#REF!,#REF!,#REF!,#REF!,#REF!</definedName>
    <definedName name="P2_SCOPE_SV_PRT" localSheetId="11" hidden="1">#REF!,#REF!,#REF!,#REF!,#REF!,#REF!,#REF!</definedName>
    <definedName name="P2_SCOPE_SV_PRT" localSheetId="8" hidden="1">#REF!,#REF!,#REF!,#REF!,#REF!,#REF!,#REF!</definedName>
    <definedName name="P2_SCOPE_SV_PRT" localSheetId="9" hidden="1">#REF!,#REF!,#REF!,#REF!,#REF!,#REF!,#REF!</definedName>
    <definedName name="P2_SCOPE_SV_PRT" localSheetId="10" hidden="1">#REF!,#REF!,#REF!,#REF!,#REF!,#REF!,#REF!</definedName>
    <definedName name="P2_SCOPE_SV_PRT" localSheetId="6" hidden="1">#REF!,#REF!,#REF!,#REF!,#REF!,#REF!,#REF!</definedName>
    <definedName name="P2_SCOPE_SV_PRT" localSheetId="5" hidden="1">#REF!,#REF!,#REF!,#REF!,#REF!,#REF!,#REF!</definedName>
    <definedName name="P2_SCOPE_SV_PRT" localSheetId="4" hidden="1">#REF!,#REF!,#REF!,#REF!,#REF!,#REF!,#REF!</definedName>
    <definedName name="P2_SCOPE_SV_PRT" hidden="1">#REF!,#REF!,#REF!,#REF!,#REF!,#REF!,#REF!</definedName>
    <definedName name="P3_SCOPE_F1_PRT" localSheetId="15" hidden="1">#REF!,#REF!,#REF!,#REF!</definedName>
    <definedName name="P3_SCOPE_F1_PRT" localSheetId="12" hidden="1">#REF!,#REF!,#REF!,#REF!</definedName>
    <definedName name="P3_SCOPE_F1_PRT" localSheetId="7" hidden="1">#REF!,#REF!,#REF!,#REF!</definedName>
    <definedName name="P3_SCOPE_F1_PRT" localSheetId="11" hidden="1">#REF!,#REF!,#REF!,#REF!</definedName>
    <definedName name="P3_SCOPE_F1_PRT" localSheetId="8" hidden="1">#REF!,#REF!,#REF!,#REF!</definedName>
    <definedName name="P3_SCOPE_F1_PRT" localSheetId="9" hidden="1">#REF!,#REF!,#REF!,#REF!</definedName>
    <definedName name="P3_SCOPE_F1_PRT" localSheetId="10" hidden="1">#REF!,#REF!,#REF!,#REF!</definedName>
    <definedName name="P3_SCOPE_F1_PRT" localSheetId="6" hidden="1">#REF!,#REF!,#REF!,#REF!</definedName>
    <definedName name="P3_SCOPE_F1_PRT" localSheetId="5" hidden="1">#REF!,#REF!,#REF!,#REF!</definedName>
    <definedName name="P3_SCOPE_F1_PRT" localSheetId="4" hidden="1">#REF!,#REF!,#REF!,#REF!</definedName>
    <definedName name="P3_SCOPE_F1_PRT" hidden="1">#REF!,#REF!,#REF!,#REF!</definedName>
    <definedName name="P3_SCOPE_PER_PRT" localSheetId="15" hidden="1">#REF!,#REF!,#REF!,#REF!,#REF!</definedName>
    <definedName name="P3_SCOPE_PER_PRT" localSheetId="12" hidden="1">#REF!,#REF!,#REF!,#REF!,#REF!</definedName>
    <definedName name="P3_SCOPE_PER_PRT" localSheetId="7" hidden="1">#REF!,#REF!,#REF!,#REF!,#REF!</definedName>
    <definedName name="P3_SCOPE_PER_PRT" localSheetId="11" hidden="1">#REF!,#REF!,#REF!,#REF!,#REF!</definedName>
    <definedName name="P3_SCOPE_PER_PRT" localSheetId="8" hidden="1">#REF!,#REF!,#REF!,#REF!,#REF!</definedName>
    <definedName name="P3_SCOPE_PER_PRT" localSheetId="9" hidden="1">#REF!,#REF!,#REF!,#REF!,#REF!</definedName>
    <definedName name="P3_SCOPE_PER_PRT" localSheetId="10" hidden="1">#REF!,#REF!,#REF!,#REF!,#REF!</definedName>
    <definedName name="P3_SCOPE_PER_PRT" localSheetId="6" hidden="1">#REF!,#REF!,#REF!,#REF!,#REF!</definedName>
    <definedName name="P3_SCOPE_PER_PRT" localSheetId="5" hidden="1">#REF!,#REF!,#REF!,#REF!,#REF!</definedName>
    <definedName name="P3_SCOPE_PER_PRT" localSheetId="4" hidden="1">#REF!,#REF!,#REF!,#REF!,#REF!</definedName>
    <definedName name="P3_SCOPE_PER_PRT" hidden="1">#REF!,#REF!,#REF!,#REF!,#REF!</definedName>
    <definedName name="P3_SCOPE_SV_PRT" localSheetId="15" hidden="1">#REF!,#REF!,#REF!,#REF!,#REF!,#REF!,#REF!</definedName>
    <definedName name="P3_SCOPE_SV_PRT" localSheetId="12" hidden="1">#REF!,#REF!,#REF!,#REF!,#REF!,#REF!,#REF!</definedName>
    <definedName name="P3_SCOPE_SV_PRT" localSheetId="7" hidden="1">#REF!,#REF!,#REF!,#REF!,#REF!,#REF!,#REF!</definedName>
    <definedName name="P3_SCOPE_SV_PRT" localSheetId="11" hidden="1">#REF!,#REF!,#REF!,#REF!,#REF!,#REF!,#REF!</definedName>
    <definedName name="P3_SCOPE_SV_PRT" localSheetId="8" hidden="1">#REF!,#REF!,#REF!,#REF!,#REF!,#REF!,#REF!</definedName>
    <definedName name="P3_SCOPE_SV_PRT" localSheetId="9" hidden="1">#REF!,#REF!,#REF!,#REF!,#REF!,#REF!,#REF!</definedName>
    <definedName name="P3_SCOPE_SV_PRT" localSheetId="10" hidden="1">#REF!,#REF!,#REF!,#REF!,#REF!,#REF!,#REF!</definedName>
    <definedName name="P3_SCOPE_SV_PRT" localSheetId="6" hidden="1">#REF!,#REF!,#REF!,#REF!,#REF!,#REF!,#REF!</definedName>
    <definedName name="P3_SCOPE_SV_PRT" localSheetId="5" hidden="1">#REF!,#REF!,#REF!,#REF!,#REF!,#REF!,#REF!</definedName>
    <definedName name="P3_SCOPE_SV_PRT" localSheetId="4" hidden="1">#REF!,#REF!,#REF!,#REF!,#REF!,#REF!,#REF!</definedName>
    <definedName name="P3_SCOPE_SV_PRT" hidden="1">#REF!,#REF!,#REF!,#REF!,#REF!,#REF!,#REF!</definedName>
    <definedName name="P4_SCOPE_F1_PRT" localSheetId="15" hidden="1">#REF!,#REF!,#REF!,#REF!</definedName>
    <definedName name="P4_SCOPE_F1_PRT" localSheetId="12" hidden="1">#REF!,#REF!,#REF!,#REF!</definedName>
    <definedName name="P4_SCOPE_F1_PRT" localSheetId="7" hidden="1">#REF!,#REF!,#REF!,#REF!</definedName>
    <definedName name="P4_SCOPE_F1_PRT" localSheetId="11" hidden="1">#REF!,#REF!,#REF!,#REF!</definedName>
    <definedName name="P4_SCOPE_F1_PRT" localSheetId="8" hidden="1">#REF!,#REF!,#REF!,#REF!</definedName>
    <definedName name="P4_SCOPE_F1_PRT" localSheetId="9" hidden="1">#REF!,#REF!,#REF!,#REF!</definedName>
    <definedName name="P4_SCOPE_F1_PRT" localSheetId="10" hidden="1">#REF!,#REF!,#REF!,#REF!</definedName>
    <definedName name="P4_SCOPE_F1_PRT" localSheetId="6" hidden="1">#REF!,#REF!,#REF!,#REF!</definedName>
    <definedName name="P4_SCOPE_F1_PRT" localSheetId="5" hidden="1">#REF!,#REF!,#REF!,#REF!</definedName>
    <definedName name="P4_SCOPE_F1_PRT" localSheetId="4" hidden="1">#REF!,#REF!,#REF!,#REF!</definedName>
    <definedName name="P4_SCOPE_F1_PRT" hidden="1">#REF!,#REF!,#REF!,#REF!</definedName>
    <definedName name="P4_SCOPE_PER_PRT" localSheetId="15" hidden="1">#REF!,#REF!,#REF!,#REF!,#REF!</definedName>
    <definedName name="P4_SCOPE_PER_PRT" localSheetId="12" hidden="1">#REF!,#REF!,#REF!,#REF!,#REF!</definedName>
    <definedName name="P4_SCOPE_PER_PRT" localSheetId="7" hidden="1">#REF!,#REF!,#REF!,#REF!,#REF!</definedName>
    <definedName name="P4_SCOPE_PER_PRT" localSheetId="11" hidden="1">#REF!,#REF!,#REF!,#REF!,#REF!</definedName>
    <definedName name="P4_SCOPE_PER_PRT" localSheetId="8" hidden="1">#REF!,#REF!,#REF!,#REF!,#REF!</definedName>
    <definedName name="P4_SCOPE_PER_PRT" localSheetId="9" hidden="1">#REF!,#REF!,#REF!,#REF!,#REF!</definedName>
    <definedName name="P4_SCOPE_PER_PRT" localSheetId="10" hidden="1">#REF!,#REF!,#REF!,#REF!,#REF!</definedName>
    <definedName name="P4_SCOPE_PER_PRT" localSheetId="6" hidden="1">#REF!,#REF!,#REF!,#REF!,#REF!</definedName>
    <definedName name="P4_SCOPE_PER_PRT" localSheetId="5" hidden="1">#REF!,#REF!,#REF!,#REF!,#REF!</definedName>
    <definedName name="P4_SCOPE_PER_PRT" localSheetId="4" hidden="1">#REF!,#REF!,#REF!,#REF!,#REF!</definedName>
    <definedName name="P4_SCOPE_PER_PRT" hidden="1">#REF!,#REF!,#REF!,#REF!,#REF!</definedName>
    <definedName name="P5_SCOPE_PER_PRT" localSheetId="12" hidden="1">#REF!,#REF!,#REF!,#REF!,#REF!</definedName>
    <definedName name="P5_SCOPE_PER_PRT" localSheetId="7" hidden="1">#REF!,#REF!,#REF!,#REF!,#REF!</definedName>
    <definedName name="P5_SCOPE_PER_PRT" localSheetId="11" hidden="1">#REF!,#REF!,#REF!,#REF!,#REF!</definedName>
    <definedName name="P5_SCOPE_PER_PRT" localSheetId="8" hidden="1">#REF!,#REF!,#REF!,#REF!,#REF!</definedName>
    <definedName name="P5_SCOPE_PER_PRT" localSheetId="9" hidden="1">#REF!,#REF!,#REF!,#REF!,#REF!</definedName>
    <definedName name="P5_SCOPE_PER_PRT" localSheetId="10" hidden="1">#REF!,#REF!,#REF!,#REF!,#REF!</definedName>
    <definedName name="P5_SCOPE_PER_PRT" hidden="1">#REF!,#REF!,#REF!,#REF!,#REF!</definedName>
    <definedName name="P6_SCOPE_PER_PRT" localSheetId="12" hidden="1">#REF!,#REF!,#REF!,#REF!,#REF!</definedName>
    <definedName name="P6_SCOPE_PER_PRT" localSheetId="7" hidden="1">#REF!,#REF!,#REF!,#REF!,#REF!</definedName>
    <definedName name="P6_SCOPE_PER_PRT" localSheetId="11" hidden="1">#REF!,#REF!,#REF!,#REF!,#REF!</definedName>
    <definedName name="P6_SCOPE_PER_PRT" localSheetId="8" hidden="1">#REF!,#REF!,#REF!,#REF!,#REF!</definedName>
    <definedName name="P6_SCOPE_PER_PRT" localSheetId="9" hidden="1">#REF!,#REF!,#REF!,#REF!,#REF!</definedName>
    <definedName name="P6_SCOPE_PER_PRT" localSheetId="10" hidden="1">#REF!,#REF!,#REF!,#REF!,#REF!</definedName>
    <definedName name="P6_SCOPE_PER_PRT" hidden="1">#REF!,#REF!,#REF!,#REF!,#REF!</definedName>
    <definedName name="P6_T2.1?Protection" localSheetId="15">P1_T2.1?Protection</definedName>
    <definedName name="P6_T2.1?Protection" localSheetId="2">P1_T2.1?Protection</definedName>
    <definedName name="P6_T2.1?Protection" localSheetId="3">P1_T2.1?Protection</definedName>
    <definedName name="P6_T2.1?Protection" localSheetId="12">P1_T2.1?Protection</definedName>
    <definedName name="P6_T2.1?Protection" localSheetId="11">P1_T2.1?Protection</definedName>
    <definedName name="P6_T2.1?Protection" localSheetId="8">P1_T2.1?Protection</definedName>
    <definedName name="P6_T2.1?Protection" localSheetId="9">P1_T2.1?Protection</definedName>
    <definedName name="P6_T2.1?Protection" localSheetId="10">P1_T2.1?Protection</definedName>
    <definedName name="P6_T2.1?Protection" localSheetId="6">P1_T2.1?Protection</definedName>
    <definedName name="P6_T2.1?Protection" localSheetId="5">P1_T2.1?Protection</definedName>
    <definedName name="P6_T2.1?Protection" localSheetId="4">P1_T2.1?Protection</definedName>
    <definedName name="P6_T2.1?Protection">P1_T2.1?Protection</definedName>
    <definedName name="P7_SCOPE_PER_PRT" localSheetId="15" hidden="1">#REF!,#REF!,#REF!,#REF!,#REF!</definedName>
    <definedName name="P7_SCOPE_PER_PRT" localSheetId="12" hidden="1">#REF!,#REF!,#REF!,#REF!,#REF!</definedName>
    <definedName name="P7_SCOPE_PER_PRT" localSheetId="11" hidden="1">#REF!,#REF!,#REF!,#REF!,#REF!</definedName>
    <definedName name="P7_SCOPE_PER_PRT" localSheetId="8" hidden="1">#REF!,#REF!,#REF!,#REF!,#REF!</definedName>
    <definedName name="P7_SCOPE_PER_PRT" localSheetId="9" hidden="1">#REF!,#REF!,#REF!,#REF!,#REF!</definedName>
    <definedName name="P7_SCOPE_PER_PRT" localSheetId="10" hidden="1">#REF!,#REF!,#REF!,#REF!,#REF!</definedName>
    <definedName name="P7_SCOPE_PER_PRT" localSheetId="6" hidden="1">#REF!,#REF!,#REF!,#REF!,#REF!</definedName>
    <definedName name="P7_SCOPE_PER_PRT" localSheetId="5" hidden="1">#REF!,#REF!,#REF!,#REF!,#REF!</definedName>
    <definedName name="P7_SCOPE_PER_PRT" localSheetId="4" hidden="1">#REF!,#REF!,#REF!,#REF!,#REF!</definedName>
    <definedName name="P7_SCOPE_PER_PRT" hidden="1">#REF!,#REF!,#REF!,#REF!,#REF!</definedName>
    <definedName name="P8_SCOPE_PER_PRT" localSheetId="15" hidden="1">#REF!,#REF!,#REF!,амортизация!P1_SCOPE_PER_PRT,амортизация!P2_SCOPE_PER_PRT,амортизация!P3_SCOPE_PER_PRT,амортизация!P4_SCOPE_PER_PRT</definedName>
    <definedName name="P8_SCOPE_PER_PRT" localSheetId="2" hidden="1">#REF!,#REF!,#REF!,P1_SCOPE_PER_PRT,P2_SCOPE_PER_PRT,P3_SCOPE_PER_PRT,P4_SCOPE_PER_PRT</definedName>
    <definedName name="P8_SCOPE_PER_PRT" localSheetId="3" hidden="1">#REF!,#REF!,#REF!,P1_SCOPE_PER_PRT,P2_SCOPE_PER_PRT,P3_SCOPE_PER_PRT,P4_SCOPE_PER_PRT</definedName>
    <definedName name="P8_SCOPE_PER_PRT" localSheetId="12" hidden="1">#REF!,#REF!,#REF!,'переменные на 5 лет'!P1_SCOPE_PER_PRT,'переменные на 5 лет'!P2_SCOPE_PER_PRT,'переменные на 5 лет'!P3_SCOPE_PER_PRT,'переменные на 5 лет'!P4_SCOPE_PER_PRT</definedName>
    <definedName name="P8_SCOPE_PER_PRT" localSheetId="7" hidden="1">#REF!,#REF!,#REF!,подконтрольные!P1_SCOPE_PER_PRT,подконтрольные!P2_SCOPE_PER_PRT,подконтрольные!P3_SCOPE_PER_PRT,подконтрольные!P4_SCOPE_PER_PRT</definedName>
    <definedName name="P8_SCOPE_PER_PRT" localSheetId="11" hidden="1">#REF!,#REF!,#REF!,'Прил 6 к расп'!P1_SCOPE_PER_PRT,'Прил 6 к расп'!P2_SCOPE_PER_PRT,'Прил 6 к расп'!P3_SCOPE_PER_PRT,'Прил 6 к расп'!P4_SCOPE_PER_PRT</definedName>
    <definedName name="P8_SCOPE_PER_PRT" localSheetId="8" hidden="1">#REF!,#REF!,#REF!,Прил2!P1_SCOPE_PER_PRT,Прил2!P2_SCOPE_PER_PRT,Прил2!P3_SCOPE_PER_PRT,Прил2!P4_SCOPE_PER_PRT</definedName>
    <definedName name="P8_SCOPE_PER_PRT" localSheetId="9" hidden="1">#REF!,#REF!,#REF!,Прил3!P1_SCOPE_PER_PRT,Прил3!P2_SCOPE_PER_PRT,Прил3!P3_SCOPE_PER_PRT,Прил3!P4_SCOPE_PER_PRT</definedName>
    <definedName name="P8_SCOPE_PER_PRT" localSheetId="10" hidden="1">#REF!,#REF!,#REF!,Прил4!P1_SCOPE_PER_PRT,Прил4!P2_SCOPE_PER_PRT,Прил4!P3_SCOPE_PER_PRT,Прил4!P4_SCOPE_PER_PRT</definedName>
    <definedName name="P8_SCOPE_PER_PRT" localSheetId="6" hidden="1">#REF!,#REF!,#REF!,Тарифы!P1_SCOPE_PER_PRT,Тарифы!P2_SCOPE_PER_PRT,Тарифы!P3_SCOPE_PER_PRT,Тарифы!P4_SCOPE_PER_PRT</definedName>
    <definedName name="P8_SCOPE_PER_PRT" localSheetId="5" hidden="1">#REF!,#REF!,#REF!,'Тарифы (2)'!P1_SCOPE_PER_PRT,'Тарифы (2)'!P2_SCOPE_PER_PRT,'Тарифы (2)'!P3_SCOPE_PER_PRT,'Тарифы (2)'!P4_SCOPE_PER_PRT</definedName>
    <definedName name="P8_SCOPE_PER_PRT" localSheetId="4" hidden="1">#REF!,#REF!,#REF!,'Тарифы (3)'!P1_SCOPE_PER_PRT,'Тарифы (3)'!P2_SCOPE_PER_PRT,'Тарифы (3)'!P3_SCOPE_PER_PRT,'Тарифы (3)'!P4_SCOPE_PER_PRT</definedName>
    <definedName name="P8_SCOPE_PER_PRT" hidden="1">#REF!,#REF!,#REF!,P1_SCOPE_PER_PRT,P2_SCOPE_PER_PRT,P3_SCOPE_PER_PRT,P4_SCOPE_PER_PRT</definedName>
    <definedName name="Par" localSheetId="11">'[98]8РЭК'!$B$52:$B$57,'[98]8РЭК'!$B$61:$B$66,'[98]8РЭК'!$B$69:$B$74,'[98]8РЭК'!$B$77:$B$82,'[98]8РЭК'!$B$85:$B$90,'[98]8РЭК'!$B$93:$B$98,'[98]8РЭК'!$B$101:$B$106,'[98]8РЭК'!$B$109:$B$114,'[98]8РЭК'!$B$117:$B$122</definedName>
    <definedName name="Par" localSheetId="8">'[98]8РЭК'!$B$52:$B$57,'[98]8РЭК'!$B$61:$B$66,'[98]8РЭК'!$B$69:$B$74,'[98]8РЭК'!$B$77:$B$82,'[98]8РЭК'!$B$85:$B$90,'[98]8РЭК'!$B$93:$B$98,'[98]8РЭК'!$B$101:$B$106,'[98]8РЭК'!$B$109:$B$114,'[98]8РЭК'!$B$117:$B$122</definedName>
    <definedName name="Par" localSheetId="9">'[98]8РЭК'!$B$52:$B$57,'[98]8РЭК'!$B$61:$B$66,'[98]8РЭК'!$B$69:$B$74,'[98]8РЭК'!$B$77:$B$82,'[98]8РЭК'!$B$85:$B$90,'[98]8РЭК'!$B$93:$B$98,'[98]8РЭК'!$B$101:$B$106,'[98]8РЭК'!$B$109:$B$114,'[98]8РЭК'!$B$117:$B$122</definedName>
    <definedName name="Par">'[98]8РЭК'!$B$52:$B$57,'[98]8РЭК'!$B$61:$B$66,'[98]8РЭК'!$B$69:$B$74,'[98]8РЭК'!$B$77:$B$82,'[98]8РЭК'!$B$85:$B$90,'[98]8РЭК'!$B$93:$B$98,'[98]8РЭК'!$B$101:$B$106,'[98]8РЭК'!$B$109:$B$114,'[98]8РЭК'!$B$117:$B$122</definedName>
    <definedName name="PARAM" localSheetId="2">[82]TSheet!$N$2:$N$9</definedName>
    <definedName name="PARAM" localSheetId="5">[82]TSheet!$N$2:$N$9</definedName>
    <definedName name="PARAM">[83]TSheet!$N$2:$N$9</definedName>
    <definedName name="pbStartPageNumber">1</definedName>
    <definedName name="pbUpdatePageNumbering">TRUE</definedName>
    <definedName name="PC" localSheetId="3">#REF!</definedName>
    <definedName name="PC" localSheetId="12">#REF!</definedName>
    <definedName name="PC" localSheetId="11">#REF!</definedName>
    <definedName name="PC" localSheetId="6">#REF!</definedName>
    <definedName name="PC" localSheetId="5">#REF!</definedName>
    <definedName name="PC" localSheetId="4">#REF!</definedName>
    <definedName name="PC">#REF!</definedName>
    <definedName name="PercentageBought" localSheetId="15">'[19]Dairy Precedents'!#REF!</definedName>
    <definedName name="PercentageBought" localSheetId="2">'[19]Dairy Precedents'!#REF!</definedName>
    <definedName name="PercentageBought" localSheetId="3">'[19]Dairy Precedents'!#REF!</definedName>
    <definedName name="PercentageBought" localSheetId="12">'[19]Dairy Precedents'!#REF!</definedName>
    <definedName name="PercentageBought" localSheetId="11">'[19]Dairy Precedents'!#REF!</definedName>
    <definedName name="PercentageBought" localSheetId="8">'[19]Dairy Precedents'!#REF!</definedName>
    <definedName name="PercentageBought" localSheetId="9">'[19]Dairy Precedents'!#REF!</definedName>
    <definedName name="PercentageBought" localSheetId="10">'[19]Dairy Precedents'!#REF!</definedName>
    <definedName name="PercentageBought" localSheetId="6">'[19]Dairy Precedents'!#REF!</definedName>
    <definedName name="PercentageBought" localSheetId="5">'[19]Dairy Precedents'!#REF!</definedName>
    <definedName name="PercentageBought" localSheetId="4">'[19]Dairy Precedents'!#REF!</definedName>
    <definedName name="PercentageBought">'[19]Dairy Precedents'!#REF!</definedName>
    <definedName name="Period_name_0" localSheetId="15">[34]TSheet!$G$3</definedName>
    <definedName name="Period_name_0" localSheetId="2">[57]TSheet!$G$3</definedName>
    <definedName name="Period_name_0" localSheetId="3">[57]TSheet!$G$3</definedName>
    <definedName name="Period_name_0" localSheetId="11">[36]TSheet!$G$3</definedName>
    <definedName name="Period_name_0" localSheetId="8">[36]TSheet!$G$3</definedName>
    <definedName name="Period_name_0" localSheetId="9">[36]TSheet!$G$3</definedName>
    <definedName name="Period_name_0" localSheetId="10">[37]TSheet!$G$3</definedName>
    <definedName name="Period_name_0" localSheetId="6">[37]TSheet!$G$3</definedName>
    <definedName name="Period_name_0" localSheetId="5">[37]TSheet!$G$3</definedName>
    <definedName name="Period_name_0" localSheetId="4">[38]TSheet!$G$3</definedName>
    <definedName name="Period_name_0">[57]TSheet!$G$3</definedName>
    <definedName name="Period_name_1">[95]TSheet!$G$4</definedName>
    <definedName name="Period_name_2">[95]TSheet!$G$5</definedName>
    <definedName name="Period02" localSheetId="3">[99]Настройка!#REF!</definedName>
    <definedName name="Period02" localSheetId="12">[99]Настройка!#REF!</definedName>
    <definedName name="Period02" localSheetId="11">[99]Настройка!#REF!</definedName>
    <definedName name="Period02" localSheetId="6">[99]Настройка!#REF!</definedName>
    <definedName name="Period02" localSheetId="5">[99]Настройка!#REF!</definedName>
    <definedName name="Period02" localSheetId="4">[99]Настройка!#REF!</definedName>
    <definedName name="Period02">[99]Настройка!#REF!</definedName>
    <definedName name="Period1">[53]Настройка!$A$8</definedName>
    <definedName name="Period2">[53]Настройка!$A$11</definedName>
    <definedName name="Period3" localSheetId="12">[99]Настройка!#REF!</definedName>
    <definedName name="Period3" localSheetId="11">[99]Настройка!#REF!</definedName>
    <definedName name="Period3">[99]Настройка!#REF!</definedName>
    <definedName name="PerOffical" localSheetId="2">#REF!</definedName>
    <definedName name="PerOffical" localSheetId="3">#REF!</definedName>
    <definedName name="PerOffical" localSheetId="12">#REF!</definedName>
    <definedName name="PerOffical" localSheetId="11">#REF!</definedName>
    <definedName name="PerOffical" localSheetId="6">#REF!</definedName>
    <definedName name="PerOffical" localSheetId="5">#REF!</definedName>
    <definedName name="PerOffical" localSheetId="4">#REF!</definedName>
    <definedName name="PerOffical">#REF!</definedName>
    <definedName name="perp_lev" localSheetId="15">#REF!</definedName>
    <definedName name="perp_lev" localSheetId="12">#REF!</definedName>
    <definedName name="perp_lev" localSheetId="11">#REF!</definedName>
    <definedName name="perp_lev" localSheetId="8">#REF!</definedName>
    <definedName name="perp_lev" localSheetId="9">#REF!</definedName>
    <definedName name="perp_lev" localSheetId="10">#REF!</definedName>
    <definedName name="perp_lev">#REF!</definedName>
    <definedName name="perp_lev_sen" localSheetId="15">#REF!</definedName>
    <definedName name="perp_lev_sen" localSheetId="12">#REF!</definedName>
    <definedName name="perp_lev_sen" localSheetId="11">#REF!</definedName>
    <definedName name="perp_lev_sen" localSheetId="8">#REF!</definedName>
    <definedName name="perp_lev_sen" localSheetId="9">#REF!</definedName>
    <definedName name="perp_lev_sen" localSheetId="10">#REF!</definedName>
    <definedName name="perp_lev_sen">#REF!</definedName>
    <definedName name="perp_lev1" localSheetId="15">#REF!</definedName>
    <definedName name="perp_lev1" localSheetId="12">#REF!</definedName>
    <definedName name="perp_lev1" localSheetId="11">#REF!</definedName>
    <definedName name="perp_lev1" localSheetId="8">#REF!</definedName>
    <definedName name="perp_lev1" localSheetId="9">#REF!</definedName>
    <definedName name="perp_lev1" localSheetId="10">#REF!</definedName>
    <definedName name="perp_lev1">#REF!</definedName>
    <definedName name="perp_lev2" localSheetId="12">#REF!</definedName>
    <definedName name="perp_lev2" localSheetId="11">#REF!</definedName>
    <definedName name="perp_lev2" localSheetId="8">#REF!</definedName>
    <definedName name="perp_lev2" localSheetId="9">#REF!</definedName>
    <definedName name="perp_lev2" localSheetId="10">#REF!</definedName>
    <definedName name="perp_lev2">#REF!</definedName>
    <definedName name="perp_lev3" localSheetId="12">#REF!</definedName>
    <definedName name="perp_lev3" localSheetId="11">#REF!</definedName>
    <definedName name="perp_lev3" localSheetId="8">#REF!</definedName>
    <definedName name="perp_lev3" localSheetId="9">#REF!</definedName>
    <definedName name="perp_lev3" localSheetId="10">#REF!</definedName>
    <definedName name="perp_lev3">#REF!</definedName>
    <definedName name="perp_lev4" localSheetId="12">#REF!</definedName>
    <definedName name="perp_lev4" localSheetId="11">#REF!</definedName>
    <definedName name="perp_lev4" localSheetId="8">#REF!</definedName>
    <definedName name="perp_lev4" localSheetId="9">#REF!</definedName>
    <definedName name="perp_lev4" localSheetId="10">#REF!</definedName>
    <definedName name="perp_lev4">#REF!</definedName>
    <definedName name="perp_lev5" localSheetId="12">#REF!</definedName>
    <definedName name="perp_lev5" localSheetId="11">#REF!</definedName>
    <definedName name="perp_lev5" localSheetId="8">#REF!</definedName>
    <definedName name="perp_lev5" localSheetId="9">#REF!</definedName>
    <definedName name="perp_lev5" localSheetId="10">#REF!</definedName>
    <definedName name="perp_lev5">#REF!</definedName>
    <definedName name="perp_unlev" localSheetId="12">#REF!</definedName>
    <definedName name="perp_unlev" localSheetId="11">#REF!</definedName>
    <definedName name="perp_unlev" localSheetId="8">#REF!</definedName>
    <definedName name="perp_unlev" localSheetId="9">#REF!</definedName>
    <definedName name="perp_unlev" localSheetId="10">#REF!</definedName>
    <definedName name="perp_unlev">#REF!</definedName>
    <definedName name="perp_unlev_sen" localSheetId="12">#REF!</definedName>
    <definedName name="perp_unlev_sen" localSheetId="11">#REF!</definedName>
    <definedName name="perp_unlev_sen" localSheetId="8">#REF!</definedName>
    <definedName name="perp_unlev_sen" localSheetId="9">#REF!</definedName>
    <definedName name="perp_unlev_sen" localSheetId="10">#REF!</definedName>
    <definedName name="perp_unlev_sen">#REF!</definedName>
    <definedName name="perp_unlev1" localSheetId="12">#REF!</definedName>
    <definedName name="perp_unlev1" localSheetId="11">#REF!</definedName>
    <definedName name="perp_unlev1" localSheetId="8">#REF!</definedName>
    <definedName name="perp_unlev1" localSheetId="9">#REF!</definedName>
    <definedName name="perp_unlev1" localSheetId="10">#REF!</definedName>
    <definedName name="perp_unlev1">#REF!</definedName>
    <definedName name="perp_unlev2" localSheetId="12">#REF!</definedName>
    <definedName name="perp_unlev2" localSheetId="11">#REF!</definedName>
    <definedName name="perp_unlev2" localSheetId="8">#REF!</definedName>
    <definedName name="perp_unlev2" localSheetId="9">#REF!</definedName>
    <definedName name="perp_unlev2" localSheetId="10">#REF!</definedName>
    <definedName name="perp_unlev2">#REF!</definedName>
    <definedName name="perp_unlev3" localSheetId="12">#REF!</definedName>
    <definedName name="perp_unlev3" localSheetId="11">#REF!</definedName>
    <definedName name="perp_unlev3" localSheetId="8">#REF!</definedName>
    <definedName name="perp_unlev3" localSheetId="9">#REF!</definedName>
    <definedName name="perp_unlev3" localSheetId="10">#REF!</definedName>
    <definedName name="perp_unlev3">#REF!</definedName>
    <definedName name="perp_unlev4" localSheetId="12">#REF!</definedName>
    <definedName name="perp_unlev4" localSheetId="11">#REF!</definedName>
    <definedName name="perp_unlev4" localSheetId="8">#REF!</definedName>
    <definedName name="perp_unlev4" localSheetId="9">#REF!</definedName>
    <definedName name="perp_unlev4" localSheetId="10">#REF!</definedName>
    <definedName name="perp_unlev4">#REF!</definedName>
    <definedName name="perp_unlev5" localSheetId="12">#REF!</definedName>
    <definedName name="perp_unlev5" localSheetId="11">#REF!</definedName>
    <definedName name="perp_unlev5" localSheetId="8">#REF!</definedName>
    <definedName name="perp_unlev5" localSheetId="9">#REF!</definedName>
    <definedName name="perp_unlev5" localSheetId="10">#REF!</definedName>
    <definedName name="perp_unlev5">#REF!</definedName>
    <definedName name="PerWork" localSheetId="12">#REF!</definedName>
    <definedName name="PerWork" localSheetId="11">#REF!</definedName>
    <definedName name="PerWork">#REF!</definedName>
    <definedName name="PF" localSheetId="15">[34]Титульный!$F$18</definedName>
    <definedName name="PF" localSheetId="2">[57]Титульный!$F$21</definedName>
    <definedName name="PF" localSheetId="3">[57]Титульный!$F$21</definedName>
    <definedName name="PF" localSheetId="11">[36]Титульный!$F$18</definedName>
    <definedName name="PF" localSheetId="8">[36]Титульный!$F$18</definedName>
    <definedName name="PF" localSheetId="9">[36]Титульный!$F$18</definedName>
    <definedName name="PF" localSheetId="10">[37]Титульный!$F$18</definedName>
    <definedName name="PF" localSheetId="6">[37]Титульный!$F$18</definedName>
    <definedName name="PF" localSheetId="5">[37]Титульный!$F$18</definedName>
    <definedName name="PF" localSheetId="4">[38]Титульный!$F$18</definedName>
    <definedName name="PF">[57]Титульный!$F$21</definedName>
    <definedName name="PL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12">'[19]P&amp;L'!#REF!</definedName>
    <definedName name="PL_Loss_Debt" localSheetId="11">'[19]P&amp;L'!#REF!</definedName>
    <definedName name="PL_Loss_Debt" localSheetId="8">'[19]P&amp;L'!#REF!</definedName>
    <definedName name="PL_Loss_Debt" localSheetId="9">'[19]P&amp;L'!#REF!</definedName>
    <definedName name="PL_Loss_Debt" localSheetId="10">'[19]P&amp;L'!#REF!</definedName>
    <definedName name="PL_Loss_Debt">'[19]P&amp;L'!#REF!</definedName>
    <definedName name="PL_Loss_Preferred" localSheetId="12">'[19]P&amp;L'!#REF!</definedName>
    <definedName name="PL_Loss_Preferred" localSheetId="11">'[19]P&amp;L'!#REF!</definedName>
    <definedName name="PL_Loss_Preferred" localSheetId="8">'[19]P&amp;L'!#REF!</definedName>
    <definedName name="PL_Loss_Preferred" localSheetId="9">'[19]P&amp;L'!#REF!</definedName>
    <definedName name="PL_Loss_Preferred" localSheetId="10">'[19]P&amp;L'!#REF!</definedName>
    <definedName name="PL_Loss_Preferred">'[19]P&amp;L'!#REF!</definedName>
    <definedName name="PL_Rent" localSheetId="12">'[19]P&amp;L'!#REF!</definedName>
    <definedName name="PL_Rent" localSheetId="11">'[19]P&amp;L'!#REF!</definedName>
    <definedName name="PL_Rent" localSheetId="8">'[19]P&amp;L'!#REF!</definedName>
    <definedName name="PL_Rent" localSheetId="9">'[19]P&amp;L'!#REF!</definedName>
    <definedName name="PL_Rent" localSheetId="10">'[19]P&amp;L'!#REF!</definedName>
    <definedName name="PL_Rent">'[19]P&amp;L'!#REF!</definedName>
    <definedName name="Plug" localSheetId="15">#REF!</definedName>
    <definedName name="Plug" localSheetId="12">#REF!</definedName>
    <definedName name="Plug" localSheetId="11">#REF!</definedName>
    <definedName name="Plug" localSheetId="8">#REF!</definedName>
    <definedName name="Plug" localSheetId="9">#REF!</definedName>
    <definedName name="Plug" localSheetId="10">#REF!</definedName>
    <definedName name="Plug" localSheetId="6">#REF!</definedName>
    <definedName name="Plug" localSheetId="5">#REF!</definedName>
    <definedName name="Plug" localSheetId="4">#REF!</definedName>
    <definedName name="Plug">#REF!</definedName>
    <definedName name="PM" localSheetId="12">#REF!</definedName>
    <definedName name="PM" localSheetId="11">#REF!</definedName>
    <definedName name="PM">#REF!</definedName>
    <definedName name="pp">'[11]APP Systems'!$F$49</definedName>
    <definedName name="pr">[100]Anlagevermögen!$A$1:$Z$29</definedName>
    <definedName name="prefrate" localSheetId="15">#REF!</definedName>
    <definedName name="prefrate" localSheetId="12">#REF!</definedName>
    <definedName name="prefrate" localSheetId="11">#REF!</definedName>
    <definedName name="prefrate" localSheetId="8">#REF!</definedName>
    <definedName name="prefrate" localSheetId="9">#REF!</definedName>
    <definedName name="prefrate" localSheetId="10">#REF!</definedName>
    <definedName name="prefrate" localSheetId="6">#REF!</definedName>
    <definedName name="prefrate" localSheetId="5">#REF!</definedName>
    <definedName name="prefrate" localSheetId="4">#REF!</definedName>
    <definedName name="prefrate">#REF!</definedName>
    <definedName name="printa" localSheetId="15">#REF!</definedName>
    <definedName name="printa" localSheetId="12">#REF!</definedName>
    <definedName name="printa" localSheetId="11">#REF!</definedName>
    <definedName name="printa" localSheetId="8">#REF!</definedName>
    <definedName name="printa" localSheetId="9">#REF!</definedName>
    <definedName name="printa" localSheetId="10">#REF!</definedName>
    <definedName name="printa">#REF!</definedName>
    <definedName name="printb" localSheetId="15">#REF!</definedName>
    <definedName name="printb" localSheetId="12">#REF!</definedName>
    <definedName name="printb" localSheetId="11">#REF!</definedName>
    <definedName name="printb" localSheetId="8">#REF!</definedName>
    <definedName name="printb" localSheetId="9">#REF!</definedName>
    <definedName name="printb" localSheetId="10">#REF!</definedName>
    <definedName name="printb">#REF!</definedName>
    <definedName name="printc" localSheetId="12">#REF!</definedName>
    <definedName name="printc" localSheetId="11">#REF!</definedName>
    <definedName name="printc" localSheetId="8">#REF!</definedName>
    <definedName name="printc" localSheetId="9">#REF!</definedName>
    <definedName name="printc" localSheetId="10">#REF!</definedName>
    <definedName name="printc">#REF!</definedName>
    <definedName name="printk" localSheetId="12">#REF!</definedName>
    <definedName name="printk" localSheetId="11">#REF!</definedName>
    <definedName name="printk" localSheetId="8">#REF!</definedName>
    <definedName name="printk" localSheetId="9">#REF!</definedName>
    <definedName name="printk" localSheetId="10">#REF!</definedName>
    <definedName name="printk">#REF!</definedName>
    <definedName name="production_type" localSheetId="3">[91]Титульный!$F$11</definedName>
    <definedName name="production_type" localSheetId="11">[92]Титульный!$F$11</definedName>
    <definedName name="production_type" localSheetId="8">[92]Титульный!$F$11</definedName>
    <definedName name="production_type" localSheetId="9">[92]Титульный!$F$11</definedName>
    <definedName name="production_type" localSheetId="10">[93]Титульный!$F$11</definedName>
    <definedName name="production_type" localSheetId="6">[93]Титульный!$F$11</definedName>
    <definedName name="production_type" localSheetId="5">[93]Титульный!$F$11</definedName>
    <definedName name="production_type" localSheetId="4">[94]Титульный!$F$11</definedName>
    <definedName name="production_type">[92]Титульный!$F$11</definedName>
    <definedName name="PROP_GROUP" localSheetId="3">[52]TSheet!$V$2:$V$6</definedName>
    <definedName name="PROP_GROUP" localSheetId="11">[36]TSheet!$V$2:$V$6</definedName>
    <definedName name="PROP_GROUP" localSheetId="8">[36]TSheet!$V$2:$V$6</definedName>
    <definedName name="PROP_GROUP" localSheetId="9">[36]TSheet!$V$2:$V$6</definedName>
    <definedName name="PROP_GROUP" localSheetId="10">[37]TSheet!$V$2:$V$6</definedName>
    <definedName name="PROP_GROUP" localSheetId="6">[37]TSheet!$V$2:$V$6</definedName>
    <definedName name="PROP_GROUP" localSheetId="5">[37]TSheet!$V$2:$V$6</definedName>
    <definedName name="PROP_GROUP" localSheetId="4">[38]TSheet!$V$2:$V$6</definedName>
    <definedName name="PROP_GROUP">[34]TSheet!$V$2:$V$6</definedName>
    <definedName name="q" localSheetId="15">#REF!</definedName>
    <definedName name="q" localSheetId="12">#REF!</definedName>
    <definedName name="q" localSheetId="11">#REF!</definedName>
    <definedName name="q" localSheetId="8">#REF!</definedName>
    <definedName name="q" localSheetId="9">#REF!</definedName>
    <definedName name="q" localSheetId="10">#REF!</definedName>
    <definedName name="q" localSheetId="6">#REF!</definedName>
    <definedName name="q" localSheetId="5">#REF!</definedName>
    <definedName name="q" localSheetId="4">#REF!</definedName>
    <definedName name="q">#REF!</definedName>
    <definedName name="qasa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qq" localSheetId="15">#REF!</definedName>
    <definedName name="qqqq" localSheetId="12">#REF!</definedName>
    <definedName name="qqqq" localSheetId="11">#REF!</definedName>
    <definedName name="qqqq" localSheetId="8">#REF!</definedName>
    <definedName name="qqqq" localSheetId="9">#REF!</definedName>
    <definedName name="qqqq" localSheetId="10">#REF!</definedName>
    <definedName name="qqqq" localSheetId="6">#REF!</definedName>
    <definedName name="qqqq" localSheetId="5">#REF!</definedName>
    <definedName name="qqqq" localSheetId="4">#REF!</definedName>
    <definedName name="qqqq">#REF!</definedName>
    <definedName name="qqqqq" localSheetId="15">#REF!</definedName>
    <definedName name="qqqqq" localSheetId="12">#REF!</definedName>
    <definedName name="qqqqq" localSheetId="11">#REF!</definedName>
    <definedName name="qqqqq" localSheetId="8">#REF!</definedName>
    <definedName name="qqqqq" localSheetId="9">#REF!</definedName>
    <definedName name="qqqqq" localSheetId="10">#REF!</definedName>
    <definedName name="qqqqq">#REF!</definedName>
    <definedName name="qqwere" localSheetId="15">#REF!</definedName>
    <definedName name="qqwere" localSheetId="12">#REF!</definedName>
    <definedName name="qqwere" localSheetId="11">#REF!</definedName>
    <definedName name="qqwere" localSheetId="8">#REF!</definedName>
    <definedName name="qqwere" localSheetId="9">#REF!</definedName>
    <definedName name="qqwere" localSheetId="10">#REF!</definedName>
    <definedName name="qqwere">#REF!</definedName>
    <definedName name="qrqte" localSheetId="12">#REF!</definedName>
    <definedName name="qrqte" localSheetId="11">#REF!</definedName>
    <definedName name="qrqte" localSheetId="8">#REF!</definedName>
    <definedName name="qrqte" localSheetId="9">#REF!</definedName>
    <definedName name="qrqte" localSheetId="10">#REF!</definedName>
    <definedName name="qrqte">#REF!</definedName>
    <definedName name="qwer12" localSheetId="12">#REF!</definedName>
    <definedName name="qwer12" localSheetId="11">#REF!</definedName>
    <definedName name="qwer12" localSheetId="8">#REF!</definedName>
    <definedName name="qwer12" localSheetId="9">#REF!</definedName>
    <definedName name="qwer12" localSheetId="10">#REF!</definedName>
    <definedName name="qwer12">#REF!</definedName>
    <definedName name="qwer234" localSheetId="12">#REF!</definedName>
    <definedName name="qwer234" localSheetId="11">#REF!</definedName>
    <definedName name="qwer234" localSheetId="8">#REF!</definedName>
    <definedName name="qwer234" localSheetId="9">#REF!</definedName>
    <definedName name="qwer234" localSheetId="10">#REF!</definedName>
    <definedName name="qwer234">#REF!</definedName>
    <definedName name="qwer3454">'[63]Продажи реальные и прогноз 20 л'!$E$47</definedName>
    <definedName name="qwert3" localSheetId="15">#REF!</definedName>
    <definedName name="qwert3" localSheetId="12">#REF!</definedName>
    <definedName name="qwert3" localSheetId="11">#REF!</definedName>
    <definedName name="qwert3" localSheetId="8">#REF!</definedName>
    <definedName name="qwert3" localSheetId="9">#REF!</definedName>
    <definedName name="qwert3" localSheetId="10">#REF!</definedName>
    <definedName name="qwert3" localSheetId="6">#REF!</definedName>
    <definedName name="qwert3" localSheetId="5">#REF!</definedName>
    <definedName name="qwert3" localSheetId="4">#REF!</definedName>
    <definedName name="qwert3">#REF!</definedName>
    <definedName name="qwert567" localSheetId="15">#REF!</definedName>
    <definedName name="qwert567" localSheetId="12">#REF!</definedName>
    <definedName name="qwert567" localSheetId="11">#REF!</definedName>
    <definedName name="qwert567" localSheetId="8">#REF!</definedName>
    <definedName name="qwert567" localSheetId="9">#REF!</definedName>
    <definedName name="qwert567" localSheetId="10">#REF!</definedName>
    <definedName name="qwert567">#REF!</definedName>
    <definedName name="qwert78" localSheetId="15">#REF!</definedName>
    <definedName name="qwert78" localSheetId="12">#REF!</definedName>
    <definedName name="qwert78" localSheetId="11">#REF!</definedName>
    <definedName name="qwert78" localSheetId="8">#REF!</definedName>
    <definedName name="qwert78" localSheetId="9">#REF!</definedName>
    <definedName name="qwert78" localSheetId="10">#REF!</definedName>
    <definedName name="qwert78">#REF!</definedName>
    <definedName name="qwerty1" localSheetId="12">#REF!</definedName>
    <definedName name="qwerty1" localSheetId="11">#REF!</definedName>
    <definedName name="qwerty1" localSheetId="8">#REF!</definedName>
    <definedName name="qwerty1" localSheetId="9">#REF!</definedName>
    <definedName name="qwerty1" localSheetId="10">#REF!</definedName>
    <definedName name="qwerty1">#REF!</definedName>
    <definedName name="qwerty5" localSheetId="12">#REF!</definedName>
    <definedName name="qwerty5" localSheetId="11">#REF!</definedName>
    <definedName name="qwerty5" localSheetId="8">#REF!</definedName>
    <definedName name="qwerty5" localSheetId="9">#REF!</definedName>
    <definedName name="qwerty5" localSheetId="10">#REF!</definedName>
    <definedName name="qwerty5">#REF!</definedName>
    <definedName name="qwerwe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te" localSheetId="15">#REF!</definedName>
    <definedName name="rate" localSheetId="12">#REF!</definedName>
    <definedName name="rate" localSheetId="11">#REF!</definedName>
    <definedName name="rate" localSheetId="8">#REF!</definedName>
    <definedName name="rate" localSheetId="9">#REF!</definedName>
    <definedName name="rate" localSheetId="10">#REF!</definedName>
    <definedName name="rate" localSheetId="6">#REF!</definedName>
    <definedName name="rate" localSheetId="5">#REF!</definedName>
    <definedName name="rate" localSheetId="4">#REF!</definedName>
    <definedName name="rate">#REF!</definedName>
    <definedName name="Rate0">[53]Настройка!$B$15</definedName>
    <definedName name="Rate01" localSheetId="3">[99]Настройка!#REF!</definedName>
    <definedName name="Rate01" localSheetId="12">[99]Настройка!#REF!</definedName>
    <definedName name="Rate01" localSheetId="11">[99]Настройка!#REF!</definedName>
    <definedName name="Rate01" localSheetId="6">[99]Настройка!#REF!</definedName>
    <definedName name="Rate01" localSheetId="5">[99]Настройка!#REF!</definedName>
    <definedName name="Rate01" localSheetId="4">[99]Настройка!#REF!</definedName>
    <definedName name="Rate01">[99]Настройка!#REF!</definedName>
    <definedName name="Rate02" localSheetId="12">[99]Настройка!#REF!</definedName>
    <definedName name="Rate02" localSheetId="11">[99]Настройка!#REF!</definedName>
    <definedName name="Rate02" localSheetId="6">[99]Настройка!#REF!</definedName>
    <definedName name="Rate02" localSheetId="5">[99]Настройка!#REF!</definedName>
    <definedName name="Rate02" localSheetId="4">[99]Настройка!#REF!</definedName>
    <definedName name="Rate02">[99]Настройка!#REF!</definedName>
    <definedName name="Rate03" localSheetId="12">[99]Настройка!#REF!</definedName>
    <definedName name="Rate03" localSheetId="11">[99]Настройка!#REF!</definedName>
    <definedName name="Rate03" localSheetId="6">[99]Настройка!#REF!</definedName>
    <definedName name="Rate03" localSheetId="5">[99]Настройка!#REF!</definedName>
    <definedName name="Rate03" localSheetId="4">[99]Настройка!#REF!</definedName>
    <definedName name="Rate03">[99]Настройка!#REF!</definedName>
    <definedName name="Rate04" localSheetId="12">[99]Настройка!#REF!</definedName>
    <definedName name="Rate04" localSheetId="11">[99]Настройка!#REF!</definedName>
    <definedName name="Rate04" localSheetId="6">[99]Настройка!#REF!</definedName>
    <definedName name="Rate04" localSheetId="5">[99]Настройка!#REF!</definedName>
    <definedName name="Rate04" localSheetId="4">[99]Настройка!#REF!</definedName>
    <definedName name="Rate04">[99]Настройка!#REF!</definedName>
    <definedName name="Rate05" localSheetId="12">[99]Настройка!#REF!</definedName>
    <definedName name="Rate05" localSheetId="11">[99]Настройка!#REF!</definedName>
    <definedName name="Rate05">[99]Настройка!#REF!</definedName>
    <definedName name="Rate06" localSheetId="12">[99]Настройка!#REF!</definedName>
    <definedName name="Rate06" localSheetId="11">[99]Настройка!#REF!</definedName>
    <definedName name="Rate06">[99]Настройка!#REF!</definedName>
    <definedName name="Rate1">[53]Настройка!$B$16</definedName>
    <definedName name="rate2" localSheetId="15">#REF!</definedName>
    <definedName name="rate2" localSheetId="12">#REF!</definedName>
    <definedName name="rate2" localSheetId="11">#REF!</definedName>
    <definedName name="rate2" localSheetId="8">#REF!</definedName>
    <definedName name="rate2" localSheetId="9">#REF!</definedName>
    <definedName name="rate2" localSheetId="10">#REF!</definedName>
    <definedName name="rate2" localSheetId="6">#REF!</definedName>
    <definedName name="rate2" localSheetId="5">#REF!</definedName>
    <definedName name="rate2" localSheetId="4">#REF!</definedName>
    <definedName name="rate2">#REF!</definedName>
    <definedName name="rateJuce" localSheetId="15">#REF!</definedName>
    <definedName name="rateJuce" localSheetId="12">#REF!</definedName>
    <definedName name="rateJuce" localSheetId="11">#REF!</definedName>
    <definedName name="rateJuce" localSheetId="8">#REF!</definedName>
    <definedName name="rateJuce" localSheetId="9">#REF!</definedName>
    <definedName name="rateJuce" localSheetId="10">#REF!</definedName>
    <definedName name="rateJuce">#REF!</definedName>
    <definedName name="rateJuice" localSheetId="15">[101]Инфо!#REF!</definedName>
    <definedName name="rateJuice" localSheetId="12">[101]Инфо!#REF!</definedName>
    <definedName name="rateJuice" localSheetId="11">[101]Инфо!#REF!</definedName>
    <definedName name="rateJuice" localSheetId="8">[101]Инфо!#REF!</definedName>
    <definedName name="rateJuice" localSheetId="9">[101]Инфо!#REF!</definedName>
    <definedName name="rateJuice" localSheetId="10">[101]Инфо!#REF!</definedName>
    <definedName name="rateJuice">[101]Инфо!#REF!</definedName>
    <definedName name="rateKZTtoKGS">[102]Справочно!$C$13</definedName>
    <definedName name="rateKZTtoRUR">[103]Справочно!$C$14</definedName>
    <definedName name="rateMilk" localSheetId="15">[101]Инфо!#REF!</definedName>
    <definedName name="rateMilk" localSheetId="2">[101]Инфо!#REF!</definedName>
    <definedName name="rateMilk" localSheetId="3">[101]Инфо!#REF!</definedName>
    <definedName name="rateMilk" localSheetId="12">[101]Инфо!#REF!</definedName>
    <definedName name="rateMilk" localSheetId="11">[101]Инфо!#REF!</definedName>
    <definedName name="rateMilk" localSheetId="8">[101]Инфо!#REF!</definedName>
    <definedName name="rateMilk" localSheetId="9">[101]Инфо!#REF!</definedName>
    <definedName name="rateMilk" localSheetId="10">[101]Инфо!#REF!</definedName>
    <definedName name="rateMilk" localSheetId="6">[101]Инфо!#REF!</definedName>
    <definedName name="rateMilk" localSheetId="5">[101]Инфо!#REF!</definedName>
    <definedName name="rateMilk" localSheetId="4">[101]Инфо!#REF!</definedName>
    <definedName name="rateMilk">[101]Инфо!#REF!</definedName>
    <definedName name="RD" localSheetId="2">#REF!</definedName>
    <definedName name="RD" localSheetId="3">#REF!</definedName>
    <definedName name="RD" localSheetId="12">#REF!</definedName>
    <definedName name="RD" localSheetId="11">#REF!</definedName>
    <definedName name="RD" localSheetId="6">#REF!</definedName>
    <definedName name="RD" localSheetId="5">#REF!</definedName>
    <definedName name="RD" localSheetId="4">#REF!</definedName>
    <definedName name="RD">#REF!</definedName>
    <definedName name="REGUL" localSheetId="15">#REF!</definedName>
    <definedName name="REGUL" localSheetId="12">#REF!</definedName>
    <definedName name="REGUL" localSheetId="11">#REF!</definedName>
    <definedName name="REGUL" localSheetId="8">#REF!</definedName>
    <definedName name="REGUL" localSheetId="9">#REF!</definedName>
    <definedName name="REGUL" localSheetId="10">#REF!</definedName>
    <definedName name="REGUL">#REF!</definedName>
    <definedName name="ReleveredBeta" localSheetId="15">#REF!</definedName>
    <definedName name="ReleveredBeta" localSheetId="12">#REF!</definedName>
    <definedName name="ReleveredBeta" localSheetId="11">#REF!</definedName>
    <definedName name="ReleveredBeta" localSheetId="8">#REF!</definedName>
    <definedName name="ReleveredBeta" localSheetId="9">#REF!</definedName>
    <definedName name="ReleveredBeta" localSheetId="10">#REF!</definedName>
    <definedName name="ReleveredBeta">#REF!</definedName>
    <definedName name="rerter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15">#REF!</definedName>
    <definedName name="respirators" localSheetId="12">#REF!</definedName>
    <definedName name="respirators" localSheetId="11">#REF!</definedName>
    <definedName name="respirators" localSheetId="8">#REF!</definedName>
    <definedName name="respirators" localSheetId="9">#REF!</definedName>
    <definedName name="respirators" localSheetId="10">#REF!</definedName>
    <definedName name="respirators" localSheetId="6">#REF!</definedName>
    <definedName name="respirators" localSheetId="5">#REF!</definedName>
    <definedName name="respirators" localSheetId="4">#REF!</definedName>
    <definedName name="respirators">#REF!</definedName>
    <definedName name="Revolver_Interest" localSheetId="15">#REF!</definedName>
    <definedName name="Revolver_Interest" localSheetId="12">#REF!</definedName>
    <definedName name="Revolver_Interest" localSheetId="11">#REF!</definedName>
    <definedName name="Revolver_Interest" localSheetId="8">#REF!</definedName>
    <definedName name="Revolver_Interest" localSheetId="9">#REF!</definedName>
    <definedName name="Revolver_Interest" localSheetId="10">#REF!</definedName>
    <definedName name="Revolver_Interest">#REF!</definedName>
    <definedName name="rghergher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oll" localSheetId="15">#REF!</definedName>
    <definedName name="roll" localSheetId="12">#REF!</definedName>
    <definedName name="roll" localSheetId="11">#REF!</definedName>
    <definedName name="roll" localSheetId="8">#REF!</definedName>
    <definedName name="roll" localSheetId="9">#REF!</definedName>
    <definedName name="roll" localSheetId="10">#REF!</definedName>
    <definedName name="roll" localSheetId="6">#REF!</definedName>
    <definedName name="roll" localSheetId="5">#REF!</definedName>
    <definedName name="roll" localSheetId="4">#REF!</definedName>
    <definedName name="roll">#REF!</definedName>
    <definedName name="rows">[39]АКРасч!$A$1:$IV$5,[39]АКРасч!$A$7:$IV$22,[39]АКРасч!$A$24:$IV$41,[39]АКРасч!$A$43:$IV$54,[39]АКРасч!$A$55:$IV$56,[39]АКРасч!$A$58:$IV$71,[39]АКРасч!$A$72:$IV$98</definedName>
    <definedName name="rr" localSheetId="15">[7]!rr</definedName>
    <definedName name="rr" localSheetId="11">#N/A</definedName>
    <definedName name="rr" localSheetId="8">#N/A</definedName>
    <definedName name="rr" localSheetId="9">#N/A</definedName>
    <definedName name="rr" localSheetId="6">#N/A</definedName>
    <definedName name="rr" localSheetId="5">#N/A</definedName>
    <definedName name="rr" localSheetId="4">#N/A</definedName>
    <definedName name="rr">#N/A</definedName>
    <definedName name="rrr" localSheetId="15">#REF!</definedName>
    <definedName name="rrr" localSheetId="12">#REF!</definedName>
    <definedName name="rrr" localSheetId="11">#REF!</definedName>
    <definedName name="rrr" localSheetId="8">#REF!</definedName>
    <definedName name="rrr" localSheetId="9">#REF!</definedName>
    <definedName name="rrr" localSheetId="10">#REF!</definedName>
    <definedName name="rrr" localSheetId="6">#REF!</definedName>
    <definedName name="rrr" localSheetId="5">#REF!</definedName>
    <definedName name="rrr" localSheetId="4">#REF!</definedName>
    <definedName name="rrr">#REF!</definedName>
    <definedName name="rrrr" localSheetId="15">#REF!</definedName>
    <definedName name="rrrr" localSheetId="12">#REF!</definedName>
    <definedName name="rrrr" localSheetId="11">#REF!</definedName>
    <definedName name="rrrr" localSheetId="8">#REF!</definedName>
    <definedName name="rrrr" localSheetId="9">#REF!</definedName>
    <definedName name="rrrr" localSheetId="10">#REF!</definedName>
    <definedName name="rrrr">#REF!</definedName>
    <definedName name="rrrrrr" localSheetId="15">#REF!</definedName>
    <definedName name="rrrrrr" localSheetId="12">#REF!</definedName>
    <definedName name="rrrrrr" localSheetId="11">#REF!</definedName>
    <definedName name="rrrrrr" localSheetId="8">#REF!</definedName>
    <definedName name="rrrrrr" localSheetId="9">#REF!</definedName>
    <definedName name="rrrrrr" localSheetId="10">#REF!</definedName>
    <definedName name="rrrrrr">#REF!</definedName>
    <definedName name="rrtget6" localSheetId="15">[7]!rrtget6</definedName>
    <definedName name="rrtget6" localSheetId="11">#N/A</definedName>
    <definedName name="rrtget6" localSheetId="8">#N/A</definedName>
    <definedName name="rrtget6" localSheetId="9">#N/A</definedName>
    <definedName name="rrtget6" localSheetId="6">#N/A</definedName>
    <definedName name="rrtget6" localSheetId="5">#N/A</definedName>
    <definedName name="rrtget6" localSheetId="4">#N/A</definedName>
    <definedName name="rrtget6">#N/A</definedName>
    <definedName name="rtghr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15">#REF!</definedName>
    <definedName name="Rtitle" localSheetId="12">#REF!</definedName>
    <definedName name="Rtitle" localSheetId="11">#REF!</definedName>
    <definedName name="Rtitle" localSheetId="8">#REF!</definedName>
    <definedName name="Rtitle" localSheetId="9">#REF!</definedName>
    <definedName name="Rtitle" localSheetId="10">#REF!</definedName>
    <definedName name="Rtitle" localSheetId="6">#REF!</definedName>
    <definedName name="Rtitle" localSheetId="5">#REF!</definedName>
    <definedName name="Rtitle" localSheetId="4">#REF!</definedName>
    <definedName name="Rtitle">#REF!</definedName>
    <definedName name="RUR_ПЛАН_M" localSheetId="15">#REF!</definedName>
    <definedName name="RUR_ПЛАН_M" localSheetId="12">#REF!</definedName>
    <definedName name="RUR_ПЛАН_M" localSheetId="11">#REF!</definedName>
    <definedName name="RUR_ПЛАН_M" localSheetId="8">#REF!</definedName>
    <definedName name="RUR_ПЛАН_M" localSheetId="9">#REF!</definedName>
    <definedName name="RUR_ПЛАН_M" localSheetId="10">#REF!</definedName>
    <definedName name="RUR_ПЛАН_M">#REF!</definedName>
    <definedName name="RUR_ПЛАН_Г" localSheetId="15">#REF!</definedName>
    <definedName name="RUR_ПЛАН_Г" localSheetId="12">#REF!</definedName>
    <definedName name="RUR_ПЛАН_Г" localSheetId="11">#REF!</definedName>
    <definedName name="RUR_ПЛАН_Г" localSheetId="8">#REF!</definedName>
    <definedName name="RUR_ПЛАН_Г" localSheetId="9">#REF!</definedName>
    <definedName name="RUR_ПЛАН_Г" localSheetId="10">#REF!</definedName>
    <definedName name="RUR_ПЛАН_Г">#REF!</definedName>
    <definedName name="RUR_ФАКТ_M" localSheetId="12">#REF!</definedName>
    <definedName name="RUR_ФАКТ_M" localSheetId="11">#REF!</definedName>
    <definedName name="RUR_ФАКТ_M" localSheetId="8">#REF!</definedName>
    <definedName name="RUR_ФАКТ_M" localSheetId="9">#REF!</definedName>
    <definedName name="RUR_ФАКТ_M" localSheetId="10">#REF!</definedName>
    <definedName name="RUR_ФАКТ_M">#REF!</definedName>
    <definedName name="RUR_ФАКТ_Г" localSheetId="12">#REF!</definedName>
    <definedName name="RUR_ФАКТ_Г" localSheetId="11">#REF!</definedName>
    <definedName name="RUR_ФАКТ_Г" localSheetId="8">#REF!</definedName>
    <definedName name="RUR_ФАКТ_Г" localSheetId="9">#REF!</definedName>
    <definedName name="RUR_ФАКТ_Г" localSheetId="10">#REF!</definedName>
    <definedName name="RUR_ФАКТ_Г">#REF!</definedName>
    <definedName name="rus" localSheetId="12">#REF!</definedName>
    <definedName name="rus" localSheetId="11">#REF!</definedName>
    <definedName name="rus" localSheetId="8">#REF!</definedName>
    <definedName name="rus" localSheetId="9">#REF!</definedName>
    <definedName name="rus" localSheetId="10">#REF!</definedName>
    <definedName name="rus">#REF!</definedName>
    <definedName name="s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15">#REF!</definedName>
    <definedName name="S1_" localSheetId="12">#REF!</definedName>
    <definedName name="S1_" localSheetId="11">#REF!</definedName>
    <definedName name="S1_" localSheetId="8">#REF!</definedName>
    <definedName name="S1_" localSheetId="9">#REF!</definedName>
    <definedName name="S1_" localSheetId="10">#REF!</definedName>
    <definedName name="S1_" localSheetId="6">#REF!</definedName>
    <definedName name="S1_" localSheetId="5">#REF!</definedName>
    <definedName name="S1_" localSheetId="4">#REF!</definedName>
    <definedName name="S1_">#REF!</definedName>
    <definedName name="S10_" localSheetId="15">#REF!</definedName>
    <definedName name="S10_" localSheetId="12">#REF!</definedName>
    <definedName name="S10_" localSheetId="11">#REF!</definedName>
    <definedName name="S10_" localSheetId="8">#REF!</definedName>
    <definedName name="S10_" localSheetId="9">#REF!</definedName>
    <definedName name="S10_" localSheetId="10">#REF!</definedName>
    <definedName name="S10_">#REF!</definedName>
    <definedName name="S11_" localSheetId="15">#REF!</definedName>
    <definedName name="S11_" localSheetId="12">#REF!</definedName>
    <definedName name="S11_" localSheetId="11">#REF!</definedName>
    <definedName name="S11_" localSheetId="8">#REF!</definedName>
    <definedName name="S11_" localSheetId="9">#REF!</definedName>
    <definedName name="S11_" localSheetId="10">#REF!</definedName>
    <definedName name="S11_">#REF!</definedName>
    <definedName name="S12_" localSheetId="12">#REF!</definedName>
    <definedName name="S12_" localSheetId="11">#REF!</definedName>
    <definedName name="S12_" localSheetId="8">#REF!</definedName>
    <definedName name="S12_" localSheetId="9">#REF!</definedName>
    <definedName name="S12_" localSheetId="10">#REF!</definedName>
    <definedName name="S12_">#REF!</definedName>
    <definedName name="S13_" localSheetId="12">#REF!</definedName>
    <definedName name="S13_" localSheetId="11">#REF!</definedName>
    <definedName name="S13_" localSheetId="8">#REF!</definedName>
    <definedName name="S13_" localSheetId="9">#REF!</definedName>
    <definedName name="S13_" localSheetId="10">#REF!</definedName>
    <definedName name="S13_">#REF!</definedName>
    <definedName name="S14_" localSheetId="12">#REF!</definedName>
    <definedName name="S14_" localSheetId="11">#REF!</definedName>
    <definedName name="S14_" localSheetId="8">#REF!</definedName>
    <definedName name="S14_" localSheetId="9">#REF!</definedName>
    <definedName name="S14_" localSheetId="10">#REF!</definedName>
    <definedName name="S14_">#REF!</definedName>
    <definedName name="S15_" localSheetId="12">#REF!</definedName>
    <definedName name="S15_" localSheetId="11">#REF!</definedName>
    <definedName name="S15_" localSheetId="8">#REF!</definedName>
    <definedName name="S15_" localSheetId="9">#REF!</definedName>
    <definedName name="S15_" localSheetId="10">#REF!</definedName>
    <definedName name="S15_">#REF!</definedName>
    <definedName name="S16_" localSheetId="12">#REF!</definedName>
    <definedName name="S16_" localSheetId="11">#REF!</definedName>
    <definedName name="S16_" localSheetId="8">#REF!</definedName>
    <definedName name="S16_" localSheetId="9">#REF!</definedName>
    <definedName name="S16_" localSheetId="10">#REF!</definedName>
    <definedName name="S16_">#REF!</definedName>
    <definedName name="S17_" localSheetId="12">#REF!</definedName>
    <definedName name="S17_" localSheetId="11">#REF!</definedName>
    <definedName name="S17_" localSheetId="8">#REF!</definedName>
    <definedName name="S17_" localSheetId="9">#REF!</definedName>
    <definedName name="S17_" localSheetId="10">#REF!</definedName>
    <definedName name="S17_">#REF!</definedName>
    <definedName name="S18_" localSheetId="12">#REF!</definedName>
    <definedName name="S18_" localSheetId="11">#REF!</definedName>
    <definedName name="S18_" localSheetId="8">#REF!</definedName>
    <definedName name="S18_" localSheetId="9">#REF!</definedName>
    <definedName name="S18_" localSheetId="10">#REF!</definedName>
    <definedName name="S18_">#REF!</definedName>
    <definedName name="S19_" localSheetId="12">#REF!</definedName>
    <definedName name="S19_" localSheetId="11">#REF!</definedName>
    <definedName name="S19_" localSheetId="8">#REF!</definedName>
    <definedName name="S19_" localSheetId="9">#REF!</definedName>
    <definedName name="S19_" localSheetId="10">#REF!</definedName>
    <definedName name="S19_">#REF!</definedName>
    <definedName name="S2_" localSheetId="12">#REF!</definedName>
    <definedName name="S2_" localSheetId="11">#REF!</definedName>
    <definedName name="S2_" localSheetId="8">#REF!</definedName>
    <definedName name="S2_" localSheetId="9">#REF!</definedName>
    <definedName name="S2_" localSheetId="10">#REF!</definedName>
    <definedName name="S2_">#REF!</definedName>
    <definedName name="S20_" localSheetId="12">#REF!</definedName>
    <definedName name="S20_" localSheetId="11">#REF!</definedName>
    <definedName name="S20_" localSheetId="8">#REF!</definedName>
    <definedName name="S20_" localSheetId="9">#REF!</definedName>
    <definedName name="S20_" localSheetId="10">#REF!</definedName>
    <definedName name="S20_">#REF!</definedName>
    <definedName name="S3_" localSheetId="12">#REF!</definedName>
    <definedName name="S3_" localSheetId="11">#REF!</definedName>
    <definedName name="S3_" localSheetId="8">#REF!</definedName>
    <definedName name="S3_" localSheetId="9">#REF!</definedName>
    <definedName name="S3_" localSheetId="10">#REF!</definedName>
    <definedName name="S3_">#REF!</definedName>
    <definedName name="S4_" localSheetId="12">#REF!</definedName>
    <definedName name="S4_" localSheetId="11">#REF!</definedName>
    <definedName name="S4_" localSheetId="8">#REF!</definedName>
    <definedName name="S4_" localSheetId="9">#REF!</definedName>
    <definedName name="S4_" localSheetId="10">#REF!</definedName>
    <definedName name="S4_">#REF!</definedName>
    <definedName name="s4601_41" localSheetId="12">#REF!</definedName>
    <definedName name="s4601_41" localSheetId="11">#REF!</definedName>
    <definedName name="s4601_41" localSheetId="8">#REF!</definedName>
    <definedName name="s4601_41" localSheetId="9">#REF!</definedName>
    <definedName name="s4601_41" localSheetId="10">#REF!</definedName>
    <definedName name="s4601_41">#REF!</definedName>
    <definedName name="s4602_41" localSheetId="12">#REF!</definedName>
    <definedName name="s4602_41" localSheetId="11">#REF!</definedName>
    <definedName name="s4602_41" localSheetId="8">#REF!</definedName>
    <definedName name="s4602_41" localSheetId="9">#REF!</definedName>
    <definedName name="s4602_41" localSheetId="10">#REF!</definedName>
    <definedName name="s4602_41">#REF!</definedName>
    <definedName name="s4603_41" localSheetId="12">#REF!</definedName>
    <definedName name="s4603_41" localSheetId="11">#REF!</definedName>
    <definedName name="s4603_41" localSheetId="8">#REF!</definedName>
    <definedName name="s4603_41" localSheetId="9">#REF!</definedName>
    <definedName name="s4603_41" localSheetId="10">#REF!</definedName>
    <definedName name="s4603_41">#REF!</definedName>
    <definedName name="s4604_41" localSheetId="12">#REF!</definedName>
    <definedName name="s4604_41" localSheetId="11">#REF!</definedName>
    <definedName name="s4604_41" localSheetId="8">#REF!</definedName>
    <definedName name="s4604_41" localSheetId="9">#REF!</definedName>
    <definedName name="s4604_41" localSheetId="10">#REF!</definedName>
    <definedName name="s4604_41">#REF!</definedName>
    <definedName name="s4605_41" localSheetId="12">#REF!</definedName>
    <definedName name="s4605_41" localSheetId="11">#REF!</definedName>
    <definedName name="s4605_41" localSheetId="8">#REF!</definedName>
    <definedName name="s4605_41" localSheetId="9">#REF!</definedName>
    <definedName name="s4605_41" localSheetId="10">#REF!</definedName>
    <definedName name="s4605_41">#REF!</definedName>
    <definedName name="S5_" localSheetId="12">#REF!</definedName>
    <definedName name="S5_" localSheetId="11">#REF!</definedName>
    <definedName name="S5_" localSheetId="8">#REF!</definedName>
    <definedName name="S5_" localSheetId="9">#REF!</definedName>
    <definedName name="S5_" localSheetId="10">#REF!</definedName>
    <definedName name="S5_">#REF!</definedName>
    <definedName name="S6_" localSheetId="12">#REF!</definedName>
    <definedName name="S6_" localSheetId="11">#REF!</definedName>
    <definedName name="S6_" localSheetId="8">#REF!</definedName>
    <definedName name="S6_" localSheetId="9">#REF!</definedName>
    <definedName name="S6_" localSheetId="10">#REF!</definedName>
    <definedName name="S6_">#REF!</definedName>
    <definedName name="S7_" localSheetId="12">#REF!</definedName>
    <definedName name="S7_" localSheetId="11">#REF!</definedName>
    <definedName name="S7_" localSheetId="8">#REF!</definedName>
    <definedName name="S7_" localSheetId="9">#REF!</definedName>
    <definedName name="S7_" localSheetId="10">#REF!</definedName>
    <definedName name="S7_">#REF!</definedName>
    <definedName name="S8_" localSheetId="12">#REF!</definedName>
    <definedName name="S8_" localSheetId="11">#REF!</definedName>
    <definedName name="S8_" localSheetId="8">#REF!</definedName>
    <definedName name="S8_" localSheetId="9">#REF!</definedName>
    <definedName name="S8_" localSheetId="10">#REF!</definedName>
    <definedName name="S8_">#REF!</definedName>
    <definedName name="S9_" localSheetId="12">#REF!</definedName>
    <definedName name="S9_" localSheetId="11">#REF!</definedName>
    <definedName name="S9_" localSheetId="8">#REF!</definedName>
    <definedName name="S9_" localSheetId="9">#REF!</definedName>
    <definedName name="S9_" localSheetId="10">#REF!</definedName>
    <definedName name="S9_">#REF!</definedName>
    <definedName name="SALSUP" localSheetId="12">#REF!</definedName>
    <definedName name="SALSUP" localSheetId="11">#REF!</definedName>
    <definedName name="SALSUP">#REF!</definedName>
    <definedName name="samara" localSheetId="12">#REF!</definedName>
    <definedName name="samara" localSheetId="11">#REF!</definedName>
    <definedName name="samara" localSheetId="8">#REF!</definedName>
    <definedName name="samara" localSheetId="9">#REF!</definedName>
    <definedName name="samara" localSheetId="1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PROT">#N/A</definedName>
    <definedName name="scenario_choice">'[32]Macro Assumptions'!$D$60</definedName>
    <definedName name="sch" localSheetId="15">#REF!</definedName>
    <definedName name="sch" localSheetId="12">#REF!</definedName>
    <definedName name="sch" localSheetId="11">#REF!</definedName>
    <definedName name="sch" localSheetId="8">#REF!</definedName>
    <definedName name="sch" localSheetId="9">#REF!</definedName>
    <definedName name="sch" localSheetId="10">#REF!</definedName>
    <definedName name="sch" localSheetId="6">#REF!</definedName>
    <definedName name="sch" localSheetId="5">#REF!</definedName>
    <definedName name="sch" localSheetId="4">#REF!</definedName>
    <definedName name="sch">#REF!</definedName>
    <definedName name="SCOPE_16_PRT" localSheetId="11">#N/A</definedName>
    <definedName name="SCOPE_16_PRT" localSheetId="8">#N/A</definedName>
    <definedName name="SCOPE_16_PRT" localSheetId="9">#N/A</definedName>
    <definedName name="SCOPE_16_PRT">#N/A</definedName>
    <definedName name="SCOPE_24_LD" localSheetId="15">#REF!,#REF!</definedName>
    <definedName name="SCOPE_24_LD" localSheetId="12">#REF!,#REF!</definedName>
    <definedName name="SCOPE_24_LD" localSheetId="11">#REF!,#REF!</definedName>
    <definedName name="SCOPE_24_LD" localSheetId="8">#REF!,#REF!</definedName>
    <definedName name="SCOPE_24_LD" localSheetId="9">#REF!,#REF!</definedName>
    <definedName name="SCOPE_24_LD" localSheetId="10">#REF!,#REF!</definedName>
    <definedName name="SCOPE_24_LD" localSheetId="6">#REF!,#REF!</definedName>
    <definedName name="SCOPE_24_LD" localSheetId="5">#REF!,#REF!</definedName>
    <definedName name="SCOPE_24_LD" localSheetId="4">#REF!,#REF!</definedName>
    <definedName name="SCOPE_24_LD">#REF!,#REF!</definedName>
    <definedName name="SCOPE_24_PRT" localSheetId="15">#REF!,#REF!,#REF!,#REF!</definedName>
    <definedName name="SCOPE_24_PRT" localSheetId="12">#REF!,#REF!,#REF!,#REF!</definedName>
    <definedName name="SCOPE_24_PRT" localSheetId="11">#REF!,#REF!,#REF!,#REF!</definedName>
    <definedName name="SCOPE_24_PRT" localSheetId="8">#REF!,#REF!,#REF!,#REF!</definedName>
    <definedName name="SCOPE_24_PRT" localSheetId="9">#REF!,#REF!,#REF!,#REF!</definedName>
    <definedName name="SCOPE_24_PRT" localSheetId="10">#REF!,#REF!,#REF!,#REF!</definedName>
    <definedName name="SCOPE_24_PRT" localSheetId="6">#REF!,#REF!,#REF!,#REF!</definedName>
    <definedName name="SCOPE_24_PRT" localSheetId="5">#REF!,#REF!,#REF!,#REF!</definedName>
    <definedName name="SCOPE_24_PRT" localSheetId="4">#REF!,#REF!,#REF!,#REF!</definedName>
    <definedName name="SCOPE_24_PRT">#REF!,#REF!,#REF!,#REF!</definedName>
    <definedName name="SCOPE_ESOLD" localSheetId="15">#REF!</definedName>
    <definedName name="SCOPE_ESOLD" localSheetId="12">#REF!</definedName>
    <definedName name="SCOPE_ESOLD" localSheetId="11">#REF!</definedName>
    <definedName name="SCOPE_ESOLD" localSheetId="8">#REF!</definedName>
    <definedName name="SCOPE_ESOLD" localSheetId="9">#REF!</definedName>
    <definedName name="SCOPE_ESOLD" localSheetId="10">#REF!</definedName>
    <definedName name="SCOPE_ESOLD" localSheetId="6">#REF!</definedName>
    <definedName name="SCOPE_ESOLD" localSheetId="5">#REF!</definedName>
    <definedName name="SCOPE_ESOLD" localSheetId="4">#REF!</definedName>
    <definedName name="SCOPE_ESOLD">#REF!</definedName>
    <definedName name="SCOPE_FLOAD">#N/A</definedName>
    <definedName name="SCOPE_FRML">#N/A</definedName>
    <definedName name="SCOPE_LOAD_1" localSheetId="2">#REF!</definedName>
    <definedName name="SCOPE_LOAD_1" localSheetId="3">#REF!</definedName>
    <definedName name="SCOPE_LOAD_1" localSheetId="12">#REF!</definedName>
    <definedName name="SCOPE_LOAD_1" localSheetId="11">#REF!</definedName>
    <definedName name="SCOPE_LOAD_1" localSheetId="8">#REF!</definedName>
    <definedName name="SCOPE_LOAD_1" localSheetId="9">#REF!</definedName>
    <definedName name="SCOPE_LOAD_1" localSheetId="10">#REF!</definedName>
    <definedName name="SCOPE_LOAD_1" localSheetId="6">#REF!</definedName>
    <definedName name="SCOPE_LOAD_1" localSheetId="5">#REF!</definedName>
    <definedName name="SCOPE_LOAD_1" localSheetId="4">#REF!</definedName>
    <definedName name="SCOPE_LOAD_1">#REF!</definedName>
    <definedName name="SCOPE_LOAD_7" localSheetId="12">#REF!</definedName>
    <definedName name="SCOPE_LOAD_7" localSheetId="11">#REF!</definedName>
    <definedName name="SCOPE_LOAD_7" localSheetId="10">#REF!</definedName>
    <definedName name="SCOPE_LOAD_7">#REF!</definedName>
    <definedName name="SCOPE_PER_PRT" localSheetId="15">[7]!P5_SCOPE_PER_PRT,[7]!P6_SCOPE_PER_PRT,[7]потери!P7_SCOPE_PER_PRT,[7]потери!P8_SCOPE_PER_PRT</definedName>
    <definedName name="SCOPE_PER_PRT" localSheetId="11">#N/A</definedName>
    <definedName name="SCOPE_PER_PRT" localSheetId="8">#N/A</definedName>
    <definedName name="SCOPE_PER_PRT" localSheetId="9">#N/A</definedName>
    <definedName name="SCOPE_PER_PRT" localSheetId="6">#N/A</definedName>
    <definedName name="SCOPE_PER_PRT" localSheetId="5">#N/A</definedName>
    <definedName name="SCOPE_PER_PRT" localSheetId="4">#N/A</definedName>
    <definedName name="SCOPE_PER_PRT">#N/A</definedName>
    <definedName name="SCOPE_SETLD" localSheetId="15">#REF!</definedName>
    <definedName name="SCOPE_SETLD" localSheetId="12">#REF!</definedName>
    <definedName name="SCOPE_SETLD" localSheetId="11">#REF!</definedName>
    <definedName name="SCOPE_SETLD" localSheetId="8">#REF!</definedName>
    <definedName name="SCOPE_SETLD" localSheetId="9">#REF!</definedName>
    <definedName name="SCOPE_SETLD" localSheetId="10">#REF!</definedName>
    <definedName name="SCOPE_SETLD" localSheetId="6">#REF!</definedName>
    <definedName name="SCOPE_SETLD" localSheetId="5">#REF!</definedName>
    <definedName name="SCOPE_SETLD" localSheetId="4">#REF!</definedName>
    <definedName name="SCOPE_SETLD">#REF!</definedName>
    <definedName name="SCOPE_SV_PRT" localSheetId="15">[7]!P1_SCOPE_SV_PRT,[7]!P2_SCOPE_SV_PRT,[7]!P3_SCOPE_SV_PRT</definedName>
    <definedName name="SCOPE_SV_PRT" localSheetId="11">#N/A</definedName>
    <definedName name="SCOPE_SV_PRT" localSheetId="8">#N/A</definedName>
    <definedName name="SCOPE_SV_PRT" localSheetId="9">#N/A</definedName>
    <definedName name="SCOPE_SV_PRT" localSheetId="6">#N/A</definedName>
    <definedName name="SCOPE_SV_PRT" localSheetId="5">#N/A</definedName>
    <definedName name="SCOPE_SV_PRT" localSheetId="4">#N/A</definedName>
    <definedName name="SCOPE_SV_PRT">#N/A</definedName>
    <definedName name="SCOPE_VD" localSheetId="3">[84]TECHSHEET!$C$1:$C$10</definedName>
    <definedName name="SCOPE_VD" localSheetId="11">[85]TECHSHEET!$C$1:$C$10</definedName>
    <definedName name="SCOPE_VD" localSheetId="8">[85]TECHSHEET!$C$1:$C$10</definedName>
    <definedName name="SCOPE_VD" localSheetId="9">[85]TECHSHEET!$C$1:$C$10</definedName>
    <definedName name="SCOPE_VD" localSheetId="10">[86]TECHSHEET!$C$1:$C$10</definedName>
    <definedName name="SCOPE_VD" localSheetId="6">[86]TECHSHEET!$C$1:$C$10</definedName>
    <definedName name="SCOPE_VD" localSheetId="5">[86]TECHSHEET!$C$1:$C$10</definedName>
    <definedName name="SCOPE_VD" localSheetId="4">[87]TECHSHEET!$C$1:$C$10</definedName>
    <definedName name="SCOPE_VD">[85]TECHSHEET!$C$1:$C$10</definedName>
    <definedName name="sd" localSheetId="15">#REF!</definedName>
    <definedName name="sd" localSheetId="12">#REF!</definedName>
    <definedName name="sd" localSheetId="11">#REF!</definedName>
    <definedName name="sd" localSheetId="8">#REF!</definedName>
    <definedName name="sd" localSheetId="9">#REF!</definedName>
    <definedName name="sd" localSheetId="10">#REF!</definedName>
    <definedName name="sd" localSheetId="6">#REF!</definedName>
    <definedName name="sd" localSheetId="5">#REF!</definedName>
    <definedName name="sd" localSheetId="4">#REF!</definedName>
    <definedName name="sd">#REF!</definedName>
    <definedName name="sdas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15">#REF!</definedName>
    <definedName name="sde" localSheetId="12">#REF!</definedName>
    <definedName name="sde" localSheetId="11">#REF!</definedName>
    <definedName name="sde" localSheetId="8">#REF!</definedName>
    <definedName name="sde" localSheetId="9">#REF!</definedName>
    <definedName name="sde" localSheetId="10">#REF!</definedName>
    <definedName name="sde" localSheetId="6">#REF!</definedName>
    <definedName name="sde" localSheetId="5">#REF!</definedName>
    <definedName name="sde" localSheetId="4">#REF!</definedName>
    <definedName name="sde">#REF!</definedName>
    <definedName name="sencount" hidden="1">1</definedName>
    <definedName name="sent" localSheetId="15">#REF!</definedName>
    <definedName name="sent" localSheetId="12">#REF!</definedName>
    <definedName name="sent" localSheetId="11">#REF!</definedName>
    <definedName name="sent" localSheetId="8">#REF!</definedName>
    <definedName name="sent" localSheetId="9">#REF!</definedName>
    <definedName name="sent" localSheetId="10">#REF!</definedName>
    <definedName name="sent" localSheetId="6">#REF!</definedName>
    <definedName name="sent" localSheetId="5">#REF!</definedName>
    <definedName name="sent" localSheetId="4">#REF!</definedName>
    <definedName name="sent">#REF!</definedName>
    <definedName name="sentral_kurgan" localSheetId="15">#REF!</definedName>
    <definedName name="sentral_kurgan" localSheetId="12">#REF!</definedName>
    <definedName name="sentral_kurgan" localSheetId="11">#REF!</definedName>
    <definedName name="sentral_kurgan" localSheetId="8">#REF!</definedName>
    <definedName name="sentral_kurgan" localSheetId="9">#REF!</definedName>
    <definedName name="sentral_kurgan" localSheetId="10">#REF!</definedName>
    <definedName name="sentral_kurgan">#REF!</definedName>
    <definedName name="SET_PROT">#N/A</definedName>
    <definedName name="SET_PRT">#N/A</definedName>
    <definedName name="sfd" localSheetId="15">#REF!</definedName>
    <definedName name="sfd" localSheetId="12">#REF!</definedName>
    <definedName name="sfd" localSheetId="11">#REF!</definedName>
    <definedName name="sfd" localSheetId="8">#REF!</definedName>
    <definedName name="sfd" localSheetId="9">#REF!</definedName>
    <definedName name="sfd" localSheetId="10">#REF!</definedName>
    <definedName name="sfd" localSheetId="6">#REF!</definedName>
    <definedName name="sfd" localSheetId="5">#REF!</definedName>
    <definedName name="sfd" localSheetId="4">#REF!</definedName>
    <definedName name="sfd">#REF!</definedName>
    <definedName name="sffhh" localSheetId="15">#REF!</definedName>
    <definedName name="sffhh" localSheetId="12">#REF!</definedName>
    <definedName name="sffhh" localSheetId="11">#REF!</definedName>
    <definedName name="sffhh" localSheetId="8">#REF!</definedName>
    <definedName name="sffhh" localSheetId="9">#REF!</definedName>
    <definedName name="sffhh" localSheetId="10">#REF!</definedName>
    <definedName name="sffhh">#REF!</definedName>
    <definedName name="share_tog" localSheetId="15">#REF!</definedName>
    <definedName name="share_tog" localSheetId="12">#REF!</definedName>
    <definedName name="share_tog" localSheetId="11">#REF!</definedName>
    <definedName name="share_tog" localSheetId="8">#REF!</definedName>
    <definedName name="share_tog" localSheetId="9">#REF!</definedName>
    <definedName name="share_tog" localSheetId="10">#REF!</definedName>
    <definedName name="share_tog">#REF!</definedName>
    <definedName name="shares" localSheetId="12">#REF!</definedName>
    <definedName name="shares" localSheetId="11">#REF!</definedName>
    <definedName name="shares" localSheetId="8">#REF!</definedName>
    <definedName name="shares" localSheetId="9">#REF!</definedName>
    <definedName name="shares" localSheetId="10">#REF!</definedName>
    <definedName name="shares">#REF!</definedName>
    <definedName name="Sheet2?prefix?">"H"</definedName>
    <definedName name="shos" localSheetId="15">#REF!</definedName>
    <definedName name="shos" localSheetId="12">#REF!</definedName>
    <definedName name="shos" localSheetId="11">#REF!</definedName>
    <definedName name="shos" localSheetId="8">#REF!</definedName>
    <definedName name="shos" localSheetId="9">#REF!</definedName>
    <definedName name="shos" localSheetId="10">#REF!</definedName>
    <definedName name="shos" localSheetId="6">#REF!</definedName>
    <definedName name="shos" localSheetId="5">#REF!</definedName>
    <definedName name="shos" localSheetId="4">#REF!</definedName>
    <definedName name="shos">#REF!</definedName>
    <definedName name="smet" localSheetId="15" hidden="1">{#N/A,#N/A,FALSE,"Себестоимсть-97"}</definedName>
    <definedName name="smet" localSheetId="2" hidden="1">{#N/A,#N/A,FALSE,"Себестоимсть-97"}</definedName>
    <definedName name="smet" localSheetId="3" hidden="1">{#N/A,#N/A,FALSE,"Себестоимсть-97"}</definedName>
    <definedName name="smet" localSheetId="11" hidden="1">{#N/A,#N/A,FALSE,"Себестоимсть-97"}</definedName>
    <definedName name="smet" localSheetId="8" hidden="1">{#N/A,#N/A,FALSE,"Себестоимсть-97"}</definedName>
    <definedName name="smet" localSheetId="9" hidden="1">{#N/A,#N/A,FALSE,"Себестоимсть-97"}</definedName>
    <definedName name="smet" localSheetId="10" hidden="1">{#N/A,#N/A,FALSE,"Себестоимсть-97"}</definedName>
    <definedName name="smet" localSheetId="6" hidden="1">{#N/A,#N/A,FALSE,"Себестоимсть-97"}</definedName>
    <definedName name="smet" localSheetId="5" hidden="1">{#N/A,#N/A,FALSE,"Себестоимсть-97"}</definedName>
    <definedName name="smet" localSheetId="4" hidden="1">{#N/A,#N/A,FALSE,"Себестоимсть-97"}</definedName>
    <definedName name="smet" hidden="1">{#N/A,#N/A,FALSE,"Себестоимсть-97"}</definedName>
    <definedName name="smet1" localSheetId="15" hidden="1">{#N/A,#N/A,FALSE,"Себестоимсть-97"}</definedName>
    <definedName name="smet1" localSheetId="2" hidden="1">{#N/A,#N/A,FALSE,"Себестоимсть-97"}</definedName>
    <definedName name="smet1" localSheetId="3" hidden="1">{#N/A,#N/A,FALSE,"Себестоимсть-97"}</definedName>
    <definedName name="smet1" localSheetId="11" hidden="1">{#N/A,#N/A,FALSE,"Себестоимсть-97"}</definedName>
    <definedName name="smet1" localSheetId="8" hidden="1">{#N/A,#N/A,FALSE,"Себестоимсть-97"}</definedName>
    <definedName name="smet1" localSheetId="9" hidden="1">{#N/A,#N/A,FALSE,"Себестоимсть-97"}</definedName>
    <definedName name="smet1" localSheetId="10" hidden="1">{#N/A,#N/A,FALSE,"Себестоимсть-97"}</definedName>
    <definedName name="smet1" localSheetId="6" hidden="1">{#N/A,#N/A,FALSE,"Себестоимсть-97"}</definedName>
    <definedName name="smet1" localSheetId="5" hidden="1">{#N/A,#N/A,FALSE,"Себестоимсть-97"}</definedName>
    <definedName name="smet1" localSheetId="4" hidden="1">{#N/A,#N/A,FALSE,"Себестоимсть-97"}</definedName>
    <definedName name="smet1" hidden="1">{#N/A,#N/A,FALSE,"Себестоимсть-97"}</definedName>
    <definedName name="SPHAS" localSheetId="3">#REF!</definedName>
    <definedName name="SPHAS" localSheetId="12">#REF!</definedName>
    <definedName name="SPHAS" localSheetId="11">#REF!</definedName>
    <definedName name="SPHAS" localSheetId="6">#REF!</definedName>
    <definedName name="SPHAS" localSheetId="5">#REF!</definedName>
    <definedName name="SPHAS" localSheetId="4">#REF!</definedName>
    <definedName name="SPHAS">#REF!</definedName>
    <definedName name="ss" localSheetId="12">#REF!</definedName>
    <definedName name="ss" localSheetId="11">#REF!</definedName>
    <definedName name="ss" localSheetId="10">#REF!</definedName>
    <definedName name="ss">#REF!</definedName>
    <definedName name="sshsgh" localSheetId="15">#REF!</definedName>
    <definedName name="sshsgh" localSheetId="12">#REF!</definedName>
    <definedName name="sshsgh" localSheetId="11">#REF!</definedName>
    <definedName name="sshsgh" localSheetId="8">#REF!</definedName>
    <definedName name="sshsgh" localSheetId="9">#REF!</definedName>
    <definedName name="sshsgh" localSheetId="10">#REF!</definedName>
    <definedName name="sshsgh">#REF!</definedName>
    <definedName name="ST" localSheetId="12">#REF!</definedName>
    <definedName name="ST" localSheetId="11">#REF!</definedName>
    <definedName name="ST">#REF!</definedName>
    <definedName name="sy0">'[10]BCS APP CR'!$O$24</definedName>
    <definedName name="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1_" localSheetId="15">#REF!</definedName>
    <definedName name="T1_" localSheetId="12">#REF!</definedName>
    <definedName name="T1_" localSheetId="11">#REF!</definedName>
    <definedName name="T1_" localSheetId="8">#REF!</definedName>
    <definedName name="T1_" localSheetId="9">#REF!</definedName>
    <definedName name="T1_" localSheetId="10">#REF!</definedName>
    <definedName name="T1_" localSheetId="6">#REF!</definedName>
    <definedName name="T1_" localSheetId="5">#REF!</definedName>
    <definedName name="T1_" localSheetId="4">#REF!</definedName>
    <definedName name="T1_">#REF!</definedName>
    <definedName name="T1_Protect" localSheetId="15">P15_T1_Protect,P16_T1_Protect,P17_T1_Protect,P18_T1_Protect,амортизация!P19_T1_Protect</definedName>
    <definedName name="T1_Protect" localSheetId="2">#N/A</definedName>
    <definedName name="T1_Protect" localSheetId="3">#N/A</definedName>
    <definedName name="T1_Protect" localSheetId="12">#N/A</definedName>
    <definedName name="T1_Protect" localSheetId="11">P15_T1_Protect,P16_T1_Protect,P17_T1_Protect,P18_T1_Protect,[0]!P19_T1_Protect</definedName>
    <definedName name="T1_Protect" localSheetId="8">P15_T1_Protect,P16_T1_Protect,P17_T1_Protect,P18_T1_Protect,[0]!P19_T1_Protect</definedName>
    <definedName name="T1_Protect" localSheetId="9">P15_T1_Protect,P16_T1_Protect,P17_T1_Protect,P18_T1_Protect,[0]!P19_T1_Protect</definedName>
    <definedName name="T1_Protect" localSheetId="10">P15_T1_Protect,P16_T1_Protect,P17_T1_Protect,P18_T1_Protect,Прил4!P19_T1_Protect</definedName>
    <definedName name="T1_Protect" localSheetId="6">P15_T1_Protect,P16_T1_Protect,P17_T1_Protect,P18_T1_Protect,Тарифы!P19_T1_Protect</definedName>
    <definedName name="T1_Protect" localSheetId="5">P15_T1_Protect,P16_T1_Protect,P17_T1_Protect,P18_T1_Protect,'Тарифы (2)'!P19_T1_Protect</definedName>
    <definedName name="T1_Protect" localSheetId="4">P15_T1_Protect,P16_T1_Protect,P17_T1_Protect,P18_T1_Protect,'Тарифы (3)'!P19_T1_Protect</definedName>
    <definedName name="T1_Protect">P15_T1_Protect,P16_T1_Protect,P17_T1_Protect,P18_T1_Protect,подконтрольные!P19_T1_Protect</definedName>
    <definedName name="T11?Data">#N/A</definedName>
    <definedName name="T15?Columns" localSheetId="15">#REF!</definedName>
    <definedName name="T15?Columns" localSheetId="12">#REF!</definedName>
    <definedName name="T15?Columns" localSheetId="11">#REF!</definedName>
    <definedName name="T15?Columns" localSheetId="8">#REF!</definedName>
    <definedName name="T15?Columns" localSheetId="9">#REF!</definedName>
    <definedName name="T15?Columns" localSheetId="10">#REF!</definedName>
    <definedName name="T15?Columns" localSheetId="6">#REF!</definedName>
    <definedName name="T15?Columns" localSheetId="5">#REF!</definedName>
    <definedName name="T15?Columns" localSheetId="4">#REF!</definedName>
    <definedName name="T15?Columns">#REF!</definedName>
    <definedName name="T15?ItemComments" localSheetId="15">#REF!</definedName>
    <definedName name="T15?ItemComments" localSheetId="12">#REF!</definedName>
    <definedName name="T15?ItemComments" localSheetId="11">#REF!</definedName>
    <definedName name="T15?ItemComments" localSheetId="8">#REF!</definedName>
    <definedName name="T15?ItemComments" localSheetId="9">#REF!</definedName>
    <definedName name="T15?ItemComments" localSheetId="10">#REF!</definedName>
    <definedName name="T15?ItemComments">#REF!</definedName>
    <definedName name="T15?Items" localSheetId="15">#REF!</definedName>
    <definedName name="T15?Items" localSheetId="12">#REF!</definedName>
    <definedName name="T15?Items" localSheetId="11">#REF!</definedName>
    <definedName name="T15?Items" localSheetId="8">#REF!</definedName>
    <definedName name="T15?Items" localSheetId="9">#REF!</definedName>
    <definedName name="T15?Items" localSheetId="10">#REF!</definedName>
    <definedName name="T15?Items">#REF!</definedName>
    <definedName name="T15?Scope" localSheetId="12">#REF!</definedName>
    <definedName name="T15?Scope" localSheetId="11">#REF!</definedName>
    <definedName name="T15?Scope" localSheetId="8">#REF!</definedName>
    <definedName name="T15?Scope" localSheetId="9">#REF!</definedName>
    <definedName name="T15?Scope" localSheetId="10">#REF!</definedName>
    <definedName name="T15?Scope">#REF!</definedName>
    <definedName name="T15?ВРАС" localSheetId="12">#REF!</definedName>
    <definedName name="T15?ВРАС" localSheetId="11">#REF!</definedName>
    <definedName name="T15?ВРАС" localSheetId="8">#REF!</definedName>
    <definedName name="T15?ВРАС" localSheetId="9">#REF!</definedName>
    <definedName name="T15?ВРАС" localSheetId="10">#REF!</definedName>
    <definedName name="T15?ВРАС">#REF!</definedName>
    <definedName name="T17_Protect" localSheetId="15">#REF!,#REF!,P1_T17_Protect</definedName>
    <definedName name="T17_Protect" localSheetId="2">#REF!,#REF!,P1_T17_Protect</definedName>
    <definedName name="T17_Protect" localSheetId="3">#REF!,#REF!,P1_T17_Protect</definedName>
    <definedName name="T17_Protect" localSheetId="12">#REF!,#REF!,P1_T17_Protect</definedName>
    <definedName name="T17_Protect" localSheetId="11">#REF!,#REF!,P1_T17_Protect</definedName>
    <definedName name="T17_Protect" localSheetId="8">#REF!,#REF!,P1_T17_Protect</definedName>
    <definedName name="T17_Protect" localSheetId="9">#REF!,#REF!,P1_T17_Protect</definedName>
    <definedName name="T17_Protect" localSheetId="10">#REF!,#REF!,P1_T17_Protect</definedName>
    <definedName name="T17_Protect" localSheetId="6">#REF!,#REF!,P1_T17_Protect</definedName>
    <definedName name="T17_Protect" localSheetId="5">#REF!,#REF!,P1_T17_Protect</definedName>
    <definedName name="T17_Protect" localSheetId="4">#REF!,#REF!,P1_T17_Protect</definedName>
    <definedName name="T17_Protect">#REF!,#REF!,P1_T17_Protect</definedName>
    <definedName name="T17_Protection" localSheetId="15">P2_T17_Protection,P3_T17_Protection,P4_T17_Protection,P5_T17_Protection,P6_T17_Protection</definedName>
    <definedName name="T17_Protection" localSheetId="2">P2_T17_Protection,P3_T17_Protection,P4_T17_Protection,P5_T17_Protection,P6_T17_Protection</definedName>
    <definedName name="T17_Protection" localSheetId="3">P2_T17_Protection,P3_T17_Protection,P4_T17_Protection,P5_T17_Protection,P6_T17_Protection</definedName>
    <definedName name="T17_Protection" localSheetId="12">P2_T17_Protection,P3_T17_Protection,P4_T17_Protection,P5_T17_Protection,P6_T17_Protection</definedName>
    <definedName name="T17_Protection" localSheetId="11">P2_T17_Protection,P3_T17_Protection,P4_T17_Protection,P5_T17_Protection,P6_T17_Protection</definedName>
    <definedName name="T17_Protection" localSheetId="8">P2_T17_Protection,P3_T17_Protection,P4_T17_Protection,P5_T17_Protection,P6_T17_Protection</definedName>
    <definedName name="T17_Protection" localSheetId="9">P2_T17_Protection,P3_T17_Protection,P4_T17_Protection,P5_T17_Protection,P6_T17_Protection</definedName>
    <definedName name="T17_Protection" localSheetId="10">P2_T17_Protection,P3_T17_Protection,P4_T17_Protection,P5_T17_Protection,P6_T17_Protection</definedName>
    <definedName name="T17_Protection" localSheetId="6">P2_T17_Protection,P3_T17_Protection,P4_T17_Protection,P5_T17_Protection,P6_T17_Protection</definedName>
    <definedName name="T17_Protection" localSheetId="5">P2_T17_Protection,P3_T17_Protection,P4_T17_Protection,P5_T17_Protection,P6_T17_Protection</definedName>
    <definedName name="T17_Protection" localSheetId="4">P2_T17_Protection,P3_T17_Protection,P4_T17_Protection,P5_T17_Protection,P6_T17_Protection</definedName>
    <definedName name="T17_Protection">P2_T17_Protection,P3_T17_Protection,P4_T17_Protection,P5_T17_Protection,P6_T17_Protection</definedName>
    <definedName name="T18.1?Data" localSheetId="15">P1_T18.1?Data,P2_T18.1?Data</definedName>
    <definedName name="T18.1?Data" localSheetId="2">P1_T18.1?Data,P2_T18.1?Data</definedName>
    <definedName name="T18.1?Data" localSheetId="3">P1_T18.1?Data,P2_T18.1?Data</definedName>
    <definedName name="T18.1?Data" localSheetId="12">P1_T18.1?Data,P2_T18.1?Data</definedName>
    <definedName name="T18.1?Data" localSheetId="11">P1_T18.1?Data,P2_T18.1?Data</definedName>
    <definedName name="T18.1?Data" localSheetId="8">P1_T18.1?Data,P2_T18.1?Data</definedName>
    <definedName name="T18.1?Data" localSheetId="9">P1_T18.1?Data,P2_T18.1?Data</definedName>
    <definedName name="T18.1?Data" localSheetId="10">P1_T18.1?Data,P2_T18.1?Data</definedName>
    <definedName name="T18.1?Data" localSheetId="6">P1_T18.1?Data,P2_T18.1?Data</definedName>
    <definedName name="T18.1?Data" localSheetId="5">P1_T18.1?Data,P2_T18.1?Data</definedName>
    <definedName name="T18.1?Data" localSheetId="4">P1_T18.1?Data,P2_T18.1?Data</definedName>
    <definedName name="T18.1?Data">P1_T18.1?Data,P2_T18.1?Data</definedName>
    <definedName name="T19.1.1?Data" localSheetId="15">P1_T19.1.1?Data,P2_T19.1.1?Data</definedName>
    <definedName name="T19.1.1?Data" localSheetId="2">P1_T19.1.1?Data,P2_T19.1.1?Data</definedName>
    <definedName name="T19.1.1?Data" localSheetId="3">P1_T19.1.1?Data,P2_T19.1.1?Data</definedName>
    <definedName name="T19.1.1?Data" localSheetId="12">P1_T19.1.1?Data,P2_T19.1.1?Data</definedName>
    <definedName name="T19.1.1?Data" localSheetId="11">P1_T19.1.1?Data,P2_T19.1.1?Data</definedName>
    <definedName name="T19.1.1?Data" localSheetId="8">P1_T19.1.1?Data,P2_T19.1.1?Data</definedName>
    <definedName name="T19.1.1?Data" localSheetId="9">P1_T19.1.1?Data,P2_T19.1.1?Data</definedName>
    <definedName name="T19.1.1?Data" localSheetId="10">P1_T19.1.1?Data,P2_T19.1.1?Data</definedName>
    <definedName name="T19.1.1?Data" localSheetId="6">P1_T19.1.1?Data,P2_T19.1.1?Data</definedName>
    <definedName name="T19.1.1?Data" localSheetId="5">P1_T19.1.1?Data,P2_T19.1.1?Data</definedName>
    <definedName name="T19.1.1?Data" localSheetId="4">P1_T19.1.1?Data,P2_T19.1.1?Data</definedName>
    <definedName name="T19.1.1?Data">P1_T19.1.1?Data,P2_T19.1.1?Data</definedName>
    <definedName name="T19.1.2?Data" localSheetId="15">P1_T19.1.2?Data,P2_T19.1.2?Data</definedName>
    <definedName name="T19.1.2?Data" localSheetId="2">P1_T19.1.2?Data,P2_T19.1.2?Data</definedName>
    <definedName name="T19.1.2?Data" localSheetId="3">P1_T19.1.2?Data,P2_T19.1.2?Data</definedName>
    <definedName name="T19.1.2?Data" localSheetId="12">P1_T19.1.2?Data,P2_T19.1.2?Data</definedName>
    <definedName name="T19.1.2?Data" localSheetId="11">P1_T19.1.2?Data,P2_T19.1.2?Data</definedName>
    <definedName name="T19.1.2?Data" localSheetId="8">P1_T19.1.2?Data,P2_T19.1.2?Data</definedName>
    <definedName name="T19.1.2?Data" localSheetId="9">P1_T19.1.2?Data,P2_T19.1.2?Data</definedName>
    <definedName name="T19.1.2?Data" localSheetId="10">P1_T19.1.2?Data,P2_T19.1.2?Data</definedName>
    <definedName name="T19.1.2?Data" localSheetId="6">P1_T19.1.2?Data,P2_T19.1.2?Data</definedName>
    <definedName name="T19.1.2?Data" localSheetId="5">P1_T19.1.2?Data,P2_T19.1.2?Data</definedName>
    <definedName name="T19.1.2?Data" localSheetId="4">P1_T19.1.2?Data,P2_T19.1.2?Data</definedName>
    <definedName name="T19.1.2?Data">P1_T19.1.2?Data,P2_T19.1.2?Data</definedName>
    <definedName name="T19.2?Data" localSheetId="15">P1_T19.2?Data,P2_T19.2?Data</definedName>
    <definedName name="T19.2?Data" localSheetId="2">P1_T19.2?Data,P2_T19.2?Data</definedName>
    <definedName name="T19.2?Data" localSheetId="3">P1_T19.2?Data,P2_T19.2?Data</definedName>
    <definedName name="T19.2?Data" localSheetId="12">P1_T19.2?Data,P2_T19.2?Data</definedName>
    <definedName name="T19.2?Data" localSheetId="11">P1_T19.2?Data,P2_T19.2?Data</definedName>
    <definedName name="T19.2?Data" localSheetId="8">P1_T19.2?Data,P2_T19.2?Data</definedName>
    <definedName name="T19.2?Data" localSheetId="9">P1_T19.2?Data,P2_T19.2?Data</definedName>
    <definedName name="T19.2?Data" localSheetId="10">P1_T19.2?Data,P2_T19.2?Data</definedName>
    <definedName name="T19.2?Data" localSheetId="6">P1_T19.2?Data,P2_T19.2?Data</definedName>
    <definedName name="T19.2?Data" localSheetId="5">P1_T19.2?Data,P2_T19.2?Data</definedName>
    <definedName name="T19.2?Data" localSheetId="4">P1_T19.2?Data,P2_T19.2?Data</definedName>
    <definedName name="T19.2?Data">P1_T19.2?Data,P2_T19.2?Data</definedName>
    <definedName name="T2.1?Data">#N/A</definedName>
    <definedName name="T2.1?Protection" localSheetId="15">амортизация!P6_T2.1?Protection</definedName>
    <definedName name="T2.1?Protection" localSheetId="2">'Кальк.2019-2023 (ДИ) (2)'!P6_T2.1?Protection</definedName>
    <definedName name="T2.1?Protection" localSheetId="3">'Кальк.2019-2023 (ДИ) (3)'!P6_T2.1?Protection</definedName>
    <definedName name="T2.1?Protection" localSheetId="12">'переменные на 5 лет'!P6_T2.1?Protection</definedName>
    <definedName name="T2.1?Protection" localSheetId="11">'Прил 6 к расп'!P6_T2.1?Protection</definedName>
    <definedName name="T2.1?Protection" localSheetId="8">Прил2!P6_T2.1?Protection</definedName>
    <definedName name="T2.1?Protection" localSheetId="9">Прил3!P6_T2.1?Protection</definedName>
    <definedName name="T2.1?Protection" localSheetId="10">Прил4!P6_T2.1?Protection</definedName>
    <definedName name="T2.1?Protection" localSheetId="6">Тарифы!P6_T2.1?Protection</definedName>
    <definedName name="T2.1?Protection" localSheetId="5">'Тарифы (2)'!P6_T2.1?Protection</definedName>
    <definedName name="T2.1?Protection" localSheetId="4">'Тарифы (3)'!P6_T2.1?Protection</definedName>
    <definedName name="T2.1?Protection">P6_T2.1?Protection</definedName>
    <definedName name="T2?Protection" localSheetId="15">P1_T2?Protection,P2_T2?Protection</definedName>
    <definedName name="T2?Protection" localSheetId="2">P1_T2?Protection,P2_T2?Protection</definedName>
    <definedName name="T2?Protection" localSheetId="3">P1_T2?Protection,P2_T2?Protection</definedName>
    <definedName name="T2?Protection" localSheetId="12">P1_T2?Protection,P2_T2?Protection</definedName>
    <definedName name="T2?Protection" localSheetId="11">P1_T2?Protection,P2_T2?Protection</definedName>
    <definedName name="T2?Protection" localSheetId="8">P1_T2?Protection,P2_T2?Protection</definedName>
    <definedName name="T2?Protection" localSheetId="9">P1_T2?Protection,P2_T2?Protection</definedName>
    <definedName name="T2?Protection" localSheetId="10">P1_T2?Protection,P2_T2?Protection</definedName>
    <definedName name="T2?Protection" localSheetId="6">P1_T2?Protection,P2_T2?Protection</definedName>
    <definedName name="T2?Protection" localSheetId="5">P1_T2?Protection,P2_T2?Protection</definedName>
    <definedName name="T2?Protection" localSheetId="4">P1_T2?Protection,P2_T2?Protection</definedName>
    <definedName name="T2?Protection">P1_T2?Protection,P2_T2?Protection</definedName>
    <definedName name="T2_" localSheetId="15">#REF!</definedName>
    <definedName name="T2_" localSheetId="12">#REF!</definedName>
    <definedName name="T2_" localSheetId="11">#REF!</definedName>
    <definedName name="T2_" localSheetId="8">#REF!</definedName>
    <definedName name="T2_" localSheetId="9">#REF!</definedName>
    <definedName name="T2_" localSheetId="10">#REF!</definedName>
    <definedName name="T2_" localSheetId="6">#REF!</definedName>
    <definedName name="T2_" localSheetId="5">#REF!</definedName>
    <definedName name="T2_" localSheetId="4">#REF!</definedName>
    <definedName name="T2_">#REF!</definedName>
    <definedName name="T2_DiapProt" localSheetId="15">P1_T2_DiapProt,P2_T2_DiapProt</definedName>
    <definedName name="T2_DiapProt" localSheetId="2">P1_T2_DiapProt,P2_T2_DiapProt</definedName>
    <definedName name="T2_DiapProt" localSheetId="3">P1_T2_DiapProt,P2_T2_DiapProt</definedName>
    <definedName name="T2_DiapProt" localSheetId="12">P1_T2_DiapProt,P2_T2_DiapProt</definedName>
    <definedName name="T2_DiapProt" localSheetId="11">P1_T2_DiapProt,P2_T2_DiapProt</definedName>
    <definedName name="T2_DiapProt" localSheetId="8">P1_T2_DiapProt,P2_T2_DiapProt</definedName>
    <definedName name="T2_DiapProt" localSheetId="9">P1_T2_DiapProt,P2_T2_DiapProt</definedName>
    <definedName name="T2_DiapProt" localSheetId="10">P1_T2_DiapProt,P2_T2_DiapProt</definedName>
    <definedName name="T2_DiapProt" localSheetId="6">P1_T2_DiapProt,P2_T2_DiapProt</definedName>
    <definedName name="T2_DiapProt" localSheetId="5">P1_T2_DiapProt,P2_T2_DiapProt</definedName>
    <definedName name="T2_DiapProt" localSheetId="4">P1_T2_DiapProt,P2_T2_DiapProt</definedName>
    <definedName name="T2_DiapProt">P1_T2_DiapProt,P2_T2_DiapProt</definedName>
    <definedName name="T21.2.1?Data" localSheetId="15">P1_T21.2.1?Data,P2_T21.2.1?Data</definedName>
    <definedName name="T21.2.1?Data" localSheetId="2">P1_T21.2.1?Data,P2_T21.2.1?Data</definedName>
    <definedName name="T21.2.1?Data" localSheetId="3">P1_T21.2.1?Data,P2_T21.2.1?Data</definedName>
    <definedName name="T21.2.1?Data" localSheetId="12">P1_T21.2.1?Data,P2_T21.2.1?Data</definedName>
    <definedName name="T21.2.1?Data" localSheetId="11">P1_T21.2.1?Data,P2_T21.2.1?Data</definedName>
    <definedName name="T21.2.1?Data" localSheetId="8">P1_T21.2.1?Data,P2_T21.2.1?Data</definedName>
    <definedName name="T21.2.1?Data" localSheetId="9">P1_T21.2.1?Data,P2_T21.2.1?Data</definedName>
    <definedName name="T21.2.1?Data" localSheetId="10">P1_T21.2.1?Data,P2_T21.2.1?Data</definedName>
    <definedName name="T21.2.1?Data" localSheetId="6">P1_T21.2.1?Data,P2_T21.2.1?Data</definedName>
    <definedName name="T21.2.1?Data" localSheetId="5">P1_T21.2.1?Data,P2_T21.2.1?Data</definedName>
    <definedName name="T21.2.1?Data" localSheetId="4">P1_T21.2.1?Data,P2_T21.2.1?Data</definedName>
    <definedName name="T21.2.1?Data">P1_T21.2.1?Data,P2_T21.2.1?Data</definedName>
    <definedName name="T21.2.2?Data" localSheetId="15">P1_T21.2.2?Data,P2_T21.2.2?Data</definedName>
    <definedName name="T21.2.2?Data" localSheetId="2">P1_T21.2.2?Data,P2_T21.2.2?Data</definedName>
    <definedName name="T21.2.2?Data" localSheetId="3">P1_T21.2.2?Data,P2_T21.2.2?Data</definedName>
    <definedName name="T21.2.2?Data" localSheetId="12">P1_T21.2.2?Data,P2_T21.2.2?Data</definedName>
    <definedName name="T21.2.2?Data" localSheetId="11">P1_T21.2.2?Data,P2_T21.2.2?Data</definedName>
    <definedName name="T21.2.2?Data" localSheetId="8">P1_T21.2.2?Data,P2_T21.2.2?Data</definedName>
    <definedName name="T21.2.2?Data" localSheetId="9">P1_T21.2.2?Data,P2_T21.2.2?Data</definedName>
    <definedName name="T21.2.2?Data" localSheetId="10">P1_T21.2.2?Data,P2_T21.2.2?Data</definedName>
    <definedName name="T21.2.2?Data" localSheetId="6">P1_T21.2.2?Data,P2_T21.2.2?Data</definedName>
    <definedName name="T21.2.2?Data" localSheetId="5">P1_T21.2.2?Data,P2_T21.2.2?Data</definedName>
    <definedName name="T21.2.2?Data" localSheetId="4">P1_T21.2.2?Data,P2_T21.2.2?Data</definedName>
    <definedName name="T21.2.2?Data">P1_T21.2.2?Data,P2_T21.2.2?Data</definedName>
    <definedName name="T21.3?Columns" localSheetId="15">#REF!</definedName>
    <definedName name="T21.3?Columns" localSheetId="12">#REF!</definedName>
    <definedName name="T21.3?Columns" localSheetId="11">#REF!</definedName>
    <definedName name="T21.3?Columns" localSheetId="8">#REF!</definedName>
    <definedName name="T21.3?Columns" localSheetId="9">#REF!</definedName>
    <definedName name="T21.3?Columns" localSheetId="10">#REF!</definedName>
    <definedName name="T21.3?Columns" localSheetId="6">#REF!</definedName>
    <definedName name="T21.3?Columns" localSheetId="5">#REF!</definedName>
    <definedName name="T21.3?Columns" localSheetId="4">#REF!</definedName>
    <definedName name="T21.3?Columns">#REF!</definedName>
    <definedName name="T21.3?item_ext?СБЫТ" localSheetId="15">#REF!,#REF!</definedName>
    <definedName name="T21.3?item_ext?СБЫТ" localSheetId="12">#REF!,#REF!</definedName>
    <definedName name="T21.3?item_ext?СБЫТ" localSheetId="11">#REF!,#REF!</definedName>
    <definedName name="T21.3?item_ext?СБЫТ" localSheetId="8">#REF!,#REF!</definedName>
    <definedName name="T21.3?item_ext?СБЫТ" localSheetId="9">#REF!,#REF!</definedName>
    <definedName name="T21.3?item_ext?СБЫТ" localSheetId="10">#REF!,#REF!</definedName>
    <definedName name="T21.3?item_ext?СБЫТ" localSheetId="6">#REF!,#REF!</definedName>
    <definedName name="T21.3?item_ext?СБЫТ" localSheetId="5">#REF!,#REF!</definedName>
    <definedName name="T21.3?item_ext?СБЫТ" localSheetId="4">#REF!,#REF!</definedName>
    <definedName name="T21.3?item_ext?СБЫТ">#REF!,#REF!</definedName>
    <definedName name="T21.3?ItemComments" localSheetId="15">#REF!</definedName>
    <definedName name="T21.3?ItemComments" localSheetId="12">#REF!</definedName>
    <definedName name="T21.3?ItemComments" localSheetId="11">#REF!</definedName>
    <definedName name="T21.3?ItemComments" localSheetId="8">#REF!</definedName>
    <definedName name="T21.3?ItemComments" localSheetId="9">#REF!</definedName>
    <definedName name="T21.3?ItemComments" localSheetId="10">#REF!</definedName>
    <definedName name="T21.3?ItemComments" localSheetId="6">#REF!</definedName>
    <definedName name="T21.3?ItemComments" localSheetId="5">#REF!</definedName>
    <definedName name="T21.3?ItemComments" localSheetId="4">#REF!</definedName>
    <definedName name="T21.3?ItemComments">#REF!</definedName>
    <definedName name="T21.3?Items" localSheetId="15">#REF!</definedName>
    <definedName name="T21.3?Items" localSheetId="12">#REF!</definedName>
    <definedName name="T21.3?Items" localSheetId="11">#REF!</definedName>
    <definedName name="T21.3?Items" localSheetId="8">#REF!</definedName>
    <definedName name="T21.3?Items" localSheetId="9">#REF!</definedName>
    <definedName name="T21.3?Items" localSheetId="10">#REF!</definedName>
    <definedName name="T21.3?Items">#REF!</definedName>
    <definedName name="T21.3?Scope" localSheetId="15">#REF!</definedName>
    <definedName name="T21.3?Scope" localSheetId="12">#REF!</definedName>
    <definedName name="T21.3?Scope" localSheetId="11">#REF!</definedName>
    <definedName name="T21.3?Scope" localSheetId="8">#REF!</definedName>
    <definedName name="T21.3?Scope" localSheetId="9">#REF!</definedName>
    <definedName name="T21.3?Scope" localSheetId="10">#REF!</definedName>
    <definedName name="T21.3?Scope">#REF!</definedName>
    <definedName name="T21.3?ВРАС" localSheetId="15">#REF!,#REF!</definedName>
    <definedName name="T21.3?ВРАС" localSheetId="12">#REF!,#REF!</definedName>
    <definedName name="T21.3?ВРАС" localSheetId="11">#REF!,#REF!</definedName>
    <definedName name="T21.3?ВРАС" localSheetId="8">#REF!,#REF!</definedName>
    <definedName name="T21.3?ВРАС" localSheetId="9">#REF!,#REF!</definedName>
    <definedName name="T21.3?ВРАС" localSheetId="10">#REF!,#REF!</definedName>
    <definedName name="T21.3?ВРАС" localSheetId="6">#REF!,#REF!</definedName>
    <definedName name="T21.3?ВРАС" localSheetId="5">#REF!,#REF!</definedName>
    <definedName name="T21.3?ВРАС" localSheetId="4">#REF!,#REF!</definedName>
    <definedName name="T21.3?ВРАС">#REF!,#REF!</definedName>
    <definedName name="T21.3_Protect" localSheetId="15">#REF!,#REF!,#REF!,#REF!,#REF!,#REF!,#REF!</definedName>
    <definedName name="T21.3_Protect" localSheetId="12">#REF!,#REF!,#REF!,#REF!,#REF!,#REF!,#REF!</definedName>
    <definedName name="T21.3_Protect" localSheetId="11">#REF!,#REF!,#REF!,#REF!,#REF!,#REF!,#REF!</definedName>
    <definedName name="T21.3_Protect" localSheetId="8">#REF!,#REF!,#REF!,#REF!,#REF!,#REF!,#REF!</definedName>
    <definedName name="T21.3_Protect" localSheetId="9">#REF!,#REF!,#REF!,#REF!,#REF!,#REF!,#REF!</definedName>
    <definedName name="T21.3_Protect" localSheetId="10">#REF!,#REF!,#REF!,#REF!,#REF!,#REF!,#REF!</definedName>
    <definedName name="T21.3_Protect" localSheetId="6">#REF!,#REF!,#REF!,#REF!,#REF!,#REF!,#REF!</definedName>
    <definedName name="T21.3_Protect" localSheetId="5">#REF!,#REF!,#REF!,#REF!,#REF!,#REF!,#REF!</definedName>
    <definedName name="T21.3_Protect" localSheetId="4">#REF!,#REF!,#REF!,#REF!,#REF!,#REF!,#REF!</definedName>
    <definedName name="T21.3_Protect">#REF!,#REF!,#REF!,#REF!,#REF!,#REF!,#REF!</definedName>
    <definedName name="T21.4?Data" localSheetId="15">P1_T21.4?Data,P2_T21.4?Data</definedName>
    <definedName name="T21.4?Data" localSheetId="2">P1_T21.4?Data,P2_T21.4?Data</definedName>
    <definedName name="T21.4?Data" localSheetId="3">P1_T21.4?Data,P2_T21.4?Data</definedName>
    <definedName name="T21.4?Data" localSheetId="12">P1_T21.4?Data,P2_T21.4?Data</definedName>
    <definedName name="T21.4?Data" localSheetId="11">P1_T21.4?Data,P2_T21.4?Data</definedName>
    <definedName name="T21.4?Data" localSheetId="8">P1_T21.4?Data,P2_T21.4?Data</definedName>
    <definedName name="T21.4?Data" localSheetId="9">P1_T21.4?Data,P2_T21.4?Data</definedName>
    <definedName name="T21.4?Data" localSheetId="10">P1_T21.4?Data,P2_T21.4?Data</definedName>
    <definedName name="T21.4?Data" localSheetId="6">P1_T21.4?Data,P2_T21.4?Data</definedName>
    <definedName name="T21.4?Data" localSheetId="5">P1_T21.4?Data,P2_T21.4?Data</definedName>
    <definedName name="T21.4?Data" localSheetId="4">P1_T21.4?Data,P2_T21.4?Data</definedName>
    <definedName name="T21.4?Data">P1_T21.4?Data,P2_T21.4?Data</definedName>
    <definedName name="T21_Protection" localSheetId="15">P2_T21_Protection,P3_T21_Protection</definedName>
    <definedName name="T21_Protection" localSheetId="2">P2_T21_Protection,P3_T21_Protection</definedName>
    <definedName name="T21_Protection" localSheetId="3">P2_T21_Protection,P3_T21_Protection</definedName>
    <definedName name="T21_Protection" localSheetId="12">P2_T21_Protection,P3_T21_Protection</definedName>
    <definedName name="T21_Protection" localSheetId="11">P2_T21_Protection,P3_T21_Protection</definedName>
    <definedName name="T21_Protection" localSheetId="8">P2_T21_Protection,P3_T21_Protection</definedName>
    <definedName name="T21_Protection" localSheetId="9">P2_T21_Protection,P3_T21_Protection</definedName>
    <definedName name="T21_Protection" localSheetId="10">P2_T21_Protection,P3_T21_Protection</definedName>
    <definedName name="T21_Protection" localSheetId="6">P2_T21_Protection,P3_T21_Protection</definedName>
    <definedName name="T21_Protection" localSheetId="5">P2_T21_Protection,P3_T21_Protection</definedName>
    <definedName name="T21_Protection" localSheetId="4">P2_T21_Protection,P3_T21_Protection</definedName>
    <definedName name="T21_Protection">P2_T21_Protection,P3_T21_Protection</definedName>
    <definedName name="T25_protection" localSheetId="15">P1_T25_protection,P2_T25_protection</definedName>
    <definedName name="T25_protection" localSheetId="2">P1_T25_protection,P2_T25_protection</definedName>
    <definedName name="T25_protection" localSheetId="3">P1_T25_protection,P2_T25_protection</definedName>
    <definedName name="T25_protection" localSheetId="12">P1_T25_protection,P2_T25_protection</definedName>
    <definedName name="T25_protection" localSheetId="11">P1_T25_protection,P2_T25_protection</definedName>
    <definedName name="T25_protection" localSheetId="8">P1_T25_protection,P2_T25_protection</definedName>
    <definedName name="T25_protection" localSheetId="9">P1_T25_protection,P2_T25_protection</definedName>
    <definedName name="T25_protection" localSheetId="10">P1_T25_protection,P2_T25_protection</definedName>
    <definedName name="T25_protection" localSheetId="6">P1_T25_protection,P2_T25_protection</definedName>
    <definedName name="T25_protection" localSheetId="5">P1_T25_protection,P2_T25_protection</definedName>
    <definedName name="T25_protection" localSheetId="4">P1_T25_protection,P2_T25_protection</definedName>
    <definedName name="T25_protection">P1_T25_protection,P2_T25_protection</definedName>
    <definedName name="T28.3?unit?РУБ.ГКАЛ" localSheetId="15">P1_T28.3?unit?РУБ.ГКАЛ,P2_T28.3?unit?РУБ.ГКАЛ</definedName>
    <definedName name="T28.3?unit?РУБ.ГКАЛ" localSheetId="2">P1_T28.3?unit?РУБ.ГКАЛ,P2_T28.3?unit?РУБ.ГКАЛ</definedName>
    <definedName name="T28.3?unit?РУБ.ГКАЛ" localSheetId="3">P1_T28.3?unit?РУБ.ГКАЛ,P2_T28.3?unit?РУБ.ГКАЛ</definedName>
    <definedName name="T28.3?unit?РУБ.ГКАЛ" localSheetId="12">P1_T28.3?unit?РУБ.ГКАЛ,P2_T28.3?unit?РУБ.ГКАЛ</definedName>
    <definedName name="T28.3?unit?РУБ.ГКАЛ" localSheetId="11">P1_T28.3?unit?РУБ.ГКАЛ,P2_T28.3?unit?РУБ.ГКАЛ</definedName>
    <definedName name="T28.3?unit?РУБ.ГКАЛ" localSheetId="8">P1_T28.3?unit?РУБ.ГКАЛ,P2_T28.3?unit?РУБ.ГКАЛ</definedName>
    <definedName name="T28.3?unit?РУБ.ГКАЛ" localSheetId="9">P1_T28.3?unit?РУБ.ГКАЛ,P2_T28.3?unit?РУБ.ГКАЛ</definedName>
    <definedName name="T28.3?unit?РУБ.ГКАЛ" localSheetId="10">P1_T28.3?unit?РУБ.ГКАЛ,P2_T28.3?unit?РУБ.ГКАЛ</definedName>
    <definedName name="T28.3?unit?РУБ.ГКАЛ" localSheetId="6">P1_T28.3?unit?РУБ.ГКАЛ,P2_T28.3?unit?РУБ.ГКАЛ</definedName>
    <definedName name="T28.3?unit?РУБ.ГКАЛ" localSheetId="5">P1_T28.3?unit?РУБ.ГКАЛ,P2_T28.3?unit?РУБ.ГКАЛ</definedName>
    <definedName name="T28.3?unit?РУБ.ГКАЛ" localSheetId="4">P1_T28.3?unit?РУБ.ГКАЛ,P2_T28.3?unit?РУБ.ГКАЛ</definedName>
    <definedName name="T28.3?unit?РУБ.ГКАЛ">P1_T28.3?unit?РУБ.ГКАЛ,P2_T28.3?unit?РУБ.ГКАЛ</definedName>
    <definedName name="T28?axis?R?ПЭ" localSheetId="15">P2_T28?axis?R?ПЭ,P3_T28?axis?R?ПЭ,P4_T28?axis?R?ПЭ,P5_T28?axis?R?ПЭ,P6_T28?axis?R?ПЭ</definedName>
    <definedName name="T28?axis?R?ПЭ" localSheetId="2">P2_T28?axis?R?ПЭ,P3_T28?axis?R?ПЭ,P4_T28?axis?R?ПЭ,P5_T28?axis?R?ПЭ,P6_T28?axis?R?ПЭ</definedName>
    <definedName name="T28?axis?R?ПЭ" localSheetId="3">P2_T28?axis?R?ПЭ,P3_T28?axis?R?ПЭ,P4_T28?axis?R?ПЭ,P5_T28?axis?R?ПЭ,P6_T28?axis?R?ПЭ</definedName>
    <definedName name="T28?axis?R?ПЭ" localSheetId="12">P2_T28?axis?R?ПЭ,P3_T28?axis?R?ПЭ,P4_T28?axis?R?ПЭ,P5_T28?axis?R?ПЭ,P6_T28?axis?R?ПЭ</definedName>
    <definedName name="T28?axis?R?ПЭ" localSheetId="11">P2_T28?axis?R?ПЭ,P3_T28?axis?R?ПЭ,P4_T28?axis?R?ПЭ,P5_T28?axis?R?ПЭ,P6_T28?axis?R?ПЭ</definedName>
    <definedName name="T28?axis?R?ПЭ" localSheetId="8">P2_T28?axis?R?ПЭ,P3_T28?axis?R?ПЭ,P4_T28?axis?R?ПЭ,P5_T28?axis?R?ПЭ,P6_T28?axis?R?ПЭ</definedName>
    <definedName name="T28?axis?R?ПЭ" localSheetId="9">P2_T28?axis?R?ПЭ,P3_T28?axis?R?ПЭ,P4_T28?axis?R?ПЭ,P5_T28?axis?R?ПЭ,P6_T28?axis?R?ПЭ</definedName>
    <definedName name="T28?axis?R?ПЭ" localSheetId="10">P2_T28?axis?R?ПЭ,P3_T28?axis?R?ПЭ,P4_T28?axis?R?ПЭ,P5_T28?axis?R?ПЭ,P6_T28?axis?R?ПЭ</definedName>
    <definedName name="T28?axis?R?ПЭ" localSheetId="6">P2_T28?axis?R?ПЭ,P3_T28?axis?R?ПЭ,P4_T28?axis?R?ПЭ,P5_T28?axis?R?ПЭ,P6_T28?axis?R?ПЭ</definedName>
    <definedName name="T28?axis?R?ПЭ" localSheetId="5">P2_T28?axis?R?ПЭ,P3_T28?axis?R?ПЭ,P4_T28?axis?R?ПЭ,P5_T28?axis?R?ПЭ,P6_T28?axis?R?ПЭ</definedName>
    <definedName name="T28?axis?R?ПЭ" localSheetId="4">P2_T28?axis?R?ПЭ,P3_T28?axis?R?ПЭ,P4_T28?axis?R?ПЭ,P5_T28?axis?R?ПЭ,P6_T28?axis?R?ПЭ</definedName>
    <definedName name="T28?axis?R?ПЭ">P2_T28?axis?R?ПЭ,P3_T28?axis?R?ПЭ,P4_T28?axis?R?ПЭ,P5_T28?axis?R?ПЭ,P6_T28?axis?R?ПЭ</definedName>
    <definedName name="T28?axis?R?ПЭ?" localSheetId="15">P2_T28?axis?R?ПЭ?,P3_T28?axis?R?ПЭ?,P4_T28?axis?R?ПЭ?,P5_T28?axis?R?ПЭ?,P6_T28?axis?R?ПЭ?</definedName>
    <definedName name="T28?axis?R?ПЭ?" localSheetId="2">P2_T28?axis?R?ПЭ?,P3_T28?axis?R?ПЭ?,P4_T28?axis?R?ПЭ?,P5_T28?axis?R?ПЭ?,P6_T28?axis?R?ПЭ?</definedName>
    <definedName name="T28?axis?R?ПЭ?" localSheetId="3">P2_T28?axis?R?ПЭ?,P3_T28?axis?R?ПЭ?,P4_T28?axis?R?ПЭ?,P5_T28?axis?R?ПЭ?,P6_T28?axis?R?ПЭ?</definedName>
    <definedName name="T28?axis?R?ПЭ?" localSheetId="12">P2_T28?axis?R?ПЭ?,P3_T28?axis?R?ПЭ?,P4_T28?axis?R?ПЭ?,P5_T28?axis?R?ПЭ?,P6_T28?axis?R?ПЭ?</definedName>
    <definedName name="T28?axis?R?ПЭ?" localSheetId="11">P2_T28?axis?R?ПЭ?,P3_T28?axis?R?ПЭ?,P4_T28?axis?R?ПЭ?,P5_T28?axis?R?ПЭ?,P6_T28?axis?R?ПЭ?</definedName>
    <definedName name="T28?axis?R?ПЭ?" localSheetId="8">P2_T28?axis?R?ПЭ?,P3_T28?axis?R?ПЭ?,P4_T28?axis?R?ПЭ?,P5_T28?axis?R?ПЭ?,P6_T28?axis?R?ПЭ?</definedName>
    <definedName name="T28?axis?R?ПЭ?" localSheetId="9">P2_T28?axis?R?ПЭ?,P3_T28?axis?R?ПЭ?,P4_T28?axis?R?ПЭ?,P5_T28?axis?R?ПЭ?,P6_T28?axis?R?ПЭ?</definedName>
    <definedName name="T28?axis?R?ПЭ?" localSheetId="10">P2_T28?axis?R?ПЭ?,P3_T28?axis?R?ПЭ?,P4_T28?axis?R?ПЭ?,P5_T28?axis?R?ПЭ?,P6_T28?axis?R?ПЭ?</definedName>
    <definedName name="T28?axis?R?ПЭ?" localSheetId="6">P2_T28?axis?R?ПЭ?,P3_T28?axis?R?ПЭ?,P4_T28?axis?R?ПЭ?,P5_T28?axis?R?ПЭ?,P6_T28?axis?R?ПЭ?</definedName>
    <definedName name="T28?axis?R?ПЭ?" localSheetId="5">P2_T28?axis?R?ПЭ?,P3_T28?axis?R?ПЭ?,P4_T28?axis?R?ПЭ?,P5_T28?axis?R?ПЭ?,P6_T28?axis?R?ПЭ?</definedName>
    <definedName name="T28?axis?R?ПЭ?" localSheetId="4">P2_T28?axis?R?ПЭ?,P3_T28?axis?R?ПЭ?,P4_T28?axis?R?ПЭ?,P5_T28?axis?R?ПЭ?,P6_T28?axis?R?ПЭ?</definedName>
    <definedName name="T28?axis?R?ПЭ?">P2_T28?axis?R?ПЭ?,P3_T28?axis?R?ПЭ?,P4_T28?axis?R?ПЭ?,P5_T28?axis?R?ПЭ?,P6_T28?axis?R?ПЭ?</definedName>
    <definedName name="T28_Protection" localSheetId="15">P9_T28_Protection,P10_T28_Protection,P11_T28_Protection,амортизация!P12_T28_Protection</definedName>
    <definedName name="T28_Protection" localSheetId="2">P9_T28_Protection,P10_T28_Protection,P11_T28_Protection,'Кальк.2019-2023 (ДИ) (2)'!P12_T28_Protection</definedName>
    <definedName name="T28_Protection" localSheetId="3">P9_T28_Protection,P10_T28_Protection,P11_T28_Protection,'Кальк.2019-2023 (ДИ) (3)'!P12_T28_Protection</definedName>
    <definedName name="T28_Protection" localSheetId="12">P9_T28_Protection,P10_T28_Protection,P11_T28_Protection,'переменные на 5 лет'!P12_T28_Protection</definedName>
    <definedName name="T28_Protection" localSheetId="11">P9_T28_Protection,P10_T28_Protection,P11_T28_Protection,'Прил 6 к расп'!P12_T28_Protection</definedName>
    <definedName name="T28_Protection" localSheetId="8">P9_T28_Protection,P10_T28_Protection,P11_T28_Protection,Прил2!P12_T28_Protection</definedName>
    <definedName name="T28_Protection" localSheetId="9">P9_T28_Protection,P10_T28_Protection,P11_T28_Protection,Прил3!P12_T28_Protection</definedName>
    <definedName name="T28_Protection" localSheetId="10">P9_T28_Protection,P10_T28_Protection,P11_T28_Protection,Прил4!P12_T28_Protection</definedName>
    <definedName name="T28_Protection" localSheetId="6">P9_T28_Protection,P10_T28_Protection,P11_T28_Protection,Тарифы!P12_T28_Protection</definedName>
    <definedName name="T28_Protection" localSheetId="5">P9_T28_Protection,P10_T28_Protection,P11_T28_Protection,'Тарифы (2)'!P12_T28_Protection</definedName>
    <definedName name="T28_Protection" localSheetId="4">P9_T28_Protection,P10_T28_Protection,P11_T28_Protection,'Тарифы (3)'!P12_T28_Protection</definedName>
    <definedName name="T28_Protection">P9_T28_Protection,P10_T28_Protection,P11_T28_Protection,P12_T28_Protection</definedName>
    <definedName name="T29?item_ext?1СТ" localSheetId="15">P1_T29?item_ext?1СТ</definedName>
    <definedName name="T29?item_ext?1СТ" localSheetId="2">P1_T29?item_ext?1СТ</definedName>
    <definedName name="T29?item_ext?1СТ" localSheetId="3">P1_T29?item_ext?1СТ</definedName>
    <definedName name="T29?item_ext?1СТ" localSheetId="12">P1_T29?item_ext?1СТ</definedName>
    <definedName name="T29?item_ext?1СТ" localSheetId="11">P1_T29?item_ext?1СТ</definedName>
    <definedName name="T29?item_ext?1СТ" localSheetId="8">P1_T29?item_ext?1СТ</definedName>
    <definedName name="T29?item_ext?1СТ" localSheetId="9">P1_T29?item_ext?1СТ</definedName>
    <definedName name="T29?item_ext?1СТ" localSheetId="10">P1_T29?item_ext?1СТ</definedName>
    <definedName name="T29?item_ext?1СТ" localSheetId="6">P1_T29?item_ext?1СТ</definedName>
    <definedName name="T29?item_ext?1СТ" localSheetId="5">P1_T29?item_ext?1СТ</definedName>
    <definedName name="T29?item_ext?1СТ" localSheetId="4">P1_T29?item_ext?1СТ</definedName>
    <definedName name="T29?item_ext?1СТ">P1_T29?item_ext?1СТ</definedName>
    <definedName name="T29?item_ext?2СТ.М" localSheetId="15">P1_T29?item_ext?2СТ.М</definedName>
    <definedName name="T29?item_ext?2СТ.М" localSheetId="2">P1_T29?item_ext?2СТ.М</definedName>
    <definedName name="T29?item_ext?2СТ.М" localSheetId="3">P1_T29?item_ext?2СТ.М</definedName>
    <definedName name="T29?item_ext?2СТ.М" localSheetId="12">P1_T29?item_ext?2СТ.М</definedName>
    <definedName name="T29?item_ext?2СТ.М" localSheetId="11">P1_T29?item_ext?2СТ.М</definedName>
    <definedName name="T29?item_ext?2СТ.М" localSheetId="8">P1_T29?item_ext?2СТ.М</definedName>
    <definedName name="T29?item_ext?2СТ.М" localSheetId="9">P1_T29?item_ext?2СТ.М</definedName>
    <definedName name="T29?item_ext?2СТ.М" localSheetId="10">P1_T29?item_ext?2СТ.М</definedName>
    <definedName name="T29?item_ext?2СТ.М" localSheetId="6">P1_T29?item_ext?2СТ.М</definedName>
    <definedName name="T29?item_ext?2СТ.М" localSheetId="5">P1_T29?item_ext?2СТ.М</definedName>
    <definedName name="T29?item_ext?2СТ.М" localSheetId="4">P1_T29?item_ext?2СТ.М</definedName>
    <definedName name="T29?item_ext?2СТ.М">P1_T29?item_ext?2СТ.М</definedName>
    <definedName name="T29?item_ext?2СТ.Э" localSheetId="15">P1_T29?item_ext?2СТ.Э</definedName>
    <definedName name="T29?item_ext?2СТ.Э" localSheetId="2">P1_T29?item_ext?2СТ.Э</definedName>
    <definedName name="T29?item_ext?2СТ.Э" localSheetId="3">P1_T29?item_ext?2СТ.Э</definedName>
    <definedName name="T29?item_ext?2СТ.Э" localSheetId="12">P1_T29?item_ext?2СТ.Э</definedName>
    <definedName name="T29?item_ext?2СТ.Э" localSheetId="11">P1_T29?item_ext?2СТ.Э</definedName>
    <definedName name="T29?item_ext?2СТ.Э" localSheetId="8">P1_T29?item_ext?2СТ.Э</definedName>
    <definedName name="T29?item_ext?2СТ.Э" localSheetId="9">P1_T29?item_ext?2СТ.Э</definedName>
    <definedName name="T29?item_ext?2СТ.Э" localSheetId="10">P1_T29?item_ext?2СТ.Э</definedName>
    <definedName name="T29?item_ext?2СТ.Э" localSheetId="6">P1_T29?item_ext?2СТ.Э</definedName>
    <definedName name="T29?item_ext?2СТ.Э" localSheetId="5">P1_T29?item_ext?2СТ.Э</definedName>
    <definedName name="T29?item_ext?2СТ.Э" localSheetId="4">P1_T29?item_ext?2СТ.Э</definedName>
    <definedName name="T29?item_ext?2СТ.Э">P1_T29?item_ext?2СТ.Э</definedName>
    <definedName name="T29?L10" localSheetId="15">P1_T29?L10</definedName>
    <definedName name="T29?L10" localSheetId="2">P1_T29?L10</definedName>
    <definedName name="T29?L10" localSheetId="3">P1_T29?L10</definedName>
    <definedName name="T29?L10" localSheetId="12">P1_T29?L10</definedName>
    <definedName name="T29?L10" localSheetId="11">P1_T29?L10</definedName>
    <definedName name="T29?L10" localSheetId="8">P1_T29?L10</definedName>
    <definedName name="T29?L10" localSheetId="9">P1_T29?L10</definedName>
    <definedName name="T29?L10" localSheetId="10">P1_T29?L10</definedName>
    <definedName name="T29?L10" localSheetId="6">P1_T29?L10</definedName>
    <definedName name="T29?L10" localSheetId="5">P1_T29?L10</definedName>
    <definedName name="T29?L10" localSheetId="4">P1_T29?L10</definedName>
    <definedName name="T29?L10">P1_T29?L10</definedName>
    <definedName name="T7?Data">#N/A</definedName>
    <definedName name="TABLE" localSheetId="15">#REF!</definedName>
    <definedName name="TABLE" localSheetId="12">#REF!</definedName>
    <definedName name="TABLE" localSheetId="11">#REF!</definedName>
    <definedName name="TABLE" localSheetId="8">#REF!</definedName>
    <definedName name="TABLE" localSheetId="9">#REF!</definedName>
    <definedName name="TABLE" localSheetId="10">#REF!</definedName>
    <definedName name="TABLE" localSheetId="6">#REF!</definedName>
    <definedName name="TABLE" localSheetId="5">#REF!</definedName>
    <definedName name="TABLE" localSheetId="4">#REF!</definedName>
    <definedName name="TABLE">#REF!</definedName>
    <definedName name="TAR_METHOD" localSheetId="3">[50]Титульный!$F$22</definedName>
    <definedName name="TAR_METHOD" localSheetId="6">[51]Титульный!$F$22</definedName>
    <definedName name="TAR_METHOD" localSheetId="5">[51]Титульный!$F$22</definedName>
    <definedName name="TAR_METHOD" localSheetId="4">[50]Титульный!$F$22</definedName>
    <definedName name="TAR_METHOD">[51]Титульный!$F$22</definedName>
    <definedName name="TargetCompany" localSheetId="15">[40]Output!#REF!</definedName>
    <definedName name="TargetCompany" localSheetId="2">[40]Output!#REF!</definedName>
    <definedName name="TargetCompany" localSheetId="3">[40]Output!#REF!</definedName>
    <definedName name="TargetCompany" localSheetId="12">[40]Output!#REF!</definedName>
    <definedName name="TargetCompany" localSheetId="11">[40]Output!#REF!</definedName>
    <definedName name="TargetCompany" localSheetId="8">[40]Output!#REF!</definedName>
    <definedName name="TargetCompany" localSheetId="9">[40]Output!#REF!</definedName>
    <definedName name="TargetCompany" localSheetId="10">[40]Output!#REF!</definedName>
    <definedName name="TargetCompany" localSheetId="6">[40]Output!#REF!</definedName>
    <definedName name="TargetCompany" localSheetId="5">[40]Output!#REF!</definedName>
    <definedName name="TargetCompany" localSheetId="4">[40]Output!#REF!</definedName>
    <definedName name="TargetCompany">[40]Output!#REF!</definedName>
    <definedName name="TargetCompanyCurrency" localSheetId="15">[40]Output!#REF!</definedName>
    <definedName name="TargetCompanyCurrency" localSheetId="12">[40]Output!#REF!</definedName>
    <definedName name="TargetCompanyCurrency" localSheetId="11">[40]Output!#REF!</definedName>
    <definedName name="TargetCompanyCurrency" localSheetId="8">[40]Output!#REF!</definedName>
    <definedName name="TargetCompanyCurrency" localSheetId="9">[40]Output!#REF!</definedName>
    <definedName name="TargetCompanyCurrency" localSheetId="10">[40]Output!#REF!</definedName>
    <definedName name="TargetCompanyCurrency" localSheetId="6">[40]Output!#REF!</definedName>
    <definedName name="TargetCompanyCurrency" localSheetId="5">[40]Output!#REF!</definedName>
    <definedName name="TargetCompanyCurrency" localSheetId="4">[40]Output!#REF!</definedName>
    <definedName name="TargetCompanyCurrency">[40]Output!#REF!</definedName>
    <definedName name="TargetCompanyExchangeRate" localSheetId="15">[40]Output!#REF!</definedName>
    <definedName name="TargetCompanyExchangeRate" localSheetId="12">[40]Output!#REF!</definedName>
    <definedName name="TargetCompanyExchangeRate" localSheetId="11">[40]Output!#REF!</definedName>
    <definedName name="TargetCompanyExchangeRate" localSheetId="8">[40]Output!#REF!</definedName>
    <definedName name="TargetCompanyExchangeRate" localSheetId="9">[40]Output!#REF!</definedName>
    <definedName name="TargetCompanyExchangeRate" localSheetId="10">[40]Output!#REF!</definedName>
    <definedName name="TargetCompanyExchangeRate" localSheetId="6">[40]Output!#REF!</definedName>
    <definedName name="TargetCompanyExchangeRate" localSheetId="5">[40]Output!#REF!</definedName>
    <definedName name="TargetCompanyExchangeRate" localSheetId="4">[40]Output!#REF!</definedName>
    <definedName name="TargetCompanyExchangeRate">[40]Output!#REF!</definedName>
    <definedName name="TARIFF_CNG_DATE_1">[95]Титульный!$F$28</definedName>
    <definedName name="TARIFF_CNG_DATE_2">[95]Титульный!$F$29</definedName>
    <definedName name="TARIFF_CNG_DATE_3">[95]Титульный!$F$30</definedName>
    <definedName name="taxrate">[20]Справочно!$B$3</definedName>
    <definedName name="tcc_ns" localSheetId="15">'[23]Input-Moscow'!#REF!</definedName>
    <definedName name="tcc_ns" localSheetId="2">'[23]Input-Moscow'!#REF!</definedName>
    <definedName name="tcc_ns" localSheetId="3">'[23]Input-Moscow'!#REF!</definedName>
    <definedName name="tcc_ns" localSheetId="12">'[23]Input-Moscow'!#REF!</definedName>
    <definedName name="tcc_ns" localSheetId="11">'[23]Input-Moscow'!#REF!</definedName>
    <definedName name="tcc_ns" localSheetId="8">'[23]Input-Moscow'!#REF!</definedName>
    <definedName name="tcc_ns" localSheetId="9">'[23]Input-Moscow'!#REF!</definedName>
    <definedName name="tcc_ns" localSheetId="10">'[23]Input-Moscow'!#REF!</definedName>
    <definedName name="tcc_ns" localSheetId="6">'[23]Input-Moscow'!#REF!</definedName>
    <definedName name="tcc_ns" localSheetId="5">'[23]Input-Moscow'!#REF!</definedName>
    <definedName name="tcc_ns" localSheetId="4">'[23]Input-Moscow'!#REF!</definedName>
    <definedName name="tcc_ns">'[23]Input-Moscow'!#REF!</definedName>
    <definedName name="tcc_pen" localSheetId="15">'[23]Input-Moscow'!#REF!</definedName>
    <definedName name="tcc_pen" localSheetId="12">'[23]Input-Moscow'!#REF!</definedName>
    <definedName name="tcc_pen" localSheetId="11">'[23]Input-Moscow'!#REF!</definedName>
    <definedName name="tcc_pen" localSheetId="8">'[23]Input-Moscow'!#REF!</definedName>
    <definedName name="tcc_pen" localSheetId="9">'[23]Input-Moscow'!#REF!</definedName>
    <definedName name="tcc_pen" localSheetId="10">'[23]Input-Moscow'!#REF!</definedName>
    <definedName name="tcc_pen" localSheetId="6">'[23]Input-Moscow'!#REF!</definedName>
    <definedName name="tcc_pen" localSheetId="5">'[23]Input-Moscow'!#REF!</definedName>
    <definedName name="tcc_pen" localSheetId="4">'[23]Input-Moscow'!#REF!</definedName>
    <definedName name="tcc_pen">'[23]Input-Moscow'!#REF!</definedName>
    <definedName name="Temp_TOV" localSheetId="15">#REF!</definedName>
    <definedName name="Temp_TOV" localSheetId="12">#REF!</definedName>
    <definedName name="Temp_TOV" localSheetId="11">#REF!</definedName>
    <definedName name="Temp_TOV" localSheetId="8">#REF!</definedName>
    <definedName name="Temp_TOV" localSheetId="9">#REF!</definedName>
    <definedName name="Temp_TOV" localSheetId="10">#REF!</definedName>
    <definedName name="Temp_TOV" localSheetId="6">#REF!</definedName>
    <definedName name="Temp_TOV" localSheetId="5">#REF!</definedName>
    <definedName name="Temp_TOV" localSheetId="4">#REF!</definedName>
    <definedName name="Temp_TOV">#REF!</definedName>
    <definedName name="term_value" localSheetId="15">#REF!</definedName>
    <definedName name="term_value" localSheetId="12">#REF!</definedName>
    <definedName name="term_value" localSheetId="11">#REF!</definedName>
    <definedName name="term_value" localSheetId="8">#REF!</definedName>
    <definedName name="term_value" localSheetId="9">#REF!</definedName>
    <definedName name="term_value" localSheetId="10">#REF!</definedName>
    <definedName name="term_value">#REF!</definedName>
    <definedName name="term_year" localSheetId="15">#REF!</definedName>
    <definedName name="term_year" localSheetId="12">#REF!</definedName>
    <definedName name="term_year" localSheetId="11">#REF!</definedName>
    <definedName name="term_year" localSheetId="8">#REF!</definedName>
    <definedName name="term_year" localSheetId="9">#REF!</definedName>
    <definedName name="term_year" localSheetId="10">#REF!</definedName>
    <definedName name="term_year">#REF!</definedName>
    <definedName name="terminal_year" localSheetId="12">#REF!</definedName>
    <definedName name="terminal_year" localSheetId="11">#REF!</definedName>
    <definedName name="terminal_year" localSheetId="8">#REF!</definedName>
    <definedName name="terminal_year" localSheetId="9">#REF!</definedName>
    <definedName name="terminal_year" localSheetId="10">#REF!</definedName>
    <definedName name="terminal_year">#REF!</definedName>
    <definedName name="test1" localSheetId="15" hidden="1">{#N/A,#N/A,FALSE,"Себестоимсть-97"}</definedName>
    <definedName name="test1" localSheetId="2" hidden="1">{#N/A,#N/A,FALSE,"Себестоимсть-97"}</definedName>
    <definedName name="test1" localSheetId="3" hidden="1">{#N/A,#N/A,FALSE,"Себестоимсть-97"}</definedName>
    <definedName name="test1" localSheetId="11" hidden="1">{#N/A,#N/A,FALSE,"Себестоимсть-97"}</definedName>
    <definedName name="test1" localSheetId="8" hidden="1">{#N/A,#N/A,FALSE,"Себестоимсть-97"}</definedName>
    <definedName name="test1" localSheetId="9" hidden="1">{#N/A,#N/A,FALSE,"Себестоимсть-97"}</definedName>
    <definedName name="test1" localSheetId="10" hidden="1">{#N/A,#N/A,FALSE,"Себестоимсть-97"}</definedName>
    <definedName name="test1" localSheetId="6" hidden="1">{#N/A,#N/A,FALSE,"Себестоимсть-97"}</definedName>
    <definedName name="test1" localSheetId="5" hidden="1">{#N/A,#N/A,FALSE,"Себестоимсть-97"}</definedName>
    <definedName name="test1" localSheetId="4" hidden="1">{#N/A,#N/A,FALSE,"Себестоимсть-97"}</definedName>
    <definedName name="test1" hidden="1">{#N/A,#N/A,FALSE,"Себестоимсть-97"}</definedName>
    <definedName name="test2" localSheetId="15" hidden="1">{#N/A,#N/A,FALSE,"Себестоимсть-97"}</definedName>
    <definedName name="test2" localSheetId="2" hidden="1">{#N/A,#N/A,FALSE,"Себестоимсть-97"}</definedName>
    <definedName name="test2" localSheetId="3" hidden="1">{#N/A,#N/A,FALSE,"Себестоимсть-97"}</definedName>
    <definedName name="test2" localSheetId="11" hidden="1">{#N/A,#N/A,FALSE,"Себестоимсть-97"}</definedName>
    <definedName name="test2" localSheetId="8" hidden="1">{#N/A,#N/A,FALSE,"Себестоимсть-97"}</definedName>
    <definedName name="test2" localSheetId="9" hidden="1">{#N/A,#N/A,FALSE,"Себестоимсть-97"}</definedName>
    <definedName name="test2" localSheetId="10" hidden="1">{#N/A,#N/A,FALSE,"Себестоимсть-97"}</definedName>
    <definedName name="test2" localSheetId="6" hidden="1">{#N/A,#N/A,FALSE,"Себестоимсть-97"}</definedName>
    <definedName name="test2" localSheetId="5" hidden="1">{#N/A,#N/A,FALSE,"Себестоимсть-97"}</definedName>
    <definedName name="test2" localSheetId="4" hidden="1">{#N/A,#N/A,FALSE,"Себестоимсть-97"}</definedName>
    <definedName name="test2" hidden="1">{#N/A,#N/A,FALSE,"Себестоимсть-97"}</definedName>
    <definedName name="test3" localSheetId="15" hidden="1">{#N/A,#N/A,FALSE,"Себестоимсть-97"}</definedName>
    <definedName name="test3" localSheetId="2" hidden="1">{#N/A,#N/A,FALSE,"Себестоимсть-97"}</definedName>
    <definedName name="test3" localSheetId="3" hidden="1">{#N/A,#N/A,FALSE,"Себестоимсть-97"}</definedName>
    <definedName name="test3" localSheetId="11" hidden="1">{#N/A,#N/A,FALSE,"Себестоимсть-97"}</definedName>
    <definedName name="test3" localSheetId="8" hidden="1">{#N/A,#N/A,FALSE,"Себестоимсть-97"}</definedName>
    <definedName name="test3" localSheetId="9" hidden="1">{#N/A,#N/A,FALSE,"Себестоимсть-97"}</definedName>
    <definedName name="test3" localSheetId="10" hidden="1">{#N/A,#N/A,FALSE,"Себестоимсть-97"}</definedName>
    <definedName name="test3" localSheetId="6" hidden="1">{#N/A,#N/A,FALSE,"Себестоимсть-97"}</definedName>
    <definedName name="test3" localSheetId="5" hidden="1">{#N/A,#N/A,FALSE,"Себестоимсть-97"}</definedName>
    <definedName name="test3" localSheetId="4" hidden="1">{#N/A,#N/A,FALSE,"Себестоимсть-97"}</definedName>
    <definedName name="test3" hidden="1">{#N/A,#N/A,FALSE,"Себестоимсть-97"}</definedName>
    <definedName name="test4" localSheetId="15" hidden="1">{#N/A,#N/A,FALSE,"Себестоимсть-97"}</definedName>
    <definedName name="test4" localSheetId="2" hidden="1">{#N/A,#N/A,FALSE,"Себестоимсть-97"}</definedName>
    <definedName name="test4" localSheetId="3" hidden="1">{#N/A,#N/A,FALSE,"Себестоимсть-97"}</definedName>
    <definedName name="test4" localSheetId="11" hidden="1">{#N/A,#N/A,FALSE,"Себестоимсть-97"}</definedName>
    <definedName name="test4" localSheetId="8" hidden="1">{#N/A,#N/A,FALSE,"Себестоимсть-97"}</definedName>
    <definedName name="test4" localSheetId="9" hidden="1">{#N/A,#N/A,FALSE,"Себестоимсть-97"}</definedName>
    <definedName name="test4" localSheetId="10" hidden="1">{#N/A,#N/A,FALSE,"Себестоимсть-97"}</definedName>
    <definedName name="test4" localSheetId="6" hidden="1">{#N/A,#N/A,FALSE,"Себестоимсть-97"}</definedName>
    <definedName name="test4" localSheetId="5" hidden="1">{#N/A,#N/A,FALSE,"Себестоимсть-97"}</definedName>
    <definedName name="test4" localSheetId="4" hidden="1">{#N/A,#N/A,FALSE,"Себестоимсть-97"}</definedName>
    <definedName name="test4" hidden="1">{#N/A,#N/A,FALSE,"Себестоимсть-97"}</definedName>
    <definedName name="test5" localSheetId="15" hidden="1">{#N/A,#N/A,FALSE,"Себестоимсть-97"}</definedName>
    <definedName name="test5" localSheetId="2" hidden="1">{#N/A,#N/A,FALSE,"Себестоимсть-97"}</definedName>
    <definedName name="test5" localSheetId="3" hidden="1">{#N/A,#N/A,FALSE,"Себестоимсть-97"}</definedName>
    <definedName name="test5" localSheetId="11" hidden="1">{#N/A,#N/A,FALSE,"Себестоимсть-97"}</definedName>
    <definedName name="test5" localSheetId="8" hidden="1">{#N/A,#N/A,FALSE,"Себестоимсть-97"}</definedName>
    <definedName name="test5" localSheetId="9" hidden="1">{#N/A,#N/A,FALSE,"Себестоимсть-97"}</definedName>
    <definedName name="test5" localSheetId="10" hidden="1">{#N/A,#N/A,FALSE,"Себестоимсть-97"}</definedName>
    <definedName name="test5" localSheetId="6" hidden="1">{#N/A,#N/A,FALSE,"Себестоимсть-97"}</definedName>
    <definedName name="test5" localSheetId="5" hidden="1">{#N/A,#N/A,FALSE,"Себестоимсть-97"}</definedName>
    <definedName name="test5" localSheetId="4" hidden="1">{#N/A,#N/A,FALSE,"Себестоимсть-97"}</definedName>
    <definedName name="test5" hidden="1">{#N/A,#N/A,FALSE,"Себестоимсть-97"}</definedName>
    <definedName name="test6" localSheetId="15" hidden="1">{#N/A,#N/A,FALSE,"Себестоимсть-97"}</definedName>
    <definedName name="test6" localSheetId="2" hidden="1">{#N/A,#N/A,FALSE,"Себестоимсть-97"}</definedName>
    <definedName name="test6" localSheetId="3" hidden="1">{#N/A,#N/A,FALSE,"Себестоимсть-97"}</definedName>
    <definedName name="test6" localSheetId="11" hidden="1">{#N/A,#N/A,FALSE,"Себестоимсть-97"}</definedName>
    <definedName name="test6" localSheetId="8" hidden="1">{#N/A,#N/A,FALSE,"Себестоимсть-97"}</definedName>
    <definedName name="test6" localSheetId="9" hidden="1">{#N/A,#N/A,FALSE,"Себестоимсть-97"}</definedName>
    <definedName name="test6" localSheetId="10" hidden="1">{#N/A,#N/A,FALSE,"Себестоимсть-97"}</definedName>
    <definedName name="test6" localSheetId="6" hidden="1">{#N/A,#N/A,FALSE,"Себестоимсть-97"}</definedName>
    <definedName name="test6" localSheetId="5" hidden="1">{#N/A,#N/A,FALSE,"Себестоимсть-97"}</definedName>
    <definedName name="test6" localSheetId="4" hidden="1">{#N/A,#N/A,FALSE,"Себестоимсть-97"}</definedName>
    <definedName name="test6" hidden="1">{#N/A,#N/A,FALSE,"Себестоимсть-97"}</definedName>
    <definedName name="test7" localSheetId="15" hidden="1">{#N/A,#N/A,FALSE,"Себестоимсть-97"}</definedName>
    <definedName name="test7" localSheetId="2" hidden="1">{#N/A,#N/A,FALSE,"Себестоимсть-97"}</definedName>
    <definedName name="test7" localSheetId="3" hidden="1">{#N/A,#N/A,FALSE,"Себестоимсть-97"}</definedName>
    <definedName name="test7" localSheetId="11" hidden="1">{#N/A,#N/A,FALSE,"Себестоимсть-97"}</definedName>
    <definedName name="test7" localSheetId="8" hidden="1">{#N/A,#N/A,FALSE,"Себестоимсть-97"}</definedName>
    <definedName name="test7" localSheetId="9" hidden="1">{#N/A,#N/A,FALSE,"Себестоимсть-97"}</definedName>
    <definedName name="test7" localSheetId="10" hidden="1">{#N/A,#N/A,FALSE,"Себестоимсть-97"}</definedName>
    <definedName name="test7" localSheetId="6" hidden="1">{#N/A,#N/A,FALSE,"Себестоимсть-97"}</definedName>
    <definedName name="test7" localSheetId="5" hidden="1">{#N/A,#N/A,FALSE,"Себестоимсть-97"}</definedName>
    <definedName name="test7" localSheetId="4" hidden="1">{#N/A,#N/A,FALSE,"Себестоимсть-97"}</definedName>
    <definedName name="test7" hidden="1">{#N/A,#N/A,FALSE,"Себестоимсть-97"}</definedName>
    <definedName name="test8" localSheetId="15" hidden="1">{#N/A,#N/A,FALSE,"Себестоимсть-97"}</definedName>
    <definedName name="test8" localSheetId="2" hidden="1">{#N/A,#N/A,FALSE,"Себестоимсть-97"}</definedName>
    <definedName name="test8" localSheetId="3" hidden="1">{#N/A,#N/A,FALSE,"Себестоимсть-97"}</definedName>
    <definedName name="test8" localSheetId="11" hidden="1">{#N/A,#N/A,FALSE,"Себестоимсть-97"}</definedName>
    <definedName name="test8" localSheetId="8" hidden="1">{#N/A,#N/A,FALSE,"Себестоимсть-97"}</definedName>
    <definedName name="test8" localSheetId="9" hidden="1">{#N/A,#N/A,FALSE,"Себестоимсть-97"}</definedName>
    <definedName name="test8" localSheetId="10" hidden="1">{#N/A,#N/A,FALSE,"Себестоимсть-97"}</definedName>
    <definedName name="test8" localSheetId="6" hidden="1">{#N/A,#N/A,FALSE,"Себестоимсть-97"}</definedName>
    <definedName name="test8" localSheetId="5" hidden="1">{#N/A,#N/A,FALSE,"Себестоимсть-97"}</definedName>
    <definedName name="test8" localSheetId="4" hidden="1">{#N/A,#N/A,FALSE,"Себестоимсть-97"}</definedName>
    <definedName name="test8" hidden="1">{#N/A,#N/A,FALSE,"Себестоимсть-97"}</definedName>
    <definedName name="test9" localSheetId="15" hidden="1">{#N/A,#N/A,FALSE,"Себестоимсть-97"}</definedName>
    <definedName name="test9" localSheetId="2" hidden="1">{#N/A,#N/A,FALSE,"Себестоимсть-97"}</definedName>
    <definedName name="test9" localSheetId="3" hidden="1">{#N/A,#N/A,FALSE,"Себестоимсть-97"}</definedName>
    <definedName name="test9" localSheetId="11" hidden="1">{#N/A,#N/A,FALSE,"Себестоимсть-97"}</definedName>
    <definedName name="test9" localSheetId="8" hidden="1">{#N/A,#N/A,FALSE,"Себестоимсть-97"}</definedName>
    <definedName name="test9" localSheetId="9" hidden="1">{#N/A,#N/A,FALSE,"Себестоимсть-97"}</definedName>
    <definedName name="test9" localSheetId="10" hidden="1">{#N/A,#N/A,FALSE,"Себестоимсть-97"}</definedName>
    <definedName name="test9" localSheetId="6" hidden="1">{#N/A,#N/A,FALSE,"Себестоимсть-97"}</definedName>
    <definedName name="test9" localSheetId="5" hidden="1">{#N/A,#N/A,FALSE,"Себестоимсть-97"}</definedName>
    <definedName name="test9" localSheetId="4" hidden="1">{#N/A,#N/A,FALSE,"Себестоимсть-97"}</definedName>
    <definedName name="test9" hidden="1">{#N/A,#N/A,FALSE,"Себестоимсть-97"}</definedName>
    <definedName name="TextRefCopy1" localSheetId="3">#REF!</definedName>
    <definedName name="TextRefCopy1" localSheetId="12">#REF!</definedName>
    <definedName name="TextRefCopy1" localSheetId="11">#REF!</definedName>
    <definedName name="TextRefCopy1" localSheetId="6">#REF!</definedName>
    <definedName name="TextRefCopy1" localSheetId="5">#REF!</definedName>
    <definedName name="TextRefCopy1" localSheetId="4">#REF!</definedName>
    <definedName name="TextRefCopy1">#REF!</definedName>
    <definedName name="TextRefCopy2" localSheetId="12">#REF!</definedName>
    <definedName name="TextRefCopy2" localSheetId="11">#REF!</definedName>
    <definedName name="TextRefCopy2">#REF!</definedName>
    <definedName name="TextRefCopyRangeCount" hidden="1">3</definedName>
    <definedName name="th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 localSheetId="2">#REF!</definedName>
    <definedName name="time" localSheetId="3">#REF!</definedName>
    <definedName name="time" localSheetId="12">#REF!</definedName>
    <definedName name="time" localSheetId="11">#REF!</definedName>
    <definedName name="time" localSheetId="8">#REF!</definedName>
    <definedName name="time" localSheetId="9">#REF!</definedName>
    <definedName name="time" localSheetId="10">#REF!</definedName>
    <definedName name="time" localSheetId="6">#REF!</definedName>
    <definedName name="time" localSheetId="5">#REF!</definedName>
    <definedName name="time" localSheetId="4">#REF!</definedName>
    <definedName name="time">#REF!</definedName>
    <definedName name="title" localSheetId="3">'[104]Огл. Графиков'!$B$2:$B$31</definedName>
    <definedName name="title" localSheetId="6">'[105]Огл. Графиков'!$B$2:$B$31</definedName>
    <definedName name="title" localSheetId="5">'[105]Огл. Графиков'!$B$2:$B$31</definedName>
    <definedName name="title" localSheetId="4">'[104]Огл. Графиков'!$B$2:$B$31</definedName>
    <definedName name="title">'[105]Огл. Графиков'!$B$2:$B$31</definedName>
    <definedName name="TitlesSubEntries">'[39]Проводки''02'!$A$3,'[39]Проводки''02'!$A$73,'[39]Проводки''02'!$A$93,'[39]Проводки''02'!$A$117,'[39]Проводки''02'!$A$138,'[39]Проводки''02'!$A$159,'[39]Проводки''02'!$A$179,'[39]Проводки''02'!$A$204,'[39]Проводки''02'!$A$231,'[39]Проводки''02'!$A$251,'[39]Проводки''02'!$A$271,'[39]Проводки''02'!$A$291,'[39]Проводки''02'!$A$310,'[39]Проводки''02'!$A$331,'[39]Проводки''02'!$A$351,'[39]Проводки''02'!$A$370</definedName>
    <definedName name="titul_cur" localSheetId="15">#REF!</definedName>
    <definedName name="titul_cur" localSheetId="12">#REF!</definedName>
    <definedName name="titul_cur" localSheetId="11">#REF!</definedName>
    <definedName name="titul_cur" localSheetId="8">#REF!</definedName>
    <definedName name="titul_cur" localSheetId="9">#REF!</definedName>
    <definedName name="titul_cur" localSheetId="10">#REF!</definedName>
    <definedName name="titul_cur" localSheetId="6">#REF!</definedName>
    <definedName name="titul_cur" localSheetId="5">#REF!</definedName>
    <definedName name="titul_cur" localSheetId="4">#REF!</definedName>
    <definedName name="titul_cur">#REF!</definedName>
    <definedName name="titul_cur_org" localSheetId="15">#REF!</definedName>
    <definedName name="titul_cur_org" localSheetId="12">#REF!</definedName>
    <definedName name="titul_cur_org" localSheetId="11">#REF!</definedName>
    <definedName name="titul_cur_org" localSheetId="8">#REF!</definedName>
    <definedName name="titul_cur_org" localSheetId="9">#REF!</definedName>
    <definedName name="titul_cur_org" localSheetId="10">#REF!</definedName>
    <definedName name="titul_cur_org">#REF!</definedName>
    <definedName name="titul_cur_rek" localSheetId="15">#REF!</definedName>
    <definedName name="titul_cur_rek" localSheetId="12">#REF!</definedName>
    <definedName name="titul_cur_rek" localSheetId="11">#REF!</definedName>
    <definedName name="titul_cur_rek" localSheetId="8">#REF!</definedName>
    <definedName name="titul_cur_rek" localSheetId="9">#REF!</definedName>
    <definedName name="titul_cur_rek" localSheetId="10">#REF!</definedName>
    <definedName name="titul_cur_rek">#REF!</definedName>
    <definedName name="titul_next" localSheetId="12">#REF!</definedName>
    <definedName name="titul_next" localSheetId="11">#REF!</definedName>
    <definedName name="titul_next" localSheetId="8">#REF!</definedName>
    <definedName name="titul_next" localSheetId="9">#REF!</definedName>
    <definedName name="titul_next" localSheetId="10">#REF!</definedName>
    <definedName name="titul_next">#REF!</definedName>
    <definedName name="titul_next_exp" localSheetId="12">#REF!</definedName>
    <definedName name="titul_next_exp" localSheetId="11">#REF!</definedName>
    <definedName name="titul_next_exp" localSheetId="8">#REF!</definedName>
    <definedName name="titul_next_exp" localSheetId="9">#REF!</definedName>
    <definedName name="titul_next_exp" localSheetId="10">#REF!</definedName>
    <definedName name="titul_next_exp">#REF!</definedName>
    <definedName name="titul_next_org" localSheetId="12">#REF!</definedName>
    <definedName name="titul_next_org" localSheetId="11">#REF!</definedName>
    <definedName name="titul_next_org" localSheetId="8">#REF!</definedName>
    <definedName name="titul_next_org" localSheetId="9">#REF!</definedName>
    <definedName name="titul_next_org" localSheetId="10">#REF!</definedName>
    <definedName name="titul_next_org">#REF!</definedName>
    <definedName name="titul_pre" localSheetId="12">#REF!</definedName>
    <definedName name="titul_pre" localSheetId="11">#REF!</definedName>
    <definedName name="titul_pre" localSheetId="8">#REF!</definedName>
    <definedName name="titul_pre" localSheetId="9">#REF!</definedName>
    <definedName name="titul_pre" localSheetId="10">#REF!</definedName>
    <definedName name="titul_pre">#REF!</definedName>
    <definedName name="titul_pre_org" localSheetId="12">#REF!</definedName>
    <definedName name="titul_pre_org" localSheetId="11">#REF!</definedName>
    <definedName name="titul_pre_org" localSheetId="8">#REF!</definedName>
    <definedName name="titul_pre_org" localSheetId="9">#REF!</definedName>
    <definedName name="titul_pre_org" localSheetId="10">#REF!</definedName>
    <definedName name="titul_pre_org">#REF!</definedName>
    <definedName name="titul_pre_rek" localSheetId="12">#REF!</definedName>
    <definedName name="titul_pre_rek" localSheetId="11">#REF!</definedName>
    <definedName name="titul_pre_rek" localSheetId="8">#REF!</definedName>
    <definedName name="titul_pre_rek" localSheetId="9">#REF!</definedName>
    <definedName name="titul_pre_rek" localSheetId="10">#REF!</definedName>
    <definedName name="titul_pre_rek">#REF!</definedName>
    <definedName name="tkyukyu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15">[34]TSheet!$S$2:$S$7</definedName>
    <definedName name="TN_GROUP" localSheetId="2">[35]TSheet!$S$2:$S$7</definedName>
    <definedName name="TN_GROUP" localSheetId="3">[35]TSheet!$S$2:$S$7</definedName>
    <definedName name="TN_GROUP" localSheetId="11">[36]TSheet!$S$2:$S$7</definedName>
    <definedName name="TN_GROUP" localSheetId="8">[36]TSheet!$S$2:$S$7</definedName>
    <definedName name="TN_GROUP" localSheetId="9">[36]TSheet!$S$2:$S$7</definedName>
    <definedName name="TN_GROUP" localSheetId="10">[37]TSheet!$S$2:$S$7</definedName>
    <definedName name="TN_GROUP" localSheetId="6">[37]TSheet!$S$2:$S$7</definedName>
    <definedName name="TN_GROUP" localSheetId="5">[37]TSheet!$S$2:$S$7</definedName>
    <definedName name="TN_GROUP" localSheetId="4">[38]TSheet!$S$2:$S$7</definedName>
    <definedName name="TN_GROUP">[35]TSheet!$S$2:$S$7</definedName>
    <definedName name="tov" localSheetId="15">#REF!</definedName>
    <definedName name="tov" localSheetId="12">#REF!</definedName>
    <definedName name="tov" localSheetId="11">#REF!</definedName>
    <definedName name="tov" localSheetId="8">#REF!</definedName>
    <definedName name="tov" localSheetId="9">#REF!</definedName>
    <definedName name="tov" localSheetId="10">#REF!</definedName>
    <definedName name="tov" localSheetId="6">#REF!</definedName>
    <definedName name="tov" localSheetId="5">#REF!</definedName>
    <definedName name="tov" localSheetId="4">#REF!</definedName>
    <definedName name="tov">#REF!</definedName>
    <definedName name="TRAIN" localSheetId="12">#REF!</definedName>
    <definedName name="TRAIN" localSheetId="11">#REF!</definedName>
    <definedName name="TRAIN">#REF!</definedName>
    <definedName name="tyjr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3">[106]Титульный!$F$12</definedName>
    <definedName name="type_indicator" localSheetId="11">[58]Титульный!$F$12</definedName>
    <definedName name="type_indicator" localSheetId="8">[58]Титульный!$F$12</definedName>
    <definedName name="type_indicator" localSheetId="9">[58]Титульный!$F$12</definedName>
    <definedName name="type_indicator" localSheetId="10">[107]Титульный!$F$12</definedName>
    <definedName name="type_indicator" localSheetId="6">[107]Титульный!$F$12</definedName>
    <definedName name="type_indicator" localSheetId="5">[107]Титульный!$F$12</definedName>
    <definedName name="type_indicator" localSheetId="4">[108]Титульный!$F$12</definedName>
    <definedName name="type_indicator">[58]Титульный!$F$12</definedName>
    <definedName name="tyur" localSheetId="2">#REF!</definedName>
    <definedName name="tyur" localSheetId="3">#REF!</definedName>
    <definedName name="tyur" localSheetId="12">#REF!</definedName>
    <definedName name="tyur" localSheetId="11">#REF!</definedName>
    <definedName name="tyur" localSheetId="6">#REF!</definedName>
    <definedName name="tyur" localSheetId="5">#REF!</definedName>
    <definedName name="tyur" localSheetId="4">#REF!</definedName>
    <definedName name="tyur">#REF!</definedName>
    <definedName name="U" localSheetId="15">#REF!</definedName>
    <definedName name="U" localSheetId="12">#REF!</definedName>
    <definedName name="U" localSheetId="11">#REF!</definedName>
    <definedName name="U" localSheetId="8">#REF!</definedName>
    <definedName name="U" localSheetId="9">#REF!</definedName>
    <definedName name="U" localSheetId="10">#REF!</definedName>
    <definedName name="U">#REF!</definedName>
    <definedName name="uka" localSheetId="15">[7]!uka</definedName>
    <definedName name="uka" localSheetId="11">#N/A</definedName>
    <definedName name="uka" localSheetId="8">#N/A</definedName>
    <definedName name="uka" localSheetId="9">#N/A</definedName>
    <definedName name="uka" localSheetId="6">#N/A</definedName>
    <definedName name="uka" localSheetId="5">#N/A</definedName>
    <definedName name="uka" localSheetId="4">#N/A</definedName>
    <definedName name="uka">#N/A</definedName>
    <definedName name="Unit">[78]Лист1!$C$13</definedName>
    <definedName name="unlev_fcf_rate" localSheetId="15">#REF!</definedName>
    <definedName name="unlev_fcf_rate" localSheetId="12">#REF!</definedName>
    <definedName name="unlev_fcf_rate" localSheetId="11">#REF!</definedName>
    <definedName name="unlev_fcf_rate" localSheetId="8">#REF!</definedName>
    <definedName name="unlev_fcf_rate" localSheetId="9">#REF!</definedName>
    <definedName name="unlev_fcf_rate" localSheetId="10">#REF!</definedName>
    <definedName name="unlev_fcf_rate" localSheetId="6">#REF!</definedName>
    <definedName name="unlev_fcf_rate" localSheetId="5">#REF!</definedName>
    <definedName name="unlev_fcf_rate" localSheetId="4">#REF!</definedName>
    <definedName name="unlev_fcf_rate">#REF!</definedName>
    <definedName name="UnleveredBeta" localSheetId="15">#REF!</definedName>
    <definedName name="UnleveredBeta" localSheetId="12">#REF!</definedName>
    <definedName name="UnleveredBeta" localSheetId="11">#REF!</definedName>
    <definedName name="UnleveredBeta" localSheetId="8">#REF!</definedName>
    <definedName name="UnleveredBeta" localSheetId="9">#REF!</definedName>
    <definedName name="UnleveredBeta" localSheetId="10">#REF!</definedName>
    <definedName name="UnleveredBeta">#REF!</definedName>
    <definedName name="UNUSE" localSheetId="12">#REF!</definedName>
    <definedName name="UNUSE" localSheetId="11">#REF!</definedName>
    <definedName name="UNUSE">#REF!</definedName>
    <definedName name="upr" localSheetId="15">[7]!upr</definedName>
    <definedName name="upr" localSheetId="11">#N/A</definedName>
    <definedName name="upr" localSheetId="8">#N/A</definedName>
    <definedName name="upr" localSheetId="9">#N/A</definedName>
    <definedName name="upr" localSheetId="6">#N/A</definedName>
    <definedName name="upr" localSheetId="5">#N/A</definedName>
    <definedName name="upr" localSheetId="4">#N/A</definedName>
    <definedName name="upr">#N/A</definedName>
    <definedName name="Usage_pt">[109]Применение!$A$14:$A$181</definedName>
    <definedName name="Usage_qt">[109]Применение!$E$14:$E$181</definedName>
    <definedName name="v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3">#REF!</definedName>
    <definedName name="Valuation_date" localSheetId="12">#REF!</definedName>
    <definedName name="Valuation_date" localSheetId="11">#REF!</definedName>
    <definedName name="Valuation_date" localSheetId="6">#REF!</definedName>
    <definedName name="Valuation_date" localSheetId="5">#REF!</definedName>
    <definedName name="Valuation_date" localSheetId="4">#REF!</definedName>
    <definedName name="Valuation_date">#REF!</definedName>
    <definedName name="ValuationYear" localSheetId="15">#REF!</definedName>
    <definedName name="ValuationYear" localSheetId="12">#REF!</definedName>
    <definedName name="ValuationYear" localSheetId="11">#REF!</definedName>
    <definedName name="ValuationYear" localSheetId="8">#REF!</definedName>
    <definedName name="ValuationYear" localSheetId="9">#REF!</definedName>
    <definedName name="ValuationYear" localSheetId="10">#REF!</definedName>
    <definedName name="ValuationYear" localSheetId="6">#REF!</definedName>
    <definedName name="ValuationYear" localSheetId="5">#REF!</definedName>
    <definedName name="ValuationYear" localSheetId="4">#REF!</definedName>
    <definedName name="ValuationYear">#REF!</definedName>
    <definedName name="Value" localSheetId="15">#REF!</definedName>
    <definedName name="Value" localSheetId="12">#REF!</definedName>
    <definedName name="Value" localSheetId="11">#REF!</definedName>
    <definedName name="Value" localSheetId="8">#REF!</definedName>
    <definedName name="Value" localSheetId="9">#REF!</definedName>
    <definedName name="Value" localSheetId="10">#REF!</definedName>
    <definedName name="Value">#REF!</definedName>
    <definedName name="value_date" localSheetId="15">#REF!</definedName>
    <definedName name="value_date" localSheetId="12">#REF!</definedName>
    <definedName name="value_date" localSheetId="11">#REF!</definedName>
    <definedName name="value_date" localSheetId="8">#REF!</definedName>
    <definedName name="value_date" localSheetId="9">#REF!</definedName>
    <definedName name="value_date" localSheetId="10">#REF!</definedName>
    <definedName name="value_date">#REF!</definedName>
    <definedName name="VAT" localSheetId="12">#REF!</definedName>
    <definedName name="VAT" localSheetId="11">#REF!</definedName>
    <definedName name="VAT">#REF!</definedName>
    <definedName name="VDOC" localSheetId="12">#REF!</definedName>
    <definedName name="VDOC" localSheetId="11">#REF!</definedName>
    <definedName name="VDOC" localSheetId="8">#REF!</definedName>
    <definedName name="VDOC" localSheetId="9">#REF!</definedName>
    <definedName name="VDOC" localSheetId="10">#REF!</definedName>
    <definedName name="VDOC">#REF!</definedName>
    <definedName name="VERSION" localSheetId="15">[34]TSheet!$C$4</definedName>
    <definedName name="VERSION" localSheetId="2">[57]TSheet!$C$4</definedName>
    <definedName name="VERSION" localSheetId="3">[57]TSheet!$C$4</definedName>
    <definedName name="VERSION" localSheetId="11">[36]TSheet!$C$4</definedName>
    <definedName name="VERSION" localSheetId="8">[36]TSheet!$C$4</definedName>
    <definedName name="VERSION" localSheetId="9">[36]TSheet!$C$4</definedName>
    <definedName name="VERSION" localSheetId="10">[37]TSheet!$C$4</definedName>
    <definedName name="VERSION" localSheetId="6">[37]TSheet!$C$4</definedName>
    <definedName name="VERSION" localSheetId="5">[37]TSheet!$C$4</definedName>
    <definedName name="VERSION" localSheetId="4">[38]TSheet!$C$4</definedName>
    <definedName name="VERSION">[57]TSheet!$C$4</definedName>
    <definedName name="VID_TOPL" localSheetId="3">[84]TECHSHEET!$D$1:$D$7</definedName>
    <definedName name="VID_TOPL" localSheetId="11">[85]TECHSHEET!$D$1:$D$7</definedName>
    <definedName name="VID_TOPL" localSheetId="8">[85]TECHSHEET!$D$1:$D$7</definedName>
    <definedName name="VID_TOPL" localSheetId="9">[85]TECHSHEET!$D$1:$D$7</definedName>
    <definedName name="VID_TOPL" localSheetId="10">[86]TECHSHEET!$D$1:$D$7</definedName>
    <definedName name="VID_TOPL" localSheetId="6">[86]TECHSHEET!$D$1:$D$7</definedName>
    <definedName name="VID_TOPL" localSheetId="5">[86]TECHSHEET!$D$1:$D$7</definedName>
    <definedName name="VID_TOPL" localSheetId="4">[87]TECHSHEET!$D$1:$D$7</definedName>
    <definedName name="VID_TOPL">[85]TECHSHEET!$D$1:$D$7</definedName>
    <definedName name="VK_GROUP" localSheetId="15">[34]TSheet!$Q$2:$Q$20</definedName>
    <definedName name="VK_GROUP" localSheetId="2">[35]TSheet!$Q$2:$Q$20</definedName>
    <definedName name="VK_GROUP" localSheetId="3">[35]TSheet!$Q$2:$Q$20</definedName>
    <definedName name="VK_GROUP" localSheetId="11">[36]TSheet!$Q$2:$Q$36</definedName>
    <definedName name="VK_GROUP" localSheetId="8">[36]TSheet!$Q$2:$Q$36</definedName>
    <definedName name="VK_GROUP" localSheetId="9">[36]TSheet!$Q$2:$Q$36</definedName>
    <definedName name="VK_GROUP" localSheetId="10">[37]TSheet!$Q$2:$Q$36</definedName>
    <definedName name="VK_GROUP" localSheetId="6">[37]TSheet!$Q$2:$Q$36</definedName>
    <definedName name="VK_GROUP" localSheetId="5">[37]TSheet!$Q$2:$Q$36</definedName>
    <definedName name="VK_GROUP" localSheetId="4">[38]TSheet!$Q$2:$Q$36</definedName>
    <definedName name="VK_GROUP">[35]TSheet!$Q$2:$Q$20</definedName>
    <definedName name="VLT_GROUP" localSheetId="15">[34]TSheet!$U$2:$U$5</definedName>
    <definedName name="VLT_GROUP" localSheetId="2">[35]TSheet!$U$2:$U$5</definedName>
    <definedName name="VLT_GROUP" localSheetId="3">[35]TSheet!$U$2:$U$5</definedName>
    <definedName name="VLT_GROUP" localSheetId="11">[36]TSheet!$U$2:$U$5</definedName>
    <definedName name="VLT_GROUP" localSheetId="8">[36]TSheet!$U$2:$U$5</definedName>
    <definedName name="VLT_GROUP" localSheetId="9">[36]TSheet!$U$2:$U$5</definedName>
    <definedName name="VLT_GROUP" localSheetId="10">[37]TSheet!$U$2:$U$5</definedName>
    <definedName name="VLT_GROUP" localSheetId="6">[37]TSheet!$U$2:$U$5</definedName>
    <definedName name="VLT_GROUP" localSheetId="5">[37]TSheet!$U$2:$U$5</definedName>
    <definedName name="VLT_GROUP" localSheetId="4">[38]TSheet!$U$2:$U$5</definedName>
    <definedName name="VLT_GROUP">[35]TSheet!$U$2:$U$5</definedName>
    <definedName name="vn" localSheetId="15" hidden="1">{#N/A,#N/A,TRUE,"Лист1";#N/A,#N/A,TRUE,"Лист2";#N/A,#N/A,TRUE,"Лист3"}</definedName>
    <definedName name="vn" localSheetId="2" hidden="1">{#N/A,#N/A,TRUE,"Лист1";#N/A,#N/A,TRUE,"Лист2";#N/A,#N/A,TRUE,"Лист3"}</definedName>
    <definedName name="vn" localSheetId="3" hidden="1">{#N/A,#N/A,TRUE,"Лист1";#N/A,#N/A,TRUE,"Лист2";#N/A,#N/A,TRUE,"Лист3"}</definedName>
    <definedName name="vn" localSheetId="7" hidden="1">{#N/A,#N/A,TRUE,"Лист1";#N/A,#N/A,TRUE,"Лист2";#N/A,#N/A,TRUE,"Лист3"}</definedName>
    <definedName name="vn" localSheetId="11" hidden="1">{#N/A,#N/A,TRUE,"Лист1";#N/A,#N/A,TRUE,"Лист2";#N/A,#N/A,TRUE,"Лист3"}</definedName>
    <definedName name="vn" localSheetId="8" hidden="1">{#N/A,#N/A,TRUE,"Лист1";#N/A,#N/A,TRUE,"Лист2";#N/A,#N/A,TRUE,"Лист3"}</definedName>
    <definedName name="vn" localSheetId="9" hidden="1">{#N/A,#N/A,TRUE,"Лист1";#N/A,#N/A,TRUE,"Лист2";#N/A,#N/A,TRUE,"Лист3"}</definedName>
    <definedName name="vn" localSheetId="10" hidden="1">{#N/A,#N/A,TRUE,"Лист1";#N/A,#N/A,TRUE,"Лист2";#N/A,#N/A,TRUE,"Лист3"}</definedName>
    <definedName name="vn" localSheetId="6" hidden="1">{#N/A,#N/A,TRUE,"Лист1";#N/A,#N/A,TRUE,"Лист2";#N/A,#N/A,TRUE,"Лист3"}</definedName>
    <definedName name="vn" localSheetId="5" hidden="1">{#N/A,#N/A,TRUE,"Лист1";#N/A,#N/A,TRUE,"Лист2";#N/A,#N/A,TRUE,"Лист3"}</definedName>
    <definedName name="vn" localSheetId="4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15">#REF!</definedName>
    <definedName name="voljan" localSheetId="12">#REF!</definedName>
    <definedName name="voljan" localSheetId="11">#REF!</definedName>
    <definedName name="voljan" localSheetId="8">#REF!</definedName>
    <definedName name="voljan" localSheetId="9">#REF!</definedName>
    <definedName name="voljan" localSheetId="10">#REF!</definedName>
    <definedName name="voljan" localSheetId="6">#REF!</definedName>
    <definedName name="voljan" localSheetId="5">#REF!</definedName>
    <definedName name="voljan" localSheetId="4">#REF!</definedName>
    <definedName name="voljan">#REF!</definedName>
    <definedName name="Voltage_lvl">[110]TSheet!$T$2:$T$5</definedName>
    <definedName name="VV" localSheetId="15">[7]!VV</definedName>
    <definedName name="VV" localSheetId="11">#N/A</definedName>
    <definedName name="VV" localSheetId="8">#N/A</definedName>
    <definedName name="VV" localSheetId="9">#N/A</definedName>
    <definedName name="VV" localSheetId="6">#N/A</definedName>
    <definedName name="VV" localSheetId="5">#N/A</definedName>
    <definedName name="VV" localSheetId="4">#N/A</definedName>
    <definedName name="VV">#N/A</definedName>
    <definedName name="w" localSheetId="15">#REF!</definedName>
    <definedName name="w" localSheetId="12">#REF!</definedName>
    <definedName name="w" localSheetId="11">#REF!</definedName>
    <definedName name="w" localSheetId="8">#REF!</definedName>
    <definedName name="w" localSheetId="9">#REF!</definedName>
    <definedName name="w" localSheetId="10">#REF!</definedName>
    <definedName name="w" localSheetId="6">#REF!</definedName>
    <definedName name="w" localSheetId="5">#REF!</definedName>
    <definedName name="w" localSheetId="4">#REF!</definedName>
    <definedName name="w">#REF!</definedName>
    <definedName name="W_GROUP" localSheetId="15">[34]SheetOrgReestr!$A$2:$A$147</definedName>
    <definedName name="W_GROUP" localSheetId="2">[35]SheetOrgReestr!$A$2:$A$147</definedName>
    <definedName name="W_GROUP" localSheetId="3">[35]SheetOrgReestr!$A$2:$A$147</definedName>
    <definedName name="W_GROUP" localSheetId="11">[36]SheetOrgReestr!$A$2:$A$172</definedName>
    <definedName name="W_GROUP" localSheetId="8">[36]SheetOrgReestr!$A$2:$A$172</definedName>
    <definedName name="W_GROUP" localSheetId="9">[36]SheetOrgReestr!$A$2:$A$172</definedName>
    <definedName name="W_GROUP" localSheetId="10">[37]SheetOrgReestr!$A$2:$A$172</definedName>
    <definedName name="W_GROUP" localSheetId="6">[37]SheetOrgReestr!$A$2:$A$172</definedName>
    <definedName name="W_GROUP" localSheetId="5">[37]SheetOrgReestr!$A$2:$A$172</definedName>
    <definedName name="W_GROUP" localSheetId="4">[38]SheetOrgReestr!$A$2:$A$172</definedName>
    <definedName name="W_GROUP">[35]SheetOrgReestr!$A$2:$A$147</definedName>
    <definedName name="W_TYPE" localSheetId="15">[43]TSheet!$O$2:$O$5</definedName>
    <definedName name="W_TYPE" localSheetId="2">[68]TSheet!$O$2:$O$5</definedName>
    <definedName name="W_TYPE" localSheetId="3">[68]TSheet!$O$2:$O$5</definedName>
    <definedName name="W_TYPE" localSheetId="11">[45]TSheet!$O$2:$O$4</definedName>
    <definedName name="W_TYPE" localSheetId="8">[45]TSheet!$O$2:$O$4</definedName>
    <definedName name="W_TYPE" localSheetId="9">[45]TSheet!$O$2:$O$4</definedName>
    <definedName name="W_TYPE" localSheetId="10">[46]TSheet!$O$2:$O$4</definedName>
    <definedName name="W_TYPE" localSheetId="6">[46]TSheet!$O$2:$O$4</definedName>
    <definedName name="W_TYPE" localSheetId="5">[46]TSheet!$O$2:$O$4</definedName>
    <definedName name="W_TYPE" localSheetId="4">[47]TSheet!$O$2:$O$4</definedName>
    <definedName name="W_TYPE">[68]TSheet!$O$2:$O$5</definedName>
    <definedName name="WACC" localSheetId="15">#REF!</definedName>
    <definedName name="WACC" localSheetId="12">#REF!</definedName>
    <definedName name="WACC" localSheetId="11">#REF!</definedName>
    <definedName name="WACC" localSheetId="8">#REF!</definedName>
    <definedName name="WACC" localSheetId="9">#REF!</definedName>
    <definedName name="WACC" localSheetId="10">#REF!</definedName>
    <definedName name="WACC" localSheetId="6">#REF!</definedName>
    <definedName name="WACC" localSheetId="5">#REF!</definedName>
    <definedName name="WACC" localSheetId="4">#REF!</definedName>
    <definedName name="WACC">#REF!</definedName>
    <definedName name="WACC_sen" localSheetId="15">#REF!</definedName>
    <definedName name="WACC_sen" localSheetId="12">#REF!</definedName>
    <definedName name="WACC_sen" localSheetId="11">#REF!</definedName>
    <definedName name="WACC_sen" localSheetId="8">#REF!</definedName>
    <definedName name="WACC_sen" localSheetId="9">#REF!</definedName>
    <definedName name="WACC_sen" localSheetId="10">#REF!</definedName>
    <definedName name="WACC_sen">#REF!</definedName>
    <definedName name="WBD___Water_projections_home" localSheetId="15">[19]Water!#REF!</definedName>
    <definedName name="WBD___Water_projections_home" localSheetId="12">[19]Water!#REF!</definedName>
    <definedName name="WBD___Water_projections_home" localSheetId="11">[19]Water!#REF!</definedName>
    <definedName name="WBD___Water_projections_home" localSheetId="8">[19]Water!#REF!</definedName>
    <definedName name="WBD___Water_projections_home" localSheetId="9">[19]Water!#REF!</definedName>
    <definedName name="WBD___Water_projections_home" localSheetId="10">[19]Water!#REF!</definedName>
    <definedName name="WBD___Water_projections_home">[19]Water!#REF!</definedName>
    <definedName name="wdfs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3">#REF!</definedName>
    <definedName name="werww" localSheetId="12">#REF!</definedName>
    <definedName name="werww" localSheetId="11">#REF!</definedName>
    <definedName name="werww" localSheetId="6">#REF!</definedName>
    <definedName name="werww" localSheetId="5">#REF!</definedName>
    <definedName name="werww" localSheetId="4">#REF!</definedName>
    <definedName name="werww">#REF!</definedName>
    <definedName name="wii" localSheetId="12">#REF!</definedName>
    <definedName name="wii" localSheetId="11">#REF!</definedName>
    <definedName name="wii" localSheetId="6">#REF!</definedName>
    <definedName name="wii" localSheetId="5">#REF!</definedName>
    <definedName name="wii" localSheetId="4">#REF!</definedName>
    <definedName name="wii">#REF!</definedName>
    <definedName name="WriteUp_inventories" localSheetId="15">#REF!</definedName>
    <definedName name="WriteUp_inventories" localSheetId="12">#REF!</definedName>
    <definedName name="WriteUp_inventories" localSheetId="11">#REF!</definedName>
    <definedName name="WriteUp_inventories" localSheetId="8">#REF!</definedName>
    <definedName name="WriteUp_inventories" localSheetId="9">#REF!</definedName>
    <definedName name="WriteUp_inventories" localSheetId="10">#REF!</definedName>
    <definedName name="WriteUp_inventories">#REF!</definedName>
    <definedName name="WriteUp_otherCA" localSheetId="15">#REF!</definedName>
    <definedName name="WriteUp_otherCA" localSheetId="12">#REF!</definedName>
    <definedName name="WriteUp_otherCA" localSheetId="11">#REF!</definedName>
    <definedName name="WriteUp_otherCA" localSheetId="8">#REF!</definedName>
    <definedName name="WriteUp_otherCA" localSheetId="9">#REF!</definedName>
    <definedName name="WriteUp_otherCA" localSheetId="10">#REF!</definedName>
    <definedName name="WriteUp_otherCA">#REF!</definedName>
    <definedName name="WriteUp_otherCL" localSheetId="15">#REF!</definedName>
    <definedName name="WriteUp_otherCL" localSheetId="12">#REF!</definedName>
    <definedName name="WriteUp_otherCL" localSheetId="11">#REF!</definedName>
    <definedName name="WriteUp_otherCL" localSheetId="8">#REF!</definedName>
    <definedName name="WriteUp_otherCL" localSheetId="9">#REF!</definedName>
    <definedName name="WriteUp_otherCL" localSheetId="10">#REF!</definedName>
    <definedName name="WriteUp_otherCL">#REF!</definedName>
    <definedName name="WriteUp_otherLTA" localSheetId="12">#REF!</definedName>
    <definedName name="WriteUp_otherLTA" localSheetId="11">#REF!</definedName>
    <definedName name="WriteUp_otherLTA" localSheetId="8">#REF!</definedName>
    <definedName name="WriteUp_otherLTA" localSheetId="9">#REF!</definedName>
    <definedName name="WriteUp_otherLTA" localSheetId="10">#REF!</definedName>
    <definedName name="WriteUp_otherLTA">#REF!</definedName>
    <definedName name="WriteUp_otherLTL" localSheetId="12">#REF!</definedName>
    <definedName name="WriteUp_otherLTL" localSheetId="11">#REF!</definedName>
    <definedName name="WriteUp_otherLTL" localSheetId="8">#REF!</definedName>
    <definedName name="WriteUp_otherLTL" localSheetId="9">#REF!</definedName>
    <definedName name="WriteUp_otherLTL" localSheetId="10">#REF!</definedName>
    <definedName name="WriteUp_otherLTL">#REF!</definedName>
    <definedName name="WriteUp_payables" localSheetId="12">#REF!</definedName>
    <definedName name="WriteUp_payables" localSheetId="11">#REF!</definedName>
    <definedName name="WriteUp_payables" localSheetId="8">#REF!</definedName>
    <definedName name="WriteUp_payables" localSheetId="9">#REF!</definedName>
    <definedName name="WriteUp_payables" localSheetId="10">#REF!</definedName>
    <definedName name="WriteUp_payables">#REF!</definedName>
    <definedName name="WriteUP_PPE" localSheetId="12">#REF!</definedName>
    <definedName name="WriteUP_PPE" localSheetId="11">#REF!</definedName>
    <definedName name="WriteUP_PPE" localSheetId="8">#REF!</definedName>
    <definedName name="WriteUP_PPE" localSheetId="9">#REF!</definedName>
    <definedName name="WriteUP_PPE" localSheetId="10">#REF!</definedName>
    <definedName name="WriteUP_PPE">#REF!</definedName>
    <definedName name="WriteUp_receivables" localSheetId="12">#REF!</definedName>
    <definedName name="WriteUp_receivables" localSheetId="11">#REF!</definedName>
    <definedName name="WriteUp_receivables" localSheetId="8">#REF!</definedName>
    <definedName name="WriteUp_receivables" localSheetId="9">#REF!</definedName>
    <definedName name="WriteUp_receivables" localSheetId="10">#REF!</definedName>
    <definedName name="WriteUp_receivables">#REF!</definedName>
    <definedName name="writeupdeprec" localSheetId="12">#REF!</definedName>
    <definedName name="writeupdeprec" localSheetId="11">#REF!</definedName>
    <definedName name="writeupdeprec" localSheetId="8">#REF!</definedName>
    <definedName name="writeupdeprec" localSheetId="9">#REF!</definedName>
    <definedName name="writeupdeprec" localSheetId="10">#REF!</definedName>
    <definedName name="writeupdeprec">#REF!</definedName>
    <definedName name="wrn.REPORT1." localSheetId="15" hidden="1">{"PRINTME",#N/A,FALSE,"FINAL-10"}</definedName>
    <definedName name="wrn.REPORT1." localSheetId="2" hidden="1">{"PRINTME",#N/A,FALSE,"FINAL-10"}</definedName>
    <definedName name="wrn.REPORT1." localSheetId="3" hidden="1">{"PRINTME",#N/A,FALSE,"FINAL-10"}</definedName>
    <definedName name="wrn.REPORT1." localSheetId="7" hidden="1">{"PRINTME",#N/A,FALSE,"FINAL-10"}</definedName>
    <definedName name="wrn.REPORT1." localSheetId="11" hidden="1">{"PRINTME",#N/A,FALSE,"FINAL-10"}</definedName>
    <definedName name="wrn.REPORT1." localSheetId="8" hidden="1">{"PRINTME",#N/A,FALSE,"FINAL-10"}</definedName>
    <definedName name="wrn.REPORT1." localSheetId="9" hidden="1">{"PRINTME",#N/A,FALSE,"FINAL-10"}</definedName>
    <definedName name="wrn.REPORT1." localSheetId="10" hidden="1">{"PRINTME",#N/A,FALSE,"FINAL-10"}</definedName>
    <definedName name="wrn.REPORT1." localSheetId="6" hidden="1">{"PRINTME",#N/A,FALSE,"FINAL-10"}</definedName>
    <definedName name="wrn.REPORT1." localSheetId="5" hidden="1">{"PRINTME",#N/A,FALSE,"FINAL-10"}</definedName>
    <definedName name="wrn.REPORT1." localSheetId="4" hidden="1">{"PRINTME",#N/A,FALSE,"FINAL-10"}</definedName>
    <definedName name="wrn.REPORT1." hidden="1">{"PRINTME",#N/A,FALSE,"FINAL-10"}</definedName>
    <definedName name="wrn.Калькуляция._.себестоимости." localSheetId="15" hidden="1">{#N/A,#N/A,FALSE,"Себестоимсть-97"}</definedName>
    <definedName name="wrn.Калькуляция._.себестоимости." localSheetId="2" hidden="1">{#N/A,#N/A,FALSE,"Себестоимсть-97"}</definedName>
    <definedName name="wrn.Калькуляция._.себестоимости." localSheetId="3" hidden="1">{#N/A,#N/A,FALSE,"Себестоимсть-97"}</definedName>
    <definedName name="wrn.Калькуляция._.себестоимости." localSheetId="11" hidden="1">{#N/A,#N/A,FALSE,"Себестоимсть-97"}</definedName>
    <definedName name="wrn.Калькуляция._.себестоимости." localSheetId="8" hidden="1">{#N/A,#N/A,FALSE,"Себестоимсть-97"}</definedName>
    <definedName name="wrn.Калькуляция._.себестоимости." localSheetId="9" hidden="1">{#N/A,#N/A,FALSE,"Себестоимсть-97"}</definedName>
    <definedName name="wrn.Калькуляция._.себестоимости." localSheetId="10" hidden="1">{#N/A,#N/A,FALSE,"Себестоимсть-97"}</definedName>
    <definedName name="wrn.Калькуляция._.себестоимости." localSheetId="6" hidden="1">{#N/A,#N/A,FALSE,"Себестоимсть-97"}</definedName>
    <definedName name="wrn.Калькуляция._.себестоимости." localSheetId="5" hidden="1">{#N/A,#N/A,FALSE,"Себестоимсть-97"}</definedName>
    <definedName name="wrn.Калькуляция._.себестоимости." localSheetId="4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15" hidden="1">{#N/A,#N/A,FALSE,"Себестоимсть-97"}</definedName>
    <definedName name="wrn.Калькуляция._.себестоимости.1" localSheetId="2" hidden="1">{#N/A,#N/A,FALSE,"Себестоимсть-97"}</definedName>
    <definedName name="wrn.Калькуляция._.себестоимости.1" localSheetId="3" hidden="1">{#N/A,#N/A,FALSE,"Себестоимсть-97"}</definedName>
    <definedName name="wrn.Калькуляция._.себестоимости.1" localSheetId="11" hidden="1">{#N/A,#N/A,FALSE,"Себестоимсть-97"}</definedName>
    <definedName name="wrn.Калькуляция._.себестоимости.1" localSheetId="8" hidden="1">{#N/A,#N/A,FALSE,"Себестоимсть-97"}</definedName>
    <definedName name="wrn.Калькуляция._.себестоимости.1" localSheetId="9" hidden="1">{#N/A,#N/A,FALSE,"Себестоимсть-97"}</definedName>
    <definedName name="wrn.Калькуляция._.себестоимости.1" localSheetId="10" hidden="1">{#N/A,#N/A,FALSE,"Себестоимсть-97"}</definedName>
    <definedName name="wrn.Калькуляция._.себестоимости.1" localSheetId="6" hidden="1">{#N/A,#N/A,FALSE,"Себестоимсть-97"}</definedName>
    <definedName name="wrn.Калькуляция._.себестоимости.1" localSheetId="5" hidden="1">{#N/A,#N/A,FALSE,"Себестоимсть-97"}</definedName>
    <definedName name="wrn.Калькуляция._.себестоимости.1" localSheetId="4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15" hidden="1">{"План продаж",#N/A,FALSE,"товар"}</definedName>
    <definedName name="wrn.План._.продаж." localSheetId="2" hidden="1">{"План продаж",#N/A,FALSE,"товар"}</definedName>
    <definedName name="wrn.План._.продаж." localSheetId="3" hidden="1">{"План продаж",#N/A,FALSE,"товар"}</definedName>
    <definedName name="wrn.План._.продаж." localSheetId="7" hidden="1">{"План продаж",#N/A,FALSE,"товар"}</definedName>
    <definedName name="wrn.План._.продаж." localSheetId="11" hidden="1">{"План продаж",#N/A,FALSE,"товар"}</definedName>
    <definedName name="wrn.План._.продаж." localSheetId="8" hidden="1">{"План продаж",#N/A,FALSE,"товар"}</definedName>
    <definedName name="wrn.План._.продаж." localSheetId="9" hidden="1">{"План продаж",#N/A,FALSE,"товар"}</definedName>
    <definedName name="wrn.План._.продаж." localSheetId="10" hidden="1">{"План продаж",#N/A,FALSE,"товар"}</definedName>
    <definedName name="wrn.План._.продаж." localSheetId="6" hidden="1">{"План продаж",#N/A,FALSE,"товар"}</definedName>
    <definedName name="wrn.План._.продаж." localSheetId="5" hidden="1">{"План продаж",#N/A,FALSE,"товар"}</definedName>
    <definedName name="wrn.План._.продаж." localSheetId="4" hidden="1">{"План продаж",#N/A,FALSE,"товар"}</definedName>
    <definedName name="wrn.План._.продаж." hidden="1">{"План продаж",#N/A,FALSE,"товар"}</definedName>
    <definedName name="wrn.План._.товар." localSheetId="15" hidden="1">{"План товар",#N/A,FALSE,"товар"}</definedName>
    <definedName name="wrn.План._.товар." localSheetId="2" hidden="1">{"План товар",#N/A,FALSE,"товар"}</definedName>
    <definedName name="wrn.План._.товар." localSheetId="3" hidden="1">{"План товар",#N/A,FALSE,"товар"}</definedName>
    <definedName name="wrn.План._.товар." localSheetId="7" hidden="1">{"План товар",#N/A,FALSE,"товар"}</definedName>
    <definedName name="wrn.План._.товар." localSheetId="11" hidden="1">{"План товар",#N/A,FALSE,"товар"}</definedName>
    <definedName name="wrn.План._.товар." localSheetId="8" hidden="1">{"План товар",#N/A,FALSE,"товар"}</definedName>
    <definedName name="wrn.План._.товар." localSheetId="9" hidden="1">{"План товар",#N/A,FALSE,"товар"}</definedName>
    <definedName name="wrn.План._.товар." localSheetId="10" hidden="1">{"План товар",#N/A,FALSE,"товар"}</definedName>
    <definedName name="wrn.План._.товар." localSheetId="6" hidden="1">{"План товар",#N/A,FALSE,"товар"}</definedName>
    <definedName name="wrn.План._.товар." localSheetId="5" hidden="1">{"План товар",#N/A,FALSE,"товар"}</definedName>
    <definedName name="wrn.План._.товар." localSheetId="4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15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11" hidden="1">{#N/A,#N/A,TRUE,"Лист1";#N/A,#N/A,TRUE,"Лист2";#N/A,#N/A,TRUE,"Лист3"}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localSheetId="9" hidden="1">{#N/A,#N/A,TRUE,"Лист1";#N/A,#N/A,TRUE,"Лист2";#N/A,#N/A,TRUE,"Лист3"}</definedName>
    <definedName name="wrn.Сравнение._.с._.отраслями." localSheetId="10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15" hidden="1">{"Товар.выработка без продаж",#N/A,FALSE,"товар"}</definedName>
    <definedName name="wrn.Товарн.выраб._.А4." localSheetId="2" hidden="1">{"Товар.выработка без продаж",#N/A,FALSE,"товар"}</definedName>
    <definedName name="wrn.Товарн.выраб._.А4." localSheetId="3" hidden="1">{"Товар.выработка без продаж",#N/A,FALSE,"товар"}</definedName>
    <definedName name="wrn.Товарн.выраб._.А4." localSheetId="7" hidden="1">{"Товар.выработка без продаж",#N/A,FALSE,"товар"}</definedName>
    <definedName name="wrn.Товарн.выраб._.А4." localSheetId="11" hidden="1">{"Товар.выработка без продаж",#N/A,FALSE,"товар"}</definedName>
    <definedName name="wrn.Товарн.выраб._.А4." localSheetId="8" hidden="1">{"Товар.выработка без продаж",#N/A,FALSE,"товар"}</definedName>
    <definedName name="wrn.Товарн.выраб._.А4." localSheetId="9" hidden="1">{"Товар.выработка без продаж",#N/A,FALSE,"товар"}</definedName>
    <definedName name="wrn.Товарн.выраб._.А4." localSheetId="10" hidden="1">{"Товар.выработка без продаж",#N/A,FALSE,"товар"}</definedName>
    <definedName name="wrn.Товарн.выраб._.А4." localSheetId="6" hidden="1">{"Товар.выработка без продаж",#N/A,FALSE,"товар"}</definedName>
    <definedName name="wrn.Товарн.выраб._.А4." localSheetId="5" hidden="1">{"Товар.выработка без продаж",#N/A,FALSE,"товар"}</definedName>
    <definedName name="wrn.Товарн.выраб._.А4." localSheetId="4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15">#REF!</definedName>
    <definedName name="wtdavgshares" localSheetId="12">#REF!</definedName>
    <definedName name="wtdavgshares" localSheetId="11">#REF!</definedName>
    <definedName name="wtdavgshares" localSheetId="8">#REF!</definedName>
    <definedName name="wtdavgshares" localSheetId="9">#REF!</definedName>
    <definedName name="wtdavgshares" localSheetId="10">#REF!</definedName>
    <definedName name="wtdavgshares" localSheetId="6">#REF!</definedName>
    <definedName name="wtdavgshares" localSheetId="5">#REF!</definedName>
    <definedName name="wtdavgshares" localSheetId="4">#REF!</definedName>
    <definedName name="wtdavgshares">#REF!</definedName>
    <definedName name="wwr" localSheetId="15" hidden="1">#REF!,#REF!,#REF!,#REF!,#REF!,#REF!,#REF!</definedName>
    <definedName name="wwr" localSheetId="12" hidden="1">#REF!,#REF!,#REF!,#REF!,#REF!,#REF!,#REF!</definedName>
    <definedName name="wwr" localSheetId="7" hidden="1">#REF!,#REF!,#REF!,#REF!,#REF!,#REF!,#REF!</definedName>
    <definedName name="wwr" localSheetId="11" hidden="1">#REF!,#REF!,#REF!,#REF!,#REF!,#REF!,#REF!</definedName>
    <definedName name="wwr" localSheetId="8" hidden="1">#REF!,#REF!,#REF!,#REF!,#REF!,#REF!,#REF!</definedName>
    <definedName name="wwr" localSheetId="9" hidden="1">#REF!,#REF!,#REF!,#REF!,#REF!,#REF!,#REF!</definedName>
    <definedName name="wwr" localSheetId="10" hidden="1">#REF!,#REF!,#REF!,#REF!,#REF!,#REF!,#REF!</definedName>
    <definedName name="wwr" localSheetId="6" hidden="1">#REF!,#REF!,#REF!,#REF!,#REF!,#REF!,#REF!</definedName>
    <definedName name="wwr" localSheetId="5" hidden="1">#REF!,#REF!,#REF!,#REF!,#REF!,#REF!,#REF!</definedName>
    <definedName name="wwr" localSheetId="4" hidden="1">#REF!,#REF!,#REF!,#REF!,#REF!,#REF!,#REF!</definedName>
    <definedName name="wwr" hidden="1">#REF!,#REF!,#REF!,#REF!,#REF!,#REF!,#REF!</definedName>
    <definedName name="x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15">#REF!</definedName>
    <definedName name="xoz_r" localSheetId="12">#REF!</definedName>
    <definedName name="xoz_r" localSheetId="11">#REF!</definedName>
    <definedName name="xoz_r" localSheetId="8">#REF!</definedName>
    <definedName name="xoz_r" localSheetId="9">#REF!</definedName>
    <definedName name="xoz_r" localSheetId="10">#REF!</definedName>
    <definedName name="xoz_r" localSheetId="6">#REF!</definedName>
    <definedName name="xoz_r" localSheetId="5">#REF!</definedName>
    <definedName name="xoz_r" localSheetId="4">#REF!</definedName>
    <definedName name="xoz_r">#REF!</definedName>
    <definedName name="y" localSheetId="15">#REF!</definedName>
    <definedName name="y" localSheetId="12">#REF!</definedName>
    <definedName name="y" localSheetId="11">#REF!</definedName>
    <definedName name="y" localSheetId="8">#REF!</definedName>
    <definedName name="y" localSheetId="9">#REF!</definedName>
    <definedName name="y" localSheetId="10">#REF!</definedName>
    <definedName name="y">#REF!</definedName>
    <definedName name="YEAR_PERIOD" localSheetId="15">[34]Титульный!$F$23</definedName>
    <definedName name="YEAR_PERIOD" localSheetId="2">[69]Титульный!$F$24</definedName>
    <definedName name="YEAR_PERIOD" localSheetId="3">[69]Титульный!$F$24</definedName>
    <definedName name="YEAR_PERIOD" localSheetId="11">[68]Титульный!$F$24</definedName>
    <definedName name="YEAR_PERIOD" localSheetId="8">[68]Титульный!$F$24</definedName>
    <definedName name="YEAR_PERIOD" localSheetId="9">[68]Титульный!$F$24</definedName>
    <definedName name="YEAR_PERIOD" localSheetId="10">[46]Титульный!$F$24</definedName>
    <definedName name="YEAR_PERIOD" localSheetId="6">[46]Титульный!$F$24</definedName>
    <definedName name="YEAR_PERIOD" localSheetId="5">[46]Титульный!$F$24</definedName>
    <definedName name="YEAR_PERIOD" localSheetId="4">[47]Титульный!$F$24</definedName>
    <definedName name="YEAR_PERIOD">[69]Титульный!$F$24</definedName>
    <definedName name="YearEnd" localSheetId="15">#REF!</definedName>
    <definedName name="YearEnd" localSheetId="12">#REF!</definedName>
    <definedName name="YearEnd" localSheetId="11">#REF!</definedName>
    <definedName name="YearEnd" localSheetId="8">#REF!</definedName>
    <definedName name="YearEnd" localSheetId="9">#REF!</definedName>
    <definedName name="YearEnd" localSheetId="10">#REF!</definedName>
    <definedName name="YearEnd" localSheetId="6">#REF!</definedName>
    <definedName name="YearEnd" localSheetId="5">#REF!</definedName>
    <definedName name="YearEnd" localSheetId="4">#REF!</definedName>
    <definedName name="YearEnd">#REF!</definedName>
    <definedName name="YES_NO" localSheetId="3">[84]TECHSHEET!$B$1:$B$2</definedName>
    <definedName name="YES_NO" localSheetId="11">[85]TECHSHEET!$B$1:$B$2</definedName>
    <definedName name="YES_NO" localSheetId="8">[85]TECHSHEET!$B$1:$B$2</definedName>
    <definedName name="YES_NO" localSheetId="9">[85]TECHSHEET!$B$1:$B$2</definedName>
    <definedName name="YES_NO" localSheetId="10">[86]TECHSHEET!$B$1:$B$2</definedName>
    <definedName name="YES_NO" localSheetId="6">[86]TECHSHEET!$B$1:$B$2</definedName>
    <definedName name="YES_NO" localSheetId="5">[86]TECHSHEET!$B$1:$B$2</definedName>
    <definedName name="YES_NO" localSheetId="4">[87]TECHSHEET!$B$1:$B$2</definedName>
    <definedName name="YES_NO">[85]TECHSHEET!$B$1:$B$2</definedName>
    <definedName name="ytjty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12">'[23]Input-Moscow'!#REF!</definedName>
    <definedName name="yust_ms" localSheetId="11">'[23]Input-Moscow'!#REF!</definedName>
    <definedName name="yust_ms" localSheetId="8">'[23]Input-Moscow'!#REF!</definedName>
    <definedName name="yust_ms" localSheetId="9">'[23]Input-Moscow'!#REF!</definedName>
    <definedName name="yust_ms" localSheetId="10">'[23]Input-Moscow'!#REF!</definedName>
    <definedName name="yust_ms">'[23]Input-Moscow'!#REF!</definedName>
    <definedName name="yust_ms2" localSheetId="12">'[23]Input-Moscow'!#REF!</definedName>
    <definedName name="yust_ms2" localSheetId="11">'[23]Input-Moscow'!#REF!</definedName>
    <definedName name="yust_ms2" localSheetId="8">'[23]Input-Moscow'!#REF!</definedName>
    <definedName name="yust_ms2" localSheetId="9">'[23]Input-Moscow'!#REF!</definedName>
    <definedName name="yust_ms2" localSheetId="10">'[23]Input-Moscow'!#REF!</definedName>
    <definedName name="yust_ms2">'[23]Input-Moscow'!#REF!</definedName>
    <definedName name="yutrferfghhjjl" localSheetId="15">#REF!</definedName>
    <definedName name="yutrferfghhjjl" localSheetId="12">#REF!</definedName>
    <definedName name="yutrferfghhjjl" localSheetId="11">#REF!</definedName>
    <definedName name="yutrferfghhjjl" localSheetId="10">#REF!</definedName>
    <definedName name="yutrferfghhjjl" localSheetId="6">#REF!</definedName>
    <definedName name="yutrferfghhjjl" localSheetId="5">#REF!</definedName>
    <definedName name="yutrferfghhjjl" localSheetId="4">#REF!</definedName>
    <definedName name="yutrferfghhjjl">#REF!</definedName>
    <definedName name="yyyjjjj" localSheetId="15" hidden="1">{#N/A,#N/A,FALSE,"Себестоимсть-97"}</definedName>
    <definedName name="yyyjjjj" localSheetId="2" hidden="1">{#N/A,#N/A,FALSE,"Себестоимсть-97"}</definedName>
    <definedName name="yyyjjjj" localSheetId="3" hidden="1">{#N/A,#N/A,FALSE,"Себестоимсть-97"}</definedName>
    <definedName name="yyyjjjj" localSheetId="11" hidden="1">{#N/A,#N/A,FALSE,"Себестоимсть-97"}</definedName>
    <definedName name="yyyjjjj" localSheetId="8" hidden="1">{#N/A,#N/A,FALSE,"Себестоимсть-97"}</definedName>
    <definedName name="yyyjjjj" localSheetId="9" hidden="1">{#N/A,#N/A,FALSE,"Себестоимсть-97"}</definedName>
    <definedName name="yyyjjjj" localSheetId="10" hidden="1">{#N/A,#N/A,FALSE,"Себестоимсть-97"}</definedName>
    <definedName name="yyyjjjj" localSheetId="6" hidden="1">{#N/A,#N/A,FALSE,"Себестоимсть-97"}</definedName>
    <definedName name="yyyjjjj" localSheetId="5" hidden="1">{#N/A,#N/A,FALSE,"Себестоимсть-97"}</definedName>
    <definedName name="yyyjjjj" localSheetId="4" hidden="1">{#N/A,#N/A,FALSE,"Себестоимсть-97"}</definedName>
    <definedName name="yyyjjjj" hidden="1">{#N/A,#N/A,FALSE,"Себестоимсть-97"}</definedName>
    <definedName name="yyyjjjj1" localSheetId="15" hidden="1">{#N/A,#N/A,FALSE,"Себестоимсть-97"}</definedName>
    <definedName name="yyyjjjj1" localSheetId="2" hidden="1">{#N/A,#N/A,FALSE,"Себестоимсть-97"}</definedName>
    <definedName name="yyyjjjj1" localSheetId="3" hidden="1">{#N/A,#N/A,FALSE,"Себестоимсть-97"}</definedName>
    <definedName name="yyyjjjj1" localSheetId="11" hidden="1">{#N/A,#N/A,FALSE,"Себестоимсть-97"}</definedName>
    <definedName name="yyyjjjj1" localSheetId="8" hidden="1">{#N/A,#N/A,FALSE,"Себестоимсть-97"}</definedName>
    <definedName name="yyyjjjj1" localSheetId="9" hidden="1">{#N/A,#N/A,FALSE,"Себестоимсть-97"}</definedName>
    <definedName name="yyyjjjj1" localSheetId="10" hidden="1">{#N/A,#N/A,FALSE,"Себестоимсть-97"}</definedName>
    <definedName name="yyyjjjj1" localSheetId="6" hidden="1">{#N/A,#N/A,FALSE,"Себестоимсть-97"}</definedName>
    <definedName name="yyyjjjj1" localSheetId="5" hidden="1">{#N/A,#N/A,FALSE,"Себестоимсть-97"}</definedName>
    <definedName name="yyyjjjj1" localSheetId="4" hidden="1">{#N/A,#N/A,FALSE,"Себестоимсть-97"}</definedName>
    <definedName name="yyyjjjj1" hidden="1">{#N/A,#N/A,FALSE,"Себестоимсть-97"}</definedName>
    <definedName name="YYYYYY_Прогноз_Таблица" localSheetId="15">#REF!</definedName>
    <definedName name="YYYYYY_Прогноз_Таблица" localSheetId="12">#REF!</definedName>
    <definedName name="YYYYYY_Прогноз_Таблица" localSheetId="11">#REF!</definedName>
    <definedName name="YYYYYY_Прогноз_Таблица" localSheetId="8">#REF!</definedName>
    <definedName name="YYYYYY_Прогноз_Таблица" localSheetId="9">#REF!</definedName>
    <definedName name="YYYYYY_Прогноз_Таблица" localSheetId="10">#REF!</definedName>
    <definedName name="YYYYYY_Прогноз_Таблица" localSheetId="6">#REF!</definedName>
    <definedName name="YYYYYY_Прогноз_Таблица" localSheetId="5">#REF!</definedName>
    <definedName name="YYYYYY_Прогноз_Таблица" localSheetId="4">#REF!</definedName>
    <definedName name="YYYYYY_Прогноз_Таблица">#REF!</definedName>
    <definedName name="z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15" hidden="1">#REF!</definedName>
    <definedName name="Z_18E0A45A_F64C_11D3_90C7_000062A15C1A_.wvu.Cols" localSheetId="12" hidden="1">#REF!</definedName>
    <definedName name="Z_18E0A45A_F64C_11D3_90C7_000062A15C1A_.wvu.Cols" localSheetId="7" hidden="1">#REF!</definedName>
    <definedName name="Z_18E0A45A_F64C_11D3_90C7_000062A15C1A_.wvu.Cols" localSheetId="11" hidden="1">#REF!</definedName>
    <definedName name="Z_18E0A45A_F64C_11D3_90C7_000062A15C1A_.wvu.Cols" localSheetId="8" hidden="1">#REF!</definedName>
    <definedName name="Z_18E0A45A_F64C_11D3_90C7_000062A15C1A_.wvu.Cols" localSheetId="9" hidden="1">#REF!</definedName>
    <definedName name="Z_18E0A45A_F64C_11D3_90C7_000062A15C1A_.wvu.Cols" localSheetId="10" hidden="1">#REF!</definedName>
    <definedName name="Z_18E0A45A_F64C_11D3_90C7_000062A15C1A_.wvu.Cols" localSheetId="6" hidden="1">#REF!</definedName>
    <definedName name="Z_18E0A45A_F64C_11D3_90C7_000062A15C1A_.wvu.Cols" localSheetId="5" hidden="1">#REF!</definedName>
    <definedName name="Z_18E0A45A_F64C_11D3_90C7_000062A15C1A_.wvu.Cols" localSheetId="4" hidden="1">#REF!</definedName>
    <definedName name="Z_18E0A45A_F64C_11D3_90C7_000062A15C1A_.wvu.Cols" hidden="1">#REF!</definedName>
    <definedName name="Z_18E0A45A_F64C_11D3_90C7_000062A15C1A_.wvu.FilterData" localSheetId="12" hidden="1">#REF!</definedName>
    <definedName name="Z_18E0A45A_F64C_11D3_90C7_000062A15C1A_.wvu.FilterData" localSheetId="7" hidden="1">#REF!</definedName>
    <definedName name="Z_18E0A45A_F64C_11D3_90C7_000062A15C1A_.wvu.FilterData" localSheetId="11" hidden="1">#REF!</definedName>
    <definedName name="Z_18E0A45A_F64C_11D3_90C7_000062A15C1A_.wvu.FilterData" localSheetId="8" hidden="1">#REF!</definedName>
    <definedName name="Z_18E0A45A_F64C_11D3_90C7_000062A15C1A_.wvu.FilterData" localSheetId="9" hidden="1">#REF!</definedName>
    <definedName name="Z_18E0A45A_F64C_11D3_90C7_000062A15C1A_.wvu.FilterData" localSheetId="10" hidden="1">#REF!</definedName>
    <definedName name="Z_18E0A45A_F64C_11D3_90C7_000062A15C1A_.wvu.FilterData" hidden="1">#REF!</definedName>
    <definedName name="Z_18E0A45A_F64C_11D3_90C7_000062A15C1A_.wvu.PrintTitles" localSheetId="12" hidden="1">#REF!</definedName>
    <definedName name="Z_18E0A45A_F64C_11D3_90C7_000062A15C1A_.wvu.PrintTitles" localSheetId="7" hidden="1">#REF!</definedName>
    <definedName name="Z_18E0A45A_F64C_11D3_90C7_000062A15C1A_.wvu.PrintTitles" localSheetId="11" hidden="1">#REF!</definedName>
    <definedName name="Z_18E0A45A_F64C_11D3_90C7_000062A15C1A_.wvu.PrintTitles" localSheetId="8" hidden="1">#REF!</definedName>
    <definedName name="Z_18E0A45A_F64C_11D3_90C7_000062A15C1A_.wvu.PrintTitles" localSheetId="9" hidden="1">#REF!</definedName>
    <definedName name="Z_18E0A45A_F64C_11D3_90C7_000062A15C1A_.wvu.PrintTitles" localSheetId="10" hidden="1">#REF!</definedName>
    <definedName name="Z_18E0A45A_F64C_11D3_90C7_000062A15C1A_.wvu.PrintTitles" hidden="1">#REF!</definedName>
    <definedName name="Z_1FA0F3A0_9A3E_11D6_8FF0_00D0B7BABD9F_.wvu.Rows" localSheetId="2" hidden="1">[111]БДР!#REF!,[111]БДР!#REF!</definedName>
    <definedName name="Z_1FA0F3A0_9A3E_11D6_8FF0_00D0B7BABD9F_.wvu.Rows" localSheetId="3" hidden="1">[111]БДР!#REF!,[111]БДР!#REF!</definedName>
    <definedName name="Z_1FA0F3A0_9A3E_11D6_8FF0_00D0B7BABD9F_.wvu.Rows" localSheetId="12" hidden="1">[111]БДР!#REF!,[111]БДР!#REF!</definedName>
    <definedName name="Z_1FA0F3A0_9A3E_11D6_8FF0_00D0B7BABD9F_.wvu.Rows" localSheetId="11" hidden="1">[111]БДР!#REF!,[111]БДР!#REF!</definedName>
    <definedName name="Z_1FA0F3A0_9A3E_11D6_8FF0_00D0B7BABD9F_.wvu.Rows" localSheetId="6" hidden="1">[111]БДР!#REF!,[111]БДР!#REF!</definedName>
    <definedName name="Z_1FA0F3A0_9A3E_11D6_8FF0_00D0B7BABD9F_.wvu.Rows" localSheetId="5" hidden="1">[111]БДР!#REF!,[111]БДР!#REF!</definedName>
    <definedName name="Z_1FA0F3A0_9A3E_11D6_8FF0_00D0B7BABD9F_.wvu.Rows" localSheetId="4" hidden="1">[111]БДР!#REF!,[111]БДР!#REF!</definedName>
    <definedName name="Z_1FA0F3A0_9A3E_11D6_8FF0_00D0B7BABD9F_.wvu.Rows" hidden="1">[111]БДР!#REF!,[111]БДР!#REF!</definedName>
    <definedName name="Z_F9F3694A_8D99_11D6_96BF_00D0B7BD143A_.wvu.Rows" localSheetId="2" hidden="1">[111]БДР!#REF!,[111]БДР!#REF!</definedName>
    <definedName name="Z_F9F3694A_8D99_11D6_96BF_00D0B7BD143A_.wvu.Rows" localSheetId="3" hidden="1">[111]БДР!#REF!,[111]БДР!#REF!</definedName>
    <definedName name="Z_F9F3694A_8D99_11D6_96BF_00D0B7BD143A_.wvu.Rows" localSheetId="12" hidden="1">[111]БДР!#REF!,[111]БДР!#REF!</definedName>
    <definedName name="Z_F9F3694A_8D99_11D6_96BF_00D0B7BD143A_.wvu.Rows" localSheetId="11" hidden="1">[111]БДР!#REF!,[111]БДР!#REF!</definedName>
    <definedName name="Z_F9F3694A_8D99_11D6_96BF_00D0B7BD143A_.wvu.Rows" localSheetId="6" hidden="1">[111]БДР!#REF!,[111]БДР!#REF!</definedName>
    <definedName name="Z_F9F3694A_8D99_11D6_96BF_00D0B7BD143A_.wvu.Rows" localSheetId="5" hidden="1">[111]БДР!#REF!,[111]БДР!#REF!</definedName>
    <definedName name="Z_F9F3694A_8D99_11D6_96BF_00D0B7BD143A_.wvu.Rows" localSheetId="4" hidden="1">[111]БДР!#REF!,[111]БДР!#REF!</definedName>
    <definedName name="Z_F9F3694A_8D99_11D6_96BF_00D0B7BD143A_.wvu.Rows" hidden="1">[111]БДР!#REF!,[111]БДР!#REF!</definedName>
    <definedName name="zero" localSheetId="2">#REF!</definedName>
    <definedName name="zero" localSheetId="3">#REF!</definedName>
    <definedName name="zero" localSheetId="12">#REF!</definedName>
    <definedName name="zero" localSheetId="11">#REF!</definedName>
    <definedName name="zero" localSheetId="8">#REF!</definedName>
    <definedName name="zero" localSheetId="9">#REF!</definedName>
    <definedName name="zero" localSheetId="10">#REF!</definedName>
    <definedName name="zero" localSheetId="6">#REF!</definedName>
    <definedName name="zero" localSheetId="5">#REF!</definedName>
    <definedName name="zero" localSheetId="4">#REF!</definedName>
    <definedName name="zero">#REF!</definedName>
    <definedName name="zxs" localSheetId="12">#REF!</definedName>
    <definedName name="zxs" localSheetId="11">#REF!</definedName>
    <definedName name="zxs" localSheetId="8">#REF!</definedName>
    <definedName name="zxs" localSheetId="9">#REF!</definedName>
    <definedName name="zxs" localSheetId="10">#REF!</definedName>
    <definedName name="zxs">#REF!</definedName>
    <definedName name="а" localSheetId="12">#REF!</definedName>
    <definedName name="а" localSheetId="11">#REF!</definedName>
    <definedName name="а" localSheetId="8">#REF!</definedName>
    <definedName name="а" localSheetId="9">#REF!</definedName>
    <definedName name="а" localSheetId="10">#REF!</definedName>
    <definedName name="а">#REF!</definedName>
    <definedName name="А02" localSheetId="12">#REF!</definedName>
    <definedName name="А02" localSheetId="11">#REF!</definedName>
    <definedName name="А02" localSheetId="8">#REF!</definedName>
    <definedName name="А02" localSheetId="9">#REF!</definedName>
    <definedName name="А02" localSheetId="10">#REF!</definedName>
    <definedName name="А02">#REF!</definedName>
    <definedName name="а1" localSheetId="12">#REF!</definedName>
    <definedName name="а1" localSheetId="11">#REF!</definedName>
    <definedName name="а1" localSheetId="8">#REF!</definedName>
    <definedName name="а1" localSheetId="9">#REF!</definedName>
    <definedName name="а1" localSheetId="10">#REF!</definedName>
    <definedName name="а1">#REF!</definedName>
    <definedName name="а10000" localSheetId="12">#REF!</definedName>
    <definedName name="а10000" localSheetId="11">#REF!</definedName>
    <definedName name="а10000">#REF!</definedName>
    <definedName name="а4_2" localSheetId="12">#REF!</definedName>
    <definedName name="а4_2" localSheetId="11">#REF!</definedName>
    <definedName name="а4_2" localSheetId="8">#REF!</definedName>
    <definedName name="а4_2" localSheetId="9">#REF!</definedName>
    <definedName name="а4_2" localSheetId="10">#REF!</definedName>
    <definedName name="а4_2">#REF!</definedName>
    <definedName name="а42" localSheetId="12">#REF!</definedName>
    <definedName name="а42" localSheetId="11">#REF!</definedName>
    <definedName name="а42" localSheetId="8">#REF!</definedName>
    <definedName name="а42" localSheetId="9">#REF!</definedName>
    <definedName name="а42" localSheetId="10">#REF!</definedName>
    <definedName name="а42">#REF!</definedName>
    <definedName name="а6" localSheetId="12">#REF!</definedName>
    <definedName name="а6" localSheetId="11">#REF!</definedName>
    <definedName name="а6" localSheetId="8">#REF!</definedName>
    <definedName name="а6" localSheetId="9">#REF!</definedName>
    <definedName name="а6" localSheetId="10">#REF!</definedName>
    <definedName name="а6">#REF!</definedName>
    <definedName name="А8" localSheetId="12">#REF!</definedName>
    <definedName name="А8" localSheetId="11">#REF!</definedName>
    <definedName name="А8" localSheetId="8">#REF!</definedName>
    <definedName name="А8" localSheetId="9">#REF!</definedName>
    <definedName name="А8" localSheetId="10">#REF!</definedName>
    <definedName name="А8">#REF!</definedName>
    <definedName name="аа" localSheetId="12">#REF!</definedName>
    <definedName name="аа" localSheetId="11">#REF!</definedName>
    <definedName name="аа" localSheetId="8">#REF!</definedName>
    <definedName name="аа" localSheetId="9">#REF!</definedName>
    <definedName name="аа" localSheetId="10">#REF!</definedName>
    <definedName name="аа">#REF!</definedName>
    <definedName name="ааа">'[112]Продажи реальные и прогноз 20 л'!$E$47</definedName>
    <definedName name="АААААААА" localSheetId="15">[7]!АААААААА</definedName>
    <definedName name="АААААААА" localSheetId="11">#N/A</definedName>
    <definedName name="АААААААА" localSheetId="8">#N/A</definedName>
    <definedName name="АААААААА" localSheetId="9">#N/A</definedName>
    <definedName name="АААААААА" localSheetId="6">#N/A</definedName>
    <definedName name="АААААААА" localSheetId="5">#N/A</definedName>
    <definedName name="АААААААА" localSheetId="4">#N/A</definedName>
    <definedName name="АААААААА">#N/A</definedName>
    <definedName name="ав" localSheetId="15">[7]!ав</definedName>
    <definedName name="ав" localSheetId="11">#N/A</definedName>
    <definedName name="ав" localSheetId="8">#N/A</definedName>
    <definedName name="ав" localSheetId="9">#N/A</definedName>
    <definedName name="ав" localSheetId="6">#N/A</definedName>
    <definedName name="ав" localSheetId="5">#N/A</definedName>
    <definedName name="ав" localSheetId="4">#N/A</definedName>
    <definedName name="ав">#N/A</definedName>
    <definedName name="ава" localSheetId="15">#REF!</definedName>
    <definedName name="ава" localSheetId="12">#REF!</definedName>
    <definedName name="ава" localSheetId="11">#REF!</definedName>
    <definedName name="ава" localSheetId="8">#REF!</definedName>
    <definedName name="ава" localSheetId="9">#REF!</definedName>
    <definedName name="ава" localSheetId="10">#REF!</definedName>
    <definedName name="ава" localSheetId="6">#REF!</definedName>
    <definedName name="ава" localSheetId="5">#REF!</definedName>
    <definedName name="ава" localSheetId="4">#REF!</definedName>
    <definedName name="ава">#REF!</definedName>
    <definedName name="авг" localSheetId="15">#REF!</definedName>
    <definedName name="авг" localSheetId="12">#REF!</definedName>
    <definedName name="авг" localSheetId="11">#REF!</definedName>
    <definedName name="авг" localSheetId="8">#REF!</definedName>
    <definedName name="авг" localSheetId="9">#REF!</definedName>
    <definedName name="авг" localSheetId="10">#REF!</definedName>
    <definedName name="авг">#REF!</definedName>
    <definedName name="авг2" localSheetId="15">#REF!</definedName>
    <definedName name="авг2" localSheetId="12">#REF!</definedName>
    <definedName name="авг2" localSheetId="11">#REF!</definedName>
    <definedName name="авг2" localSheetId="8">#REF!</definedName>
    <definedName name="авг2" localSheetId="9">#REF!</definedName>
    <definedName name="авг2" localSheetId="10">#REF!</definedName>
    <definedName name="авг2">#REF!</definedName>
    <definedName name="аепк" localSheetId="12">#REF!</definedName>
    <definedName name="аепк" localSheetId="11">#REF!</definedName>
    <definedName name="аепк" localSheetId="8">#REF!</definedName>
    <definedName name="аепк" localSheetId="9">#REF!</definedName>
    <definedName name="аепк" localSheetId="10">#REF!</definedName>
    <definedName name="аепк">#REF!</definedName>
    <definedName name="альфа" localSheetId="15">'[113]Отопление помещ'!$A$69:$A$77</definedName>
    <definedName name="альфа" localSheetId="3">'[114]Отопление помещ'!$A$69:$A$77</definedName>
    <definedName name="альфа" localSheetId="11">'[115]Отопление помещ'!$A$69:$A$77</definedName>
    <definedName name="альфа" localSheetId="8">'[115]Отопление помещ'!$A$69:$A$77</definedName>
    <definedName name="альфа" localSheetId="9">'[115]Отопление помещ'!$A$69:$A$77</definedName>
    <definedName name="альфа" localSheetId="10">'[116]Отопление помещ'!$A$69:$A$77</definedName>
    <definedName name="альфа" localSheetId="6">'[116]Отопление помещ'!$A$69:$A$77</definedName>
    <definedName name="альфа" localSheetId="5">'[116]Отопление помещ'!$A$69:$A$77</definedName>
    <definedName name="альфа" localSheetId="4">'[117]Отопление помещ'!$A$69:$A$77</definedName>
    <definedName name="альфа">'[118]Отопление помещ'!$A$69:$A$77</definedName>
    <definedName name="аналБ">'[119]1пг02к03'!$B$75:$M$140</definedName>
    <definedName name="Анализ" localSheetId="15">#REF!</definedName>
    <definedName name="Анализ" localSheetId="12">#REF!</definedName>
    <definedName name="Анализ" localSheetId="11">#REF!</definedName>
    <definedName name="Анализ" localSheetId="8">#REF!</definedName>
    <definedName name="Анализ" localSheetId="9">#REF!</definedName>
    <definedName name="Анализ" localSheetId="10">#REF!</definedName>
    <definedName name="Анализ" localSheetId="6">#REF!</definedName>
    <definedName name="Анализ" localSheetId="5">#REF!</definedName>
    <definedName name="Анализ" localSheetId="4">#REF!</definedName>
    <definedName name="Анализ">#REF!</definedName>
    <definedName name="аналСеб">'[119]1пг02к03'!$B$2:$AC$73</definedName>
    <definedName name="анБ0203">'[119]02к03'!$B$75:$K$135</definedName>
    <definedName name="АнМ" localSheetId="2">'[120]Гр5(о)'!#REF!</definedName>
    <definedName name="АнМ" localSheetId="3">'[120]Гр5(о)'!#REF!</definedName>
    <definedName name="АнМ" localSheetId="12">'[120]Гр5(о)'!#REF!</definedName>
    <definedName name="АнМ" localSheetId="11">'[120]Гр5(о)'!#REF!</definedName>
    <definedName name="АнМ" localSheetId="8">'[120]Гр5(о)'!#REF!</definedName>
    <definedName name="АнМ" localSheetId="9">'[120]Гр5(о)'!#REF!</definedName>
    <definedName name="АнМ" localSheetId="10">'[120]Гр5(о)'!#REF!</definedName>
    <definedName name="АнМ" localSheetId="6">'[120]Гр5(о)'!#REF!</definedName>
    <definedName name="АнМ" localSheetId="5">'[120]Гр5(о)'!#REF!</definedName>
    <definedName name="АнМ" localSheetId="4">'[120]Гр5(о)'!#REF!</definedName>
    <definedName name="АнМ">'[120]Гр5(о)'!#REF!</definedName>
    <definedName name="анСеб0203">'[119]02к03'!$B$2:$AA$73</definedName>
    <definedName name="ап" localSheetId="15">#REF!</definedName>
    <definedName name="ап" localSheetId="12">#REF!</definedName>
    <definedName name="ап" localSheetId="11">#REF!</definedName>
    <definedName name="ап" localSheetId="8">#REF!</definedName>
    <definedName name="ап" localSheetId="9">#REF!</definedName>
    <definedName name="ап" localSheetId="10">#REF!</definedName>
    <definedName name="ап" localSheetId="6">#REF!</definedName>
    <definedName name="ап" localSheetId="5">#REF!</definedName>
    <definedName name="ап" localSheetId="4">#REF!</definedName>
    <definedName name="ап">#REF!</definedName>
    <definedName name="апооз" localSheetId="15">#REF!</definedName>
    <definedName name="апооз" localSheetId="12">#REF!</definedName>
    <definedName name="апооз" localSheetId="11">#REF!</definedName>
    <definedName name="апооз" localSheetId="8">#REF!</definedName>
    <definedName name="апооз" localSheetId="9">#REF!</definedName>
    <definedName name="апооз" localSheetId="10">#REF!</definedName>
    <definedName name="апооз">#REF!</definedName>
    <definedName name="апорплжлх" localSheetId="12">#REF!</definedName>
    <definedName name="апорплжлх" localSheetId="11">#REF!</definedName>
    <definedName name="апорплжлх" localSheetId="8">#REF!</definedName>
    <definedName name="апорплжлх" localSheetId="9">#REF!</definedName>
    <definedName name="апорплжлх" localSheetId="10">#REF!</definedName>
    <definedName name="апорплжлх">#REF!</definedName>
    <definedName name="апр" localSheetId="12">#REF!</definedName>
    <definedName name="апр" localSheetId="11">#REF!</definedName>
    <definedName name="апр" localSheetId="8">#REF!</definedName>
    <definedName name="апр" localSheetId="9">#REF!</definedName>
    <definedName name="апр" localSheetId="10">#REF!</definedName>
    <definedName name="апр">#REF!</definedName>
    <definedName name="апр2" localSheetId="12">#REF!</definedName>
    <definedName name="апр2" localSheetId="11">#REF!</definedName>
    <definedName name="апр2" localSheetId="8">#REF!</definedName>
    <definedName name="апр2" localSheetId="9">#REF!</definedName>
    <definedName name="апр2" localSheetId="10">#REF!</definedName>
    <definedName name="апр2">#REF!</definedName>
    <definedName name="апралоаорпло" localSheetId="12">#REF!</definedName>
    <definedName name="апралоаорпло" localSheetId="11">#REF!</definedName>
    <definedName name="апралоаорпло" localSheetId="8">#REF!</definedName>
    <definedName name="апралоаорпло" localSheetId="9">#REF!</definedName>
    <definedName name="апралоаорпло" localSheetId="10">#REF!</definedName>
    <definedName name="апралоаорпло">#REF!</definedName>
    <definedName name="апрель" localSheetId="12">#REF!</definedName>
    <definedName name="апрель" localSheetId="11">#REF!</definedName>
    <definedName name="апрель">#REF!</definedName>
    <definedName name="апрполлд" localSheetId="12">#REF!</definedName>
    <definedName name="апрполлд" localSheetId="11">#REF!</definedName>
    <definedName name="апрполлд" localSheetId="8">#REF!</definedName>
    <definedName name="апрполлд" localSheetId="9">#REF!</definedName>
    <definedName name="апрполлд" localSheetId="10">#REF!</definedName>
    <definedName name="апрполлд">#REF!</definedName>
    <definedName name="апршп" localSheetId="12">#REF!</definedName>
    <definedName name="апршп" localSheetId="11">#REF!</definedName>
    <definedName name="апршп" localSheetId="8">#REF!</definedName>
    <definedName name="апршп" localSheetId="9">#REF!</definedName>
    <definedName name="апршп" localSheetId="10">#REF!</definedName>
    <definedName name="апршп">#REF!</definedName>
    <definedName name="ара" localSheetId="12">#REF!</definedName>
    <definedName name="ара" localSheetId="11">#REF!</definedName>
    <definedName name="ара" localSheetId="8">#REF!</definedName>
    <definedName name="ара" localSheetId="9">#REF!</definedName>
    <definedName name="ара" localSheetId="10">#REF!</definedName>
    <definedName name="ара">#REF!</definedName>
    <definedName name="аре" localSheetId="12">#REF!</definedName>
    <definedName name="аре" localSheetId="11">#REF!</definedName>
    <definedName name="аре" localSheetId="8">#REF!</definedName>
    <definedName name="аре" localSheetId="9">#REF!</definedName>
    <definedName name="аре" localSheetId="10">#REF!</definedName>
    <definedName name="аре">#REF!</definedName>
    <definedName name="арпидлва">'[79]К-ты'!$D$9</definedName>
    <definedName name="АТП" localSheetId="15">#REF!</definedName>
    <definedName name="АТП" localSheetId="12">#REF!</definedName>
    <definedName name="АТП" localSheetId="11">#REF!</definedName>
    <definedName name="АТП" localSheetId="8">#REF!</definedName>
    <definedName name="АТП" localSheetId="9">#REF!</definedName>
    <definedName name="АТП" localSheetId="10">#REF!</definedName>
    <definedName name="АТП" localSheetId="6">#REF!</definedName>
    <definedName name="АТП" localSheetId="5">#REF!</definedName>
    <definedName name="АТП" localSheetId="4">#REF!</definedName>
    <definedName name="АТП">#REF!</definedName>
    <definedName name="аукапм" localSheetId="15">#REF!</definedName>
    <definedName name="аукапм" localSheetId="12">#REF!</definedName>
    <definedName name="аукапм" localSheetId="11">#REF!</definedName>
    <definedName name="аукапм" localSheetId="8">#REF!</definedName>
    <definedName name="аукапм" localSheetId="9">#REF!</definedName>
    <definedName name="аукапм" localSheetId="10">#REF!</definedName>
    <definedName name="аукапм">#REF!</definedName>
    <definedName name="аяыпамыпмипи" localSheetId="15">[7]!аяыпамыпмипи</definedName>
    <definedName name="аяыпамыпмипи" localSheetId="11">#N/A</definedName>
    <definedName name="аяыпамыпмипи" localSheetId="8">#N/A</definedName>
    <definedName name="аяыпамыпмипи" localSheetId="9">#N/A</definedName>
    <definedName name="аяыпамыпмипи" localSheetId="6">#N/A</definedName>
    <definedName name="аяыпамыпмипи" localSheetId="5">#N/A</definedName>
    <definedName name="аяыпамыпмипи" localSheetId="4">#N/A</definedName>
    <definedName name="аяыпамыпмипи">#N/A</definedName>
    <definedName name="Б" localSheetId="3">'[121]БСС-2'!#REF!</definedName>
    <definedName name="Б" localSheetId="12">'[121]БСС-2'!#REF!</definedName>
    <definedName name="Б" localSheetId="11">'[121]БСС-2'!#REF!</definedName>
    <definedName name="Б" localSheetId="6">'[121]БСС-2'!#REF!</definedName>
    <definedName name="Б" localSheetId="5">'[121]БСС-2'!#REF!</definedName>
    <definedName name="Б" localSheetId="4">'[121]БСС-2'!#REF!</definedName>
    <definedName name="Б">'[121]БСС-2'!#REF!</definedName>
    <definedName name="Б1">'[122]мар 2001'!$A$1:$Q$524</definedName>
    <definedName name="_xlnm.Database" localSheetId="15">#REF!</definedName>
    <definedName name="_xlnm.Database" localSheetId="12">#REF!</definedName>
    <definedName name="_xlnm.Database" localSheetId="11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>#REF!</definedName>
    <definedName name="База_данных_1">'[123]мар 2001'!$A$1:$P$524</definedName>
    <definedName name="Баланс" localSheetId="2">#REF!</definedName>
    <definedName name="Баланс" localSheetId="3">#REF!</definedName>
    <definedName name="Баланс" localSheetId="12">#REF!</definedName>
    <definedName name="Баланс" localSheetId="11">#REF!</definedName>
    <definedName name="Баланс" localSheetId="6">#REF!</definedName>
    <definedName name="Баланс" localSheetId="5">#REF!</definedName>
    <definedName name="Баланс" localSheetId="4">#REF!</definedName>
    <definedName name="Баланс">#REF!</definedName>
    <definedName name="Балимела" localSheetId="15" hidden="1">{"PRINTME",#N/A,FALSE,"FINAL-10"}</definedName>
    <definedName name="Балимела" localSheetId="2" hidden="1">{"PRINTME",#N/A,FALSE,"FINAL-10"}</definedName>
    <definedName name="Балимела" localSheetId="3" hidden="1">{"PRINTME",#N/A,FALSE,"FINAL-10"}</definedName>
    <definedName name="Балимела" localSheetId="7" hidden="1">{"PRINTME",#N/A,FALSE,"FINAL-10"}</definedName>
    <definedName name="Балимела" localSheetId="11" hidden="1">{"PRINTME",#N/A,FALSE,"FINAL-10"}</definedName>
    <definedName name="Балимела" localSheetId="8" hidden="1">{"PRINTME",#N/A,FALSE,"FINAL-10"}</definedName>
    <definedName name="Балимела" localSheetId="9" hidden="1">{"PRINTME",#N/A,FALSE,"FINAL-10"}</definedName>
    <definedName name="Балимела" localSheetId="10" hidden="1">{"PRINTME",#N/A,FALSE,"FINAL-10"}</definedName>
    <definedName name="Балимела" localSheetId="6" hidden="1">{"PRINTME",#N/A,FALSE,"FINAL-10"}</definedName>
    <definedName name="Балимела" localSheetId="5" hidden="1">{"PRINTME",#N/A,FALSE,"FINAL-10"}</definedName>
    <definedName name="Балимела" localSheetId="4" hidden="1">{"PRINTME",#N/A,FALSE,"FINAL-10"}</definedName>
    <definedName name="Балимела" hidden="1">{"PRINTME",#N/A,FALSE,"FINAL-10"}</definedName>
    <definedName name="бб" localSheetId="15">[7]!бб</definedName>
    <definedName name="бб" localSheetId="11">#N/A</definedName>
    <definedName name="бб" localSheetId="8">#N/A</definedName>
    <definedName name="бб" localSheetId="9">#N/A</definedName>
    <definedName name="бб" localSheetId="6">#N/A</definedName>
    <definedName name="бб" localSheetId="5">#N/A</definedName>
    <definedName name="бб" localSheetId="4">#N/A</definedName>
    <definedName name="бб">#N/A</definedName>
    <definedName name="БДР_3" localSheetId="3">[124]БДР!#REF!</definedName>
    <definedName name="БДР_3" localSheetId="12">[124]БДР!#REF!</definedName>
    <definedName name="БДР_3" localSheetId="11">[124]БДР!#REF!</definedName>
    <definedName name="БДР_3" localSheetId="6">[124]БДР!#REF!</definedName>
    <definedName name="БДР_3" localSheetId="5">[124]БДР!#REF!</definedName>
    <definedName name="БДР_3" localSheetId="4">[124]БДР!#REF!</definedName>
    <definedName name="БДР_3">[124]БДР!#REF!</definedName>
    <definedName name="БДР_4" localSheetId="12">[124]БДР!#REF!</definedName>
    <definedName name="БДР_4" localSheetId="11">[124]БДР!#REF!</definedName>
    <definedName name="БДР_4" localSheetId="6">[124]БДР!#REF!</definedName>
    <definedName name="БДР_4" localSheetId="5">[124]БДР!#REF!</definedName>
    <definedName name="БДР_4" localSheetId="4">[124]БДР!#REF!</definedName>
    <definedName name="БДР_4">[124]БДР!#REF!</definedName>
    <definedName name="БДР_5" localSheetId="12">[124]БДР!#REF!</definedName>
    <definedName name="БДР_5" localSheetId="11">[124]БДР!#REF!</definedName>
    <definedName name="БДР_5" localSheetId="6">[124]БДР!#REF!</definedName>
    <definedName name="БДР_5" localSheetId="5">[124]БДР!#REF!</definedName>
    <definedName name="БДР_5" localSheetId="4">[124]БДР!#REF!</definedName>
    <definedName name="БДР_5">[124]БДР!#REF!</definedName>
    <definedName name="БДР_6" localSheetId="12">[124]БДР!#REF!</definedName>
    <definedName name="БДР_6" localSheetId="11">[124]БДР!#REF!</definedName>
    <definedName name="БДР_6">[124]БДР!#REF!</definedName>
    <definedName name="Бищкек02" localSheetId="15">#REF!</definedName>
    <definedName name="Бищкек02" localSheetId="12">#REF!</definedName>
    <definedName name="Бищкек02" localSheetId="11">#REF!</definedName>
    <definedName name="Бищкек02" localSheetId="8">#REF!</definedName>
    <definedName name="Бищкек02" localSheetId="9">#REF!</definedName>
    <definedName name="Бищкек02" localSheetId="10">#REF!</definedName>
    <definedName name="Бищкек02" localSheetId="6">#REF!</definedName>
    <definedName name="Бищкек02" localSheetId="5">#REF!</definedName>
    <definedName name="Бищкек02" localSheetId="4">#REF!</definedName>
    <definedName name="Бищкек02">#REF!</definedName>
    <definedName name="БК" localSheetId="12">#REF!</definedName>
    <definedName name="БК" localSheetId="11">#REF!</definedName>
    <definedName name="БК">#REF!</definedName>
    <definedName name="БОТ_1" localSheetId="12">#REF!</definedName>
    <definedName name="БОТ_1" localSheetId="11">#REF!</definedName>
    <definedName name="БОТ_1">#REF!</definedName>
    <definedName name="БОТ_3" localSheetId="12">#REF!</definedName>
    <definedName name="БОТ_3" localSheetId="11">#REF!</definedName>
    <definedName name="БОТ_3">#REF!</definedName>
    <definedName name="БР" localSheetId="12">#REF!</definedName>
    <definedName name="БР" localSheetId="11">#REF!</definedName>
    <definedName name="БР">#REF!</definedName>
    <definedName name="БРМ_2" localSheetId="12">#REF!</definedName>
    <definedName name="БРМ_2" localSheetId="11">#REF!</definedName>
    <definedName name="БРМ_2">#REF!</definedName>
    <definedName name="БСС_2" localSheetId="12">'[124]БСС-2'!#REF!</definedName>
    <definedName name="БСС_2" localSheetId="11">'[124]БСС-2'!#REF!</definedName>
    <definedName name="БСС_2">'[124]БСС-2'!#REF!</definedName>
    <definedName name="БСС_5" localSheetId="12">'[124]БСС-2'!#REF!</definedName>
    <definedName name="БСС_5" localSheetId="11">'[124]БСС-2'!#REF!</definedName>
    <definedName name="БСС_5">'[124]БСС-2'!#REF!</definedName>
    <definedName name="БЦГ" localSheetId="15">#REF!</definedName>
    <definedName name="БЦГ" localSheetId="12">#REF!</definedName>
    <definedName name="БЦГ" localSheetId="11">#REF!</definedName>
    <definedName name="БЦГ" localSheetId="8">#REF!</definedName>
    <definedName name="БЦГ" localSheetId="9">#REF!</definedName>
    <definedName name="БЦГ" localSheetId="10">#REF!</definedName>
    <definedName name="БЦГ" localSheetId="6">#REF!</definedName>
    <definedName name="БЦГ" localSheetId="5">#REF!</definedName>
    <definedName name="БЦГ" localSheetId="4">#REF!</definedName>
    <definedName name="БЦГ">#REF!</definedName>
    <definedName name="в" localSheetId="15">#REF!</definedName>
    <definedName name="в" localSheetId="12">#REF!</definedName>
    <definedName name="в" localSheetId="11">#REF!</definedName>
    <definedName name="в" localSheetId="8">#REF!</definedName>
    <definedName name="в" localSheetId="9">#REF!</definedName>
    <definedName name="в" localSheetId="10">#REF!</definedName>
    <definedName name="в">#REF!</definedName>
    <definedName name="в23ё" localSheetId="15">[7]!в23ё</definedName>
    <definedName name="в23ё" localSheetId="11">#N/A</definedName>
    <definedName name="в23ё" localSheetId="8">#N/A</definedName>
    <definedName name="в23ё" localSheetId="9">#N/A</definedName>
    <definedName name="в23ё" localSheetId="6">#N/A</definedName>
    <definedName name="в23ё" localSheetId="5">#N/A</definedName>
    <definedName name="в23ё" localSheetId="4">#N/A</definedName>
    <definedName name="в23ё">#N/A</definedName>
    <definedName name="ва" localSheetId="15" hidden="1">#REF!,#REF!,#REF!,амортизация!P1_SCOPE_PER_PRT,амортизация!P2_SCOPE_PER_PRT,амортизация!P3_SCOPE_PER_PRT,амортизация!P4_SCOPE_PER_PRT</definedName>
    <definedName name="ва" localSheetId="2" hidden="1">#REF!,#REF!,#REF!,P1_SCOPE_PER_PRT,P2_SCOPE_PER_PRT,P3_SCOPE_PER_PRT,P4_SCOPE_PER_PRT</definedName>
    <definedName name="ва" localSheetId="3" hidden="1">#REF!,#REF!,#REF!,P1_SCOPE_PER_PRT,P2_SCOPE_PER_PRT,P3_SCOPE_PER_PRT,P4_SCOPE_PER_PRT</definedName>
    <definedName name="ва" localSheetId="12" hidden="1">#REF!,#REF!,#REF!,'переменные на 5 лет'!P1_SCOPE_PER_PRT,'переменные на 5 лет'!P2_SCOPE_PER_PRT,'переменные на 5 лет'!P3_SCOPE_PER_PRT,'переменные на 5 лет'!P4_SCOPE_PER_PRT</definedName>
    <definedName name="ва" localSheetId="7" hidden="1">#REF!,#REF!,#REF!,подконтрольные!P1_SCOPE_PER_PRT,подконтрольные!P2_SCOPE_PER_PRT,подконтрольные!P3_SCOPE_PER_PRT,подконтрольные!P4_SCOPE_PER_PRT</definedName>
    <definedName name="ва" localSheetId="11" hidden="1">#REF!,#REF!,#REF!,'Прил 6 к расп'!P1_SCOPE_PER_PRT,'Прил 6 к расп'!P2_SCOPE_PER_PRT,'Прил 6 к расп'!P3_SCOPE_PER_PRT,'Прил 6 к расп'!P4_SCOPE_PER_PRT</definedName>
    <definedName name="ва" localSheetId="8" hidden="1">#REF!,#REF!,#REF!,Прил2!P1_SCOPE_PER_PRT,Прил2!P2_SCOPE_PER_PRT,Прил2!P3_SCOPE_PER_PRT,Прил2!P4_SCOPE_PER_PRT</definedName>
    <definedName name="ва" localSheetId="9" hidden="1">#REF!,#REF!,#REF!,Прил3!P1_SCOPE_PER_PRT,Прил3!P2_SCOPE_PER_PRT,Прил3!P3_SCOPE_PER_PRT,Прил3!P4_SCOPE_PER_PRT</definedName>
    <definedName name="ва" localSheetId="10" hidden="1">#REF!,#REF!,#REF!,Прил4!P1_SCOPE_PER_PRT,Прил4!P2_SCOPE_PER_PRT,Прил4!P3_SCOPE_PER_PRT,Прил4!P4_SCOPE_PER_PRT</definedName>
    <definedName name="ва" localSheetId="6" hidden="1">#REF!,#REF!,#REF!,Тарифы!P1_SCOPE_PER_PRT,Тарифы!P2_SCOPE_PER_PRT,Тарифы!P3_SCOPE_PER_PRT,Тарифы!P4_SCOPE_PER_PRT</definedName>
    <definedName name="ва" localSheetId="5" hidden="1">#REF!,#REF!,#REF!,'Тарифы (2)'!P1_SCOPE_PER_PRT,'Тарифы (2)'!P2_SCOPE_PER_PRT,'Тарифы (2)'!P3_SCOPE_PER_PRT,'Тарифы (2)'!P4_SCOPE_PER_PRT</definedName>
    <definedName name="ва" localSheetId="4" hidden="1">#REF!,#REF!,#REF!,'Тарифы (3)'!P1_SCOPE_PER_PRT,'Тарифы (3)'!P2_SCOPE_PER_PRT,'Тарифы (3)'!P3_SCOPE_PER_PRT,'Тарифы (3)'!P4_SCOPE_PER_PRT</definedName>
    <definedName name="ва" hidden="1">#REF!,#REF!,#REF!,P1_SCOPE_PER_PRT,P2_SCOPE_PER_PRT,P3_SCOPE_PER_PRT,P4_SCOPE_PER_PRT</definedName>
    <definedName name="Валюта" localSheetId="15">#REF!</definedName>
    <definedName name="Валюта" localSheetId="12">#REF!</definedName>
    <definedName name="Валюта" localSheetId="11">#REF!</definedName>
    <definedName name="Валюта" localSheetId="8">#REF!</definedName>
    <definedName name="Валюта" localSheetId="9">#REF!</definedName>
    <definedName name="Валюта" localSheetId="10">#REF!</definedName>
    <definedName name="Валюта" localSheetId="6">#REF!</definedName>
    <definedName name="Валюта" localSheetId="5">#REF!</definedName>
    <definedName name="Валюта" localSheetId="4">#REF!</definedName>
    <definedName name="Валюта">#REF!</definedName>
    <definedName name="ванмшилдьтджьл" localSheetId="15">#REF!</definedName>
    <definedName name="ванмшилдьтджьл" localSheetId="12">#REF!</definedName>
    <definedName name="ванмшилдьтджьл" localSheetId="11">#REF!</definedName>
    <definedName name="ванмшилдьтджьл" localSheetId="8">#REF!</definedName>
    <definedName name="ванмшилдьтджьл" localSheetId="9">#REF!</definedName>
    <definedName name="ванмшилдьтджьл" localSheetId="10">#REF!</definedName>
    <definedName name="ванмшилдьтджьл">#REF!</definedName>
    <definedName name="вапва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15">#REF!</definedName>
    <definedName name="вау" localSheetId="12">#REF!</definedName>
    <definedName name="вау" localSheetId="11">#REF!</definedName>
    <definedName name="вау" localSheetId="8">#REF!</definedName>
    <definedName name="вау" localSheetId="9">#REF!</definedName>
    <definedName name="вау" localSheetId="10">#REF!</definedName>
    <definedName name="вау" localSheetId="6">#REF!</definedName>
    <definedName name="вау" localSheetId="5">#REF!</definedName>
    <definedName name="вау" localSheetId="4">#REF!</definedName>
    <definedName name="вау">#REF!</definedName>
    <definedName name="вв" localSheetId="15">[7]!вв</definedName>
    <definedName name="вв" localSheetId="11">#N/A</definedName>
    <definedName name="вв" localSheetId="8">#N/A</definedName>
    <definedName name="вв" localSheetId="9">#N/A</definedName>
    <definedName name="вв" localSheetId="6">#N/A</definedName>
    <definedName name="вв" localSheetId="5">#N/A</definedName>
    <definedName name="вв" localSheetId="4">#N/A</definedName>
    <definedName name="вв">#N/A</definedName>
    <definedName name="ввод_итог" localSheetId="15">#REF!</definedName>
    <definedName name="ввод_итог" localSheetId="12">#REF!</definedName>
    <definedName name="ввод_итог" localSheetId="11">#REF!</definedName>
    <definedName name="ввод_итог" localSheetId="8">#REF!</definedName>
    <definedName name="ввод_итог" localSheetId="9">#REF!</definedName>
    <definedName name="ввод_итог" localSheetId="10">#REF!</definedName>
    <definedName name="ввод_итог" localSheetId="6">#REF!</definedName>
    <definedName name="ввод_итог" localSheetId="5">#REF!</definedName>
    <definedName name="ввод_итог" localSheetId="4">#REF!</definedName>
    <definedName name="ввод_итог">#REF!</definedName>
    <definedName name="веапку" localSheetId="15">#REF!</definedName>
    <definedName name="веапку" localSheetId="12">#REF!</definedName>
    <definedName name="веапку" localSheetId="11">#REF!</definedName>
    <definedName name="веапку" localSheetId="8">#REF!</definedName>
    <definedName name="веапку" localSheetId="9">#REF!</definedName>
    <definedName name="веапку" localSheetId="10">#REF!</definedName>
    <definedName name="веапку">#REF!</definedName>
    <definedName name="век" localSheetId="15">#REF!</definedName>
    <definedName name="век" localSheetId="12">#REF!</definedName>
    <definedName name="век" localSheetId="11">#REF!</definedName>
    <definedName name="век" localSheetId="8">#REF!</definedName>
    <definedName name="век" localSheetId="9">#REF!</definedName>
    <definedName name="век" localSheetId="10">#REF!</definedName>
    <definedName name="век">#REF!</definedName>
    <definedName name="видсс" localSheetId="15" hidden="1">{#N/A,#N/A,FALSE,"Себестоимсть-97"}</definedName>
    <definedName name="видсс" localSheetId="2" hidden="1">{#N/A,#N/A,FALSE,"Себестоимсть-97"}</definedName>
    <definedName name="видсс" localSheetId="3" hidden="1">{#N/A,#N/A,FALSE,"Себестоимсть-97"}</definedName>
    <definedName name="видсс" localSheetId="11" hidden="1">{#N/A,#N/A,FALSE,"Себестоимсть-97"}</definedName>
    <definedName name="видсс" localSheetId="8" hidden="1">{#N/A,#N/A,FALSE,"Себестоимсть-97"}</definedName>
    <definedName name="видсс" localSheetId="9" hidden="1">{#N/A,#N/A,FALSE,"Себестоимсть-97"}</definedName>
    <definedName name="видсс" localSheetId="10" hidden="1">{#N/A,#N/A,FALSE,"Себестоимсть-97"}</definedName>
    <definedName name="видсс" localSheetId="6" hidden="1">{#N/A,#N/A,FALSE,"Себестоимсть-97"}</definedName>
    <definedName name="видсс" localSheetId="5" hidden="1">{#N/A,#N/A,FALSE,"Себестоимсть-97"}</definedName>
    <definedName name="видсс" localSheetId="4" hidden="1">{#N/A,#N/A,FALSE,"Себестоимсть-97"}</definedName>
    <definedName name="видсс" hidden="1">{#N/A,#N/A,FALSE,"Себестоимсть-97"}</definedName>
    <definedName name="видсс1" localSheetId="15" hidden="1">{#N/A,#N/A,FALSE,"Себестоимсть-97"}</definedName>
    <definedName name="видсс1" localSheetId="2" hidden="1">{#N/A,#N/A,FALSE,"Себестоимсть-97"}</definedName>
    <definedName name="видсс1" localSheetId="3" hidden="1">{#N/A,#N/A,FALSE,"Себестоимсть-97"}</definedName>
    <definedName name="видсс1" localSheetId="11" hidden="1">{#N/A,#N/A,FALSE,"Себестоимсть-97"}</definedName>
    <definedName name="видсс1" localSheetId="8" hidden="1">{#N/A,#N/A,FALSE,"Себестоимсть-97"}</definedName>
    <definedName name="видсс1" localSheetId="9" hidden="1">{#N/A,#N/A,FALSE,"Себестоимсть-97"}</definedName>
    <definedName name="видсс1" localSheetId="10" hidden="1">{#N/A,#N/A,FALSE,"Себестоимсть-97"}</definedName>
    <definedName name="видсс1" localSheetId="6" hidden="1">{#N/A,#N/A,FALSE,"Себестоимсть-97"}</definedName>
    <definedName name="видсс1" localSheetId="5" hidden="1">{#N/A,#N/A,FALSE,"Себестоимсть-97"}</definedName>
    <definedName name="видсс1" localSheetId="4" hidden="1">{#N/A,#N/A,FALSE,"Себестоимсть-97"}</definedName>
    <definedName name="видсс1" hidden="1">{#N/A,#N/A,FALSE,"Себестоимсть-97"}</definedName>
    <definedName name="витт" localSheetId="15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localSheetId="7" hidden="1">{#N/A,#N/A,TRUE,"Лист1";#N/A,#N/A,TRUE,"Лист2";#N/A,#N/A,TRUE,"Лист3"}</definedName>
    <definedName name="витт" localSheetId="11" hidden="1">{#N/A,#N/A,TRUE,"Лист1";#N/A,#N/A,TRUE,"Лист2";#N/A,#N/A,TRUE,"Лист3"}</definedName>
    <definedName name="витт" localSheetId="8" hidden="1">{#N/A,#N/A,TRUE,"Лист1";#N/A,#N/A,TRUE,"Лист2";#N/A,#N/A,TRUE,"Лист3"}</definedName>
    <definedName name="витт" localSheetId="9" hidden="1">{#N/A,#N/A,TRUE,"Лист1";#N/A,#N/A,TRUE,"Лист2";#N/A,#N/A,TRUE,"Лист3"}</definedName>
    <definedName name="витт" localSheetId="10" hidden="1">{#N/A,#N/A,TRUE,"Лист1";#N/A,#N/A,TRUE,"Лист2";#N/A,#N/A,TRUE,"Лист3"}</definedName>
    <definedName name="витт" localSheetId="6" hidden="1">{#N/A,#N/A,TRUE,"Лист1";#N/A,#N/A,TRUE,"Лист2";#N/A,#N/A,TRUE,"Лист3"}</definedName>
    <definedName name="витт" localSheetId="5" hidden="1">{#N/A,#N/A,TRUE,"Лист1";#N/A,#N/A,TRUE,"Лист2";#N/A,#N/A,TRUE,"Лист3"}</definedName>
    <definedName name="витт" localSheetId="4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15">#REF!</definedName>
    <definedName name="вйу" localSheetId="12">#REF!</definedName>
    <definedName name="вйу" localSheetId="11">#REF!</definedName>
    <definedName name="вйу" localSheetId="8">#REF!</definedName>
    <definedName name="вйу" localSheetId="9">#REF!</definedName>
    <definedName name="вйу" localSheetId="10">#REF!</definedName>
    <definedName name="вйу" localSheetId="6">#REF!</definedName>
    <definedName name="вйу" localSheetId="5">#REF!</definedName>
    <definedName name="вйу" localSheetId="4">#REF!</definedName>
    <definedName name="вйу">#REF!</definedName>
    <definedName name="в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 localSheetId="12">[125]БДР!#REF!</definedName>
    <definedName name="влд" localSheetId="11">[125]БДР!#REF!</definedName>
    <definedName name="влд">[125]БДР!#REF!</definedName>
    <definedName name="вм" localSheetId="15">[7]!вм</definedName>
    <definedName name="вм" localSheetId="11">#N/A</definedName>
    <definedName name="вм" localSheetId="8">#N/A</definedName>
    <definedName name="вм" localSheetId="9">#N/A</definedName>
    <definedName name="вм" localSheetId="6">#N/A</definedName>
    <definedName name="вм" localSheetId="5">#N/A</definedName>
    <definedName name="вм" localSheetId="4">#N/A</definedName>
    <definedName name="вм">#N/A</definedName>
    <definedName name="вмивртвр" localSheetId="15">[7]!вмивртвр</definedName>
    <definedName name="вмивртвр" localSheetId="11">#N/A</definedName>
    <definedName name="вмивртвр" localSheetId="8">#N/A</definedName>
    <definedName name="вмивртвр" localSheetId="9">#N/A</definedName>
    <definedName name="вмивртвр" localSheetId="6">#N/A</definedName>
    <definedName name="вмивртвр" localSheetId="5">#N/A</definedName>
    <definedName name="вмивртвр" localSheetId="4">#N/A</definedName>
    <definedName name="вмивртвр">#N/A</definedName>
    <definedName name="внереал_произв_08">[126]ДОП!$F$59</definedName>
    <definedName name="Возврат" localSheetId="12">[127]!Возврат</definedName>
    <definedName name="Возврат" localSheetId="11">[127]!Возврат</definedName>
    <definedName name="Возврат" localSheetId="10">[127]!Возврат</definedName>
    <definedName name="Возврат">[127]!Возврат</definedName>
    <definedName name="восемь" localSheetId="15">#REF!</definedName>
    <definedName name="восемь" localSheetId="12">#REF!</definedName>
    <definedName name="восемь" localSheetId="11">#REF!</definedName>
    <definedName name="восемь" localSheetId="8">#REF!</definedName>
    <definedName name="восемь" localSheetId="9">#REF!</definedName>
    <definedName name="восемь" localSheetId="10">#REF!</definedName>
    <definedName name="восемь" localSheetId="6">#REF!</definedName>
    <definedName name="восемь" localSheetId="5">#REF!</definedName>
    <definedName name="восемь" localSheetId="4">#REF!</definedName>
    <definedName name="восемь">#REF!</definedName>
    <definedName name="впер" localSheetId="15">#REF!</definedName>
    <definedName name="впер" localSheetId="12">#REF!</definedName>
    <definedName name="впер" localSheetId="11">#REF!</definedName>
    <definedName name="впер" localSheetId="8">#REF!</definedName>
    <definedName name="впер" localSheetId="9">#REF!</definedName>
    <definedName name="впер" localSheetId="10">#REF!</definedName>
    <definedName name="впер">#REF!</definedName>
    <definedName name="впке" localSheetId="15">#REF!</definedName>
    <definedName name="впке" localSheetId="12">#REF!</definedName>
    <definedName name="впке" localSheetId="11">#REF!</definedName>
    <definedName name="впке" localSheetId="8">#REF!</definedName>
    <definedName name="впке" localSheetId="9">#REF!</definedName>
    <definedName name="впке" localSheetId="10">#REF!</definedName>
    <definedName name="впке">#REF!</definedName>
    <definedName name="впрпроро" localSheetId="12">#REF!</definedName>
    <definedName name="впрпроро" localSheetId="11">#REF!</definedName>
    <definedName name="впрпроро" localSheetId="8">#REF!</definedName>
    <definedName name="впрпроро" localSheetId="9">#REF!</definedName>
    <definedName name="впрпроро" localSheetId="10">#REF!</definedName>
    <definedName name="впрпроро">#REF!</definedName>
    <definedName name="вртт" localSheetId="15">[7]!вртт</definedName>
    <definedName name="вртт" localSheetId="11">#N/A</definedName>
    <definedName name="вртт" localSheetId="8">#N/A</definedName>
    <definedName name="вртт" localSheetId="9">#N/A</definedName>
    <definedName name="вртт" localSheetId="6">#N/A</definedName>
    <definedName name="вртт" localSheetId="5">#N/A</definedName>
    <definedName name="вртт" localSheetId="4">#N/A</definedName>
    <definedName name="вртт">#N/A</definedName>
    <definedName name="Все_продукты" localSheetId="15">#REF!</definedName>
    <definedName name="Все_продукты" localSheetId="12">#REF!</definedName>
    <definedName name="Все_продукты" localSheetId="11">#REF!</definedName>
    <definedName name="Все_продукты" localSheetId="8">#REF!</definedName>
    <definedName name="Все_продукты" localSheetId="9">#REF!</definedName>
    <definedName name="Все_продукты" localSheetId="10">#REF!</definedName>
    <definedName name="Все_продукты" localSheetId="6">#REF!</definedName>
    <definedName name="Все_продукты" localSheetId="5">#REF!</definedName>
    <definedName name="Все_продукты" localSheetId="4">#REF!</definedName>
    <definedName name="Все_продукты">#REF!</definedName>
    <definedName name="второй" localSheetId="15">#REF!</definedName>
    <definedName name="второй" localSheetId="12">#REF!</definedName>
    <definedName name="второй" localSheetId="11">#REF!</definedName>
    <definedName name="второй" localSheetId="8">#REF!</definedName>
    <definedName name="второй" localSheetId="9">#REF!</definedName>
    <definedName name="второй" localSheetId="10">#REF!</definedName>
    <definedName name="второй">#REF!</definedName>
    <definedName name="вукука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15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localSheetId="11" hidden="1">{#N/A,#N/A,TRUE,"Лист1";#N/A,#N/A,TRUE,"Лист2";#N/A,#N/A,TRUE,"Лист3"}</definedName>
    <definedName name="вуув" localSheetId="8" hidden="1">{#N/A,#N/A,TRUE,"Лист1";#N/A,#N/A,TRUE,"Лист2";#N/A,#N/A,TRUE,"Лист3"}</definedName>
    <definedName name="вуув" localSheetId="9" hidden="1">{#N/A,#N/A,TRUE,"Лист1";#N/A,#N/A,TRUE,"Лист2";#N/A,#N/A,TRUE,"Лист3"}</definedName>
    <definedName name="вуув" localSheetId="10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3">'[104]Текущие цены'!#REF!</definedName>
    <definedName name="Вып_н_2003" localSheetId="12">'[105]Текущие цены'!#REF!</definedName>
    <definedName name="Вып_н_2003" localSheetId="11">'[105]Текущие цены'!#REF!</definedName>
    <definedName name="Вып_н_2003" localSheetId="10">'[105]Текущие цены'!#REF!</definedName>
    <definedName name="Вып_н_2003" localSheetId="6">'[105]Текущие цены'!#REF!</definedName>
    <definedName name="Вып_н_2003" localSheetId="5">'[105]Текущие цены'!#REF!</definedName>
    <definedName name="Вып_н_2003" localSheetId="4">'[104]Текущие цены'!#REF!</definedName>
    <definedName name="Вып_н_2003">'[105]Текущие цены'!#REF!</definedName>
    <definedName name="вып_н_2004" localSheetId="3">'[104]Текущие цены'!#REF!</definedName>
    <definedName name="вып_н_2004" localSheetId="12">'[105]Текущие цены'!#REF!</definedName>
    <definedName name="вып_н_2004" localSheetId="11">'[105]Текущие цены'!#REF!</definedName>
    <definedName name="вып_н_2004" localSheetId="10">'[105]Текущие цены'!#REF!</definedName>
    <definedName name="вып_н_2004" localSheetId="6">'[105]Текущие цены'!#REF!</definedName>
    <definedName name="вып_н_2004" localSheetId="5">'[105]Текущие цены'!#REF!</definedName>
    <definedName name="вып_н_2004" localSheetId="4">'[104]Текущие цены'!#REF!</definedName>
    <definedName name="вып_н_2004">'[105]Текущие цены'!#REF!</definedName>
    <definedName name="Вып_ОФ_с_пц" localSheetId="3">[104]рабочий!$Y$202:$AP$224</definedName>
    <definedName name="Вып_ОФ_с_пц" localSheetId="6">[105]рабочий!$Y$202:$AP$224</definedName>
    <definedName name="Вып_ОФ_с_пц" localSheetId="5">[105]рабочий!$Y$202:$AP$224</definedName>
    <definedName name="Вып_ОФ_с_пц" localSheetId="4">[104]рабочий!$Y$202:$AP$224</definedName>
    <definedName name="Вып_ОФ_с_пц">[105]рабочий!$Y$202:$AP$224</definedName>
    <definedName name="Вып_оф_с_цпг" localSheetId="2">'[105]Текущие цены'!#REF!</definedName>
    <definedName name="Вып_оф_с_цпг" localSheetId="3">'[104]Текущие цены'!#REF!</definedName>
    <definedName name="Вып_оф_с_цпг" localSheetId="12">'[105]Текущие цены'!#REF!</definedName>
    <definedName name="Вып_оф_с_цпг" localSheetId="11">'[105]Текущие цены'!#REF!</definedName>
    <definedName name="Вып_оф_с_цпг" localSheetId="8">'[105]Текущие цены'!#REF!</definedName>
    <definedName name="Вып_оф_с_цпг" localSheetId="9">'[105]Текущие цены'!#REF!</definedName>
    <definedName name="Вып_оф_с_цпг" localSheetId="10">'[105]Текущие цены'!#REF!</definedName>
    <definedName name="Вып_оф_с_цпг" localSheetId="6">'[105]Текущие цены'!#REF!</definedName>
    <definedName name="Вып_оф_с_цпг" localSheetId="5">'[105]Текущие цены'!#REF!</definedName>
    <definedName name="Вып_оф_с_цпг" localSheetId="4">'[104]Текущие цены'!#REF!</definedName>
    <definedName name="Вып_оф_с_цпг">'[105]Текущие цены'!#REF!</definedName>
    <definedName name="Вып_с_новых_ОФ" localSheetId="3">[104]рабочий!$Y$277:$AP$299</definedName>
    <definedName name="Вып_с_новых_ОФ" localSheetId="6">[105]рабочий!$Y$277:$AP$299</definedName>
    <definedName name="Вып_с_новых_ОФ" localSheetId="5">[105]рабочий!$Y$277:$AP$299</definedName>
    <definedName name="Вып_с_новых_ОФ" localSheetId="4">[104]рабочий!$Y$277:$AP$299</definedName>
    <definedName name="Вып_с_новых_ОФ">[105]рабочий!$Y$277:$AP$299</definedName>
    <definedName name="выр_3" localSheetId="15">#REF!</definedName>
    <definedName name="выр_3" localSheetId="12">#REF!</definedName>
    <definedName name="выр_3" localSheetId="11">#REF!</definedName>
    <definedName name="выр_3" localSheetId="8">#REF!</definedName>
    <definedName name="выр_3" localSheetId="9">#REF!</definedName>
    <definedName name="выр_3" localSheetId="10">#REF!</definedName>
    <definedName name="выр_3" localSheetId="6">#REF!</definedName>
    <definedName name="выр_3" localSheetId="5">#REF!</definedName>
    <definedName name="выр_3" localSheetId="4">#REF!</definedName>
    <definedName name="выр_3">#REF!</definedName>
    <definedName name="выр_4" localSheetId="15">#REF!</definedName>
    <definedName name="выр_4" localSheetId="12">#REF!</definedName>
    <definedName name="выр_4" localSheetId="11">#REF!</definedName>
    <definedName name="выр_4" localSheetId="8">#REF!</definedName>
    <definedName name="выр_4" localSheetId="9">#REF!</definedName>
    <definedName name="выр_4" localSheetId="10">#REF!</definedName>
    <definedName name="выр_4">#REF!</definedName>
    <definedName name="Выручка_Молоко" localSheetId="15">#REF!,#REF!,#REF!,#REF!,#REF!,#REF!,#REF!,#REF!,#REF!,#REF!</definedName>
    <definedName name="Выручка_Молоко" localSheetId="12">#REF!,#REF!,#REF!,#REF!,#REF!,#REF!,#REF!,#REF!,#REF!,#REF!</definedName>
    <definedName name="Выручка_Молоко" localSheetId="11">#REF!,#REF!,#REF!,#REF!,#REF!,#REF!,#REF!,#REF!,#REF!,#REF!</definedName>
    <definedName name="Выручка_Молоко" localSheetId="8">#REF!,#REF!,#REF!,#REF!,#REF!,#REF!,#REF!,#REF!,#REF!,#REF!</definedName>
    <definedName name="Выручка_Молоко" localSheetId="9">#REF!,#REF!,#REF!,#REF!,#REF!,#REF!,#REF!,#REF!,#REF!,#REF!</definedName>
    <definedName name="Выручка_Молоко" localSheetId="10">#REF!,#REF!,#REF!,#REF!,#REF!,#REF!,#REF!,#REF!,#REF!,#REF!</definedName>
    <definedName name="Выручка_Молоко" localSheetId="6">#REF!,#REF!,#REF!,#REF!,#REF!,#REF!,#REF!,#REF!,#REF!,#REF!</definedName>
    <definedName name="Выручка_Молоко" localSheetId="5">#REF!,#REF!,#REF!,#REF!,#REF!,#REF!,#REF!,#REF!,#REF!,#REF!</definedName>
    <definedName name="Выручка_Молоко" localSheetId="4">#REF!,#REF!,#REF!,#REF!,#REF!,#REF!,#REF!,#REF!,#REF!,#REF!</definedName>
    <definedName name="Выручка_Молоко">#REF!,#REF!,#REF!,#REF!,#REF!,#REF!,#REF!,#REF!,#REF!,#REF!</definedName>
    <definedName name="Выручка_нетто_Молоко" localSheetId="15">#REF!,#REF!,#REF!,#REF!,#REF!,#REF!,#REF!,#REF!,#REF!,#REF!</definedName>
    <definedName name="Выручка_нетто_Молоко" localSheetId="12">#REF!,#REF!,#REF!,#REF!,#REF!,#REF!,#REF!,#REF!,#REF!,#REF!</definedName>
    <definedName name="Выручка_нетто_Молоко" localSheetId="11">#REF!,#REF!,#REF!,#REF!,#REF!,#REF!,#REF!,#REF!,#REF!,#REF!</definedName>
    <definedName name="Выручка_нетто_Молоко" localSheetId="8">#REF!,#REF!,#REF!,#REF!,#REF!,#REF!,#REF!,#REF!,#REF!,#REF!</definedName>
    <definedName name="Выручка_нетто_Молоко" localSheetId="9">#REF!,#REF!,#REF!,#REF!,#REF!,#REF!,#REF!,#REF!,#REF!,#REF!</definedName>
    <definedName name="Выручка_нетто_Молоко" localSheetId="1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15">#REF!,#REF!,#REF!,#REF!,#REF!,#REF!,#REF!,#REF!,#REF!,#REF!</definedName>
    <definedName name="Выручка_нетто_Сок" localSheetId="12">#REF!,#REF!,#REF!,#REF!,#REF!,#REF!,#REF!,#REF!,#REF!,#REF!</definedName>
    <definedName name="Выручка_нетто_Сок" localSheetId="11">#REF!,#REF!,#REF!,#REF!,#REF!,#REF!,#REF!,#REF!,#REF!,#REF!</definedName>
    <definedName name="Выручка_нетто_Сок" localSheetId="8">#REF!,#REF!,#REF!,#REF!,#REF!,#REF!,#REF!,#REF!,#REF!,#REF!</definedName>
    <definedName name="Выручка_нетто_Сок" localSheetId="9">#REF!,#REF!,#REF!,#REF!,#REF!,#REF!,#REF!,#REF!,#REF!,#REF!</definedName>
    <definedName name="Выручка_нетто_Сок" localSheetId="10">#REF!,#REF!,#REF!,#REF!,#REF!,#REF!,#REF!,#REF!,#REF!,#REF!</definedName>
    <definedName name="Выручка_нетто_Сок">#REF!,#REF!,#REF!,#REF!,#REF!,#REF!,#REF!,#REF!,#REF!,#REF!</definedName>
    <definedName name="Выручка_Сок" localSheetId="12">#REF!,#REF!,#REF!,#REF!,#REF!,#REF!,#REF!,#REF!,#REF!,#REF!</definedName>
    <definedName name="Выручка_Сок" localSheetId="11">#REF!,#REF!,#REF!,#REF!,#REF!,#REF!,#REF!,#REF!,#REF!,#REF!</definedName>
    <definedName name="Выручка_Сок" localSheetId="8">#REF!,#REF!,#REF!,#REF!,#REF!,#REF!,#REF!,#REF!,#REF!,#REF!</definedName>
    <definedName name="Выручка_Сок" localSheetId="9">#REF!,#REF!,#REF!,#REF!,#REF!,#REF!,#REF!,#REF!,#REF!,#REF!</definedName>
    <definedName name="Выручка_Сок" localSheetId="10">#REF!,#REF!,#REF!,#REF!,#REF!,#REF!,#REF!,#REF!,#REF!,#REF!</definedName>
    <definedName name="Выручка_Сок">#REF!,#REF!,#REF!,#REF!,#REF!,#REF!,#REF!,#REF!,#REF!,#REF!</definedName>
    <definedName name="выфвау" localSheetId="15">#REF!</definedName>
    <definedName name="выфвау" localSheetId="12">#REF!</definedName>
    <definedName name="выфвау" localSheetId="11">#REF!</definedName>
    <definedName name="выфвау" localSheetId="8">#REF!</definedName>
    <definedName name="выфвау" localSheetId="9">#REF!</definedName>
    <definedName name="выфвау" localSheetId="10">#REF!</definedName>
    <definedName name="выфвау" localSheetId="6">#REF!</definedName>
    <definedName name="выфвау" localSheetId="5">#REF!</definedName>
    <definedName name="выфвау" localSheetId="4">#REF!</definedName>
    <definedName name="выфвау">#REF!</definedName>
    <definedName name="г" localSheetId="15">#REF!</definedName>
    <definedName name="г" localSheetId="12">#REF!</definedName>
    <definedName name="г" localSheetId="11">#REF!</definedName>
    <definedName name="г" localSheetId="8">#REF!</definedName>
    <definedName name="г" localSheetId="9">#REF!</definedName>
    <definedName name="г" localSheetId="10">#REF!</definedName>
    <definedName name="г">#REF!</definedName>
    <definedName name="г1" localSheetId="15">[128]СписочнаяЧисленность!#REF!</definedName>
    <definedName name="г1" localSheetId="12">[128]СписочнаяЧисленность!#REF!</definedName>
    <definedName name="г1" localSheetId="11">[128]СписочнаяЧисленность!#REF!</definedName>
    <definedName name="г1" localSheetId="8">[128]СписочнаяЧисленность!#REF!</definedName>
    <definedName name="г1" localSheetId="9">[128]СписочнаяЧисленность!#REF!</definedName>
    <definedName name="г1" localSheetId="10">[128]СписочнаяЧисленность!#REF!</definedName>
    <definedName name="г1">[128]СписочнаяЧисленность!#REF!</definedName>
    <definedName name="г1_код" localSheetId="15">[128]СписочнаяЧисленность!#REF!</definedName>
    <definedName name="г1_код" localSheetId="12">[128]СписочнаяЧисленность!#REF!</definedName>
    <definedName name="г1_код" localSheetId="11">[128]СписочнаяЧисленность!#REF!</definedName>
    <definedName name="г1_код" localSheetId="8">[128]СписочнаяЧисленность!#REF!</definedName>
    <definedName name="г1_код" localSheetId="9">[128]СписочнаяЧисленность!#REF!</definedName>
    <definedName name="г1_код" localSheetId="10">[128]СписочнаяЧисленность!#REF!</definedName>
    <definedName name="г1_код">[128]СписочнаяЧисленность!#REF!</definedName>
    <definedName name="г1_наим" localSheetId="15">[128]СписочнаяЧисленность!#REF!</definedName>
    <definedName name="г1_наим" localSheetId="12">[128]СписочнаяЧисленность!#REF!</definedName>
    <definedName name="г1_наим" localSheetId="11">[128]СписочнаяЧисленность!#REF!</definedName>
    <definedName name="г1_наим" localSheetId="8">[128]СписочнаяЧисленность!#REF!</definedName>
    <definedName name="г1_наим" localSheetId="9">[128]СписочнаяЧисленность!#REF!</definedName>
    <definedName name="г1_наим" localSheetId="10">[128]СписочнаяЧисленность!#REF!</definedName>
    <definedName name="г1_наим">[128]СписочнаяЧисленность!#REF!</definedName>
    <definedName name="г1итог" localSheetId="15">[128]СписочнаяЧисленность!#REF!</definedName>
    <definedName name="г1итог" localSheetId="12">[128]СписочнаяЧисленность!#REF!</definedName>
    <definedName name="г1итог" localSheetId="11">[128]СписочнаяЧисленность!#REF!</definedName>
    <definedName name="г1итог" localSheetId="8">[128]СписочнаяЧисленность!#REF!</definedName>
    <definedName name="г1итог" localSheetId="9">[128]СписочнаяЧисленность!#REF!</definedName>
    <definedName name="г1итог" localSheetId="10">[128]СписочнаяЧисленность!#REF!</definedName>
    <definedName name="г1итог">[128]СписочнаяЧисленность!#REF!</definedName>
    <definedName name="г1итог_код" localSheetId="12">[128]СписочнаяЧисленность!#REF!</definedName>
    <definedName name="г1итог_код" localSheetId="11">[128]СписочнаяЧисленность!#REF!</definedName>
    <definedName name="г1итог_код" localSheetId="8">[128]СписочнаяЧисленность!#REF!</definedName>
    <definedName name="г1итог_код" localSheetId="9">[128]СписочнаяЧисленность!#REF!</definedName>
    <definedName name="г1итог_код" localSheetId="10">[128]СписочнаяЧисленность!#REF!</definedName>
    <definedName name="г1итог_код">[128]СписочнаяЧисленность!#REF!</definedName>
    <definedName name="г2" localSheetId="12">[128]СписочнаяЧисленность!#REF!</definedName>
    <definedName name="г2" localSheetId="11">[128]СписочнаяЧисленность!#REF!</definedName>
    <definedName name="г2" localSheetId="8">[128]СписочнаяЧисленность!#REF!</definedName>
    <definedName name="г2" localSheetId="9">[128]СписочнаяЧисленность!#REF!</definedName>
    <definedName name="г2" localSheetId="10">[128]СписочнаяЧисленность!#REF!</definedName>
    <definedName name="г2">[128]СписочнаяЧисленность!#REF!</definedName>
    <definedName name="г2_код" localSheetId="12">[128]СписочнаяЧисленность!#REF!</definedName>
    <definedName name="г2_код" localSheetId="11">[128]СписочнаяЧисленность!#REF!</definedName>
    <definedName name="г2_код" localSheetId="8">[128]СписочнаяЧисленность!#REF!</definedName>
    <definedName name="г2_код" localSheetId="9">[128]СписочнаяЧисленность!#REF!</definedName>
    <definedName name="г2_код" localSheetId="10">[128]СписочнаяЧисленность!#REF!</definedName>
    <definedName name="г2_код">[128]СписочнаяЧисленность!#REF!</definedName>
    <definedName name="г2_наим" localSheetId="12">[128]СписочнаяЧисленность!#REF!</definedName>
    <definedName name="г2_наим" localSheetId="11">[128]СписочнаяЧисленность!#REF!</definedName>
    <definedName name="г2_наим" localSheetId="8">[128]СписочнаяЧисленность!#REF!</definedName>
    <definedName name="г2_наим" localSheetId="9">[128]СписочнаяЧисленность!#REF!</definedName>
    <definedName name="г2_наим" localSheetId="10">[128]СписочнаяЧисленность!#REF!</definedName>
    <definedName name="г2_наим">[128]СписочнаяЧисленность!#REF!</definedName>
    <definedName name="г2итог" localSheetId="12">[128]СписочнаяЧисленность!#REF!</definedName>
    <definedName name="г2итог" localSheetId="11">[128]СписочнаяЧисленность!#REF!</definedName>
    <definedName name="г2итог" localSheetId="8">[128]СписочнаяЧисленность!#REF!</definedName>
    <definedName name="г2итог" localSheetId="9">[128]СписочнаяЧисленность!#REF!</definedName>
    <definedName name="г2итог" localSheetId="10">[128]СписочнаяЧисленность!#REF!</definedName>
    <definedName name="г2итог">[128]СписочнаяЧисленность!#REF!</definedName>
    <definedName name="г2итог_код" localSheetId="12">[128]СписочнаяЧисленность!#REF!</definedName>
    <definedName name="г2итог_код" localSheetId="11">[128]СписочнаяЧисленность!#REF!</definedName>
    <definedName name="г2итог_код" localSheetId="8">[128]СписочнаяЧисленность!#REF!</definedName>
    <definedName name="г2итог_код" localSheetId="9">[128]СписочнаяЧисленность!#REF!</definedName>
    <definedName name="г2итог_код" localSheetId="10">[128]СписочнаяЧисленность!#REF!</definedName>
    <definedName name="г2итог_код">[128]СписочнаяЧисленность!#REF!</definedName>
    <definedName name="г3" localSheetId="12">[128]СписочнаяЧисленность!#REF!</definedName>
    <definedName name="г3" localSheetId="11">[128]СписочнаяЧисленность!#REF!</definedName>
    <definedName name="г3" localSheetId="8">[128]СписочнаяЧисленность!#REF!</definedName>
    <definedName name="г3" localSheetId="9">[128]СписочнаяЧисленность!#REF!</definedName>
    <definedName name="г3" localSheetId="10">[128]СписочнаяЧисленность!#REF!</definedName>
    <definedName name="г3">[128]СписочнаяЧисленность!#REF!</definedName>
    <definedName name="г3_код" localSheetId="12">[128]СписочнаяЧисленность!#REF!</definedName>
    <definedName name="г3_код" localSheetId="11">[128]СписочнаяЧисленность!#REF!</definedName>
    <definedName name="г3_код" localSheetId="8">[128]СписочнаяЧисленность!#REF!</definedName>
    <definedName name="г3_код" localSheetId="9">[128]СписочнаяЧисленность!#REF!</definedName>
    <definedName name="г3_код" localSheetId="10">[128]СписочнаяЧисленность!#REF!</definedName>
    <definedName name="г3_код">[128]СписочнаяЧисленность!#REF!</definedName>
    <definedName name="г3_наим" localSheetId="12">[128]СписочнаяЧисленность!#REF!</definedName>
    <definedName name="г3_наим" localSheetId="11">[128]СписочнаяЧисленность!#REF!</definedName>
    <definedName name="г3_наим" localSheetId="8">[128]СписочнаяЧисленность!#REF!</definedName>
    <definedName name="г3_наим" localSheetId="9">[128]СписочнаяЧисленность!#REF!</definedName>
    <definedName name="г3_наим" localSheetId="10">[128]СписочнаяЧисленность!#REF!</definedName>
    <definedName name="г3_наим">[128]СписочнаяЧисленность!#REF!</definedName>
    <definedName name="г3итог" localSheetId="12">[128]СписочнаяЧисленность!#REF!</definedName>
    <definedName name="г3итог" localSheetId="11">[128]СписочнаяЧисленность!#REF!</definedName>
    <definedName name="г3итог" localSheetId="8">[128]СписочнаяЧисленность!#REF!</definedName>
    <definedName name="г3итог" localSheetId="9">[128]СписочнаяЧисленность!#REF!</definedName>
    <definedName name="г3итог" localSheetId="10">[128]СписочнаяЧисленность!#REF!</definedName>
    <definedName name="г3итог">[128]СписочнаяЧисленность!#REF!</definedName>
    <definedName name="г3итог_код" localSheetId="12">[128]СписочнаяЧисленность!#REF!</definedName>
    <definedName name="г3итог_код" localSheetId="11">[128]СписочнаяЧисленность!#REF!</definedName>
    <definedName name="г3итог_код" localSheetId="8">[128]СписочнаяЧисленность!#REF!</definedName>
    <definedName name="г3итог_код" localSheetId="9">[128]СписочнаяЧисленность!#REF!</definedName>
    <definedName name="г3итог_код" localSheetId="10">[128]СписочнаяЧисленность!#REF!</definedName>
    <definedName name="г3итог_код">[128]СписочнаяЧисленность!#REF!</definedName>
    <definedName name="г4" localSheetId="12">[128]СписочнаяЧисленность!#REF!</definedName>
    <definedName name="г4" localSheetId="11">[128]СписочнаяЧисленность!#REF!</definedName>
    <definedName name="г4" localSheetId="8">[128]СписочнаяЧисленность!#REF!</definedName>
    <definedName name="г4" localSheetId="9">[128]СписочнаяЧисленность!#REF!</definedName>
    <definedName name="г4" localSheetId="10">[128]СписочнаяЧисленность!#REF!</definedName>
    <definedName name="г4">[128]СписочнаяЧисленность!#REF!</definedName>
    <definedName name="г4_код" localSheetId="12">[128]СписочнаяЧисленность!#REF!</definedName>
    <definedName name="г4_код" localSheetId="11">[128]СписочнаяЧисленность!#REF!</definedName>
    <definedName name="г4_код" localSheetId="8">[128]СписочнаяЧисленность!#REF!</definedName>
    <definedName name="г4_код" localSheetId="9">[128]СписочнаяЧисленность!#REF!</definedName>
    <definedName name="г4_код" localSheetId="10">[128]СписочнаяЧисленность!#REF!</definedName>
    <definedName name="г4_код">[128]СписочнаяЧисленность!#REF!</definedName>
    <definedName name="г4_наим" localSheetId="12">[128]СписочнаяЧисленность!#REF!</definedName>
    <definedName name="г4_наим" localSheetId="11">[128]СписочнаяЧисленность!#REF!</definedName>
    <definedName name="г4_наим" localSheetId="8">[128]СписочнаяЧисленность!#REF!</definedName>
    <definedName name="г4_наим" localSheetId="9">[128]СписочнаяЧисленность!#REF!</definedName>
    <definedName name="г4_наим" localSheetId="10">[128]СписочнаяЧисленность!#REF!</definedName>
    <definedName name="г4_наим">[128]СписочнаяЧисленность!#REF!</definedName>
    <definedName name="г4итог" localSheetId="12">[128]СписочнаяЧисленность!#REF!</definedName>
    <definedName name="г4итог" localSheetId="11">[128]СписочнаяЧисленность!#REF!</definedName>
    <definedName name="г4итог" localSheetId="8">[128]СписочнаяЧисленность!#REF!</definedName>
    <definedName name="г4итог" localSheetId="9">[128]СписочнаяЧисленность!#REF!</definedName>
    <definedName name="г4итог" localSheetId="10">[128]СписочнаяЧисленность!#REF!</definedName>
    <definedName name="г4итог">[128]СписочнаяЧисленность!#REF!</definedName>
    <definedName name="г4итог_код" localSheetId="12">[128]СписочнаяЧисленность!#REF!</definedName>
    <definedName name="г4итог_код" localSheetId="11">[128]СписочнаяЧисленность!#REF!</definedName>
    <definedName name="г4итог_код" localSheetId="8">[128]СписочнаяЧисленность!#REF!</definedName>
    <definedName name="г4итог_код" localSheetId="9">[128]СписочнаяЧисленность!#REF!</definedName>
    <definedName name="г4итог_код" localSheetId="10">[128]СписочнаяЧисленность!#REF!</definedName>
    <definedName name="г4итог_код">[128]СписочнаяЧисленность!#REF!</definedName>
    <definedName name="гггр" localSheetId="15">[7]!гггр</definedName>
    <definedName name="гггр" localSheetId="11">#N/A</definedName>
    <definedName name="гггр" localSheetId="8">#N/A</definedName>
    <definedName name="гггр" localSheetId="9">#N/A</definedName>
    <definedName name="гггр" localSheetId="6">#N/A</definedName>
    <definedName name="гггр" localSheetId="5">#N/A</definedName>
    <definedName name="гггр" localSheetId="4">#N/A</definedName>
    <definedName name="гггр">#N/A</definedName>
    <definedName name="ГКМ" localSheetId="15">#REF!</definedName>
    <definedName name="ГКМ" localSheetId="12">#REF!</definedName>
    <definedName name="ГКМ" localSheetId="11">#REF!</definedName>
    <definedName name="ГКМ" localSheetId="8">#REF!</definedName>
    <definedName name="ГКМ" localSheetId="9">#REF!</definedName>
    <definedName name="ГКМ" localSheetId="10">#REF!</definedName>
    <definedName name="ГКМ" localSheetId="6">#REF!</definedName>
    <definedName name="ГКМ" localSheetId="5">#REF!</definedName>
    <definedName name="ГКМ" localSheetId="4">#REF!</definedName>
    <definedName name="ГКМ">#REF!</definedName>
    <definedName name="глнпе" localSheetId="15" hidden="1">#REF!,#REF!,#REF!,амортизация!P1_SCOPE_PER_PRT,амортизация!P2_SCOPE_PER_PRT,амортизация!P3_SCOPE_PER_PRT,амортизация!P4_SCOPE_PER_PRT</definedName>
    <definedName name="глнпе" localSheetId="2" hidden="1">#REF!,#REF!,#REF!,P1_SCOPE_PER_PRT,P2_SCOPE_PER_PRT,P3_SCOPE_PER_PRT,P4_SCOPE_PER_PRT</definedName>
    <definedName name="глнпе" localSheetId="3" hidden="1">#REF!,#REF!,#REF!,P1_SCOPE_PER_PRT,P2_SCOPE_PER_PRT,P3_SCOPE_PER_PRT,P4_SCOPE_PER_PRT</definedName>
    <definedName name="глнпе" localSheetId="12" hidden="1">#REF!,#REF!,#REF!,'переменные на 5 лет'!P1_SCOPE_PER_PRT,'переменные на 5 лет'!P2_SCOPE_PER_PRT,'переменные на 5 лет'!P3_SCOPE_PER_PRT,'переменные на 5 лет'!P4_SCOPE_PER_PRT</definedName>
    <definedName name="глнпе" localSheetId="7" hidden="1">#REF!,#REF!,#REF!,подконтрольные!P1_SCOPE_PER_PRT,подконтрольные!P2_SCOPE_PER_PRT,подконтрольные!P3_SCOPE_PER_PRT,подконтрольные!P4_SCOPE_PER_PRT</definedName>
    <definedName name="глнпе" localSheetId="11" hidden="1">#REF!,#REF!,#REF!,'Прил 6 к расп'!P1_SCOPE_PER_PRT,'Прил 6 к расп'!P2_SCOPE_PER_PRT,'Прил 6 к расп'!P3_SCOPE_PER_PRT,'Прил 6 к расп'!P4_SCOPE_PER_PRT</definedName>
    <definedName name="глнпе" localSheetId="8" hidden="1">#REF!,#REF!,#REF!,Прил2!P1_SCOPE_PER_PRT,Прил2!P2_SCOPE_PER_PRT,Прил2!P3_SCOPE_PER_PRT,Прил2!P4_SCOPE_PER_PRT</definedName>
    <definedName name="глнпе" localSheetId="9" hidden="1">#REF!,#REF!,#REF!,Прил3!P1_SCOPE_PER_PRT,Прил3!P2_SCOPE_PER_PRT,Прил3!P3_SCOPE_PER_PRT,Прил3!P4_SCOPE_PER_PRT</definedName>
    <definedName name="глнпе" localSheetId="10" hidden="1">#REF!,#REF!,#REF!,Прил4!P1_SCOPE_PER_PRT,Прил4!P2_SCOPE_PER_PRT,Прил4!P3_SCOPE_PER_PRT,Прил4!P4_SCOPE_PER_PRT</definedName>
    <definedName name="глнпе" localSheetId="6" hidden="1">#REF!,#REF!,#REF!,Тарифы!P1_SCOPE_PER_PRT,Тарифы!P2_SCOPE_PER_PRT,Тарифы!P3_SCOPE_PER_PRT,Тарифы!P4_SCOPE_PER_PRT</definedName>
    <definedName name="глнпе" localSheetId="5" hidden="1">#REF!,#REF!,#REF!,'Тарифы (2)'!P1_SCOPE_PER_PRT,'Тарифы (2)'!P2_SCOPE_PER_PRT,'Тарифы (2)'!P3_SCOPE_PER_PRT,'Тарифы (2)'!P4_SCOPE_PER_PRT</definedName>
    <definedName name="глнпе" localSheetId="4" hidden="1">#REF!,#REF!,#REF!,'Тарифы (3)'!P1_SCOPE_PER_PRT,'Тарифы (3)'!P2_SCOPE_PER_PRT,'Тарифы (3)'!P3_SCOPE_PER_PRT,'Тарифы (3)'!P4_SCOPE_PER_PRT</definedName>
    <definedName name="глнпе" hidden="1">#REF!,#REF!,#REF!,P1_SCOPE_PER_PRT,P2_SCOPE_PER_PRT,P3_SCOPE_PER_PRT,P4_SCOPE_PER_PRT</definedName>
    <definedName name="гнеруекр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15">[7]!гнлзщ</definedName>
    <definedName name="гнлзщ" localSheetId="11">#N/A</definedName>
    <definedName name="гнлзщ" localSheetId="8">#N/A</definedName>
    <definedName name="гнлзщ" localSheetId="9">#N/A</definedName>
    <definedName name="гнлзщ" localSheetId="6">#N/A</definedName>
    <definedName name="гнлзщ" localSheetId="5">#N/A</definedName>
    <definedName name="гнлзщ" localSheetId="4">#N/A</definedName>
    <definedName name="гнлзщ">#N/A</definedName>
    <definedName name="гнлнг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3">#REF!</definedName>
    <definedName name="Год" localSheetId="12">#REF!</definedName>
    <definedName name="Год" localSheetId="11">#REF!</definedName>
    <definedName name="Год" localSheetId="6">#REF!</definedName>
    <definedName name="Год" localSheetId="5">#REF!</definedName>
    <definedName name="Год" localSheetId="4">#REF!</definedName>
    <definedName name="Год">#REF!</definedName>
    <definedName name="Год_отчета">2004</definedName>
    <definedName name="Годовой_индекс_2000" localSheetId="15">#REF!</definedName>
    <definedName name="Годовой_индекс_2000" localSheetId="12">#REF!</definedName>
    <definedName name="Годовой_индекс_2000" localSheetId="11">#REF!</definedName>
    <definedName name="Годовой_индекс_2000" localSheetId="8">#REF!</definedName>
    <definedName name="Годовой_индекс_2000" localSheetId="9">#REF!</definedName>
    <definedName name="Годовой_индекс_2000" localSheetId="10">#REF!</definedName>
    <definedName name="Годовой_индекс_2000" localSheetId="6">#REF!</definedName>
    <definedName name="Годовой_индекс_2000" localSheetId="5">#REF!</definedName>
    <definedName name="Годовой_индекс_2000" localSheetId="4">#REF!</definedName>
    <definedName name="Годовой_индекс_2000">#REF!</definedName>
    <definedName name="График">"Диагр. 4"</definedName>
    <definedName name="грприрцфв00ав98" localSheetId="15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localSheetId="11" hidden="1">{#N/A,#N/A,TRUE,"Лист1";#N/A,#N/A,TRUE,"Лист2";#N/A,#N/A,TRUE,"Лист3"}</definedName>
    <definedName name="грприрцфв00ав98" localSheetId="8" hidden="1">{#N/A,#N/A,TRUE,"Лист1";#N/A,#N/A,TRUE,"Лист2";#N/A,#N/A,TRUE,"Лист3"}</definedName>
    <definedName name="грприрцфв00ав98" localSheetId="9" hidden="1">{#N/A,#N/A,TRUE,"Лист1";#N/A,#N/A,TRUE,"Лист2";#N/A,#N/A,TRUE,"Лист3"}</definedName>
    <definedName name="грприрцфв00ав98" localSheetId="10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[129]доп.!$A$12:$A$20</definedName>
    <definedName name="грфинцкавг98Х" localSheetId="15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11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localSheetId="9" hidden="1">{#N/A,#N/A,TRUE,"Лист1";#N/A,#N/A,TRUE,"Лист2";#N/A,#N/A,TRUE,"Лист3"}</definedName>
    <definedName name="грфинцкавг98Х" localSheetId="10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15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localSheetId="7" hidden="1">{#N/A,#N/A,TRUE,"Лист1";#N/A,#N/A,TRUE,"Лист2";#N/A,#N/A,TRUE,"Лист3"}</definedName>
    <definedName name="гшгш" localSheetId="11" hidden="1">{#N/A,#N/A,TRUE,"Лист1";#N/A,#N/A,TRUE,"Лист2";#N/A,#N/A,TRUE,"Лист3"}</definedName>
    <definedName name="гшгш" localSheetId="8" hidden="1">{#N/A,#N/A,TRUE,"Лист1";#N/A,#N/A,TRUE,"Лист2";#N/A,#N/A,TRUE,"Лист3"}</definedName>
    <definedName name="гшгш" localSheetId="9" hidden="1">{#N/A,#N/A,TRUE,"Лист1";#N/A,#N/A,TRUE,"Лист2";#N/A,#N/A,TRUE,"Лист3"}</definedName>
    <definedName name="гшгш" localSheetId="10" hidden="1">{#N/A,#N/A,TRUE,"Лист1";#N/A,#N/A,TRUE,"Лист2";#N/A,#N/A,TRUE,"Лист3"}</definedName>
    <definedName name="гшгш" localSheetId="6" hidden="1">{#N/A,#N/A,TRUE,"Лист1";#N/A,#N/A,TRUE,"Лист2";#N/A,#N/A,TRUE,"Лист3"}</definedName>
    <definedName name="гшгш" localSheetId="5" hidden="1">{#N/A,#N/A,TRUE,"Лист1";#N/A,#N/A,TRUE,"Лист2";#N/A,#N/A,TRUE,"Лист3"}</definedName>
    <definedName name="гшгш" localSheetId="4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15">#REF!</definedName>
    <definedName name="гшщжзшщ" localSheetId="12">#REF!</definedName>
    <definedName name="гшщжзшщ" localSheetId="11">#REF!</definedName>
    <definedName name="гшщжзшщ" localSheetId="8">#REF!</definedName>
    <definedName name="гшщжзшщ" localSheetId="9">#REF!</definedName>
    <definedName name="гшщжзшщ" localSheetId="10">#REF!</definedName>
    <definedName name="гшщжзшщ" localSheetId="6">#REF!</definedName>
    <definedName name="гшщжзшщ" localSheetId="5">#REF!</definedName>
    <definedName name="гшщжзшщ" localSheetId="4">#REF!</definedName>
    <definedName name="гшщжзшщ">#REF!</definedName>
    <definedName name="гщ" localSheetId="15">#REF!</definedName>
    <definedName name="гщ" localSheetId="12">#REF!</definedName>
    <definedName name="гщ" localSheetId="11">#REF!</definedName>
    <definedName name="гщ" localSheetId="8">#REF!</definedName>
    <definedName name="гщ" localSheetId="9">#REF!</definedName>
    <definedName name="гщ" localSheetId="10">#REF!</definedName>
    <definedName name="гщ">#REF!</definedName>
    <definedName name="д" localSheetId="15">#REF!</definedName>
    <definedName name="д" localSheetId="12">#REF!</definedName>
    <definedName name="д" localSheetId="11">#REF!</definedName>
    <definedName name="д" localSheetId="8">#REF!</definedName>
    <definedName name="д" localSheetId="9">#REF!</definedName>
    <definedName name="д" localSheetId="10">#REF!</definedName>
    <definedName name="д">#REF!</definedName>
    <definedName name="Данные" localSheetId="12">#REF!</definedName>
    <definedName name="Данные" localSheetId="11">#REF!</definedName>
    <definedName name="Данные" localSheetId="8">#REF!</definedName>
    <definedName name="Данные" localSheetId="9">#REF!</definedName>
    <definedName name="Данные" localSheetId="10">#REF!</definedName>
    <definedName name="Данные">#REF!</definedName>
    <definedName name="дата_док" localSheetId="12">#REF!</definedName>
    <definedName name="дата_док" localSheetId="11">#REF!</definedName>
    <definedName name="дата_док" localSheetId="8">#REF!</definedName>
    <definedName name="дата_док" localSheetId="9">#REF!</definedName>
    <definedName name="дата_док" localSheetId="10">#REF!</definedName>
    <definedName name="дата_док">#REF!</definedName>
    <definedName name="дата_изменения" localSheetId="12">#REF!</definedName>
    <definedName name="дата_изменения" localSheetId="11">#REF!</definedName>
    <definedName name="дата_изменения" localSheetId="8">#REF!</definedName>
    <definedName name="дата_изменения" localSheetId="9">#REF!</definedName>
    <definedName name="дата_изменения" localSheetId="10">#REF!</definedName>
    <definedName name="дата_изменения">#REF!</definedName>
    <definedName name="движение" localSheetId="12">#REF!</definedName>
    <definedName name="движение" localSheetId="11">#REF!</definedName>
    <definedName name="движение" localSheetId="8">#REF!</definedName>
    <definedName name="движение" localSheetId="9">#REF!</definedName>
    <definedName name="движение" localSheetId="10">#REF!</definedName>
    <definedName name="движение">#REF!</definedName>
    <definedName name="ДВП" localSheetId="12">#REF!</definedName>
    <definedName name="ДВП" localSheetId="11">#REF!</definedName>
    <definedName name="ДВП">#REF!</definedName>
    <definedName name="двпБКХ" localSheetId="12">#REF!</definedName>
    <definedName name="двпБКХ" localSheetId="11">#REF!</definedName>
    <definedName name="двпБКХ">#REF!</definedName>
    <definedName name="двпсв" localSheetId="12">#REF!</definedName>
    <definedName name="двпсв" localSheetId="11">#REF!</definedName>
    <definedName name="двпсв">#REF!</definedName>
    <definedName name="двпЦКК" localSheetId="12">#REF!</definedName>
    <definedName name="двпЦКК" localSheetId="11">#REF!</definedName>
    <definedName name="двпЦКК">#REF!</definedName>
    <definedName name="дд" localSheetId="12">#REF!</definedName>
    <definedName name="дд" localSheetId="11">#REF!</definedName>
    <definedName name="дд" localSheetId="8">#REF!</definedName>
    <definedName name="дд" localSheetId="9">#REF!</definedName>
    <definedName name="дд" localSheetId="10">#REF!</definedName>
    <definedName name="дд">#REF!</definedName>
    <definedName name="ддд" localSheetId="15" hidden="1">{"PRINTME",#N/A,FALSE,"FINAL-10"}</definedName>
    <definedName name="ддд" localSheetId="2" hidden="1">{"PRINTME",#N/A,FALSE,"FINAL-10"}</definedName>
    <definedName name="ддд" localSheetId="3" hidden="1">{"PRINTME",#N/A,FALSE,"FINAL-10"}</definedName>
    <definedName name="ддд" localSheetId="7" hidden="1">{"PRINTME",#N/A,FALSE,"FINAL-10"}</definedName>
    <definedName name="ддд" localSheetId="11" hidden="1">{"PRINTME",#N/A,FALSE,"FINAL-10"}</definedName>
    <definedName name="ддд" localSheetId="8" hidden="1">{"PRINTME",#N/A,FALSE,"FINAL-10"}</definedName>
    <definedName name="ддд" localSheetId="9" hidden="1">{"PRINTME",#N/A,FALSE,"FINAL-10"}</definedName>
    <definedName name="ддд" localSheetId="10" hidden="1">{"PRINTME",#N/A,FALSE,"FINAL-10"}</definedName>
    <definedName name="ддд" localSheetId="6" hidden="1">{"PRINTME",#N/A,FALSE,"FINAL-10"}</definedName>
    <definedName name="ддд" localSheetId="5" hidden="1">{"PRINTME",#N/A,FALSE,"FINAL-10"}</definedName>
    <definedName name="ддд" localSheetId="4" hidden="1">{"PRINTME",#N/A,FALSE,"FINAL-10"}</definedName>
    <definedName name="ддд" hidden="1">{"PRINTME",#N/A,FALSE,"FINAL-10"}</definedName>
    <definedName name="ддс" localSheetId="15">#REF!</definedName>
    <definedName name="ддс" localSheetId="12">#REF!</definedName>
    <definedName name="ддс" localSheetId="11">#REF!</definedName>
    <definedName name="ддс" localSheetId="8">#REF!</definedName>
    <definedName name="ддс" localSheetId="9">#REF!</definedName>
    <definedName name="ддс" localSheetId="10">#REF!</definedName>
    <definedName name="ддс" localSheetId="6">#REF!</definedName>
    <definedName name="ддс" localSheetId="5">#REF!</definedName>
    <definedName name="ддс" localSheetId="4">#REF!</definedName>
    <definedName name="ддс">#REF!</definedName>
    <definedName name="ДДС1" localSheetId="15">#REF!</definedName>
    <definedName name="ДДС1" localSheetId="12">#REF!</definedName>
    <definedName name="ДДС1" localSheetId="11">#REF!</definedName>
    <definedName name="ДДС1" localSheetId="8">#REF!</definedName>
    <definedName name="ДДС1" localSheetId="9">#REF!</definedName>
    <definedName name="ДДС1" localSheetId="10">#REF!</definedName>
    <definedName name="ДДС1">#REF!</definedName>
    <definedName name="ДДС2" localSheetId="15">#REF!</definedName>
    <definedName name="ДДС2" localSheetId="12">#REF!</definedName>
    <definedName name="ДДС2" localSheetId="11">#REF!</definedName>
    <definedName name="ДДС2" localSheetId="8">#REF!</definedName>
    <definedName name="ДДС2" localSheetId="9">#REF!</definedName>
    <definedName name="ДДС2" localSheetId="10">#REF!</definedName>
    <definedName name="ДДС2">#REF!</definedName>
    <definedName name="ДДСа4" localSheetId="12">#REF!</definedName>
    <definedName name="ДДСа4" localSheetId="11">#REF!</definedName>
    <definedName name="ДДСа4" localSheetId="8">#REF!</definedName>
    <definedName name="ДДСа4" localSheetId="9">#REF!</definedName>
    <definedName name="ДДСа4" localSheetId="10">#REF!</definedName>
    <definedName name="ДДСа4">#REF!</definedName>
    <definedName name="ДДСббббббббб" localSheetId="12">#REF!</definedName>
    <definedName name="ДДСббббббббб" localSheetId="11">#REF!</definedName>
    <definedName name="ДДСббббббббб" localSheetId="8">#REF!</definedName>
    <definedName name="ДДСббббббббб" localSheetId="9">#REF!</definedName>
    <definedName name="ДДСббббббббб" localSheetId="10">#REF!</definedName>
    <definedName name="ДДСббббббббб">#REF!</definedName>
    <definedName name="деб." localSheetId="12">#REF!</definedName>
    <definedName name="деб." localSheetId="11">#REF!</definedName>
    <definedName name="деб." localSheetId="8">#REF!</definedName>
    <definedName name="деб." localSheetId="9">#REF!</definedName>
    <definedName name="деб." localSheetId="10">#REF!</definedName>
    <definedName name="деб.">#REF!</definedName>
    <definedName name="дек" localSheetId="12">#REF!</definedName>
    <definedName name="дек" localSheetId="11">#REF!</definedName>
    <definedName name="дек" localSheetId="8">#REF!</definedName>
    <definedName name="дек" localSheetId="9">#REF!</definedName>
    <definedName name="дек" localSheetId="10">#REF!</definedName>
    <definedName name="дек">#REF!</definedName>
    <definedName name="дек2" localSheetId="12">#REF!</definedName>
    <definedName name="дек2" localSheetId="11">#REF!</definedName>
    <definedName name="дек2" localSheetId="8">#REF!</definedName>
    <definedName name="дек2" localSheetId="9">#REF!</definedName>
    <definedName name="дек2" localSheetId="10">#REF!</definedName>
    <definedName name="дек2">#REF!</definedName>
    <definedName name="деньги" localSheetId="12">#REF!</definedName>
    <definedName name="деньги" localSheetId="11">#REF!</definedName>
    <definedName name="деньги" localSheetId="8">#REF!</definedName>
    <definedName name="деньги" localSheetId="9">#REF!</definedName>
    <definedName name="деньги" localSheetId="10">#REF!</definedName>
    <definedName name="деньги">#REF!</definedName>
    <definedName name="депозит">[129]Ставки!$D$1:$D$2</definedName>
    <definedName name="Детализация">[130]Детализация!$H$5:$H$12,[130]Детализация!$H$15:$H$17,[130]Детализация!$H$20:$H$21,[130]Детализация!$H$24:$H$26,[130]Детализация!$H$30:$H$34,[130]Детализация!$H$36,[130]Детализация!$H$39:$H$40</definedName>
    <definedName name="Детализация_СБ">[130]Детализация!$H$4:$H$41</definedName>
    <definedName name="Дефл_ц_пред_год" localSheetId="3">'[104]Текущие цены'!$AT$36:$BK$58</definedName>
    <definedName name="Дефл_ц_пред_год" localSheetId="6">'[105]Текущие цены'!$AT$36:$BK$58</definedName>
    <definedName name="Дефл_ц_пред_год" localSheetId="5">'[105]Текущие цены'!$AT$36:$BK$58</definedName>
    <definedName name="Дефл_ц_пред_год" localSheetId="4">'[104]Текущие цены'!$AT$36:$BK$58</definedName>
    <definedName name="Дефл_ц_пред_год">'[105]Текущие цены'!$AT$36:$BK$58</definedName>
    <definedName name="Дефлятор_годовой" localSheetId="3">'[104]Текущие цены'!$Y$4:$AP$27</definedName>
    <definedName name="Дефлятор_годовой" localSheetId="6">'[105]Текущие цены'!$Y$4:$AP$27</definedName>
    <definedName name="Дефлятор_годовой" localSheetId="5">'[105]Текущие цены'!$Y$4:$AP$27</definedName>
    <definedName name="Дефлятор_годовой" localSheetId="4">'[104]Текущие цены'!$Y$4:$AP$27</definedName>
    <definedName name="Дефлятор_годовой">'[105]Текущие цены'!$Y$4:$AP$27</definedName>
    <definedName name="Дефлятор_цепной" localSheetId="3">'[104]Текущие цены'!$Y$36:$AP$58</definedName>
    <definedName name="Дефлятор_цепной" localSheetId="6">'[105]Текущие цены'!$Y$36:$AP$58</definedName>
    <definedName name="Дефлятор_цепной" localSheetId="5">'[105]Текущие цены'!$Y$36:$AP$58</definedName>
    <definedName name="Дефлятор_цепной" localSheetId="4">'[104]Текущие цены'!$Y$36:$AP$58</definedName>
    <definedName name="Дефлятор_цепной">'[105]Текущие цены'!$Y$36:$AP$58</definedName>
    <definedName name="дж" localSheetId="15">[7]!дж</definedName>
    <definedName name="дж" localSheetId="11">#N/A</definedName>
    <definedName name="дж" localSheetId="8">#N/A</definedName>
    <definedName name="дж" localSheetId="9">#N/A</definedName>
    <definedName name="дж" localSheetId="6">#N/A</definedName>
    <definedName name="дж" localSheetId="5">#N/A</definedName>
    <definedName name="дж" localSheetId="4">#N/A</definedName>
    <definedName name="дж">#N/A</definedName>
    <definedName name="ДиапазонЗащиты" localSheetId="15">#REF!,#REF!,#REF!,#REF!,[7]!P1_ДиапазонЗащиты,[7]!P2_ДиапазонЗащиты,[7]!P3_ДиапазонЗащиты,[7]!P4_ДиапазонЗащиты</definedName>
    <definedName name="ДиапазонЗащиты" localSheetId="3">#REF!,#REF!,#REF!,#REF!,[131]!P1_ДиапазонЗащиты,[131]!P2_ДиапазонЗащиты,[131]!P3_ДиапазонЗащиты,[131]!P4_ДиапазонЗащиты</definedName>
    <definedName name="ДиапазонЗащиты" localSheetId="12">#REF!,#REF!,#REF!,#REF!,[132]!P1_ДиапазонЗащиты,[132]!P2_ДиапазонЗащиты,[132]!P3_ДиапазонЗащиты,[132]!P4_ДиапазонЗащиты</definedName>
    <definedName name="ДиапазонЗащиты" localSheetId="11">#REF!,#REF!,#REF!,#REF!,[132]!P1_ДиапазонЗащиты,[132]!P2_ДиапазонЗащиты,[132]!P3_ДиапазонЗащиты,[132]!P4_ДиапазонЗащиты</definedName>
    <definedName name="ДиапазонЗащиты" localSheetId="8">#REF!,#REF!,#REF!,#REF!,[132]!P1_ДиапазонЗащиты,[132]!P2_ДиапазонЗащиты,[132]!P3_ДиапазонЗащиты,[132]!P4_ДиапазонЗащиты</definedName>
    <definedName name="ДиапазонЗащиты" localSheetId="9">#REF!,#REF!,#REF!,#REF!,[132]!P1_ДиапазонЗащиты,[132]!P2_ДиапазонЗащиты,[132]!P3_ДиапазонЗащиты,[132]!P4_ДиапазонЗащиты</definedName>
    <definedName name="ДиапазонЗащиты" localSheetId="10">#REF!,#REF!,#REF!,#REF!,[133]!P1_ДиапазонЗащиты,[133]!P2_ДиапазонЗащиты,[133]!P3_ДиапазонЗащиты,[133]!P4_ДиапазонЗащиты</definedName>
    <definedName name="ДиапазонЗащиты" localSheetId="6">#REF!,#REF!,#REF!,#REF!,[133]!P1_ДиапазонЗащиты,[133]!P2_ДиапазонЗащиты,[133]!P3_ДиапазонЗащиты,[133]!P4_ДиапазонЗащиты</definedName>
    <definedName name="ДиапазонЗащиты" localSheetId="5">#REF!,#REF!,#REF!,#REF!,[133]!P1_ДиапазонЗащиты,[133]!P2_ДиапазонЗащиты,[133]!P3_ДиапазонЗащиты,[133]!P4_ДиапазонЗащиты</definedName>
    <definedName name="ДиапазонЗащиты" localSheetId="4">#REF!,#REF!,#REF!,#REF!,[134]!P1_ДиапазонЗащиты,[134]!P2_ДиапазонЗащиты,[134]!P3_ДиапазонЗащиты,[134]!P4_ДиапазонЗащиты</definedName>
    <definedName name="ДиапазонЗащиты">#REF!,#REF!,#REF!,#REF!,[132]!P1_ДиапазонЗащиты,[132]!P2_ДиапазонЗащиты,[132]!P3_ДиапазонЗащиты,[132]!P4_ДиапазонЗащиты</definedName>
    <definedName name="Дивизионы" localSheetId="15">#REF!</definedName>
    <definedName name="Дивизионы" localSheetId="12">#REF!</definedName>
    <definedName name="Дивизионы" localSheetId="11">#REF!</definedName>
    <definedName name="Дивизионы" localSheetId="8">#REF!</definedName>
    <definedName name="Дивизионы" localSheetId="9">#REF!</definedName>
    <definedName name="Дивизионы" localSheetId="10">#REF!</definedName>
    <definedName name="Дивизионы" localSheetId="6">#REF!</definedName>
    <definedName name="Дивизионы" localSheetId="5">#REF!</definedName>
    <definedName name="Дивизионы" localSheetId="4">#REF!</definedName>
    <definedName name="Дивизионы">#REF!</definedName>
    <definedName name="дл" localSheetId="15">#REF!</definedName>
    <definedName name="дл" localSheetId="12">#REF!</definedName>
    <definedName name="дл" localSheetId="11">#REF!</definedName>
    <definedName name="дл" localSheetId="8">#REF!</definedName>
    <definedName name="дл" localSheetId="9">#REF!</definedName>
    <definedName name="дл" localSheetId="10">#REF!</definedName>
    <definedName name="дл">#REF!</definedName>
    <definedName name="длрио" localSheetId="15">#REF!</definedName>
    <definedName name="длрио" localSheetId="12">#REF!</definedName>
    <definedName name="длрио" localSheetId="11">#REF!</definedName>
    <definedName name="длрио" localSheetId="8">#REF!</definedName>
    <definedName name="длрио" localSheetId="9">#REF!</definedName>
    <definedName name="длрио" localSheetId="10">#REF!</definedName>
    <definedName name="длрио">#REF!</definedName>
    <definedName name="Дней_в_месяце" localSheetId="12">#REF!</definedName>
    <definedName name="Дней_в_месяце" localSheetId="11">#REF!</definedName>
    <definedName name="Дней_в_месяце" localSheetId="8">#REF!</definedName>
    <definedName name="Дней_в_месяце" localSheetId="9">#REF!</definedName>
    <definedName name="Дней_в_месяце" localSheetId="10">#REF!</definedName>
    <definedName name="Дней_в_месяце">#REF!</definedName>
    <definedName name="дол" localSheetId="12">[128]СписочнаяЧисленность!#REF!</definedName>
    <definedName name="дол" localSheetId="11">[128]СписочнаяЧисленность!#REF!</definedName>
    <definedName name="дол" localSheetId="8">[128]СписочнаяЧисленность!#REF!</definedName>
    <definedName name="дол" localSheetId="9">[128]СписочнаяЧисленность!#REF!</definedName>
    <definedName name="дол" localSheetId="10">[128]СписочнаяЧисленность!#REF!</definedName>
    <definedName name="дол">[128]СписочнаяЧисленность!#REF!</definedName>
    <definedName name="дол_код" localSheetId="12">[128]СписочнаяЧисленность!#REF!</definedName>
    <definedName name="дол_код" localSheetId="11">[128]СписочнаяЧисленность!#REF!</definedName>
    <definedName name="дол_код" localSheetId="8">[128]СписочнаяЧисленность!#REF!</definedName>
    <definedName name="дол_код" localSheetId="9">[128]СписочнаяЧисленность!#REF!</definedName>
    <definedName name="дол_код" localSheetId="10">[128]СписочнаяЧисленность!#REF!</definedName>
    <definedName name="дол_код">[128]СписочнаяЧисленность!#REF!</definedName>
    <definedName name="долитог" localSheetId="12">[128]СписочнаяЧисленность!#REF!</definedName>
    <definedName name="долитог" localSheetId="11">[128]СписочнаяЧисленность!#REF!</definedName>
    <definedName name="долитог" localSheetId="8">[128]СписочнаяЧисленность!#REF!</definedName>
    <definedName name="долитог" localSheetId="9">[128]СписочнаяЧисленность!#REF!</definedName>
    <definedName name="долитог" localSheetId="10">[128]СписочнаяЧисленность!#REF!</definedName>
    <definedName name="долитог">[128]СписочнаяЧисленность!#REF!</definedName>
    <definedName name="долитог_код" localSheetId="12">[128]СписочнаяЧисленность!#REF!</definedName>
    <definedName name="долитог_код" localSheetId="11">[128]СписочнаяЧисленность!#REF!</definedName>
    <definedName name="долитог_код" localSheetId="8">[128]СписочнаяЧисленность!#REF!</definedName>
    <definedName name="долитог_код" localSheetId="9">[128]СписочнаяЧисленность!#REF!</definedName>
    <definedName name="долитог_код" localSheetId="10">[128]СписочнаяЧисленность!#REF!</definedName>
    <definedName name="долитог_код">[128]СписочнаяЧисленность!#REF!</definedName>
    <definedName name="доля_продукции_Б_сут" localSheetId="12">'[135] накладные расходы'!#REF!</definedName>
    <definedName name="доля_продукции_Б_сут" localSheetId="11">'[135] накладные расходы'!#REF!</definedName>
    <definedName name="доля_продукции_Б_сут" localSheetId="8">'[135] накладные расходы'!#REF!</definedName>
    <definedName name="доля_продукции_Б_сут" localSheetId="9">'[135] накладные расходы'!#REF!</definedName>
    <definedName name="доля_продукции_Б_сут" localSheetId="10">'[135] накладные расходы'!#REF!</definedName>
    <definedName name="доля_продукции_Б_сут">'[135] накладные расходы'!#REF!</definedName>
    <definedName name="доля_соков" localSheetId="12">'[135] накладные расходы'!#REF!</definedName>
    <definedName name="доля_соков" localSheetId="11">'[135] накладные расходы'!#REF!</definedName>
    <definedName name="доля_соков" localSheetId="8">'[135] накладные расходы'!#REF!</definedName>
    <definedName name="доля_соков" localSheetId="9">'[135] накладные расходы'!#REF!</definedName>
    <definedName name="доля_соков" localSheetId="10">'[135] накладные расходы'!#REF!</definedName>
    <definedName name="доля_соков">'[135] накладные расходы'!#REF!</definedName>
    <definedName name="доопатмо" localSheetId="15">[7]!доопатмо</definedName>
    <definedName name="доопатмо" localSheetId="11">#N/A</definedName>
    <definedName name="доопатмо" localSheetId="8">#N/A</definedName>
    <definedName name="доопатмо" localSheetId="9">#N/A</definedName>
    <definedName name="доопатмо" localSheetId="6">#N/A</definedName>
    <definedName name="доопатмо" localSheetId="5">#N/A</definedName>
    <definedName name="доопатмо" localSheetId="4">#N/A</definedName>
    <definedName name="доопатмо">#N/A</definedName>
    <definedName name="Доход" localSheetId="15">#REF!</definedName>
    <definedName name="Доход" localSheetId="12">#REF!</definedName>
    <definedName name="Доход" localSheetId="11">#REF!</definedName>
    <definedName name="Доход" localSheetId="8">#REF!</definedName>
    <definedName name="Доход" localSheetId="9">#REF!</definedName>
    <definedName name="Доход" localSheetId="10">#REF!</definedName>
    <definedName name="Доход" localSheetId="6">#REF!</definedName>
    <definedName name="Доход" localSheetId="5">#REF!</definedName>
    <definedName name="Доход" localSheetId="4">#REF!</definedName>
    <definedName name="Доход">#REF!</definedName>
    <definedName name="Доход_1" localSheetId="15">#REF!</definedName>
    <definedName name="Доход_1" localSheetId="12">#REF!</definedName>
    <definedName name="Доход_1" localSheetId="11">#REF!</definedName>
    <definedName name="Доход_1" localSheetId="8">#REF!</definedName>
    <definedName name="Доход_1" localSheetId="9">#REF!</definedName>
    <definedName name="Доход_1" localSheetId="10">#REF!</definedName>
    <definedName name="Доход_1">#REF!</definedName>
    <definedName name="ДС" localSheetId="12">#REF!</definedName>
    <definedName name="ДС" localSheetId="11">#REF!</definedName>
    <definedName name="ДС" localSheetId="10">#REF!</definedName>
    <definedName name="ДС">#REF!</definedName>
    <definedName name="е" localSheetId="15">#REF!</definedName>
    <definedName name="е" localSheetId="12">#REF!</definedName>
    <definedName name="е" localSheetId="11">#REF!</definedName>
    <definedName name="е" localSheetId="8">#REF!</definedName>
    <definedName name="е" localSheetId="9">#REF!</definedName>
    <definedName name="е" localSheetId="10">#REF!</definedName>
    <definedName name="е">#REF!</definedName>
    <definedName name="е3екук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[136]Temp_TOV!$A$3:$EO$122</definedName>
    <definedName name="елнгл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15">#REF!</definedName>
    <definedName name="енгенг" localSheetId="12">#REF!</definedName>
    <definedName name="енгенг" localSheetId="11">#REF!</definedName>
    <definedName name="енгенг" localSheetId="8">#REF!</definedName>
    <definedName name="енгенг" localSheetId="9">#REF!</definedName>
    <definedName name="енгенг" localSheetId="10">#REF!</definedName>
    <definedName name="енгенг" localSheetId="6">#REF!</definedName>
    <definedName name="енгенг" localSheetId="5">#REF!</definedName>
    <definedName name="енгенг" localSheetId="4">#REF!</definedName>
    <definedName name="енгенг">#REF!</definedName>
    <definedName name="ено676он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ж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15">[7]!жд</definedName>
    <definedName name="жд" localSheetId="11">#N/A</definedName>
    <definedName name="жд" localSheetId="8">#N/A</definedName>
    <definedName name="жд" localSheetId="9">#N/A</definedName>
    <definedName name="жд" localSheetId="6">#N/A</definedName>
    <definedName name="жд" localSheetId="5">#N/A</definedName>
    <definedName name="жд" localSheetId="4">#N/A</definedName>
    <definedName name="жд">#N/A</definedName>
    <definedName name="жж" localSheetId="15" hidden="1">#REF!,#REF!,#REF!,амортизация!P1_SCOPE_PER_PRT,амортизация!P2_SCOPE_PER_PRT,амортизация!P3_SCOPE_PER_PRT,амортизация!P4_SCOPE_PER_PRT</definedName>
    <definedName name="жж" localSheetId="2">#REF!</definedName>
    <definedName name="жж" localSheetId="3">#REF!</definedName>
    <definedName name="жж" localSheetId="12">#REF!</definedName>
    <definedName name="жж" localSheetId="11">#REF!</definedName>
    <definedName name="жж" localSheetId="8">#REF!</definedName>
    <definedName name="жж" localSheetId="9">#REF!</definedName>
    <definedName name="жж" localSheetId="10">#REF!</definedName>
    <definedName name="жж" localSheetId="6">#REF!</definedName>
    <definedName name="жж" localSheetId="5">#REF!</definedName>
    <definedName name="жж" localSheetId="4">#REF!</definedName>
    <definedName name="жж">#REF!</definedName>
    <definedName name="жжж3" localSheetId="12">#REF!</definedName>
    <definedName name="жжж3" localSheetId="11">#REF!</definedName>
    <definedName name="жжж3" localSheetId="6">#REF!</definedName>
    <definedName name="жжж3" localSheetId="5">#REF!</definedName>
    <definedName name="жжж3" localSheetId="4">#REF!</definedName>
    <definedName name="жжж3">#REF!</definedName>
    <definedName name="з" localSheetId="15">#REF!</definedName>
    <definedName name="з" localSheetId="12">#REF!</definedName>
    <definedName name="з" localSheetId="11">#REF!</definedName>
    <definedName name="з" localSheetId="8">#REF!</definedName>
    <definedName name="з" localSheetId="9">#REF!</definedName>
    <definedName name="з" localSheetId="10">#REF!</definedName>
    <definedName name="з">#REF!</definedName>
    <definedName name="з4" localSheetId="15">#REF!</definedName>
    <definedName name="з4" localSheetId="12">#REF!</definedName>
    <definedName name="з4" localSheetId="11">#REF!</definedName>
    <definedName name="з4" localSheetId="8">#REF!</definedName>
    <definedName name="з4" localSheetId="9">#REF!</definedName>
    <definedName name="з4" localSheetId="10">#REF!</definedName>
    <definedName name="з4">#REF!</definedName>
    <definedName name="_xlnm.Print_Titles" localSheetId="15">#REF!</definedName>
    <definedName name="_xlnm.Print_Titles" localSheetId="1">'Кальк.2019-2023 (ДИ)'!$5:$6</definedName>
    <definedName name="_xlnm.Print_Titles" localSheetId="2">'Кальк.2019-2023 (ДИ) (2)'!$5:$6</definedName>
    <definedName name="_xlnm.Print_Titles" localSheetId="3">'Кальк.2019-2023 (ДИ) (3)'!$5:$6</definedName>
    <definedName name="_xlnm.Print_Titles" localSheetId="12">#REF!</definedName>
    <definedName name="_xlnm.Print_Titles" localSheetId="11">#REF!</definedName>
    <definedName name="_xlnm.Print_Titles" localSheetId="9">#REF!</definedName>
    <definedName name="_xlnm.Print_Titles" localSheetId="10">#REF!</definedName>
    <definedName name="_xlnm.Print_Titles" localSheetId="5">#REF!</definedName>
    <definedName name="_xlnm.Print_Titles" localSheetId="4">#REF!</definedName>
    <definedName name="_xlnm.Print_Titles">#REF!</definedName>
    <definedName name="Заголовок_Валюта" localSheetId="12">#REF!</definedName>
    <definedName name="Заголовок_Валюта" localSheetId="11">#REF!</definedName>
    <definedName name="Заголовок_Валюта" localSheetId="10">#REF!</definedName>
    <definedName name="Заголовок_Валюта">#REF!</definedName>
    <definedName name="Заголовок_НДЕ" localSheetId="12">#REF!</definedName>
    <definedName name="Заголовок_НДЕ" localSheetId="11">#REF!</definedName>
    <definedName name="Заголовок_НДЕ" localSheetId="10">#REF!</definedName>
    <definedName name="Заголовок_НДЕ">#REF!</definedName>
    <definedName name="записка" localSheetId="12">'[137]БСС-2'!#REF!</definedName>
    <definedName name="записка" localSheetId="11">'[137]БСС-2'!#REF!</definedName>
    <definedName name="записка">'[137]БСС-2'!#REF!</definedName>
    <definedName name="Затраты" localSheetId="15">#REF!</definedName>
    <definedName name="Затраты" localSheetId="12">#REF!</definedName>
    <definedName name="Затраты" localSheetId="11">#REF!</definedName>
    <definedName name="Затраты" localSheetId="8">#REF!</definedName>
    <definedName name="Затраты" localSheetId="9">#REF!</definedName>
    <definedName name="Затраты" localSheetId="10">#REF!</definedName>
    <definedName name="Затраты" localSheetId="6">#REF!</definedName>
    <definedName name="Затраты" localSheetId="5">#REF!</definedName>
    <definedName name="Затраты" localSheetId="4">#REF!</definedName>
    <definedName name="Затраты">#REF!</definedName>
    <definedName name="Затраты_1_4">'[130]Справочник затрат_СБ'!$E$5:$E$68</definedName>
    <definedName name="Затраты_2" localSheetId="15">#REF!</definedName>
    <definedName name="Затраты_2" localSheetId="12">#REF!</definedName>
    <definedName name="Затраты_2" localSheetId="11">#REF!</definedName>
    <definedName name="Затраты_2" localSheetId="8">#REF!</definedName>
    <definedName name="Затраты_2" localSheetId="9">#REF!</definedName>
    <definedName name="Затраты_2" localSheetId="10">#REF!</definedName>
    <definedName name="Затраты_2" localSheetId="6">#REF!</definedName>
    <definedName name="Затраты_2" localSheetId="5">#REF!</definedName>
    <definedName name="Затраты_2" localSheetId="4">#REF!</definedName>
    <definedName name="Затраты_2">#REF!</definedName>
    <definedName name="зп_производство">[126]ЗПрасчет!$E$6</definedName>
    <definedName name="зп_транспорт">[126]ЗПрасчет!$E$7</definedName>
    <definedName name="И" localSheetId="2">#REF!</definedName>
    <definedName name="И" localSheetId="3">#REF!</definedName>
    <definedName name="И" localSheetId="12">#REF!</definedName>
    <definedName name="И" localSheetId="11">#REF!</definedName>
    <definedName name="И" localSheetId="6">#REF!</definedName>
    <definedName name="И" localSheetId="5">#REF!</definedName>
    <definedName name="И" localSheetId="4">#REF!</definedName>
    <definedName name="И">#REF!</definedName>
    <definedName name="й" localSheetId="15">#REF!</definedName>
    <definedName name="й" localSheetId="12">#REF!</definedName>
    <definedName name="й" localSheetId="11">#REF!</definedName>
    <definedName name="й" localSheetId="8">#REF!</definedName>
    <definedName name="й" localSheetId="9">#REF!</definedName>
    <definedName name="й" localSheetId="10">#REF!</definedName>
    <definedName name="й">#REF!</definedName>
    <definedName name="И1" localSheetId="12">#REF!</definedName>
    <definedName name="И1" localSheetId="11">#REF!</definedName>
    <definedName name="И1">#REF!</definedName>
    <definedName name="й12" localSheetId="15">#REF!</definedName>
    <definedName name="й12" localSheetId="12">#REF!</definedName>
    <definedName name="й12" localSheetId="11">#REF!</definedName>
    <definedName name="й12" localSheetId="8">#REF!</definedName>
    <definedName name="й12" localSheetId="9">#REF!</definedName>
    <definedName name="й12" localSheetId="10">#REF!</definedName>
    <definedName name="й12">#REF!</definedName>
    <definedName name="и2" localSheetId="12">#REF!</definedName>
    <definedName name="и2" localSheetId="11">#REF!</definedName>
    <definedName name="и2">#REF!</definedName>
    <definedName name="и3" localSheetId="12">#REF!</definedName>
    <definedName name="и3" localSheetId="11">#REF!</definedName>
    <definedName name="и3">#REF!</definedName>
    <definedName name="и4" localSheetId="12">#REF!</definedName>
    <definedName name="и4" localSheetId="11">#REF!</definedName>
    <definedName name="и4">#REF!</definedName>
    <definedName name="й4535" localSheetId="12">#REF!</definedName>
    <definedName name="й4535" localSheetId="11">#REF!</definedName>
    <definedName name="й4535" localSheetId="8">#REF!</definedName>
    <definedName name="й4535" localSheetId="9">#REF!</definedName>
    <definedName name="й4535" localSheetId="10">#REF!</definedName>
    <definedName name="й4535">#REF!</definedName>
    <definedName name="Извлечение_ИМ" localSheetId="15">#REF!</definedName>
    <definedName name="Извлечение_ИМ" localSheetId="12">#REF!</definedName>
    <definedName name="Извлечение_ИМ" localSheetId="11">#REF!</definedName>
    <definedName name="Извлечение_ИМ" localSheetId="8">#REF!</definedName>
    <definedName name="Извлечение_ИМ" localSheetId="9">#REF!</definedName>
    <definedName name="Извлечение_ИМ" localSheetId="10">#REF!</definedName>
    <definedName name="Извлечение_ИМ">#REF!</definedName>
    <definedName name="_xlnm.Extract" localSheetId="15">#REF!</definedName>
    <definedName name="_xlnm.Extract" localSheetId="12">#REF!</definedName>
    <definedName name="_xlnm.Extract" localSheetId="11">#REF!</definedName>
    <definedName name="_xlnm.Extract" localSheetId="8">#REF!</definedName>
    <definedName name="_xlnm.Extract" localSheetId="9">#REF!</definedName>
    <definedName name="_xlnm.Extract" localSheetId="10">#REF!</definedName>
    <definedName name="_xlnm.Extract">#REF!</definedName>
    <definedName name="изм" localSheetId="12">#REF!</definedName>
    <definedName name="изм" localSheetId="11">#REF!</definedName>
    <definedName name="изм" localSheetId="8">#REF!</definedName>
    <definedName name="изм" localSheetId="9">#REF!</definedName>
    <definedName name="изм" localSheetId="10">#REF!</definedName>
    <definedName name="изм">#REF!</definedName>
    <definedName name="йй" localSheetId="15">[7]!йй</definedName>
    <definedName name="йй" localSheetId="11">#N/A</definedName>
    <definedName name="йй" localSheetId="8">#N/A</definedName>
    <definedName name="йй" localSheetId="9">#N/A</definedName>
    <definedName name="йй" localSheetId="6">#N/A</definedName>
    <definedName name="йй" localSheetId="5">#N/A</definedName>
    <definedName name="йй" localSheetId="4">#N/A</definedName>
    <definedName name="йй">#N/A</definedName>
    <definedName name="иии" localSheetId="3">#REF!</definedName>
    <definedName name="иии" localSheetId="12">#REF!</definedName>
    <definedName name="иии" localSheetId="11">#REF!</definedName>
    <definedName name="иии" localSheetId="8">#REF!</definedName>
    <definedName name="иии" localSheetId="9">#REF!</definedName>
    <definedName name="иии" localSheetId="10">#REF!</definedName>
    <definedName name="иии" localSheetId="6">#REF!</definedName>
    <definedName name="иии" localSheetId="5">#REF!</definedName>
    <definedName name="иии" localSheetId="4">#REF!</definedName>
    <definedName name="иии">#REF!</definedName>
    <definedName name="ииии" localSheetId="12">#REF!</definedName>
    <definedName name="ииии" localSheetId="11">#REF!</definedName>
    <definedName name="ииии" localSheetId="8">#REF!</definedName>
    <definedName name="ииии" localSheetId="9">#REF!</definedName>
    <definedName name="ииии" localSheetId="10">#REF!</definedName>
    <definedName name="ииии" localSheetId="6">#REF!</definedName>
    <definedName name="ииии" localSheetId="5">#REF!</definedName>
    <definedName name="ииии" localSheetId="4">#REF!</definedName>
    <definedName name="ииии">#REF!</definedName>
    <definedName name="йййййййййййййййййййййййй" localSheetId="15">[7]!йййййййййййййййййййййййй</definedName>
    <definedName name="йййййййййййййййййййййййй" localSheetId="11">#N/A</definedName>
    <definedName name="йййййййййййййййййййййййй" localSheetId="8">#N/A</definedName>
    <definedName name="йййййййййййййййййййййййй" localSheetId="9">#N/A</definedName>
    <definedName name="йййййййййййййййййййййййй" localSheetId="6">#N/A</definedName>
    <definedName name="йййййййййййййййййййййййй" localSheetId="5">#N/A</definedName>
    <definedName name="йййййййййййййййййййййййй" localSheetId="4">#N/A</definedName>
    <definedName name="йййййййййййййййййййййййй">#N/A</definedName>
    <definedName name="ииьиютиьролр" localSheetId="3">#REF!</definedName>
    <definedName name="ииьиютиьролр" localSheetId="12">#REF!</definedName>
    <definedName name="ииьиютиьролр" localSheetId="11">#REF!</definedName>
    <definedName name="ииьиютиьролр" localSheetId="8">#REF!</definedName>
    <definedName name="ииьиютиьролр" localSheetId="9">#REF!</definedName>
    <definedName name="ииьиютиьролр" localSheetId="10">#REF!</definedName>
    <definedName name="ииьиютиьролр" localSheetId="6">#REF!</definedName>
    <definedName name="ииьиютиьролр" localSheetId="5">#REF!</definedName>
    <definedName name="ииьиютиьролр" localSheetId="4">#REF!</definedName>
    <definedName name="ииьиютиьролр">#REF!</definedName>
    <definedName name="йкуа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3">#REF!</definedName>
    <definedName name="илго" localSheetId="12">#REF!</definedName>
    <definedName name="илго" localSheetId="11">#REF!</definedName>
    <definedName name="илго" localSheetId="8">#REF!</definedName>
    <definedName name="илго" localSheetId="9">#REF!</definedName>
    <definedName name="илго" localSheetId="10">#REF!</definedName>
    <definedName name="илго" localSheetId="6">#REF!</definedName>
    <definedName name="илго" localSheetId="5">#REF!</definedName>
    <definedName name="илго" localSheetId="4">#REF!</definedName>
    <definedName name="илго">#REF!</definedName>
    <definedName name="ИМТ">'[121]БСС-1'!$B$3</definedName>
    <definedName name="индекс" localSheetId="2">#REF!</definedName>
    <definedName name="индекс" localSheetId="3">#REF!</definedName>
    <definedName name="индекс" localSheetId="12">#REF!</definedName>
    <definedName name="индекс" localSheetId="11">#REF!</definedName>
    <definedName name="индекс" localSheetId="8">#REF!</definedName>
    <definedName name="индекс" localSheetId="9">#REF!</definedName>
    <definedName name="индекс" localSheetId="10">#REF!</definedName>
    <definedName name="индекс" localSheetId="6">#REF!</definedName>
    <definedName name="индекс" localSheetId="5">#REF!</definedName>
    <definedName name="индекс" localSheetId="4">#REF!</definedName>
    <definedName name="индекс">#REF!</definedName>
    <definedName name="ИНДЕКСЫ_2013" localSheetId="12">#REF!</definedName>
    <definedName name="ИНДЕКСЫ_2013" localSheetId="11">#REF!</definedName>
    <definedName name="ИНДЕКСЫ_2013" localSheetId="8">#REF!</definedName>
    <definedName name="ИНДЕКСЫ_2013" localSheetId="9">#REF!</definedName>
    <definedName name="ИНДЕКСЫ_2013" localSheetId="10">#REF!</definedName>
    <definedName name="ИНДЕКСЫ_2013">#REF!</definedName>
    <definedName name="индцкавг98" localSheetId="15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localSheetId="11" hidden="1">{#N/A,#N/A,TRUE,"Лист1";#N/A,#N/A,TRUE,"Лист2";#N/A,#N/A,TRUE,"Лист3"}</definedName>
    <definedName name="индцкавг98" localSheetId="8" hidden="1">{#N/A,#N/A,TRUE,"Лист1";#N/A,#N/A,TRUE,"Лист2";#N/A,#N/A,TRUE,"Лист3"}</definedName>
    <definedName name="индцкавг98" localSheetId="9" hidden="1">{#N/A,#N/A,TRUE,"Лист1";#N/A,#N/A,TRUE,"Лист2";#N/A,#N/A,TRUE,"Лист3"}</definedName>
    <definedName name="индцкавг98" localSheetId="10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15">#REF!</definedName>
    <definedName name="ип" localSheetId="12">#REF!</definedName>
    <definedName name="ип" localSheetId="11">#REF!</definedName>
    <definedName name="ип" localSheetId="8">#REF!</definedName>
    <definedName name="ип" localSheetId="9">#REF!</definedName>
    <definedName name="ип" localSheetId="10">#REF!</definedName>
    <definedName name="ип" localSheetId="6">#REF!</definedName>
    <definedName name="ип" localSheetId="5">#REF!</definedName>
    <definedName name="ип" localSheetId="4">#REF!</definedName>
    <definedName name="ип">#REF!</definedName>
    <definedName name="иролгрщр" localSheetId="15">#REF!</definedName>
    <definedName name="иролгрщр" localSheetId="12">#REF!</definedName>
    <definedName name="иролгрщр" localSheetId="11">#REF!</definedName>
    <definedName name="иролгрщр" localSheetId="8">#REF!</definedName>
    <definedName name="иролгрщр" localSheetId="9">#REF!</definedName>
    <definedName name="иролгрщр" localSheetId="10">#REF!</definedName>
    <definedName name="иролгрщр">#REF!</definedName>
    <definedName name="ИТ">'[121]БСС-1'!$B$3</definedName>
    <definedName name="йукей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15">#REF!</definedName>
    <definedName name="йуц3к" localSheetId="12">#REF!</definedName>
    <definedName name="йуц3к" localSheetId="11">#REF!</definedName>
    <definedName name="йуц3к" localSheetId="8">#REF!</definedName>
    <definedName name="йуц3к" localSheetId="9">#REF!</definedName>
    <definedName name="йуц3к" localSheetId="10">#REF!</definedName>
    <definedName name="йуц3к" localSheetId="6">#REF!</definedName>
    <definedName name="йуц3к" localSheetId="5">#REF!</definedName>
    <definedName name="йуц3к" localSheetId="4">#REF!</definedName>
    <definedName name="йуц3к">#REF!</definedName>
    <definedName name="йуцк" localSheetId="15">#REF!</definedName>
    <definedName name="йуцк" localSheetId="12">#REF!</definedName>
    <definedName name="йуцк" localSheetId="11">#REF!</definedName>
    <definedName name="йуцк" localSheetId="8">#REF!</definedName>
    <definedName name="йуцк" localSheetId="9">#REF!</definedName>
    <definedName name="йуцк" localSheetId="10">#REF!</definedName>
    <definedName name="йуцк">#REF!</definedName>
    <definedName name="йфц" localSheetId="15">[7]!йфц</definedName>
    <definedName name="йфц" localSheetId="11">#N/A</definedName>
    <definedName name="йфц" localSheetId="8">#N/A</definedName>
    <definedName name="йфц" localSheetId="9">#N/A</definedName>
    <definedName name="йфц" localSheetId="6">#N/A</definedName>
    <definedName name="йфц" localSheetId="5">#N/A</definedName>
    <definedName name="йфц" localSheetId="4">#N/A</definedName>
    <definedName name="йфц">#N/A</definedName>
    <definedName name="йц" localSheetId="15">[7]!йц</definedName>
    <definedName name="йц" localSheetId="11">#N/A</definedName>
    <definedName name="йц" localSheetId="8">#N/A</definedName>
    <definedName name="йц" localSheetId="9">#N/A</definedName>
    <definedName name="йц" localSheetId="6">#N/A</definedName>
    <definedName name="йц" localSheetId="5">#N/A</definedName>
    <definedName name="йц" localSheetId="4">#N/A</definedName>
    <definedName name="йц">#N/A</definedName>
    <definedName name="йц3" localSheetId="15">#REF!</definedName>
    <definedName name="йц3" localSheetId="12">#REF!</definedName>
    <definedName name="йц3" localSheetId="11">#REF!</definedName>
    <definedName name="йц3" localSheetId="8">#REF!</definedName>
    <definedName name="йц3" localSheetId="9">#REF!</definedName>
    <definedName name="йц3" localSheetId="10">#REF!</definedName>
    <definedName name="йц3" localSheetId="6">#REF!</definedName>
    <definedName name="йц3" localSheetId="5">#REF!</definedName>
    <definedName name="йц3" localSheetId="4">#REF!</definedName>
    <definedName name="йц3">#REF!</definedName>
    <definedName name="йцй" localSheetId="15">'[138]Справочно(январь)'!#REF!</definedName>
    <definedName name="йцй" localSheetId="12">'[138]Справочно(январь)'!#REF!</definedName>
    <definedName name="йцй" localSheetId="11">'[138]Справочно(январь)'!#REF!</definedName>
    <definedName name="йцй" localSheetId="8">'[138]Справочно(январь)'!#REF!</definedName>
    <definedName name="йцй" localSheetId="9">'[138]Справочно(январь)'!#REF!</definedName>
    <definedName name="йцй" localSheetId="10">'[138]Справочно(январь)'!#REF!</definedName>
    <definedName name="йцй" localSheetId="6">'[138]Справочно(январь)'!#REF!</definedName>
    <definedName name="йцй" localSheetId="5">'[138]Справочно(январь)'!#REF!</definedName>
    <definedName name="йцй" localSheetId="4">'[138]Справочно(январь)'!#REF!</definedName>
    <definedName name="йцй">'[138]Справочно(январь)'!#REF!</definedName>
    <definedName name="йцу" localSheetId="15">#REF!</definedName>
    <definedName name="йцу" localSheetId="12">#REF!</definedName>
    <definedName name="йцу" localSheetId="11">#REF!</definedName>
    <definedName name="йцу" localSheetId="8">#REF!</definedName>
    <definedName name="йцу" localSheetId="9">#REF!</definedName>
    <definedName name="йцу" localSheetId="10">#REF!</definedName>
    <definedName name="йцу" localSheetId="6">#REF!</definedName>
    <definedName name="йцу" localSheetId="5">#REF!</definedName>
    <definedName name="йцу" localSheetId="4">#REF!</definedName>
    <definedName name="йцу">#REF!</definedName>
    <definedName name="йцуйцуй" localSheetId="15">#REF!</definedName>
    <definedName name="йцуйцуй" localSheetId="12">#REF!</definedName>
    <definedName name="йцуйцуй" localSheetId="11">#REF!</definedName>
    <definedName name="йцуйцуй" localSheetId="8">#REF!</definedName>
    <definedName name="йцуйцуй" localSheetId="9">#REF!</definedName>
    <definedName name="йцуйцуй" localSheetId="10">#REF!</definedName>
    <definedName name="йцуйцуй">#REF!</definedName>
    <definedName name="йцук" localSheetId="15">#REF!</definedName>
    <definedName name="йцук" localSheetId="12">#REF!</definedName>
    <definedName name="йцук" localSheetId="11">#REF!</definedName>
    <definedName name="йцук" localSheetId="8">#REF!</definedName>
    <definedName name="йцук" localSheetId="9">#REF!</definedName>
    <definedName name="йцук" localSheetId="10">#REF!</definedName>
    <definedName name="йцук">#REF!</definedName>
    <definedName name="йцукай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 localSheetId="15">#REF!</definedName>
    <definedName name="июл" localSheetId="12">#REF!</definedName>
    <definedName name="июл" localSheetId="11">#REF!</definedName>
    <definedName name="июл" localSheetId="8">#REF!</definedName>
    <definedName name="июл" localSheetId="9">#REF!</definedName>
    <definedName name="июл" localSheetId="10">#REF!</definedName>
    <definedName name="июл" localSheetId="6">#REF!</definedName>
    <definedName name="июл" localSheetId="5">#REF!</definedName>
    <definedName name="июл" localSheetId="4">#REF!</definedName>
    <definedName name="июл">#REF!</definedName>
    <definedName name="июл2" localSheetId="12">#REF!</definedName>
    <definedName name="июл2" localSheetId="11">#REF!</definedName>
    <definedName name="июл2" localSheetId="8">#REF!</definedName>
    <definedName name="июл2" localSheetId="9">#REF!</definedName>
    <definedName name="июл2" localSheetId="10">#REF!</definedName>
    <definedName name="июл2">#REF!</definedName>
    <definedName name="июль" localSheetId="12">#REF!</definedName>
    <definedName name="июль" localSheetId="11">#REF!</definedName>
    <definedName name="июль" localSheetId="8">#REF!</definedName>
    <definedName name="июль" localSheetId="9">#REF!</definedName>
    <definedName name="июль" localSheetId="10">#REF!</definedName>
    <definedName name="июль">#REF!</definedName>
    <definedName name="июн" localSheetId="12">#REF!</definedName>
    <definedName name="июн" localSheetId="11">#REF!</definedName>
    <definedName name="июн" localSheetId="8">#REF!</definedName>
    <definedName name="июн" localSheetId="9">#REF!</definedName>
    <definedName name="июн" localSheetId="10">#REF!</definedName>
    <definedName name="июн">#REF!</definedName>
    <definedName name="июн2" localSheetId="12">#REF!</definedName>
    <definedName name="июн2" localSheetId="11">#REF!</definedName>
    <definedName name="июн2" localSheetId="8">#REF!</definedName>
    <definedName name="июн2" localSheetId="9">#REF!</definedName>
    <definedName name="июн2" localSheetId="10">#REF!</definedName>
    <definedName name="июн2">#REF!</definedName>
    <definedName name="июнмол" localSheetId="12">[139]Сибмол!#REF!</definedName>
    <definedName name="июнмол" localSheetId="11">[139]Сибмол!#REF!</definedName>
    <definedName name="июнмол" localSheetId="8">[139]Сибмол!#REF!</definedName>
    <definedName name="июнмол" localSheetId="9">[139]Сибмол!#REF!</definedName>
    <definedName name="июнмол" localSheetId="10">[139]Сибмол!#REF!</definedName>
    <definedName name="июнмол">[139]Сибмол!#REF!</definedName>
    <definedName name="июнмолоб" localSheetId="12">[139]Сибмол!#REF!</definedName>
    <definedName name="июнмолоб" localSheetId="11">[139]Сибмол!#REF!</definedName>
    <definedName name="июнмолоб" localSheetId="10">[139]Сибмол!#REF!</definedName>
    <definedName name="июнмолоб">[139]Сибмол!#REF!</definedName>
    <definedName name="июноб" localSheetId="12">[139]Сибмол!#REF!</definedName>
    <definedName name="июноб" localSheetId="11">[139]Сибмол!#REF!</definedName>
    <definedName name="июноб" localSheetId="10">[139]Сибмол!#REF!</definedName>
    <definedName name="июноб">[139]Сибмол!#REF!</definedName>
    <definedName name="июнчоб" localSheetId="12">[139]Сибмол!#REF!</definedName>
    <definedName name="июнчоб" localSheetId="11">[139]Сибмол!#REF!</definedName>
    <definedName name="июнчоб" localSheetId="10">[139]Сибмол!#REF!</definedName>
    <definedName name="июнчоб">[139]Сибмол!#REF!</definedName>
    <definedName name="июнь" localSheetId="15">#REF!</definedName>
    <definedName name="июнь" localSheetId="12">#REF!</definedName>
    <definedName name="июнь" localSheetId="11">#REF!</definedName>
    <definedName name="июнь" localSheetId="8">#REF!</definedName>
    <definedName name="июнь" localSheetId="9">#REF!</definedName>
    <definedName name="июнь" localSheetId="10">#REF!</definedName>
    <definedName name="июнь" localSheetId="6">#REF!</definedName>
    <definedName name="июнь" localSheetId="5">#REF!</definedName>
    <definedName name="июнь" localSheetId="4">#REF!</definedName>
    <definedName name="июнь">#REF!</definedName>
    <definedName name="к" localSheetId="15">#REF!</definedName>
    <definedName name="к" localSheetId="2">#REF!</definedName>
    <definedName name="к" localSheetId="12">#REF!</definedName>
    <definedName name="к" localSheetId="11">#REF!</definedName>
    <definedName name="к" localSheetId="8">#REF!</definedName>
    <definedName name="к" localSheetId="9">#REF!</definedName>
    <definedName name="к" localSheetId="10">#REF!</definedName>
    <definedName name="к" localSheetId="5">#REF!</definedName>
    <definedName name="к">#REF!</definedName>
    <definedName name="К1" localSheetId="15">'[140]7'!$B$29</definedName>
    <definedName name="К1" localSheetId="2">'[141]Приложение 3'!#REF!</definedName>
    <definedName name="К1" localSheetId="3">'[141]Приложение 3'!#REF!</definedName>
    <definedName name="К1" localSheetId="12">'[141]Приложение 3'!#REF!</definedName>
    <definedName name="К1" localSheetId="11">'[141]Приложение 3'!#REF!</definedName>
    <definedName name="К1" localSheetId="8">'[141]Приложение 3'!#REF!</definedName>
    <definedName name="К1" localSheetId="9">'[141]Приложение 3'!#REF!</definedName>
    <definedName name="К1" localSheetId="10">'[141]Приложение 3'!#REF!</definedName>
    <definedName name="К1" localSheetId="6">'[141]Приложение 3'!#REF!</definedName>
    <definedName name="К1" localSheetId="5">'[141]Приложение 3'!#REF!</definedName>
    <definedName name="К1" localSheetId="4">'[141]Приложение 3'!#REF!</definedName>
    <definedName name="К1">'[141]Приложение 3'!#REF!</definedName>
    <definedName name="к2" localSheetId="15">'[140]7'!$B$30</definedName>
    <definedName name="к2" localSheetId="2">'[142]7'!#REF!</definedName>
    <definedName name="к2" localSheetId="3">'[143]7'!#REF!</definedName>
    <definedName name="к2" localSheetId="12">'[142]7'!#REF!</definedName>
    <definedName name="к2" localSheetId="11">'[142]7'!#REF!</definedName>
    <definedName name="к2" localSheetId="8">'[142]7'!#REF!</definedName>
    <definedName name="к2" localSheetId="9">'[142]7'!#REF!</definedName>
    <definedName name="к2" localSheetId="10">'[144]7'!#REF!</definedName>
    <definedName name="к2" localSheetId="6">'[144]7'!#REF!</definedName>
    <definedName name="к2" localSheetId="5">'[144]7'!#REF!</definedName>
    <definedName name="к2" localSheetId="4">'[145]7'!#REF!</definedName>
    <definedName name="к2">'[142]7'!#REF!</definedName>
    <definedName name="канц" localSheetId="12">'[146]ФОТ по месяцам'!#REF!</definedName>
    <definedName name="канц" localSheetId="11">'[146]ФОТ по месяцам'!#REF!</definedName>
    <definedName name="канц" localSheetId="8">'[146]ФОТ по месяцам'!#REF!</definedName>
    <definedName name="канц" localSheetId="9">'[146]ФОТ по месяцам'!#REF!</definedName>
    <definedName name="канц" localSheetId="10">'[146]ФОТ по месяцам'!#REF!</definedName>
    <definedName name="канц" localSheetId="6">'[146]ФОТ по месяцам'!#REF!</definedName>
    <definedName name="канц" localSheetId="5">'[146]ФОТ по месяцам'!#REF!</definedName>
    <definedName name="канц" localSheetId="4">'[146]ФОТ по месяцам'!#REF!</definedName>
    <definedName name="канц">'[146]ФОТ по месяцам'!#REF!</definedName>
    <definedName name="Кап_влож_08_9мес">#N/A</definedName>
    <definedName name="Категория" localSheetId="3">[147]Категории!$A$2:$A$7</definedName>
    <definedName name="Категория" localSheetId="4">[147]Категории!$A$2:$A$7</definedName>
    <definedName name="Категория">[148]Категории!$A$2:$A$7</definedName>
    <definedName name="кацукцук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в3" localSheetId="15">[7]!кв3</definedName>
    <definedName name="кв3" localSheetId="11">#N/A</definedName>
    <definedName name="кв3" localSheetId="8">#N/A</definedName>
    <definedName name="кв3" localSheetId="9">#N/A</definedName>
    <definedName name="кв3" localSheetId="6">#N/A</definedName>
    <definedName name="кв3" localSheetId="5">#N/A</definedName>
    <definedName name="кв3" localSheetId="4">#N/A</definedName>
    <definedName name="кв3">#N/A</definedName>
    <definedName name="квартал" localSheetId="15">[7]!квартал</definedName>
    <definedName name="квартал" localSheetId="11">#N/A</definedName>
    <definedName name="квартал" localSheetId="8">#N/A</definedName>
    <definedName name="квартал" localSheetId="9">#N/A</definedName>
    <definedName name="квартал" localSheetId="6">#N/A</definedName>
    <definedName name="квартал" localSheetId="5">#N/A</definedName>
    <definedName name="квартал" localSheetId="4">#N/A</definedName>
    <definedName name="квартал">#N/A</definedName>
    <definedName name="ке" localSheetId="15">[7]!ке</definedName>
    <definedName name="ке" localSheetId="11">#N/A</definedName>
    <definedName name="ке" localSheetId="8">#N/A</definedName>
    <definedName name="ке" localSheetId="9">#N/A</definedName>
    <definedName name="ке" localSheetId="6">#N/A</definedName>
    <definedName name="ке" localSheetId="5">#N/A</definedName>
    <definedName name="ке" localSheetId="4">#N/A</definedName>
    <definedName name="ке">#N/A</definedName>
    <definedName name="кен45нк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15" hidden="1">#REF!,#REF!,#REF!,амортизация!P1_SCOPE_PER_PRT,амортизация!P2_SCOPE_PER_PRT,амортизация!P3_SCOPE_PER_PRT,амортизация!P4_SCOPE_PER_PRT</definedName>
    <definedName name="кеныргекны" localSheetId="2" hidden="1">#REF!,#REF!,#REF!,P1_SCOPE_PER_PRT,P2_SCOPE_PER_PRT,P3_SCOPE_PER_PRT,P4_SCOPE_PER_PRT</definedName>
    <definedName name="кеныргекны" localSheetId="3" hidden="1">#REF!,#REF!,#REF!,P1_SCOPE_PER_PRT,P2_SCOPE_PER_PRT,P3_SCOPE_PER_PRT,P4_SCOPE_PER_PRT</definedName>
    <definedName name="кеныргекны" localSheetId="12" hidden="1">#REF!,#REF!,#REF!,'переменные на 5 лет'!P1_SCOPE_PER_PRT,'переменные на 5 лет'!P2_SCOPE_PER_PRT,'переменные на 5 лет'!P3_SCOPE_PER_PRT,'переменные на 5 лет'!P4_SCOPE_PER_PRT</definedName>
    <definedName name="кеныргекны" localSheetId="7" hidden="1">#REF!,#REF!,#REF!,подконтрольные!P1_SCOPE_PER_PRT,подконтрольные!P2_SCOPE_PER_PRT,подконтрольные!P3_SCOPE_PER_PRT,подконтрольные!P4_SCOPE_PER_PRT</definedName>
    <definedName name="кеныргекны" localSheetId="11" hidden="1">#REF!,#REF!,#REF!,'Прил 6 к расп'!P1_SCOPE_PER_PRT,'Прил 6 к расп'!P2_SCOPE_PER_PRT,'Прил 6 к расп'!P3_SCOPE_PER_PRT,'Прил 6 к расп'!P4_SCOPE_PER_PRT</definedName>
    <definedName name="кеныргекны" localSheetId="8" hidden="1">#REF!,#REF!,#REF!,Прил2!P1_SCOPE_PER_PRT,Прил2!P2_SCOPE_PER_PRT,Прил2!P3_SCOPE_PER_PRT,Прил2!P4_SCOPE_PER_PRT</definedName>
    <definedName name="кеныргекны" localSheetId="9" hidden="1">#REF!,#REF!,#REF!,Прил3!P1_SCOPE_PER_PRT,Прил3!P2_SCOPE_PER_PRT,Прил3!P3_SCOPE_PER_PRT,Прил3!P4_SCOPE_PER_PRT</definedName>
    <definedName name="кеныргекны" localSheetId="10" hidden="1">#REF!,#REF!,#REF!,Прил4!P1_SCOPE_PER_PRT,Прил4!P2_SCOPE_PER_PRT,Прил4!P3_SCOPE_PER_PRT,Прил4!P4_SCOPE_PER_PRT</definedName>
    <definedName name="кеныргекны" localSheetId="6" hidden="1">#REF!,#REF!,#REF!,Тарифы!P1_SCOPE_PER_PRT,Тарифы!P2_SCOPE_PER_PRT,Тарифы!P3_SCOPE_PER_PRT,Тарифы!P4_SCOPE_PER_PRT</definedName>
    <definedName name="кеныргекны" localSheetId="5" hidden="1">#REF!,#REF!,#REF!,'Тарифы (2)'!P1_SCOPE_PER_PRT,'Тарифы (2)'!P2_SCOPE_PER_PRT,'Тарифы (2)'!P3_SCOPE_PER_PRT,'Тарифы (2)'!P4_SCOPE_PER_PRT</definedName>
    <definedName name="кеныргекны" localSheetId="4" hidden="1">#REF!,#REF!,#REF!,'Тарифы (3)'!P1_SCOPE_PER_PRT,'Тарифы (3)'!P2_SCOPE_PER_PRT,'Тарифы (3)'!P3_SCOPE_PER_PRT,'Тарифы (3)'!P4_SCOPE_PER_PRT</definedName>
    <definedName name="кеныргекны" hidden="1">#REF!,#REF!,#REF!,P1_SCOPE_PER_PRT,P2_SCOPE_PER_PRT,P3_SCOPE_PER_PRT,P4_SCOPE_PER_PRT</definedName>
    <definedName name="кеппппппппппп" localSheetId="15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localSheetId="11" hidden="1">{#N/A,#N/A,TRUE,"Лист1";#N/A,#N/A,TRUE,"Лист2";#N/A,#N/A,TRUE,"Лист3"}</definedName>
    <definedName name="кеппппппппппп" localSheetId="8" hidden="1">{#N/A,#N/A,TRUE,"Лист1";#N/A,#N/A,TRUE,"Лист2";#N/A,#N/A,TRUE,"Лист3"}</definedName>
    <definedName name="кеппппппппппп" localSheetId="9" hidden="1">{#N/A,#N/A,TRUE,"Лист1";#N/A,#N/A,TRUE,"Лист2";#N/A,#N/A,TRUE,"Лист3"}</definedName>
    <definedName name="кеппппппппппп" localSheetId="10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15" hidden="1">#REF!,#REF!,#REF!,амортизация!P1_SCOPE_PER_PRT,амортизация!P2_SCOPE_PER_PRT,амортизация!P3_SCOPE_PER_PRT,амортизация!P4_SCOPE_PER_PRT</definedName>
    <definedName name="кеы" localSheetId="2" hidden="1">#REF!,#REF!,#REF!,P1_SCOPE_PER_PRT,P2_SCOPE_PER_PRT,P3_SCOPE_PER_PRT,P4_SCOPE_PER_PRT</definedName>
    <definedName name="кеы" localSheetId="3" hidden="1">#REF!,#REF!,#REF!,P1_SCOPE_PER_PRT,P2_SCOPE_PER_PRT,P3_SCOPE_PER_PRT,P4_SCOPE_PER_PRT</definedName>
    <definedName name="кеы" localSheetId="12" hidden="1">#REF!,#REF!,#REF!,'переменные на 5 лет'!P1_SCOPE_PER_PRT,'переменные на 5 лет'!P2_SCOPE_PER_PRT,'переменные на 5 лет'!P3_SCOPE_PER_PRT,'переменные на 5 лет'!P4_SCOPE_PER_PRT</definedName>
    <definedName name="кеы" localSheetId="7" hidden="1">#REF!,#REF!,#REF!,подконтрольные!P1_SCOPE_PER_PRT,подконтрольные!P2_SCOPE_PER_PRT,подконтрольные!P3_SCOPE_PER_PRT,подконтрольные!P4_SCOPE_PER_PRT</definedName>
    <definedName name="кеы" localSheetId="11" hidden="1">#REF!,#REF!,#REF!,'Прил 6 к расп'!P1_SCOPE_PER_PRT,'Прил 6 к расп'!P2_SCOPE_PER_PRT,'Прил 6 к расп'!P3_SCOPE_PER_PRT,'Прил 6 к расп'!P4_SCOPE_PER_PRT</definedName>
    <definedName name="кеы" localSheetId="8" hidden="1">#REF!,#REF!,#REF!,Прил2!P1_SCOPE_PER_PRT,Прил2!P2_SCOPE_PER_PRT,Прил2!P3_SCOPE_PER_PRT,Прил2!P4_SCOPE_PER_PRT</definedName>
    <definedName name="кеы" localSheetId="9" hidden="1">#REF!,#REF!,#REF!,Прил3!P1_SCOPE_PER_PRT,Прил3!P2_SCOPE_PER_PRT,Прил3!P3_SCOPE_PER_PRT,Прил3!P4_SCOPE_PER_PRT</definedName>
    <definedName name="кеы" localSheetId="10" hidden="1">#REF!,#REF!,#REF!,Прил4!P1_SCOPE_PER_PRT,Прил4!P2_SCOPE_PER_PRT,Прил4!P3_SCOPE_PER_PRT,Прил4!P4_SCOPE_PER_PRT</definedName>
    <definedName name="кеы" localSheetId="6" hidden="1">#REF!,#REF!,#REF!,Тарифы!P1_SCOPE_PER_PRT,Тарифы!P2_SCOPE_PER_PRT,Тарифы!P3_SCOPE_PER_PRT,Тарифы!P4_SCOPE_PER_PRT</definedName>
    <definedName name="кеы" localSheetId="5" hidden="1">#REF!,#REF!,#REF!,'Тарифы (2)'!P1_SCOPE_PER_PRT,'Тарифы (2)'!P2_SCOPE_PER_PRT,'Тарифы (2)'!P3_SCOPE_PER_PRT,'Тарифы (2)'!P4_SCOPE_PER_PRT</definedName>
    <definedName name="кеы" localSheetId="4" hidden="1">#REF!,#REF!,#REF!,'Тарифы (3)'!P1_SCOPE_PER_PRT,'Тарифы (3)'!P2_SCOPE_PER_PRT,'Тарифы (3)'!P3_SCOPE_PER_PRT,'Тарифы (3)'!P4_SCOPE_PER_PRT</definedName>
    <definedName name="кеы" hidden="1">#REF!,#REF!,#REF!,P1_SCOPE_PER_PRT,P2_SCOPE_PER_PRT,P3_SCOPE_PER_PRT,P4_SCOPE_PER_PRT</definedName>
    <definedName name="ккк">'[149]накладные в %% факт'!$BP$62</definedName>
    <definedName name="кн45н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15">#REF!</definedName>
    <definedName name="Книга_1" localSheetId="12">#REF!</definedName>
    <definedName name="Книга_1" localSheetId="11">#REF!</definedName>
    <definedName name="Книга_1" localSheetId="8">#REF!</definedName>
    <definedName name="Книга_1" localSheetId="9">#REF!</definedName>
    <definedName name="Книга_1" localSheetId="10">#REF!</definedName>
    <definedName name="Книга_1" localSheetId="6">#REF!</definedName>
    <definedName name="Книга_1" localSheetId="5">#REF!</definedName>
    <definedName name="Книга_1" localSheetId="4">#REF!</definedName>
    <definedName name="Книга_1">#REF!</definedName>
    <definedName name="КНИГА_2" localSheetId="15">#REF!</definedName>
    <definedName name="КНИГА_2" localSheetId="12">#REF!</definedName>
    <definedName name="КНИГА_2" localSheetId="11">#REF!</definedName>
    <definedName name="КНИГА_2" localSheetId="8">#REF!</definedName>
    <definedName name="КНИГА_2" localSheetId="9">#REF!</definedName>
    <definedName name="КНИГА_2" localSheetId="10">#REF!</definedName>
    <definedName name="КНИГА_2">#REF!</definedName>
    <definedName name="Книга1" localSheetId="15">#REF!</definedName>
    <definedName name="Книга1" localSheetId="12">#REF!</definedName>
    <definedName name="Книга1" localSheetId="11">#REF!</definedName>
    <definedName name="Книга1" localSheetId="8">#REF!</definedName>
    <definedName name="Книга1" localSheetId="9">#REF!</definedName>
    <definedName name="Книга1" localSheetId="10">#REF!</definedName>
    <definedName name="Книга1">#REF!</definedName>
    <definedName name="кнрено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15">#REF!</definedName>
    <definedName name="кол_во_штат_ед" localSheetId="12">#REF!</definedName>
    <definedName name="кол_во_штат_ед" localSheetId="11">#REF!</definedName>
    <definedName name="кол_во_штат_ед" localSheetId="8">#REF!</definedName>
    <definedName name="кол_во_штат_ед" localSheetId="9">#REF!</definedName>
    <definedName name="кол_во_штат_ед" localSheetId="10">#REF!</definedName>
    <definedName name="кол_во_штат_ед" localSheetId="6">#REF!</definedName>
    <definedName name="кол_во_штат_ед" localSheetId="5">#REF!</definedName>
    <definedName name="кол_во_штат_ед" localSheetId="4">#REF!</definedName>
    <definedName name="кол_во_штат_ед">#REF!</definedName>
    <definedName name="Конец">12</definedName>
    <definedName name="коэф1" localSheetId="15">#REF!</definedName>
    <definedName name="коэф1" localSheetId="12">#REF!</definedName>
    <definedName name="коэф1" localSheetId="11">#REF!</definedName>
    <definedName name="коэф1" localSheetId="8">#REF!</definedName>
    <definedName name="коэф1" localSheetId="9">#REF!</definedName>
    <definedName name="коэф1" localSheetId="10">#REF!</definedName>
    <definedName name="коэф1" localSheetId="6">#REF!</definedName>
    <definedName name="коэф1" localSheetId="5">#REF!</definedName>
    <definedName name="коэф1" localSheetId="4">#REF!</definedName>
    <definedName name="коэф1">#REF!</definedName>
    <definedName name="коэф2" localSheetId="15">#REF!</definedName>
    <definedName name="коэф2" localSheetId="12">#REF!</definedName>
    <definedName name="коэф2" localSheetId="11">#REF!</definedName>
    <definedName name="коэф2" localSheetId="8">#REF!</definedName>
    <definedName name="коэф2" localSheetId="9">#REF!</definedName>
    <definedName name="коэф2" localSheetId="10">#REF!</definedName>
    <definedName name="коэф2">#REF!</definedName>
    <definedName name="коэф3" localSheetId="15">#REF!</definedName>
    <definedName name="коэф3" localSheetId="12">#REF!</definedName>
    <definedName name="коэф3" localSheetId="11">#REF!</definedName>
    <definedName name="коэф3" localSheetId="8">#REF!</definedName>
    <definedName name="коэф3" localSheetId="9">#REF!</definedName>
    <definedName name="коэф3" localSheetId="10">#REF!</definedName>
    <definedName name="коэф3">#REF!</definedName>
    <definedName name="коэф4" localSheetId="12">#REF!</definedName>
    <definedName name="коэф4" localSheetId="11">#REF!</definedName>
    <definedName name="коэф4" localSheetId="8">#REF!</definedName>
    <definedName name="коэф4" localSheetId="9">#REF!</definedName>
    <definedName name="коэф4" localSheetId="10">#REF!</definedName>
    <definedName name="коэф4">#REF!</definedName>
    <definedName name="КП" localSheetId="12">#REF!</definedName>
    <definedName name="КП" localSheetId="11">#REF!</definedName>
    <definedName name="КП" localSheetId="8">#REF!</definedName>
    <definedName name="КП" localSheetId="9">#REF!</definedName>
    <definedName name="КП" localSheetId="10">#REF!</definedName>
    <definedName name="КП">#REF!</definedName>
    <definedName name="КП_февраль" localSheetId="12">#REF!</definedName>
    <definedName name="КП_февраль" localSheetId="11">#REF!</definedName>
    <definedName name="КП_февраль" localSheetId="8">#REF!</definedName>
    <definedName name="КП_февраль" localSheetId="9">#REF!</definedName>
    <definedName name="КП_февраль" localSheetId="10">#REF!</definedName>
    <definedName name="КП_февраль">#REF!</definedName>
    <definedName name="кпнрг" localSheetId="15">[7]!кпнрг</definedName>
    <definedName name="кпнрг" localSheetId="11">#N/A</definedName>
    <definedName name="кпнрг" localSheetId="8">#N/A</definedName>
    <definedName name="кпнрг" localSheetId="9">#N/A</definedName>
    <definedName name="кпнрг" localSheetId="6">#N/A</definedName>
    <definedName name="кпнрг" localSheetId="5">#N/A</definedName>
    <definedName name="кпнрг" localSheetId="4">#N/A</definedName>
    <definedName name="кпнрг">#N/A</definedName>
    <definedName name="кпукпцупвы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15">#REF!</definedName>
    <definedName name="_xlnm.Criteria" localSheetId="12">#REF!</definedName>
    <definedName name="_xlnm.Criteria" localSheetId="11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>#REF!</definedName>
    <definedName name="критерий" localSheetId="15">#REF!</definedName>
    <definedName name="критерий" localSheetId="12">#REF!</definedName>
    <definedName name="критерий" localSheetId="11">#REF!</definedName>
    <definedName name="критерий" localSheetId="8">#REF!</definedName>
    <definedName name="критерий" localSheetId="9">#REF!</definedName>
    <definedName name="критерий" localSheetId="10">#REF!</definedName>
    <definedName name="критерий">#REF!</definedName>
    <definedName name="Критерии_ИМ" localSheetId="15">#REF!</definedName>
    <definedName name="Критерии_ИМ" localSheetId="12">#REF!</definedName>
    <definedName name="Критерии_ИМ" localSheetId="11">#REF!</definedName>
    <definedName name="Критерии_ИМ" localSheetId="8">#REF!</definedName>
    <definedName name="Критерии_ИМ" localSheetId="9">#REF!</definedName>
    <definedName name="Критерии_ИМ" localSheetId="10">#REF!</definedName>
    <definedName name="Критерии_ИМ">#REF!</definedName>
    <definedName name="кс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3">#REF!</definedName>
    <definedName name="КСС" localSheetId="12">#REF!</definedName>
    <definedName name="КСС" localSheetId="11">#REF!</definedName>
    <definedName name="КСС" localSheetId="6">#REF!</definedName>
    <definedName name="КСС" localSheetId="5">#REF!</definedName>
    <definedName name="КСС" localSheetId="4">#REF!</definedName>
    <definedName name="КСС">#REF!</definedName>
    <definedName name="ктджщз" localSheetId="15">[7]!ктджщз</definedName>
    <definedName name="ктджщз" localSheetId="11">#N/A</definedName>
    <definedName name="ктджщз" localSheetId="8">#N/A</definedName>
    <definedName name="ктджщз" localSheetId="9">#N/A</definedName>
    <definedName name="ктджщз" localSheetId="6">#N/A</definedName>
    <definedName name="ктджщз" localSheetId="5">#N/A</definedName>
    <definedName name="ктджщз" localSheetId="4">#N/A</definedName>
    <definedName name="ктджщз">#N/A</definedName>
    <definedName name="кунекнук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15">#REF!</definedName>
    <definedName name="курс" localSheetId="12">#REF!</definedName>
    <definedName name="курс" localSheetId="11">#REF!</definedName>
    <definedName name="курс" localSheetId="8">#REF!</definedName>
    <definedName name="курс" localSheetId="9">#REF!</definedName>
    <definedName name="курс" localSheetId="10">#REF!</definedName>
    <definedName name="курс" localSheetId="6">#REF!</definedName>
    <definedName name="курс" localSheetId="5">#REF!</definedName>
    <definedName name="курс" localSheetId="4">#REF!</definedName>
    <definedName name="курс">#REF!</definedName>
    <definedName name="курс___рубль">'[150]план ФР'!$B$2</definedName>
    <definedName name="Курс_авг">'[6]#ССЫЛКА'!$N$4</definedName>
    <definedName name="Курс_дек">'[6]#ССЫЛКА'!$AP$4</definedName>
    <definedName name="курс_долл">[151]финрез!$B$42</definedName>
    <definedName name="Курс_июл">'[6]#ССЫЛКА'!$G$4</definedName>
    <definedName name="Курс_июнь" localSheetId="15">'[6]Изменения по статьям (2001)'!#REF!</definedName>
    <definedName name="Курс_июнь" localSheetId="2">'[6]Изменения по статьям (2001)'!#REF!</definedName>
    <definedName name="Курс_июнь" localSheetId="3">'[6]Изменения по статьям (2001)'!#REF!</definedName>
    <definedName name="Курс_июнь" localSheetId="12">'[6]Изменения по статьям (2001)'!#REF!</definedName>
    <definedName name="Курс_июнь" localSheetId="11">'[6]Изменения по статьям (2001)'!#REF!</definedName>
    <definedName name="Курс_июнь" localSheetId="8">'[6]Изменения по статьям (2001)'!#REF!</definedName>
    <definedName name="Курс_июнь" localSheetId="9">'[6]Изменения по статьям (2001)'!#REF!</definedName>
    <definedName name="Курс_июнь" localSheetId="10">'[6]Изменения по статьям (2001)'!#REF!</definedName>
    <definedName name="Курс_июнь" localSheetId="6">'[6]Изменения по статьям (2001)'!#REF!</definedName>
    <definedName name="Курс_июнь" localSheetId="5">'[6]Изменения по статьям (2001)'!#REF!</definedName>
    <definedName name="Курс_июнь" localSheetId="4">'[6]Изменения по статьям (2001)'!#REF!</definedName>
    <definedName name="Курс_июнь">'[6]Изменения по статьям (2001)'!#REF!</definedName>
    <definedName name="Курс_ноя">'[6]#ССЫЛКА'!$AI$4</definedName>
    <definedName name="Курс_окт">'[6]#ССЫЛКА'!$AB$4</definedName>
    <definedName name="курс_рубля" localSheetId="15">'[102]СОК накладные (ТК-Бишкек)'!#REF!</definedName>
    <definedName name="курс_рубля" localSheetId="2">'[102]СОК накладные (ТК-Бишкек)'!#REF!</definedName>
    <definedName name="курс_рубля" localSheetId="3">'[102]СОК накладные (ТК-Бишкек)'!#REF!</definedName>
    <definedName name="курс_рубля" localSheetId="12">'[102]СОК накладные (ТК-Бишкек)'!#REF!</definedName>
    <definedName name="курс_рубля" localSheetId="11">'[102]СОК накладные (ТК-Бишкек)'!#REF!</definedName>
    <definedName name="курс_рубля" localSheetId="8">'[102]СОК накладные (ТК-Бишкек)'!#REF!</definedName>
    <definedName name="курс_рубля" localSheetId="9">'[102]СОК накладные (ТК-Бишкек)'!#REF!</definedName>
    <definedName name="курс_рубля" localSheetId="10">'[102]СОК накладные (ТК-Бишкек)'!#REF!</definedName>
    <definedName name="курс_рубля" localSheetId="6">'[102]СОК накладные (ТК-Бишкек)'!#REF!</definedName>
    <definedName name="курс_рубля" localSheetId="5">'[102]СОК накладные (ТК-Бишкек)'!#REF!</definedName>
    <definedName name="курс_рубля" localSheetId="4">'[102]СОК накладные (ТК-Бишкек)'!#REF!</definedName>
    <definedName name="курс_рубля">'[102]СОК накладные (ТК-Бишкек)'!#REF!</definedName>
    <definedName name="Курс_сент">'[6]#ССЫЛКА'!$U$4</definedName>
    <definedName name="КурсATS" localSheetId="15">#REF!</definedName>
    <definedName name="КурсATS" localSheetId="12">#REF!</definedName>
    <definedName name="КурсATS" localSheetId="11">#REF!</definedName>
    <definedName name="КурсATS" localSheetId="8">#REF!</definedName>
    <definedName name="КурсATS" localSheetId="9">#REF!</definedName>
    <definedName name="КурсATS" localSheetId="10">#REF!</definedName>
    <definedName name="КурсATS" localSheetId="6">#REF!</definedName>
    <definedName name="КурсATS" localSheetId="5">#REF!</definedName>
    <definedName name="КурсATS" localSheetId="4">#REF!</definedName>
    <definedName name="КурсATS">#REF!</definedName>
    <definedName name="КурсDM" localSheetId="15">#REF!</definedName>
    <definedName name="КурсDM" localSheetId="12">#REF!</definedName>
    <definedName name="КурсDM" localSheetId="11">#REF!</definedName>
    <definedName name="КурсDM" localSheetId="8">#REF!</definedName>
    <definedName name="КурсDM" localSheetId="9">#REF!</definedName>
    <definedName name="КурсDM" localSheetId="10">#REF!</definedName>
    <definedName name="КурсDM">#REF!</definedName>
    <definedName name="КурсFM" localSheetId="15">#REF!</definedName>
    <definedName name="КурсFM" localSheetId="12">#REF!</definedName>
    <definedName name="КурсFM" localSheetId="11">#REF!</definedName>
    <definedName name="КурсFM" localSheetId="8">#REF!</definedName>
    <definedName name="КурсFM" localSheetId="9">#REF!</definedName>
    <definedName name="КурсFM" localSheetId="10">#REF!</definedName>
    <definedName name="КурсFM">#REF!</definedName>
    <definedName name="КурсFM1" localSheetId="12">#REF!</definedName>
    <definedName name="КурсFM1" localSheetId="11">#REF!</definedName>
    <definedName name="КурсFM1" localSheetId="8">#REF!</definedName>
    <definedName name="КурсFM1" localSheetId="9">#REF!</definedName>
    <definedName name="КурсFM1" localSheetId="10">#REF!</definedName>
    <definedName name="КурсFM1">#REF!</definedName>
    <definedName name="КурсUSD" localSheetId="12">#REF!</definedName>
    <definedName name="КурсUSD" localSheetId="11">#REF!</definedName>
    <definedName name="КурсUSD" localSheetId="8">#REF!</definedName>
    <definedName name="КурсUSD" localSheetId="9">#REF!</definedName>
    <definedName name="КурсUSD" localSheetId="10">#REF!</definedName>
    <definedName name="КурсUSD">#REF!</definedName>
    <definedName name="кцкенц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15">#REF!</definedName>
    <definedName name="л" localSheetId="12">#REF!</definedName>
    <definedName name="л" localSheetId="11">#REF!</definedName>
    <definedName name="л" localSheetId="8">#REF!</definedName>
    <definedName name="л" localSheetId="9">#REF!</definedName>
    <definedName name="л" localSheetId="10">#REF!</definedName>
    <definedName name="л" localSheetId="6">#REF!</definedName>
    <definedName name="л" localSheetId="5">#REF!</definedName>
    <definedName name="л" localSheetId="4">#REF!</definedName>
    <definedName name="л">#REF!</definedName>
    <definedName name="л4602_авг" localSheetId="15">#REF!</definedName>
    <definedName name="л4602_авг" localSheetId="12">#REF!</definedName>
    <definedName name="л4602_авг" localSheetId="11">#REF!</definedName>
    <definedName name="л4602_авг" localSheetId="8">#REF!</definedName>
    <definedName name="л4602_авг" localSheetId="9">#REF!</definedName>
    <definedName name="л4602_авг" localSheetId="10">#REF!</definedName>
    <definedName name="л4602_авг">#REF!</definedName>
    <definedName name="л460202" localSheetId="15">#REF!</definedName>
    <definedName name="л460202" localSheetId="12">#REF!</definedName>
    <definedName name="л460202" localSheetId="11">#REF!</definedName>
    <definedName name="л460202" localSheetId="8">#REF!</definedName>
    <definedName name="л460202" localSheetId="9">#REF!</definedName>
    <definedName name="л460202" localSheetId="10">#REF!</definedName>
    <definedName name="л460202">#REF!</definedName>
    <definedName name="л460203" localSheetId="12">#REF!</definedName>
    <definedName name="л460203" localSheetId="11">#REF!</definedName>
    <definedName name="л460203" localSheetId="8">#REF!</definedName>
    <definedName name="л460203" localSheetId="9">#REF!</definedName>
    <definedName name="л460203" localSheetId="10">#REF!</definedName>
    <definedName name="л460203">#REF!</definedName>
    <definedName name="л460204" localSheetId="12">#REF!</definedName>
    <definedName name="л460204" localSheetId="11">#REF!</definedName>
    <definedName name="л460204" localSheetId="8">#REF!</definedName>
    <definedName name="л460204" localSheetId="9">#REF!</definedName>
    <definedName name="л460204" localSheetId="10">#REF!</definedName>
    <definedName name="л460204">#REF!</definedName>
    <definedName name="л460205" localSheetId="12">#REF!</definedName>
    <definedName name="л460205" localSheetId="11">#REF!</definedName>
    <definedName name="л460205" localSheetId="8">#REF!</definedName>
    <definedName name="л460205" localSheetId="9">#REF!</definedName>
    <definedName name="л460205" localSheetId="10">#REF!</definedName>
    <definedName name="л460205">#REF!</definedName>
    <definedName name="л460302" localSheetId="12">#REF!</definedName>
    <definedName name="л460302" localSheetId="11">#REF!</definedName>
    <definedName name="л460302" localSheetId="8">#REF!</definedName>
    <definedName name="л460302" localSheetId="9">#REF!</definedName>
    <definedName name="л460302" localSheetId="10">#REF!</definedName>
    <definedName name="л460302">#REF!</definedName>
    <definedName name="л460305" localSheetId="12">#REF!</definedName>
    <definedName name="л460305" localSheetId="11">#REF!</definedName>
    <definedName name="л460305" localSheetId="8">#REF!</definedName>
    <definedName name="л460305" localSheetId="9">#REF!</definedName>
    <definedName name="л460305" localSheetId="10">#REF!</definedName>
    <definedName name="л460305">#REF!</definedName>
    <definedName name="л4604_авг" localSheetId="12">[17]УФА!#REF!</definedName>
    <definedName name="л4604_авг" localSheetId="11">[17]УФА!#REF!</definedName>
    <definedName name="л4604_авг" localSheetId="8">[17]УФА!#REF!</definedName>
    <definedName name="л4604_авг" localSheetId="9">[17]УФА!#REF!</definedName>
    <definedName name="л4604_авг" localSheetId="10">[17]УФА!#REF!</definedName>
    <definedName name="л4604_авг">[17]УФА!#REF!</definedName>
    <definedName name="л460401" localSheetId="15">#REF!</definedName>
    <definedName name="л460401" localSheetId="12">#REF!</definedName>
    <definedName name="л460401" localSheetId="11">#REF!</definedName>
    <definedName name="л460401" localSheetId="8">#REF!</definedName>
    <definedName name="л460401" localSheetId="9">#REF!</definedName>
    <definedName name="л460401" localSheetId="10">#REF!</definedName>
    <definedName name="л460401" localSheetId="6">#REF!</definedName>
    <definedName name="л460401" localSheetId="5">#REF!</definedName>
    <definedName name="л460401" localSheetId="4">#REF!</definedName>
    <definedName name="л460401">#REF!</definedName>
    <definedName name="л460402" localSheetId="15">#REF!</definedName>
    <definedName name="л460402" localSheetId="12">#REF!</definedName>
    <definedName name="л460402" localSheetId="11">#REF!</definedName>
    <definedName name="л460402" localSheetId="8">#REF!</definedName>
    <definedName name="л460402" localSheetId="9">#REF!</definedName>
    <definedName name="л460402" localSheetId="10">#REF!</definedName>
    <definedName name="л460402">#REF!</definedName>
    <definedName name="л460404" localSheetId="15">#REF!</definedName>
    <definedName name="л460404" localSheetId="12">#REF!</definedName>
    <definedName name="л460404" localSheetId="11">#REF!</definedName>
    <definedName name="л460404" localSheetId="8">#REF!</definedName>
    <definedName name="л460404" localSheetId="9">#REF!</definedName>
    <definedName name="л460404" localSheetId="10">#REF!</definedName>
    <definedName name="л460404">#REF!</definedName>
    <definedName name="л460405" localSheetId="12">#REF!</definedName>
    <definedName name="л460405" localSheetId="11">#REF!</definedName>
    <definedName name="л460405" localSheetId="8">#REF!</definedName>
    <definedName name="л460405" localSheetId="9">#REF!</definedName>
    <definedName name="л460405" localSheetId="10">#REF!</definedName>
    <definedName name="л460405">#REF!</definedName>
    <definedName name="л7" localSheetId="12">[139]Сибмол!#REF!</definedName>
    <definedName name="л7" localSheetId="11">[139]Сибмол!#REF!</definedName>
    <definedName name="л7" localSheetId="8">[139]Сибмол!#REF!</definedName>
    <definedName name="л7" localSheetId="9">[139]Сибмол!#REF!</definedName>
    <definedName name="л7" localSheetId="10">[139]Сибмол!#REF!</definedName>
    <definedName name="л7">[139]Сибмол!#REF!</definedName>
    <definedName name="л8" localSheetId="12">[139]Сибмол!#REF!</definedName>
    <definedName name="л8" localSheetId="11">[139]Сибмол!#REF!</definedName>
    <definedName name="л8" localSheetId="10">[139]Сибмол!#REF!</definedName>
    <definedName name="л8">[139]Сибмол!#REF!</definedName>
    <definedName name="лара" localSheetId="15">[7]!лара</definedName>
    <definedName name="лара" localSheetId="11">#N/A</definedName>
    <definedName name="лара" localSheetId="8">#N/A</definedName>
    <definedName name="лара" localSheetId="9">#N/A</definedName>
    <definedName name="лара" localSheetId="6">#N/A</definedName>
    <definedName name="лара" localSheetId="5">#N/A</definedName>
    <definedName name="лара" localSheetId="4">#N/A</definedName>
    <definedName name="лара">#N/A</definedName>
    <definedName name="лджэ.зд" localSheetId="15">#REF!</definedName>
    <definedName name="лджэ.зд" localSheetId="12">#REF!</definedName>
    <definedName name="лджэ.зд" localSheetId="11">#REF!</definedName>
    <definedName name="лджэ.зд" localSheetId="8">#REF!</definedName>
    <definedName name="лджэ.зд" localSheetId="9">#REF!</definedName>
    <definedName name="лджэ.зд" localSheetId="10">#REF!</definedName>
    <definedName name="лджэ.зд" localSheetId="6">#REF!</definedName>
    <definedName name="лджэ.зд" localSheetId="5">#REF!</definedName>
    <definedName name="лджэ.зд" localSheetId="4">#REF!</definedName>
    <definedName name="лджэ.зд">#REF!</definedName>
    <definedName name="лена" localSheetId="15">[7]!лена</definedName>
    <definedName name="лена" localSheetId="11">#N/A</definedName>
    <definedName name="лена" localSheetId="8">#N/A</definedName>
    <definedName name="лена" localSheetId="9">#N/A</definedName>
    <definedName name="лена" localSheetId="6">#N/A</definedName>
    <definedName name="лена" localSheetId="5">#N/A</definedName>
    <definedName name="лена" localSheetId="4">#N/A</definedName>
    <definedName name="лена">#N/A</definedName>
    <definedName name="лз" localSheetId="15">#REF!</definedName>
    <definedName name="лз" localSheetId="12">#REF!</definedName>
    <definedName name="лз" localSheetId="11">#REF!</definedName>
    <definedName name="лз" localSheetId="8">#REF!</definedName>
    <definedName name="лз" localSheetId="9">#REF!</definedName>
    <definedName name="лз" localSheetId="10">#REF!</definedName>
    <definedName name="лз" localSheetId="6">#REF!</definedName>
    <definedName name="лз" localSheetId="5">#REF!</definedName>
    <definedName name="лз" localSheetId="4">#REF!</definedName>
    <definedName name="лз">#REF!</definedName>
    <definedName name="лимит" localSheetId="15" hidden="1">{#N/A,#N/A,FALSE,"Себестоимсть-97"}</definedName>
    <definedName name="лимит" localSheetId="2" hidden="1">{#N/A,#N/A,FALSE,"Себестоимсть-97"}</definedName>
    <definedName name="лимит" localSheetId="3" hidden="1">{#N/A,#N/A,FALSE,"Себестоимсть-97"}</definedName>
    <definedName name="лимит" localSheetId="11" hidden="1">{#N/A,#N/A,FALSE,"Себестоимсть-97"}</definedName>
    <definedName name="лимит" localSheetId="8" hidden="1">{#N/A,#N/A,FALSE,"Себестоимсть-97"}</definedName>
    <definedName name="лимит" localSheetId="9" hidden="1">{#N/A,#N/A,FALSE,"Себестоимсть-97"}</definedName>
    <definedName name="лимит" localSheetId="10" hidden="1">{#N/A,#N/A,FALSE,"Себестоимсть-97"}</definedName>
    <definedName name="лимит" localSheetId="6" hidden="1">{#N/A,#N/A,FALSE,"Себестоимсть-97"}</definedName>
    <definedName name="лимит" localSheetId="5" hidden="1">{#N/A,#N/A,FALSE,"Себестоимсть-97"}</definedName>
    <definedName name="лимит" localSheetId="4" hidden="1">{#N/A,#N/A,FALSE,"Себестоимсть-97"}</definedName>
    <definedName name="лимит" hidden="1">{#N/A,#N/A,FALSE,"Себестоимсть-97"}</definedName>
    <definedName name="лимит1" localSheetId="15" hidden="1">{#N/A,#N/A,FALSE,"Себестоимсть-97"}</definedName>
    <definedName name="лимит1" localSheetId="2" hidden="1">{#N/A,#N/A,FALSE,"Себестоимсть-97"}</definedName>
    <definedName name="лимит1" localSheetId="3" hidden="1">{#N/A,#N/A,FALSE,"Себестоимсть-97"}</definedName>
    <definedName name="лимит1" localSheetId="11" hidden="1">{#N/A,#N/A,FALSE,"Себестоимсть-97"}</definedName>
    <definedName name="лимит1" localSheetId="8" hidden="1">{#N/A,#N/A,FALSE,"Себестоимсть-97"}</definedName>
    <definedName name="лимит1" localSheetId="9" hidden="1">{#N/A,#N/A,FALSE,"Себестоимсть-97"}</definedName>
    <definedName name="лимит1" localSheetId="10" hidden="1">{#N/A,#N/A,FALSE,"Себестоимсть-97"}</definedName>
    <definedName name="лимит1" localSheetId="6" hidden="1">{#N/A,#N/A,FALSE,"Себестоимсть-97"}</definedName>
    <definedName name="лимит1" localSheetId="5" hidden="1">{#N/A,#N/A,FALSE,"Себестоимсть-97"}</definedName>
    <definedName name="лимит1" localSheetId="4" hidden="1">{#N/A,#N/A,FALSE,"Себестоимсть-97"}</definedName>
    <definedName name="лимит1" hidden="1">{#N/A,#N/A,FALSE,"Себестоимсть-97"}</definedName>
    <definedName name="лист1" localSheetId="15">#REF!</definedName>
    <definedName name="лист1" localSheetId="12">#REF!</definedName>
    <definedName name="лист1" localSheetId="11">#REF!</definedName>
    <definedName name="лист1" localSheetId="8">#REF!</definedName>
    <definedName name="лист1" localSheetId="9">#REF!</definedName>
    <definedName name="лист1" localSheetId="10">#REF!</definedName>
    <definedName name="лист1" localSheetId="6">#REF!</definedName>
    <definedName name="лист1" localSheetId="5">#REF!</definedName>
    <definedName name="лист1" localSheetId="4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" localSheetId="3">#REF!</definedName>
    <definedName name="Лист2" localSheetId="12">#REF!</definedName>
    <definedName name="Лист2" localSheetId="11">#REF!</definedName>
    <definedName name="Лист2" localSheetId="6">#REF!</definedName>
    <definedName name="Лист2" localSheetId="5">#REF!</definedName>
    <definedName name="Лист2" localSheetId="4">#REF!</definedName>
    <definedName name="Лист2">#REF!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460105" localSheetId="15">#REF!</definedName>
    <definedName name="лист460105" localSheetId="12">#REF!</definedName>
    <definedName name="лист460105" localSheetId="11">#REF!</definedName>
    <definedName name="лист460105" localSheetId="8">#REF!</definedName>
    <definedName name="лист460105" localSheetId="9">#REF!</definedName>
    <definedName name="лист460105" localSheetId="10">#REF!</definedName>
    <definedName name="лист460105" localSheetId="6">#REF!</definedName>
    <definedName name="лист460105" localSheetId="5">#REF!</definedName>
    <definedName name="лист460105" localSheetId="4">#REF!</definedName>
    <definedName name="лист460105">#REF!</definedName>
    <definedName name="лист460201" localSheetId="15">#REF!</definedName>
    <definedName name="лист460201" localSheetId="12">#REF!</definedName>
    <definedName name="лист460201" localSheetId="11">#REF!</definedName>
    <definedName name="лист460201" localSheetId="8">#REF!</definedName>
    <definedName name="лист460201" localSheetId="9">#REF!</definedName>
    <definedName name="лист460201" localSheetId="1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15">[152]АНАЛИТ!$B$2:$B$87,[152]АНАЛИТ!#REF!,[152]АНАЛИТ!#REF!,[152]АНАЛИТ!$AB$2</definedName>
    <definedName name="лл" localSheetId="2">[152]АНАЛИТ!$B$2:$B$87,[152]АНАЛИТ!#REF!,[152]АНАЛИТ!#REF!,[152]АНАЛИТ!$AB$2</definedName>
    <definedName name="лл" localSheetId="3">[152]АНАЛИТ!$B$2:$B$87,[152]АНАЛИТ!#REF!,[152]АНАЛИТ!#REF!,[152]АНАЛИТ!$AB$2</definedName>
    <definedName name="лл" localSheetId="12">[152]АНАЛИТ!$B$2:$B$87,[152]АНАЛИТ!#REF!,[152]АНАЛИТ!#REF!,[152]АНАЛИТ!$AB$2</definedName>
    <definedName name="лл" localSheetId="11">[152]АНАЛИТ!$B$2:$B$87,[152]АНАЛИТ!#REF!,[152]АНАЛИТ!#REF!,[152]АНАЛИТ!$AB$2</definedName>
    <definedName name="лл" localSheetId="8">[152]АНАЛИТ!$B$2:$B$87,[152]АНАЛИТ!#REF!,[152]АНАЛИТ!#REF!,[152]АНАЛИТ!$AB$2</definedName>
    <definedName name="лл" localSheetId="9">[152]АНАЛИТ!$B$2:$B$87,[152]АНАЛИТ!#REF!,[152]АНАЛИТ!#REF!,[152]АНАЛИТ!$AB$2</definedName>
    <definedName name="лл" localSheetId="10">[152]АНАЛИТ!$B$2:$B$87,[152]АНАЛИТ!#REF!,[152]АНАЛИТ!#REF!,[152]АНАЛИТ!$AB$2</definedName>
    <definedName name="лл" localSheetId="6">[152]АНАЛИТ!$B$2:$B$87,[152]АНАЛИТ!#REF!,[152]АНАЛИТ!#REF!,[152]АНАЛИТ!$AB$2</definedName>
    <definedName name="лл" localSheetId="5">[152]АНАЛИТ!$B$2:$B$87,[152]АНАЛИТ!#REF!,[152]АНАЛИТ!#REF!,[152]АНАЛИТ!$AB$2</definedName>
    <definedName name="лл" localSheetId="4">[152]АНАЛИТ!$B$2:$B$87,[152]АНАЛИТ!#REF!,[152]АНАЛИТ!#REF!,[152]АНАЛИТ!$AB$2</definedName>
    <definedName name="лл">[152]АНАЛИТ!$B$2:$B$87,[152]АНАЛИТ!#REF!,[152]АНАЛИТ!#REF!,[152]АНАЛИТ!$AB$2</definedName>
    <definedName name="ллл" localSheetId="15">#REF!</definedName>
    <definedName name="ллл" localSheetId="12">#REF!</definedName>
    <definedName name="ллл" localSheetId="11">#REF!</definedName>
    <definedName name="ллл" localSheetId="8">#REF!</definedName>
    <definedName name="ллл" localSheetId="9">#REF!</definedName>
    <definedName name="ллл" localSheetId="10">#REF!</definedName>
    <definedName name="ллл" localSheetId="6">#REF!</definedName>
    <definedName name="ллл" localSheetId="5">#REF!</definedName>
    <definedName name="ллл" localSheetId="4">#REF!</definedName>
    <definedName name="ллл">#REF!</definedName>
    <definedName name="ло" localSheetId="15">[7]!ло</definedName>
    <definedName name="ло" localSheetId="11">#N/A</definedName>
    <definedName name="ло" localSheetId="8">#N/A</definedName>
    <definedName name="ло" localSheetId="9">#N/A</definedName>
    <definedName name="ло" localSheetId="6">#N/A</definedName>
    <definedName name="ло" localSheetId="5">#N/A</definedName>
    <definedName name="ло" localSheetId="4">#N/A</definedName>
    <definedName name="ло">#N/A</definedName>
    <definedName name="лод" localSheetId="15">[7]!лод</definedName>
    <definedName name="лод" localSheetId="11">#N/A</definedName>
    <definedName name="лод" localSheetId="8">#N/A</definedName>
    <definedName name="лод" localSheetId="9">#N/A</definedName>
    <definedName name="лод" localSheetId="6">#N/A</definedName>
    <definedName name="лод" localSheetId="5">#N/A</definedName>
    <definedName name="лод" localSheetId="4">#N/A</definedName>
    <definedName name="лод">#N/A</definedName>
    <definedName name="лор" localSheetId="15">[7]!лор</definedName>
    <definedName name="лор" localSheetId="11">#N/A</definedName>
    <definedName name="лор" localSheetId="8">#N/A</definedName>
    <definedName name="лор" localSheetId="9">#N/A</definedName>
    <definedName name="лор" localSheetId="6">#N/A</definedName>
    <definedName name="лор" localSheetId="5">#N/A</definedName>
    <definedName name="лор" localSheetId="4">#N/A</definedName>
    <definedName name="лор">#N/A</definedName>
    <definedName name="ЛПК" localSheetId="3">#REF!</definedName>
    <definedName name="ЛПК" localSheetId="12">#REF!</definedName>
    <definedName name="ЛПК" localSheetId="11">#REF!</definedName>
    <definedName name="ЛПК" localSheetId="6">#REF!</definedName>
    <definedName name="ЛПК" localSheetId="5">#REF!</definedName>
    <definedName name="ЛПК" localSheetId="4">#REF!</definedName>
    <definedName name="ЛПК">#REF!</definedName>
    <definedName name="лрпп" localSheetId="15">#REF!</definedName>
    <definedName name="лрпп" localSheetId="12">#REF!</definedName>
    <definedName name="лрпп" localSheetId="11">#REF!</definedName>
    <definedName name="лрпп" localSheetId="8">#REF!</definedName>
    <definedName name="лрпп" localSheetId="9">#REF!</definedName>
    <definedName name="лрпп" localSheetId="10">#REF!</definedName>
    <definedName name="лрпп">#REF!</definedName>
    <definedName name="лщжо" localSheetId="15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localSheetId="7" hidden="1">{#N/A,#N/A,TRUE,"Лист1";#N/A,#N/A,TRUE,"Лист2";#N/A,#N/A,TRUE,"Лист3"}</definedName>
    <definedName name="лщжо" localSheetId="11" hidden="1">{#N/A,#N/A,TRUE,"Лист1";#N/A,#N/A,TRUE,"Лист2";#N/A,#N/A,TRUE,"Лист3"}</definedName>
    <definedName name="лщжо" localSheetId="8" hidden="1">{#N/A,#N/A,TRUE,"Лист1";#N/A,#N/A,TRUE,"Лист2";#N/A,#N/A,TRUE,"Лист3"}</definedName>
    <definedName name="лщжо" localSheetId="9" hidden="1">{#N/A,#N/A,TRUE,"Лист1";#N/A,#N/A,TRUE,"Лист2";#N/A,#N/A,TRUE,"Лист3"}</definedName>
    <definedName name="лщжо" localSheetId="10" hidden="1">{#N/A,#N/A,TRUE,"Лист1";#N/A,#N/A,TRUE,"Лист2";#N/A,#N/A,TRUE,"Лист3"}</definedName>
    <definedName name="лщжо" localSheetId="6" hidden="1">{#N/A,#N/A,TRUE,"Лист1";#N/A,#N/A,TRUE,"Лист2";#N/A,#N/A,TRUE,"Лист3"}</definedName>
    <definedName name="лщжо" localSheetId="5" hidden="1">{#N/A,#N/A,TRUE,"Лист1";#N/A,#N/A,TRUE,"Лист2";#N/A,#N/A,TRUE,"Лист3"}</definedName>
    <definedName name="лщжо" localSheetId="4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15">#REF!</definedName>
    <definedName name="м" localSheetId="12">#REF!</definedName>
    <definedName name="м" localSheetId="11">#REF!</definedName>
    <definedName name="м" localSheetId="8">#REF!</definedName>
    <definedName name="м" localSheetId="9">#REF!</definedName>
    <definedName name="м" localSheetId="10">#REF!</definedName>
    <definedName name="м" localSheetId="6">#REF!</definedName>
    <definedName name="м" localSheetId="5">#REF!</definedName>
    <definedName name="м" localSheetId="4">#REF!</definedName>
    <definedName name="м">#REF!</definedName>
    <definedName name="М1" localSheetId="12">[153]ПРОГНОЗ_1!#REF!</definedName>
    <definedName name="М1" localSheetId="11">[153]ПРОГНОЗ_1!#REF!</definedName>
    <definedName name="М1" localSheetId="10">[153]ПРОГНОЗ_1!#REF!</definedName>
    <definedName name="М1" localSheetId="6">[153]ПРОГНОЗ_1!#REF!</definedName>
    <definedName name="М1" localSheetId="5">[153]ПРОГНОЗ_1!#REF!</definedName>
    <definedName name="М1" localSheetId="4">[153]ПРОГНОЗ_1!#REF!</definedName>
    <definedName name="М1">[153]ПРОГНОЗ_1!#REF!</definedName>
    <definedName name="Магазины_новые">'[154]Справочник подразделений_нов '!$C$5:$C$45</definedName>
    <definedName name="май" localSheetId="15">#REF!</definedName>
    <definedName name="май" localSheetId="12">#REF!</definedName>
    <definedName name="май" localSheetId="11">#REF!</definedName>
    <definedName name="май" localSheetId="8">#REF!</definedName>
    <definedName name="май" localSheetId="9">#REF!</definedName>
    <definedName name="май" localSheetId="10">#REF!</definedName>
    <definedName name="май" localSheetId="6">#REF!</definedName>
    <definedName name="май" localSheetId="5">#REF!</definedName>
    <definedName name="май" localSheetId="4">#REF!</definedName>
    <definedName name="май">#REF!</definedName>
    <definedName name="май2" localSheetId="15">#REF!</definedName>
    <definedName name="май2" localSheetId="12">#REF!</definedName>
    <definedName name="май2" localSheetId="11">#REF!</definedName>
    <definedName name="май2" localSheetId="8">#REF!</definedName>
    <definedName name="май2" localSheetId="9">#REF!</definedName>
    <definedName name="май2" localSheetId="10">#REF!</definedName>
    <definedName name="май2">#REF!</definedName>
    <definedName name="мам" localSheetId="15">[7]!мам</definedName>
    <definedName name="мам" localSheetId="11">#N/A</definedName>
    <definedName name="мам" localSheetId="8">#N/A</definedName>
    <definedName name="мам" localSheetId="9">#N/A</definedName>
    <definedName name="мам" localSheetId="6">#N/A</definedName>
    <definedName name="мам" localSheetId="5">#N/A</definedName>
    <definedName name="мам" localSheetId="4">#N/A</definedName>
    <definedName name="мам">#N/A</definedName>
    <definedName name="мар" localSheetId="15">#REF!</definedName>
    <definedName name="мар" localSheetId="12">#REF!</definedName>
    <definedName name="мар" localSheetId="11">#REF!</definedName>
    <definedName name="мар" localSheetId="8">#REF!</definedName>
    <definedName name="мар" localSheetId="9">#REF!</definedName>
    <definedName name="мар" localSheetId="10">#REF!</definedName>
    <definedName name="мар" localSheetId="6">#REF!</definedName>
    <definedName name="мар" localSheetId="5">#REF!</definedName>
    <definedName name="мар" localSheetId="4">#REF!</definedName>
    <definedName name="мар">#REF!</definedName>
    <definedName name="мар2" localSheetId="15">#REF!</definedName>
    <definedName name="мар2" localSheetId="12">#REF!</definedName>
    <definedName name="мар2" localSheetId="11">#REF!</definedName>
    <definedName name="мар2" localSheetId="8">#REF!</definedName>
    <definedName name="мар2" localSheetId="9">#REF!</definedName>
    <definedName name="мар2" localSheetId="10">#REF!</definedName>
    <definedName name="мар2">#REF!</definedName>
    <definedName name="Материалы" localSheetId="12">#REF!</definedName>
    <definedName name="Материалы" localSheetId="11">#REF!</definedName>
    <definedName name="Материалы">#REF!</definedName>
    <definedName name="МатериалыДВП" localSheetId="12">#REF!</definedName>
    <definedName name="МатериалыДВП" localSheetId="11">#REF!</definedName>
    <definedName name="МатериалыДВП">#REF!</definedName>
    <definedName name="Месяц" localSheetId="15">[43]TSheet!$J$2:$J$13</definedName>
    <definedName name="Месяц" localSheetId="3">[44]TSheet!$J$2:$J$13</definedName>
    <definedName name="Месяц" localSheetId="11">[45]TSheet!$J$2:$J$13</definedName>
    <definedName name="Месяц" localSheetId="8">[45]TSheet!$J$2:$J$13</definedName>
    <definedName name="Месяц" localSheetId="9">[45]TSheet!$J$2:$J$13</definedName>
    <definedName name="Месяц" localSheetId="10">[46]TSheet!$J$2:$J$13</definedName>
    <definedName name="Месяц" localSheetId="6">[46]TSheet!$J$2:$J$13</definedName>
    <definedName name="Месяц" localSheetId="5">[46]TSheet!$J$2:$J$13</definedName>
    <definedName name="Месяц" localSheetId="4">[47]TSheet!$J$2:$J$13</definedName>
    <definedName name="Месяц">[48]TSheet!$J$2:$J$13</definedName>
    <definedName name="метод_расчета">[129]доп.!$B$1:$B$5</definedName>
    <definedName name="мимиь" localSheetId="15">#REF!</definedName>
    <definedName name="мимиь" localSheetId="12">#REF!</definedName>
    <definedName name="мимиь" localSheetId="11">#REF!</definedName>
    <definedName name="мимиь" localSheetId="8">#REF!</definedName>
    <definedName name="мимиь" localSheetId="9">#REF!</definedName>
    <definedName name="мимиь" localSheetId="10">#REF!</definedName>
    <definedName name="мимиь" localSheetId="6">#REF!</definedName>
    <definedName name="мимиь" localSheetId="5">#REF!</definedName>
    <definedName name="мимиь" localSheetId="4">#REF!</definedName>
    <definedName name="мимиь">#REF!</definedName>
    <definedName name="мирдт" localSheetId="15">#REF!</definedName>
    <definedName name="мирдт" localSheetId="12">#REF!</definedName>
    <definedName name="мирдт" localSheetId="11">#REF!</definedName>
    <definedName name="мирдт" localSheetId="8">#REF!</definedName>
    <definedName name="мирдт" localSheetId="9">#REF!</definedName>
    <definedName name="мирдт" localSheetId="10">#REF!</definedName>
    <definedName name="мирдт">#REF!</definedName>
    <definedName name="митолп" localSheetId="15">#REF!</definedName>
    <definedName name="митолп" localSheetId="12">#REF!</definedName>
    <definedName name="митолп" localSheetId="11">#REF!</definedName>
    <definedName name="митолп" localSheetId="8">#REF!</definedName>
    <definedName name="митолп" localSheetId="9">#REF!</definedName>
    <definedName name="митолп" localSheetId="10">#REF!</definedName>
    <definedName name="митолп">#REF!</definedName>
    <definedName name="Модель2" localSheetId="12">#REF!</definedName>
    <definedName name="Модель2" localSheetId="11">#REF!</definedName>
    <definedName name="Модель2" localSheetId="10">#REF!</definedName>
    <definedName name="Модель2">#REF!</definedName>
    <definedName name="молиюн" localSheetId="15">[139]Сибмол!#REF!</definedName>
    <definedName name="молиюн" localSheetId="12">[139]Сибмол!#REF!</definedName>
    <definedName name="молиюн" localSheetId="11">[139]Сибмол!#REF!</definedName>
    <definedName name="молиюн" localSheetId="8">[139]Сибмол!#REF!</definedName>
    <definedName name="молиюн" localSheetId="9">[139]Сибмол!#REF!</definedName>
    <definedName name="молиюн" localSheetId="10">[139]Сибмол!#REF!</definedName>
    <definedName name="молиюн">[139]Сибмол!#REF!</definedName>
    <definedName name="мом" localSheetId="15">#REF!</definedName>
    <definedName name="мом" localSheetId="12">#REF!</definedName>
    <definedName name="мом" localSheetId="11">#REF!</definedName>
    <definedName name="мом" localSheetId="8">#REF!</definedName>
    <definedName name="мом" localSheetId="9">#REF!</definedName>
    <definedName name="мом" localSheetId="10">#REF!</definedName>
    <definedName name="мом" localSheetId="6">#REF!</definedName>
    <definedName name="мом" localSheetId="5">#REF!</definedName>
    <definedName name="мом" localSheetId="4">#REF!</definedName>
    <definedName name="мом">#REF!</definedName>
    <definedName name="Мониторинг1" localSheetId="3">'[155]Гр5(о)'!#REF!</definedName>
    <definedName name="Мониторинг1" localSheetId="12">'[156]Гр5(о)'!#REF!</definedName>
    <definedName name="Мониторинг1" localSheetId="11">'[156]Гр5(о)'!#REF!</definedName>
    <definedName name="Мониторинг1" localSheetId="10">'[156]Гр5(о)'!#REF!</definedName>
    <definedName name="Мониторинг1" localSheetId="6">'[156]Гр5(о)'!#REF!</definedName>
    <definedName name="Мониторинг1" localSheetId="5">'[156]Гр5(о)'!#REF!</definedName>
    <definedName name="Мониторинг1" localSheetId="4">'[155]Гр5(о)'!#REF!</definedName>
    <definedName name="Мониторинг1">'[156]Гр5(о)'!#REF!</definedName>
    <definedName name="мопоморл" localSheetId="15">#REF!</definedName>
    <definedName name="мопоморл" localSheetId="12">#REF!</definedName>
    <definedName name="мопоморл" localSheetId="11">#REF!</definedName>
    <definedName name="мопоморл" localSheetId="8">#REF!</definedName>
    <definedName name="мопоморл" localSheetId="9">#REF!</definedName>
    <definedName name="мопоморл" localSheetId="10">#REF!</definedName>
    <definedName name="мопоморл" localSheetId="6">#REF!</definedName>
    <definedName name="мопоморл" localSheetId="5">#REF!</definedName>
    <definedName name="мопоморл" localSheetId="4">#REF!</definedName>
    <definedName name="мопоморл">#REF!</definedName>
    <definedName name="мр" localSheetId="15" hidden="1">{"Товар.выработка без продаж",#N/A,FALSE,"товар"}</definedName>
    <definedName name="мр" localSheetId="2" hidden="1">{"Товар.выработка без продаж",#N/A,FALSE,"товар"}</definedName>
    <definedName name="мр" localSheetId="3" hidden="1">{"Товар.выработка без продаж",#N/A,FALSE,"товар"}</definedName>
    <definedName name="мр" localSheetId="7" hidden="1">{"Товар.выработка без продаж",#N/A,FALSE,"товар"}</definedName>
    <definedName name="мр" localSheetId="11" hidden="1">{"Товар.выработка без продаж",#N/A,FALSE,"товар"}</definedName>
    <definedName name="мр" localSheetId="8" hidden="1">{"Товар.выработка без продаж",#N/A,FALSE,"товар"}</definedName>
    <definedName name="мр" localSheetId="9" hidden="1">{"Товар.выработка без продаж",#N/A,FALSE,"товар"}</definedName>
    <definedName name="мр" localSheetId="10" hidden="1">{"Товар.выработка без продаж",#N/A,FALSE,"товар"}</definedName>
    <definedName name="мр" localSheetId="6" hidden="1">{"Товар.выработка без продаж",#N/A,FALSE,"товар"}</definedName>
    <definedName name="мр" localSheetId="5" hidden="1">{"Товар.выработка без продаж",#N/A,FALSE,"товар"}</definedName>
    <definedName name="мр" localSheetId="4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15">#REF!</definedName>
    <definedName name="мрпаадлд" localSheetId="12">#REF!</definedName>
    <definedName name="мрпаадлд" localSheetId="11">#REF!</definedName>
    <definedName name="мрпаадлд" localSheetId="8">#REF!</definedName>
    <definedName name="мрпаадлд" localSheetId="9">#REF!</definedName>
    <definedName name="мрпаадлд" localSheetId="10">#REF!</definedName>
    <definedName name="мрпаадлд" localSheetId="6">#REF!</definedName>
    <definedName name="мрпаадлд" localSheetId="5">#REF!</definedName>
    <definedName name="мрпаадлд" localSheetId="4">#REF!</definedName>
    <definedName name="мрпаадлд">#REF!</definedName>
    <definedName name="мтбтдщооь" localSheetId="15">#REF!</definedName>
    <definedName name="мтбтдщооь" localSheetId="12">#REF!</definedName>
    <definedName name="мтбтдщооь" localSheetId="11">#REF!</definedName>
    <definedName name="мтбтдщооь" localSheetId="8">#REF!</definedName>
    <definedName name="мтбтдщооь" localSheetId="9">#REF!</definedName>
    <definedName name="мтбтдщооь" localSheetId="10">#REF!</definedName>
    <definedName name="мтбтдщооь">#REF!</definedName>
    <definedName name="мфзп_итог" localSheetId="15">#REF!</definedName>
    <definedName name="мфзп_итог" localSheetId="12">#REF!</definedName>
    <definedName name="мфзп_итог" localSheetId="11">#REF!</definedName>
    <definedName name="мфзп_итог" localSheetId="8">#REF!</definedName>
    <definedName name="мфзп_итог" localSheetId="9">#REF!</definedName>
    <definedName name="мфзп_итог" localSheetId="10">#REF!</definedName>
    <definedName name="мфзп_итог">#REF!</definedName>
    <definedName name="мым" localSheetId="15">[7]!мым</definedName>
    <definedName name="мым" localSheetId="11">#N/A</definedName>
    <definedName name="мым" localSheetId="8">#N/A</definedName>
    <definedName name="мым" localSheetId="9">#N/A</definedName>
    <definedName name="мым" localSheetId="6">#N/A</definedName>
    <definedName name="мым" localSheetId="5">#N/A</definedName>
    <definedName name="мым" localSheetId="4">#N/A</definedName>
    <definedName name="мым">#N/A</definedName>
    <definedName name="н" localSheetId="15">#REF!</definedName>
    <definedName name="н" localSheetId="12">#REF!</definedName>
    <definedName name="н" localSheetId="11">#REF!</definedName>
    <definedName name="н" localSheetId="8">#REF!</definedName>
    <definedName name="н" localSheetId="9">#REF!</definedName>
    <definedName name="н" localSheetId="10">#REF!</definedName>
    <definedName name="н" localSheetId="6">#REF!</definedName>
    <definedName name="н" localSheetId="5">#REF!</definedName>
    <definedName name="н" localSheetId="4">#REF!</definedName>
    <definedName name="н">#REF!</definedName>
    <definedName name="н4кенкен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им_орг" localSheetId="15">#REF!</definedName>
    <definedName name="наим_орг" localSheetId="12">#REF!</definedName>
    <definedName name="наим_орг" localSheetId="11">#REF!</definedName>
    <definedName name="наим_орг" localSheetId="8">#REF!</definedName>
    <definedName name="наим_орг" localSheetId="9">#REF!</definedName>
    <definedName name="наим_орг" localSheetId="10">#REF!</definedName>
    <definedName name="наим_орг" localSheetId="6">#REF!</definedName>
    <definedName name="наим_орг" localSheetId="5">#REF!</definedName>
    <definedName name="наим_орг" localSheetId="4">#REF!</definedName>
    <definedName name="наим_орг">#REF!</definedName>
    <definedName name="налоги" localSheetId="15">#REF!</definedName>
    <definedName name="налоги" localSheetId="12">#REF!</definedName>
    <definedName name="налоги" localSheetId="11">#REF!</definedName>
    <definedName name="налоги" localSheetId="8">#REF!</definedName>
    <definedName name="налоги" localSheetId="9">#REF!</definedName>
    <definedName name="налоги" localSheetId="10">#REF!</definedName>
    <definedName name="налоги">#REF!</definedName>
    <definedName name="Направление_затрат" localSheetId="15">#REF!</definedName>
    <definedName name="Направление_затрат" localSheetId="12">#REF!</definedName>
    <definedName name="Направление_затрат" localSheetId="11">#REF!</definedName>
    <definedName name="Направление_затрат" localSheetId="8">#REF!</definedName>
    <definedName name="Направление_затрат" localSheetId="9">#REF!</definedName>
    <definedName name="Направление_затрат" localSheetId="10">#REF!</definedName>
    <definedName name="Направление_затрат">#REF!</definedName>
    <definedName name="ната" localSheetId="12">#REF!</definedName>
    <definedName name="ната" localSheetId="11">#REF!</definedName>
    <definedName name="ната" localSheetId="8">#REF!</definedName>
    <definedName name="ната" localSheetId="9">#REF!</definedName>
    <definedName name="ната" localSheetId="10">#REF!</definedName>
    <definedName name="ната">#REF!</definedName>
    <definedName name="наташа" localSheetId="12">#REF!</definedName>
    <definedName name="наташа" localSheetId="11">#REF!</definedName>
    <definedName name="наташа" localSheetId="8">#REF!</definedName>
    <definedName name="наташа" localSheetId="9">#REF!</definedName>
    <definedName name="наташа" localSheetId="10">#REF!</definedName>
    <definedName name="наташа">#REF!</definedName>
    <definedName name="натре" localSheetId="12">#REF!</definedName>
    <definedName name="натре" localSheetId="11">#REF!</definedName>
    <definedName name="натре" localSheetId="8">#REF!</definedName>
    <definedName name="натре" localSheetId="9">#REF!</definedName>
    <definedName name="натре" localSheetId="10">#REF!</definedName>
    <definedName name="натре">#REF!</definedName>
    <definedName name="Начало">1</definedName>
    <definedName name="нвм" localSheetId="12">[125]БДР!#REF!</definedName>
    <definedName name="нвм" localSheetId="11">[125]БДР!#REF!</definedName>
    <definedName name="нвм">[125]БДР!#REF!</definedName>
    <definedName name="нг" localSheetId="15" hidden="1">{"'D'!$A$1:$E$13"}</definedName>
    <definedName name="нг" localSheetId="2" hidden="1">{"'D'!$A$1:$E$13"}</definedName>
    <definedName name="нг" localSheetId="3" hidden="1">{"'D'!$A$1:$E$13"}</definedName>
    <definedName name="нг" localSheetId="11" hidden="1">{"'D'!$A$1:$E$13"}</definedName>
    <definedName name="нг" localSheetId="8" hidden="1">{"'D'!$A$1:$E$13"}</definedName>
    <definedName name="нг" localSheetId="9" hidden="1">{"'D'!$A$1:$E$13"}</definedName>
    <definedName name="нг" localSheetId="10" hidden="1">{"'D'!$A$1:$E$13"}</definedName>
    <definedName name="нг" localSheetId="6" hidden="1">{"'D'!$A$1:$E$13"}</definedName>
    <definedName name="нг" localSheetId="5" hidden="1">{"'D'!$A$1:$E$13"}</definedName>
    <definedName name="нг" localSheetId="4" hidden="1">{"'D'!$A$1:$E$13"}</definedName>
    <definedName name="нг" hidden="1">{"'D'!$A$1:$E$13"}</definedName>
    <definedName name="нгг" localSheetId="15">[7]!нгг</definedName>
    <definedName name="нгг" localSheetId="11">#N/A</definedName>
    <definedName name="нгг" localSheetId="8">#N/A</definedName>
    <definedName name="нгг" localSheetId="9">#N/A</definedName>
    <definedName name="нгг" localSheetId="6">#N/A</definedName>
    <definedName name="нгг" localSheetId="5">#N/A</definedName>
    <definedName name="нгг" localSheetId="4">#N/A</definedName>
    <definedName name="нгг">#N/A</definedName>
    <definedName name="нггшл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15">#REF!</definedName>
    <definedName name="НДС" localSheetId="12">#REF!</definedName>
    <definedName name="НДС" localSheetId="11">#REF!</definedName>
    <definedName name="НДС" localSheetId="8">#REF!</definedName>
    <definedName name="НДС" localSheetId="9">#REF!</definedName>
    <definedName name="НДС" localSheetId="10">#REF!</definedName>
    <definedName name="НДС" localSheetId="6">#REF!</definedName>
    <definedName name="НДС" localSheetId="5">#REF!</definedName>
    <definedName name="НДС" localSheetId="4">#REF!</definedName>
    <definedName name="НДС">#REF!</definedName>
    <definedName name="нео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15">#REF!</definedName>
    <definedName name="нетп" localSheetId="12">#REF!</definedName>
    <definedName name="нетп" localSheetId="11">#REF!</definedName>
    <definedName name="нетп" localSheetId="8">#REF!</definedName>
    <definedName name="нетп" localSheetId="9">#REF!</definedName>
    <definedName name="нетп" localSheetId="10">#REF!</definedName>
    <definedName name="нетп" localSheetId="6">#REF!</definedName>
    <definedName name="нетп" localSheetId="5">#REF!</definedName>
    <definedName name="нетп" localSheetId="4">#REF!</definedName>
    <definedName name="нетп">#REF!</definedName>
    <definedName name="НоваяОборотка_Лист1_Таблица" localSheetId="15">#REF!</definedName>
    <definedName name="НоваяОборотка_Лист1_Таблица" localSheetId="12">#REF!</definedName>
    <definedName name="НоваяОборотка_Лист1_Таблица" localSheetId="11">#REF!</definedName>
    <definedName name="НоваяОборотка_Лист1_Таблица" localSheetId="8">#REF!</definedName>
    <definedName name="НоваяОборотка_Лист1_Таблица" localSheetId="9">#REF!</definedName>
    <definedName name="НоваяОборотка_Лист1_Таблица" localSheetId="10">#REF!</definedName>
    <definedName name="НоваяОборотка_Лист1_Таблица">#REF!</definedName>
    <definedName name="Новосиб_ЖД_ВБД" localSheetId="15">[157]Нск!#REF!</definedName>
    <definedName name="Новосиб_ЖД_ВБД" localSheetId="12">[157]Нск!#REF!</definedName>
    <definedName name="Новосиб_ЖД_ВБД" localSheetId="11">[157]Нск!#REF!</definedName>
    <definedName name="Новосиб_ЖД_ВБД" localSheetId="8">[157]Нск!#REF!</definedName>
    <definedName name="Новосиб_ЖД_ВБД" localSheetId="9">[157]Нск!#REF!</definedName>
    <definedName name="Новосиб_ЖД_ВБД" localSheetId="10">[157]Нск!#REF!</definedName>
    <definedName name="Новосиб_ЖД_ВБД">[157]Нск!#REF!</definedName>
    <definedName name="Новосиб_Сырье_СокиСибири" localSheetId="15">[157]Нск!#REF!</definedName>
    <definedName name="Новосиб_Сырье_СокиСибири" localSheetId="12">[157]Нск!#REF!</definedName>
    <definedName name="Новосиб_Сырье_СокиСибири" localSheetId="11">[157]Нск!#REF!</definedName>
    <definedName name="Новосиб_Сырье_СокиСибири" localSheetId="8">[157]Нск!#REF!</definedName>
    <definedName name="Новосиб_Сырье_СокиСибири" localSheetId="9">[157]Нск!#REF!</definedName>
    <definedName name="Новосиб_Сырье_СокиСибири" localSheetId="10">[157]Нск!#REF!</definedName>
    <definedName name="Новосиб_Сырье_СокиСибири">[157]Нск!#REF!</definedName>
    <definedName name="Новсиб_Сырье_ВБД" localSheetId="15">[157]Нск!#REF!</definedName>
    <definedName name="Новсиб_Сырье_ВБД" localSheetId="12">[157]Нск!#REF!</definedName>
    <definedName name="Новсиб_Сырье_ВБД" localSheetId="11">[157]Нск!#REF!</definedName>
    <definedName name="Новсиб_Сырье_ВБД" localSheetId="8">[157]Нск!#REF!</definedName>
    <definedName name="Новсиб_Сырье_ВБД" localSheetId="9">[157]Нск!#REF!</definedName>
    <definedName name="Новсиб_Сырье_ВБД" localSheetId="10">[157]Нск!#REF!</definedName>
    <definedName name="Новсиб_Сырье_ВБД">[157]Нск!#REF!</definedName>
    <definedName name="Новск_Сырье_ВБДиСырье_СС" localSheetId="15">[157]Нск!#REF!</definedName>
    <definedName name="Новск_Сырье_ВБДиСырье_СС" localSheetId="12">[157]Нск!#REF!</definedName>
    <definedName name="Новск_Сырье_ВБДиСырье_СС" localSheetId="11">[157]Нск!#REF!</definedName>
    <definedName name="Новск_Сырье_ВБДиСырье_СС" localSheetId="8">[157]Нск!#REF!</definedName>
    <definedName name="Новск_Сырье_ВБДиСырье_СС" localSheetId="9">[157]Нск!#REF!</definedName>
    <definedName name="Новск_Сырье_ВБДиСырье_СС" localSheetId="10">[157]Нск!#REF!</definedName>
    <definedName name="Новск_Сырье_ВБДиСырье_СС">[157]Нск!#REF!</definedName>
    <definedName name="новые_ОФ_2003" localSheetId="3">[104]рабочий!$F$305:$W$327</definedName>
    <definedName name="новые_ОФ_2003" localSheetId="6">[105]рабочий!$F$305:$W$327</definedName>
    <definedName name="новые_ОФ_2003" localSheetId="5">[105]рабочий!$F$305:$W$327</definedName>
    <definedName name="новые_ОФ_2003" localSheetId="4">[104]рабочий!$F$305:$W$327</definedName>
    <definedName name="новые_ОФ_2003">[105]рабочий!$F$305:$W$327</definedName>
    <definedName name="новые_ОФ_2004" localSheetId="3">[104]рабочий!$F$335:$W$357</definedName>
    <definedName name="новые_ОФ_2004" localSheetId="6">[105]рабочий!$F$335:$W$357</definedName>
    <definedName name="новые_ОФ_2004" localSheetId="5">[105]рабочий!$F$335:$W$357</definedName>
    <definedName name="новые_ОФ_2004" localSheetId="4">[104]рабочий!$F$335:$W$357</definedName>
    <definedName name="новые_ОФ_2004">[105]рабочий!$F$335:$W$357</definedName>
    <definedName name="новые_ОФ_а_всего" localSheetId="3">[104]рабочий!$F$767:$V$789</definedName>
    <definedName name="новые_ОФ_а_всего" localSheetId="6">[105]рабочий!$F$767:$V$789</definedName>
    <definedName name="новые_ОФ_а_всего" localSheetId="5">[105]рабочий!$F$767:$V$789</definedName>
    <definedName name="новые_ОФ_а_всего" localSheetId="4">[104]рабочий!$F$767:$V$789</definedName>
    <definedName name="новые_ОФ_а_всего">[105]рабочий!$F$767:$V$789</definedName>
    <definedName name="новые_ОФ_всего" localSheetId="3">[104]рабочий!$F$1331:$V$1353</definedName>
    <definedName name="новые_ОФ_всего" localSheetId="6">[105]рабочий!$F$1331:$V$1353</definedName>
    <definedName name="новые_ОФ_всего" localSheetId="5">[105]рабочий!$F$1331:$V$1353</definedName>
    <definedName name="новые_ОФ_всего" localSheetId="4">[104]рабочий!$F$1331:$V$1353</definedName>
    <definedName name="новые_ОФ_всего">[105]рабочий!$F$1331:$V$1353</definedName>
    <definedName name="новые_ОФ_п_всего" localSheetId="3">[104]рабочий!$F$1293:$V$1315</definedName>
    <definedName name="новые_ОФ_п_всего" localSheetId="6">[105]рабочий!$F$1293:$V$1315</definedName>
    <definedName name="новые_ОФ_п_всего" localSheetId="5">[105]рабочий!$F$1293:$V$1315</definedName>
    <definedName name="новые_ОФ_п_всего" localSheetId="4">[104]рабочий!$F$1293:$V$1315</definedName>
    <definedName name="новые_ОФ_п_всего">[105]рабочий!$F$1293:$V$1315</definedName>
    <definedName name="НОКЕНО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15">#REF!</definedName>
    <definedName name="Ном_группы" localSheetId="12">#REF!</definedName>
    <definedName name="Ном_группы" localSheetId="11">#REF!</definedName>
    <definedName name="Ном_группы" localSheetId="8">#REF!</definedName>
    <definedName name="Ном_группы" localSheetId="9">#REF!</definedName>
    <definedName name="Ном_группы" localSheetId="10">#REF!</definedName>
    <definedName name="Ном_группы" localSheetId="6">#REF!</definedName>
    <definedName name="Ном_группы" localSheetId="5">#REF!</definedName>
    <definedName name="Ном_группы" localSheetId="4">#REF!</definedName>
    <definedName name="Ном_группы">#REF!</definedName>
    <definedName name="ном_док" localSheetId="15">#REF!</definedName>
    <definedName name="ном_док" localSheetId="12">#REF!</definedName>
    <definedName name="ном_док" localSheetId="11">#REF!</definedName>
    <definedName name="ном_док" localSheetId="8">#REF!</definedName>
    <definedName name="ном_док" localSheetId="9">#REF!</definedName>
    <definedName name="ном_док" localSheetId="10">#REF!</definedName>
    <definedName name="ном_док">#REF!</definedName>
    <definedName name="ноп" localSheetId="12">#REF!</definedName>
    <definedName name="ноп" localSheetId="11">#REF!</definedName>
    <definedName name="ноп" localSheetId="10">#REF!</definedName>
    <definedName name="ноп">#REF!</definedName>
    <definedName name="норма" localSheetId="15">#REF!,#REF!,#REF!,#REF!,#REF!,#REF!,#REF!</definedName>
    <definedName name="норма" localSheetId="12">#REF!,#REF!,#REF!,#REF!,#REF!,#REF!,#REF!</definedName>
    <definedName name="норма" localSheetId="11">#REF!,#REF!,#REF!,#REF!,#REF!,#REF!,#REF!</definedName>
    <definedName name="норма" localSheetId="8">#REF!,#REF!,#REF!,#REF!,#REF!,#REF!,#REF!</definedName>
    <definedName name="норма" localSheetId="9">#REF!,#REF!,#REF!,#REF!,#REF!,#REF!,#REF!</definedName>
    <definedName name="норма" localSheetId="10">#REF!,#REF!,#REF!,#REF!,#REF!,#REF!,#REF!</definedName>
    <definedName name="норма" localSheetId="6">#REF!,#REF!,#REF!,#REF!,#REF!,#REF!,#REF!</definedName>
    <definedName name="норма" localSheetId="5">#REF!,#REF!,#REF!,#REF!,#REF!,#REF!,#REF!</definedName>
    <definedName name="норма" localSheetId="4">#REF!,#REF!,#REF!,#REF!,#REF!,#REF!,#REF!</definedName>
    <definedName name="норма">#REF!,#REF!,#REF!,#REF!,#REF!,#REF!,#REF!</definedName>
    <definedName name="ноя" localSheetId="15">#REF!</definedName>
    <definedName name="ноя" localSheetId="12">#REF!</definedName>
    <definedName name="ноя" localSheetId="11">#REF!</definedName>
    <definedName name="ноя" localSheetId="8">#REF!</definedName>
    <definedName name="ноя" localSheetId="9">#REF!</definedName>
    <definedName name="ноя" localSheetId="10">#REF!</definedName>
    <definedName name="ноя" localSheetId="6">#REF!</definedName>
    <definedName name="ноя" localSheetId="5">#REF!</definedName>
    <definedName name="ноя" localSheetId="4">#REF!</definedName>
    <definedName name="ноя">#REF!</definedName>
    <definedName name="ноя2" localSheetId="15">#REF!</definedName>
    <definedName name="ноя2" localSheetId="12">#REF!</definedName>
    <definedName name="ноя2" localSheetId="11">#REF!</definedName>
    <definedName name="ноя2" localSheetId="8">#REF!</definedName>
    <definedName name="ноя2" localSheetId="9">#REF!</definedName>
    <definedName name="ноя2" localSheetId="10">#REF!</definedName>
    <definedName name="ноя2">#REF!</definedName>
    <definedName name="ноябрь" localSheetId="15">#REF!</definedName>
    <definedName name="ноябрь" localSheetId="12">#REF!</definedName>
    <definedName name="ноябрь" localSheetId="11">#REF!</definedName>
    <definedName name="ноябрь" localSheetId="8">#REF!</definedName>
    <definedName name="ноябрь" localSheetId="9">#REF!</definedName>
    <definedName name="ноябрь" localSheetId="10">#REF!</definedName>
    <definedName name="ноябрь">#REF!</definedName>
    <definedName name="НРКЕ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15">'[1]7'!$B$21</definedName>
    <definedName name="ншгнгшншщрпгангсмбомл" localSheetId="11">'[2]7'!$B$21</definedName>
    <definedName name="ншгнгшншщрпгангсмбомл" localSheetId="8">'[2]7'!$B$21</definedName>
    <definedName name="ншгнгшншщрпгангсмбомл" localSheetId="9">'[2]7'!$B$21</definedName>
    <definedName name="ншгнгшншщрпгангсмбомл" localSheetId="6">'[2]7'!$B$21</definedName>
    <definedName name="ншгнгшншщрпгангсмбомл" localSheetId="5">'[2]7'!$B$21</definedName>
    <definedName name="ншгнгшншщрпгангсмбомл" localSheetId="4">'[2]7'!$B$21</definedName>
    <definedName name="ншгнгшншщрпгангсмбомл">'[2]7'!$B$21</definedName>
    <definedName name="ншш" localSheetId="15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localSheetId="7" hidden="1">{#N/A,#N/A,TRUE,"Лист1";#N/A,#N/A,TRUE,"Лист2";#N/A,#N/A,TRUE,"Лист3"}</definedName>
    <definedName name="ншш" localSheetId="11" hidden="1">{#N/A,#N/A,TRUE,"Лист1";#N/A,#N/A,TRUE,"Лист2";#N/A,#N/A,TRUE,"Лист3"}</definedName>
    <definedName name="ншш" localSheetId="8" hidden="1">{#N/A,#N/A,TRUE,"Лист1";#N/A,#N/A,TRUE,"Лист2";#N/A,#N/A,TRUE,"Лист3"}</definedName>
    <definedName name="ншш" localSheetId="9" hidden="1">{#N/A,#N/A,TRUE,"Лист1";#N/A,#N/A,TRUE,"Лист2";#N/A,#N/A,TRUE,"Лист3"}</definedName>
    <definedName name="ншш" localSheetId="10" hidden="1">{#N/A,#N/A,TRUE,"Лист1";#N/A,#N/A,TRUE,"Лист2";#N/A,#N/A,TRUE,"Лист3"}</definedName>
    <definedName name="ншш" localSheetId="6" hidden="1">{#N/A,#N/A,TRUE,"Лист1";#N/A,#N/A,TRUE,"Лист2";#N/A,#N/A,TRUE,"Лист3"}</definedName>
    <definedName name="ншш" localSheetId="5" hidden="1">{#N/A,#N/A,TRUE,"Лист1";#N/A,#N/A,TRUE,"Лист2";#N/A,#N/A,TRUE,"Лист3"}</definedName>
    <definedName name="ншш" localSheetId="4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15">#REF!</definedName>
    <definedName name="о" localSheetId="12">#REF!</definedName>
    <definedName name="о" localSheetId="11">#REF!</definedName>
    <definedName name="о" localSheetId="8">#REF!</definedName>
    <definedName name="о" localSheetId="9">#REF!</definedName>
    <definedName name="о" localSheetId="10">#REF!</definedName>
    <definedName name="о" localSheetId="6">#REF!</definedName>
    <definedName name="о" localSheetId="5">#REF!</definedName>
    <definedName name="о" localSheetId="4">#REF!</definedName>
    <definedName name="о">#REF!</definedName>
    <definedName name="ОБ">[121]БУР!$B$1</definedName>
    <definedName name="_xlnm.Print_Area" localSheetId="15">#REF!</definedName>
    <definedName name="_xlnm.Print_Area" localSheetId="0">индексы!$A$1:$S$176</definedName>
    <definedName name="_xlnm.Print_Area" localSheetId="1">'Кальк.2019-2023 (ДИ)'!$A$2:$AI$129</definedName>
    <definedName name="_xlnm.Print_Area" localSheetId="2">'Кальк.2019-2023 (ДИ) (2)'!$A$2:$AI$129</definedName>
    <definedName name="_xlnm.Print_Area" localSheetId="3">'Кальк.2019-2023 (ДИ) (3)'!$A$2:$AI$129</definedName>
    <definedName name="_xlnm.Print_Area" localSheetId="12">#REF!</definedName>
    <definedName name="_xlnm.Print_Area" localSheetId="11">'Прил 6 к расп'!$A$1:$K$17</definedName>
    <definedName name="_xlnm.Print_Area" localSheetId="8">Прил2!$A$1:$H$27</definedName>
    <definedName name="_xlnm.Print_Area" localSheetId="9">Прил3!$A$1:$K$17</definedName>
    <definedName name="_xlnm.Print_Area" localSheetId="10">Прил4!$A$1:$AE$67</definedName>
    <definedName name="_xlnm.Print_Area" localSheetId="6">Тарифы!$A$1:$Z$56</definedName>
    <definedName name="_xlnm.Print_Area" localSheetId="5">'Тарифы (2)'!$A$1:$Z$56</definedName>
    <definedName name="_xlnm.Print_Area" localSheetId="4">'Тарифы (3)'!$A$1:$Z$56</definedName>
    <definedName name="_xlnm.Print_Area" localSheetId="13">'учет итогов'!$A$1:$L$34</definedName>
    <definedName name="_xlnm.Print_Area">#REF!</definedName>
    <definedName name="оборот" localSheetId="15">#REF!</definedName>
    <definedName name="оборот" localSheetId="12">#REF!</definedName>
    <definedName name="оборот" localSheetId="11">#REF!</definedName>
    <definedName name="оборот" localSheetId="8">#REF!</definedName>
    <definedName name="оборот" localSheetId="9">#REF!</definedName>
    <definedName name="оборот" localSheetId="10">#REF!</definedName>
    <definedName name="оборот" localSheetId="6">#REF!</definedName>
    <definedName name="оборот" localSheetId="5">#REF!</definedName>
    <definedName name="оборот" localSheetId="4">#REF!</definedName>
    <definedName name="оборот">#REF!</definedName>
    <definedName name="оборотные" localSheetId="11">'[158]выр _июль'!$K$1</definedName>
    <definedName name="оборотные" localSheetId="8">'[158]выр _июль'!$K$1</definedName>
    <definedName name="оборотные" localSheetId="9">'[158]выр _июль'!$K$1</definedName>
    <definedName name="оборотные">'[158]выр _июль'!$K$1</definedName>
    <definedName name="Общехоз" localSheetId="15">#REF!</definedName>
    <definedName name="Общехоз" localSheetId="12">#REF!</definedName>
    <definedName name="Общехоз" localSheetId="11">#REF!</definedName>
    <definedName name="Общехоз" localSheetId="8">#REF!</definedName>
    <definedName name="Общехоз" localSheetId="9">#REF!</definedName>
    <definedName name="Общехоз" localSheetId="10">#REF!</definedName>
    <definedName name="Общехоз" localSheetId="6">#REF!</definedName>
    <definedName name="Общехоз" localSheetId="5">#REF!</definedName>
    <definedName name="Общехоз" localSheetId="4">#REF!</definedName>
    <definedName name="Общехоз">#REF!</definedName>
    <definedName name="Общехозяйственные" localSheetId="15">#REF!</definedName>
    <definedName name="Общехозяйственные" localSheetId="12">#REF!</definedName>
    <definedName name="Общехозяйственные" localSheetId="11">#REF!</definedName>
    <definedName name="Общехозяйственные" localSheetId="8">#REF!</definedName>
    <definedName name="Общехозяйственные" localSheetId="9">#REF!</definedName>
    <definedName name="Общехозяйственные" localSheetId="10">#REF!</definedName>
    <definedName name="Общехозяйственные">#REF!</definedName>
    <definedName name="общий_Запрос" localSheetId="15">#REF!</definedName>
    <definedName name="общий_Запрос" localSheetId="12">#REF!</definedName>
    <definedName name="общий_Запрос" localSheetId="11">#REF!</definedName>
    <definedName name="общий_Запрос" localSheetId="8">#REF!</definedName>
    <definedName name="общий_Запрос" localSheetId="9">#REF!</definedName>
    <definedName name="общий_Запрос" localSheetId="10">#REF!</definedName>
    <definedName name="общий_Запрос">#REF!</definedName>
    <definedName name="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15">#REF!</definedName>
    <definedName name="окпо" localSheetId="12">#REF!</definedName>
    <definedName name="окпо" localSheetId="11">#REF!</definedName>
    <definedName name="окпо" localSheetId="8">#REF!</definedName>
    <definedName name="окпо" localSheetId="9">#REF!</definedName>
    <definedName name="окпо" localSheetId="10">#REF!</definedName>
    <definedName name="окпо" localSheetId="6">#REF!</definedName>
    <definedName name="окпо" localSheetId="5">#REF!</definedName>
    <definedName name="окпо" localSheetId="4">#REF!</definedName>
    <definedName name="окпо">#REF!</definedName>
    <definedName name="окраска_05" localSheetId="3">[104]окраска!$C$7:$Z$30</definedName>
    <definedName name="окраска_05" localSheetId="6">[105]окраска!$C$7:$Z$30</definedName>
    <definedName name="окраска_05" localSheetId="5">[105]окраска!$C$7:$Z$30</definedName>
    <definedName name="окраска_05" localSheetId="4">[104]окраска!$C$7:$Z$30</definedName>
    <definedName name="окраска_05">[105]окраска!$C$7:$Z$30</definedName>
    <definedName name="окраска_06" localSheetId="3">[104]окраска!$C$35:$Z$58</definedName>
    <definedName name="окраска_06" localSheetId="6">[105]окраска!$C$35:$Z$58</definedName>
    <definedName name="окраска_06" localSheetId="5">[105]окраска!$C$35:$Z$58</definedName>
    <definedName name="окраска_06" localSheetId="4">[104]окраска!$C$35:$Z$58</definedName>
    <definedName name="окраска_06">[105]окраска!$C$35:$Z$58</definedName>
    <definedName name="окраска_07" localSheetId="3">[104]окраска!$C$63:$Z$86</definedName>
    <definedName name="окраска_07" localSheetId="6">[105]окраска!$C$63:$Z$86</definedName>
    <definedName name="окраска_07" localSheetId="5">[105]окраска!$C$63:$Z$86</definedName>
    <definedName name="окраска_07" localSheetId="4">[104]окраска!$C$63:$Z$86</definedName>
    <definedName name="окраска_07">[105]окраска!$C$63:$Z$86</definedName>
    <definedName name="окраска_08" localSheetId="3">[104]окраска!$C$91:$Z$114</definedName>
    <definedName name="окраска_08" localSheetId="6">[105]окраска!$C$91:$Z$114</definedName>
    <definedName name="окраска_08" localSheetId="5">[105]окраска!$C$91:$Z$114</definedName>
    <definedName name="окраска_08" localSheetId="4">[104]окраска!$C$91:$Z$114</definedName>
    <definedName name="окраска_08">[105]окраска!$C$91:$Z$114</definedName>
    <definedName name="окраска_09" localSheetId="3">[104]окраска!$C$119:$Z$142</definedName>
    <definedName name="окраска_09" localSheetId="6">[105]окраска!$C$119:$Z$142</definedName>
    <definedName name="окраска_09" localSheetId="5">[105]окраска!$C$119:$Z$142</definedName>
    <definedName name="окраска_09" localSheetId="4">[104]окраска!$C$119:$Z$142</definedName>
    <definedName name="окраска_09">[105]окраска!$C$119:$Z$142</definedName>
    <definedName name="окраска_10" localSheetId="3">[104]окраска!$C$147:$Z$170</definedName>
    <definedName name="окраска_10" localSheetId="6">[105]окраска!$C$147:$Z$170</definedName>
    <definedName name="окраска_10" localSheetId="5">[105]окраска!$C$147:$Z$170</definedName>
    <definedName name="окраска_10" localSheetId="4">[104]окраска!$C$147:$Z$170</definedName>
    <definedName name="окраска_10">[105]окраска!$C$147:$Z$170</definedName>
    <definedName name="окраска_11" localSheetId="3">[104]окраска!$C$175:$Z$198</definedName>
    <definedName name="окраска_11" localSheetId="6">[105]окраска!$C$175:$Z$198</definedName>
    <definedName name="окраска_11" localSheetId="5">[105]окраска!$C$175:$Z$198</definedName>
    <definedName name="окраска_11" localSheetId="4">[104]окраска!$C$175:$Z$198</definedName>
    <definedName name="окраска_11">[105]окраска!$C$175:$Z$198</definedName>
    <definedName name="окраска_12" localSheetId="3">[104]окраска!$C$203:$Z$226</definedName>
    <definedName name="окраска_12" localSheetId="6">[105]окраска!$C$203:$Z$226</definedName>
    <definedName name="окраска_12" localSheetId="5">[105]окраска!$C$203:$Z$226</definedName>
    <definedName name="окраска_12" localSheetId="4">[104]окраска!$C$203:$Z$226</definedName>
    <definedName name="окраска_12">[105]окраска!$C$203:$Z$226</definedName>
    <definedName name="окраска_13" localSheetId="3">[104]окраска!$C$231:$Z$254</definedName>
    <definedName name="окраска_13" localSheetId="6">[105]окраска!$C$231:$Z$254</definedName>
    <definedName name="окраска_13" localSheetId="5">[105]окраска!$C$231:$Z$254</definedName>
    <definedName name="окраска_13" localSheetId="4">[104]окраска!$C$231:$Z$254</definedName>
    <definedName name="окраска_13">[105]окраска!$C$231:$Z$254</definedName>
    <definedName name="окраска_14" localSheetId="3">[104]окраска!$C$259:$Z$282</definedName>
    <definedName name="окраска_14" localSheetId="6">[105]окраска!$C$259:$Z$282</definedName>
    <definedName name="окраска_14" localSheetId="5">[105]окраска!$C$259:$Z$282</definedName>
    <definedName name="окраска_14" localSheetId="4">[104]окраска!$C$259:$Z$282</definedName>
    <definedName name="окраска_14">[105]окраска!$C$259:$Z$282</definedName>
    <definedName name="окраска_15" localSheetId="3">[104]окраска!$C$287:$Z$310</definedName>
    <definedName name="окраска_15" localSheetId="6">[105]окраска!$C$287:$Z$310</definedName>
    <definedName name="окраска_15" localSheetId="5">[105]окраска!$C$287:$Z$310</definedName>
    <definedName name="окраска_15" localSheetId="4">[104]окраска!$C$287:$Z$310</definedName>
    <definedName name="окраска_15">[105]окраска!$C$287:$Z$310</definedName>
    <definedName name="окт" localSheetId="15">#REF!</definedName>
    <definedName name="окт" localSheetId="12">#REF!</definedName>
    <definedName name="окт" localSheetId="11">#REF!</definedName>
    <definedName name="окт" localSheetId="8">#REF!</definedName>
    <definedName name="окт" localSheetId="9">#REF!</definedName>
    <definedName name="окт" localSheetId="10">#REF!</definedName>
    <definedName name="окт" localSheetId="6">#REF!</definedName>
    <definedName name="окт" localSheetId="5">#REF!</definedName>
    <definedName name="окт" localSheetId="4">#REF!</definedName>
    <definedName name="окт">#REF!</definedName>
    <definedName name="окт2" localSheetId="15">#REF!</definedName>
    <definedName name="окт2" localSheetId="12">#REF!</definedName>
    <definedName name="окт2" localSheetId="11">#REF!</definedName>
    <definedName name="окт2" localSheetId="8">#REF!</definedName>
    <definedName name="окт2" localSheetId="9">#REF!</definedName>
    <definedName name="окт2" localSheetId="10">#REF!</definedName>
    <definedName name="окт2">#REF!</definedName>
    <definedName name="олдд" localSheetId="12">#REF!</definedName>
    <definedName name="олдд" localSheetId="11">#REF!</definedName>
    <definedName name="олдд" localSheetId="8">#REF!</definedName>
    <definedName name="олдд" localSheetId="9">#REF!</definedName>
    <definedName name="олдд" localSheetId="10">#REF!</definedName>
    <definedName name="олдд">#REF!</definedName>
    <definedName name="олло" localSheetId="15">[7]!олло</definedName>
    <definedName name="олло" localSheetId="11">#N/A</definedName>
    <definedName name="олло" localSheetId="8">#N/A</definedName>
    <definedName name="олло" localSheetId="9">#N/A</definedName>
    <definedName name="олло" localSheetId="6">#N/A</definedName>
    <definedName name="олло" localSheetId="5">#N/A</definedName>
    <definedName name="олло" localSheetId="4">#N/A</definedName>
    <definedName name="олло">#N/A</definedName>
    <definedName name="ОЛОЛБОЛ" localSheetId="15">#REF!</definedName>
    <definedName name="ОЛОЛБОЛ" localSheetId="12">#REF!</definedName>
    <definedName name="ОЛОЛБОЛ" localSheetId="11">#REF!</definedName>
    <definedName name="ОЛОЛБОЛ" localSheetId="8">#REF!</definedName>
    <definedName name="ОЛОЛБОЛ" localSheetId="9">#REF!</definedName>
    <definedName name="ОЛОЛБОЛ" localSheetId="10">#REF!</definedName>
    <definedName name="ОЛОЛБОЛ" localSheetId="6">#REF!</definedName>
    <definedName name="ОЛОЛБОЛ" localSheetId="5">#REF!</definedName>
    <definedName name="ОЛОЛБОЛ" localSheetId="4">#REF!</definedName>
    <definedName name="ОЛОЛБОЛ">#REF!</definedName>
    <definedName name="олс" localSheetId="15">[7]!олс</definedName>
    <definedName name="олс" localSheetId="11">#N/A</definedName>
    <definedName name="олс" localSheetId="8">#N/A</definedName>
    <definedName name="олс" localSheetId="9">#N/A</definedName>
    <definedName name="олс" localSheetId="6">#N/A</definedName>
    <definedName name="олс" localSheetId="5">#N/A</definedName>
    <definedName name="олс" localSheetId="4">#N/A</definedName>
    <definedName name="олс">#N/A</definedName>
    <definedName name="оо" localSheetId="3">[159]Настройка!#REF!</definedName>
    <definedName name="оо" localSheetId="12">[159]Настройка!#REF!</definedName>
    <definedName name="оо" localSheetId="11">[159]Настройка!#REF!</definedName>
    <definedName name="оо" localSheetId="6">[159]Настройка!#REF!</definedName>
    <definedName name="оо" localSheetId="5">[159]Настройка!#REF!</definedName>
    <definedName name="оо" localSheetId="4">[159]Настройка!#REF!</definedName>
    <definedName name="оо">[159]Настройка!#REF!</definedName>
    <definedName name="ооо" localSheetId="15">#REF!</definedName>
    <definedName name="ооо" localSheetId="12">#REF!</definedName>
    <definedName name="ооо" localSheetId="11">#REF!</definedName>
    <definedName name="ооо" localSheetId="8">#REF!</definedName>
    <definedName name="ооо" localSheetId="9">#REF!</definedName>
    <definedName name="ооо" localSheetId="10">#REF!</definedName>
    <definedName name="ооо" localSheetId="6">#REF!</definedName>
    <definedName name="ооо" localSheetId="5">#REF!</definedName>
    <definedName name="ооо" localSheetId="4">#REF!</definedName>
    <definedName name="ооо">#REF!</definedName>
    <definedName name="оооо" localSheetId="15">#REF!</definedName>
    <definedName name="оооо" localSheetId="12">#REF!</definedName>
    <definedName name="оооо" localSheetId="11">#REF!</definedName>
    <definedName name="оооо" localSheetId="8">#REF!</definedName>
    <definedName name="оооо" localSheetId="9">#REF!</definedName>
    <definedName name="оооо" localSheetId="10">#REF!</definedName>
    <definedName name="оооо">#REF!</definedName>
    <definedName name="оооооолол" localSheetId="12">#REF!</definedName>
    <definedName name="оооооолол" localSheetId="11">#REF!</definedName>
    <definedName name="оооооолол">#REF!</definedName>
    <definedName name="Операция" localSheetId="15">#REF!</definedName>
    <definedName name="Операция" localSheetId="12">#REF!</definedName>
    <definedName name="Операция" localSheetId="11">#REF!</definedName>
    <definedName name="Операция" localSheetId="8">#REF!</definedName>
    <definedName name="Операция" localSheetId="9">#REF!</definedName>
    <definedName name="Операция" localSheetId="10">#REF!</definedName>
    <definedName name="Операция">#REF!</definedName>
    <definedName name="опрлпшл" localSheetId="12">[128]СписочнаяЧисленность!#REF!</definedName>
    <definedName name="опрлпшл" localSheetId="11">[128]СписочнаяЧисленность!#REF!</definedName>
    <definedName name="опрлпшл" localSheetId="10">[128]СписочнаяЧисленность!#REF!</definedName>
    <definedName name="опрлпшл">[128]СписочнаяЧисленность!#REF!</definedName>
    <definedName name="ОР" localSheetId="2">#REF!</definedName>
    <definedName name="ОР" localSheetId="3">#REF!</definedName>
    <definedName name="ОР" localSheetId="12">#REF!</definedName>
    <definedName name="ОР" localSheetId="11">#REF!</definedName>
    <definedName name="ОР" localSheetId="6">#REF!</definedName>
    <definedName name="ОР" localSheetId="5">#REF!</definedName>
    <definedName name="ОР" localSheetId="4">#REF!</definedName>
    <definedName name="ОР">#REF!</definedName>
    <definedName name="орнк" localSheetId="2">'[160]БСС-2'!#REF!</definedName>
    <definedName name="орнк" localSheetId="3">'[160]БСС-2'!#REF!</definedName>
    <definedName name="орнк" localSheetId="12">'[160]БСС-2'!#REF!</definedName>
    <definedName name="орнк" localSheetId="11">'[160]БСС-2'!#REF!</definedName>
    <definedName name="орнк" localSheetId="6">'[160]БСС-2'!#REF!</definedName>
    <definedName name="орнк" localSheetId="5">'[160]БСС-2'!#REF!</definedName>
    <definedName name="орнк" localSheetId="4">'[160]БСС-2'!#REF!</definedName>
    <definedName name="орнк">'[160]БСС-2'!#REF!</definedName>
    <definedName name="оро" localSheetId="15">[7]!оро</definedName>
    <definedName name="оро" localSheetId="11">#N/A</definedName>
    <definedName name="оро" localSheetId="8">#N/A</definedName>
    <definedName name="оро" localSheetId="9">#N/A</definedName>
    <definedName name="оро" localSheetId="6">#N/A</definedName>
    <definedName name="оро" localSheetId="5">#N/A</definedName>
    <definedName name="оро" localSheetId="4">#N/A</definedName>
    <definedName name="оро">#N/A</definedName>
    <definedName name="ОТЧет" localSheetId="15">#REF!</definedName>
    <definedName name="ОТЧет" localSheetId="12">#REF!</definedName>
    <definedName name="ОТЧет" localSheetId="11">#REF!</definedName>
    <definedName name="ОТЧет" localSheetId="8">#REF!</definedName>
    <definedName name="ОТЧет" localSheetId="9">#REF!</definedName>
    <definedName name="ОТЧет" localSheetId="10">#REF!</definedName>
    <definedName name="ОТЧет" localSheetId="6">#REF!</definedName>
    <definedName name="ОТЧет" localSheetId="5">#REF!</definedName>
    <definedName name="ОТЧет" localSheetId="4">#REF!</definedName>
    <definedName name="ОТЧет">#REF!</definedName>
    <definedName name="Отчет_сок" localSheetId="15">#REF!</definedName>
    <definedName name="Отчет_сок" localSheetId="12">#REF!</definedName>
    <definedName name="Отчет_сок" localSheetId="11">#REF!</definedName>
    <definedName name="Отчет_сок" localSheetId="8">#REF!</definedName>
    <definedName name="Отчет_сок" localSheetId="9">#REF!</definedName>
    <definedName name="Отчет_сок" localSheetId="10">#REF!</definedName>
    <definedName name="Отчет_сок">#REF!</definedName>
    <definedName name="ОФ_а_с_пц" localSheetId="3">[104]рабочий!$CI$121:$CY$143</definedName>
    <definedName name="ОФ_а_с_пц" localSheetId="6">[105]рабочий!$CI$121:$CY$143</definedName>
    <definedName name="ОФ_а_с_пц" localSheetId="5">[105]рабочий!$CI$121:$CY$143</definedName>
    <definedName name="ОФ_а_с_пц" localSheetId="4">[104]рабочий!$CI$121:$CY$143</definedName>
    <definedName name="ОФ_а_с_пц">[105]рабочий!$CI$121:$CY$143</definedName>
    <definedName name="оф_н_а_2003_пц" localSheetId="2">'[105]Текущие цены'!#REF!</definedName>
    <definedName name="оф_н_а_2003_пц" localSheetId="3">'[104]Текущие цены'!#REF!</definedName>
    <definedName name="оф_н_а_2003_пц" localSheetId="12">'[105]Текущие цены'!#REF!</definedName>
    <definedName name="оф_н_а_2003_пц" localSheetId="11">'[105]Текущие цены'!#REF!</definedName>
    <definedName name="оф_н_а_2003_пц" localSheetId="8">'[105]Текущие цены'!#REF!</definedName>
    <definedName name="оф_н_а_2003_пц" localSheetId="9">'[105]Текущие цены'!#REF!</definedName>
    <definedName name="оф_н_а_2003_пц" localSheetId="10">'[105]Текущие цены'!#REF!</definedName>
    <definedName name="оф_н_а_2003_пц" localSheetId="6">'[105]Текущие цены'!#REF!</definedName>
    <definedName name="оф_н_а_2003_пц" localSheetId="5">'[105]Текущие цены'!#REF!</definedName>
    <definedName name="оф_н_а_2003_пц" localSheetId="4">'[104]Текущие цены'!#REF!</definedName>
    <definedName name="оф_н_а_2003_пц">'[105]Текущие цены'!#REF!</definedName>
    <definedName name="оф_н_а_2004" localSheetId="3">'[104]Текущие цены'!#REF!</definedName>
    <definedName name="оф_н_а_2004" localSheetId="12">'[105]Текущие цены'!#REF!</definedName>
    <definedName name="оф_н_а_2004" localSheetId="11">'[105]Текущие цены'!#REF!</definedName>
    <definedName name="оф_н_а_2004" localSheetId="10">'[105]Текущие цены'!#REF!</definedName>
    <definedName name="оф_н_а_2004" localSheetId="6">'[105]Текущие цены'!#REF!</definedName>
    <definedName name="оф_н_а_2004" localSheetId="5">'[105]Текущие цены'!#REF!</definedName>
    <definedName name="оф_н_а_2004" localSheetId="4">'[104]Текущие цены'!#REF!</definedName>
    <definedName name="оф_н_а_2004">'[105]Текущие цены'!#REF!</definedName>
    <definedName name="ОЬБ">'[121]БСФ-2'!$B$3</definedName>
    <definedName name="п" localSheetId="15">#REF!</definedName>
    <definedName name="п" localSheetId="12">#REF!</definedName>
    <definedName name="п" localSheetId="11">#REF!</definedName>
    <definedName name="п" localSheetId="8">#REF!</definedName>
    <definedName name="п" localSheetId="9">#REF!</definedName>
    <definedName name="п" localSheetId="10">#REF!</definedName>
    <definedName name="п" localSheetId="6">#REF!</definedName>
    <definedName name="п" localSheetId="5">#REF!</definedName>
    <definedName name="п" localSheetId="4">#REF!</definedName>
    <definedName name="п">#REF!</definedName>
    <definedName name="п_авг" localSheetId="12">#REF!</definedName>
    <definedName name="п_авг" localSheetId="11">#REF!</definedName>
    <definedName name="п_авг" localSheetId="8">#REF!</definedName>
    <definedName name="п_авг" localSheetId="9">#REF!</definedName>
    <definedName name="п_авг" localSheetId="10">#REF!</definedName>
    <definedName name="п_авг">#REF!</definedName>
    <definedName name="п_апр" localSheetId="12">#REF!</definedName>
    <definedName name="п_апр" localSheetId="11">#REF!</definedName>
    <definedName name="п_апр" localSheetId="8">#REF!</definedName>
    <definedName name="п_апр" localSheetId="9">#REF!</definedName>
    <definedName name="п_апр" localSheetId="10">#REF!</definedName>
    <definedName name="п_апр">#REF!</definedName>
    <definedName name="п_дек" localSheetId="12">#REF!</definedName>
    <definedName name="п_дек" localSheetId="11">#REF!</definedName>
    <definedName name="п_дек" localSheetId="8">#REF!</definedName>
    <definedName name="п_дек" localSheetId="9">#REF!</definedName>
    <definedName name="п_дек" localSheetId="10">#REF!</definedName>
    <definedName name="п_дек">#REF!</definedName>
    <definedName name="п_июл" localSheetId="12">#REF!</definedName>
    <definedName name="п_июл" localSheetId="11">#REF!</definedName>
    <definedName name="п_июл" localSheetId="8">#REF!</definedName>
    <definedName name="п_июл" localSheetId="9">#REF!</definedName>
    <definedName name="п_июл" localSheetId="10">#REF!</definedName>
    <definedName name="п_июл">#REF!</definedName>
    <definedName name="п_июн" localSheetId="12">#REF!</definedName>
    <definedName name="п_июн" localSheetId="11">#REF!</definedName>
    <definedName name="п_июн" localSheetId="8">#REF!</definedName>
    <definedName name="п_июн" localSheetId="9">#REF!</definedName>
    <definedName name="п_июн" localSheetId="10">#REF!</definedName>
    <definedName name="п_июн">#REF!</definedName>
    <definedName name="п_к" localSheetId="12">#REF!</definedName>
    <definedName name="п_к" localSheetId="11">#REF!</definedName>
    <definedName name="п_к" localSheetId="8">#REF!</definedName>
    <definedName name="п_к" localSheetId="9">#REF!</definedName>
    <definedName name="п_к" localSheetId="10">#REF!</definedName>
    <definedName name="п_к">#REF!</definedName>
    <definedName name="п_май" localSheetId="12">#REF!</definedName>
    <definedName name="п_май" localSheetId="11">#REF!</definedName>
    <definedName name="п_май" localSheetId="8">#REF!</definedName>
    <definedName name="п_май" localSheetId="9">#REF!</definedName>
    <definedName name="п_май" localSheetId="10">#REF!</definedName>
    <definedName name="п_май">#REF!</definedName>
    <definedName name="п_мар" localSheetId="12">#REF!</definedName>
    <definedName name="п_мар" localSheetId="11">#REF!</definedName>
    <definedName name="п_мар" localSheetId="8">#REF!</definedName>
    <definedName name="п_мар" localSheetId="9">#REF!</definedName>
    <definedName name="п_мар" localSheetId="10">#REF!</definedName>
    <definedName name="п_мар">#REF!</definedName>
    <definedName name="п_ноя" localSheetId="12">#REF!</definedName>
    <definedName name="п_ноя" localSheetId="11">#REF!</definedName>
    <definedName name="п_ноя" localSheetId="8">#REF!</definedName>
    <definedName name="п_ноя" localSheetId="9">#REF!</definedName>
    <definedName name="п_ноя" localSheetId="10">#REF!</definedName>
    <definedName name="п_ноя">#REF!</definedName>
    <definedName name="п_окт" localSheetId="12">#REF!</definedName>
    <definedName name="п_окт" localSheetId="11">#REF!</definedName>
    <definedName name="п_окт" localSheetId="8">#REF!</definedName>
    <definedName name="п_окт" localSheetId="9">#REF!</definedName>
    <definedName name="п_окт" localSheetId="10">#REF!</definedName>
    <definedName name="п_окт">#REF!</definedName>
    <definedName name="п_сен" localSheetId="12">#REF!</definedName>
    <definedName name="п_сен" localSheetId="11">#REF!</definedName>
    <definedName name="п_сен" localSheetId="8">#REF!</definedName>
    <definedName name="п_сен" localSheetId="9">#REF!</definedName>
    <definedName name="п_сен" localSheetId="10">#REF!</definedName>
    <definedName name="п_сен">#REF!</definedName>
    <definedName name="п_фев" localSheetId="12">#REF!</definedName>
    <definedName name="п_фев" localSheetId="11">#REF!</definedName>
    <definedName name="п_фев" localSheetId="8">#REF!</definedName>
    <definedName name="п_фев" localSheetId="9">#REF!</definedName>
    <definedName name="п_фев" localSheetId="10">#REF!</definedName>
    <definedName name="п_фев">#REF!</definedName>
    <definedName name="п_янв" localSheetId="12">#REF!</definedName>
    <definedName name="п_янв" localSheetId="11">#REF!</definedName>
    <definedName name="п_янв" localSheetId="8">#REF!</definedName>
    <definedName name="п_янв" localSheetId="9">#REF!</definedName>
    <definedName name="п_янв" localSheetId="10">#REF!</definedName>
    <definedName name="п_янв">#REF!</definedName>
    <definedName name="п1" localSheetId="15">'[140]7'!$B$21</definedName>
    <definedName name="п1" localSheetId="2">[139]Сибмол!#REF!</definedName>
    <definedName name="п1" localSheetId="3">[139]Сибмол!#REF!</definedName>
    <definedName name="п1" localSheetId="12">[139]Сибмол!#REF!</definedName>
    <definedName name="п1" localSheetId="11">[139]Сибмол!#REF!</definedName>
    <definedName name="п1" localSheetId="8">[139]Сибмол!#REF!</definedName>
    <definedName name="п1" localSheetId="9">[139]Сибмол!#REF!</definedName>
    <definedName name="п1" localSheetId="10">[139]Сибмол!#REF!</definedName>
    <definedName name="п1" localSheetId="6">[139]Сибмол!#REF!</definedName>
    <definedName name="п1" localSheetId="5">[139]Сибмол!#REF!</definedName>
    <definedName name="п1" localSheetId="4">[139]Сибмол!#REF!</definedName>
    <definedName name="п1">[139]Сибмол!#REF!</definedName>
    <definedName name="п1с" localSheetId="3">'[161]7'!$B$25</definedName>
    <definedName name="п1с" localSheetId="11">'[140]7'!$B$25</definedName>
    <definedName name="п1с" localSheetId="8">'[140]7'!$B$25</definedName>
    <definedName name="п1с" localSheetId="9">'[140]7'!$B$25</definedName>
    <definedName name="п1с" localSheetId="6">'[140]7'!$B$25</definedName>
    <definedName name="п1с" localSheetId="5">'[140]7'!$B$25</definedName>
    <definedName name="п1с" localSheetId="4">'[161]7'!$B$25</definedName>
    <definedName name="п1с">'[140]7'!$B$25</definedName>
    <definedName name="п2" localSheetId="15">'[140]7'!$B$22</definedName>
    <definedName name="п2" localSheetId="2">[139]Сибмол!#REF!</definedName>
    <definedName name="п2" localSheetId="3">[139]Сибмол!#REF!</definedName>
    <definedName name="п2" localSheetId="12">[139]Сибмол!#REF!</definedName>
    <definedName name="п2" localSheetId="11">[139]Сибмол!#REF!</definedName>
    <definedName name="п2" localSheetId="8">[139]Сибмол!#REF!</definedName>
    <definedName name="п2" localSheetId="9">[139]Сибмол!#REF!</definedName>
    <definedName name="п2" localSheetId="10">[139]Сибмол!#REF!</definedName>
    <definedName name="п2" localSheetId="6">[139]Сибмол!#REF!</definedName>
    <definedName name="п2" localSheetId="5">[139]Сибмол!#REF!</definedName>
    <definedName name="п2" localSheetId="4">[139]Сибмол!#REF!</definedName>
    <definedName name="п2">[139]Сибмол!#REF!</definedName>
    <definedName name="п2с" localSheetId="3">'[161]7'!$B$26</definedName>
    <definedName name="п2с" localSheetId="11">'[140]7'!$B$26</definedName>
    <definedName name="п2с" localSheetId="8">'[140]7'!$B$26</definedName>
    <definedName name="п2с" localSheetId="9">'[140]7'!$B$26</definedName>
    <definedName name="п2с" localSheetId="6">'[140]7'!$B$26</definedName>
    <definedName name="п2с" localSheetId="5">'[140]7'!$B$26</definedName>
    <definedName name="п2с" localSheetId="4">'[161]7'!$B$26</definedName>
    <definedName name="п2с">'[140]7'!$B$26</definedName>
    <definedName name="п3" localSheetId="15">'[140]7'!$B$23</definedName>
    <definedName name="п3" localSheetId="2">[139]Сибмол!#REF!</definedName>
    <definedName name="п3" localSheetId="3">[139]Сибмол!#REF!</definedName>
    <definedName name="п3" localSheetId="12">[139]Сибмол!#REF!</definedName>
    <definedName name="п3" localSheetId="11">[139]Сибмол!#REF!</definedName>
    <definedName name="п3" localSheetId="8">[139]Сибмол!#REF!</definedName>
    <definedName name="п3" localSheetId="9">[139]Сибмол!#REF!</definedName>
    <definedName name="п3" localSheetId="10">[139]Сибмол!#REF!</definedName>
    <definedName name="п3" localSheetId="6">[139]Сибмол!#REF!</definedName>
    <definedName name="п3" localSheetId="5">[139]Сибмол!#REF!</definedName>
    <definedName name="п3" localSheetId="4">[139]Сибмол!#REF!</definedName>
    <definedName name="п3">[139]Сибмол!#REF!</definedName>
    <definedName name="п3с" localSheetId="3">'[161]7'!$B$27</definedName>
    <definedName name="п3с" localSheetId="11">'[140]7'!$B$27</definedName>
    <definedName name="п3с" localSheetId="8">'[140]7'!$B$27</definedName>
    <definedName name="п3с" localSheetId="9">'[140]7'!$B$27</definedName>
    <definedName name="п3с" localSheetId="6">'[140]7'!$B$27</definedName>
    <definedName name="п3с" localSheetId="5">'[140]7'!$B$27</definedName>
    <definedName name="п3с" localSheetId="4">'[161]7'!$B$27</definedName>
    <definedName name="п3с">'[140]7'!$B$27</definedName>
    <definedName name="п4" localSheetId="2">[139]Сибмол!#REF!</definedName>
    <definedName name="п4" localSheetId="3">[139]Сибмол!#REF!</definedName>
    <definedName name="п4" localSheetId="12">[139]Сибмол!#REF!</definedName>
    <definedName name="п4" localSheetId="11">[139]Сибмол!#REF!</definedName>
    <definedName name="п4" localSheetId="8">[139]Сибмол!#REF!</definedName>
    <definedName name="п4" localSheetId="9">[139]Сибмол!#REF!</definedName>
    <definedName name="п4" localSheetId="10">[139]Сибмол!#REF!</definedName>
    <definedName name="п4" localSheetId="6">[139]Сибмол!#REF!</definedName>
    <definedName name="п4" localSheetId="5">[139]Сибмол!#REF!</definedName>
    <definedName name="п4" localSheetId="4">[139]Сибмол!#REF!</definedName>
    <definedName name="п4">[139]Сибмол!#REF!</definedName>
    <definedName name="п5" localSheetId="12">[139]Сибмол!#REF!</definedName>
    <definedName name="п5" localSheetId="11">[139]Сибмол!#REF!</definedName>
    <definedName name="п5" localSheetId="8">[139]Сибмол!#REF!</definedName>
    <definedName name="п5" localSheetId="9">[139]Сибмол!#REF!</definedName>
    <definedName name="п5" localSheetId="10">[139]Сибмол!#REF!</definedName>
    <definedName name="п5" localSheetId="6">[139]Сибмол!#REF!</definedName>
    <definedName name="п5" localSheetId="5">[139]Сибмол!#REF!</definedName>
    <definedName name="п5" localSheetId="4">[139]Сибмол!#REF!</definedName>
    <definedName name="п5">[139]Сибмол!#REF!</definedName>
    <definedName name="п6" localSheetId="12">[139]Сибмол!#REF!</definedName>
    <definedName name="п6" localSheetId="11">[139]Сибмол!#REF!</definedName>
    <definedName name="п6" localSheetId="8">[139]Сибмол!#REF!</definedName>
    <definedName name="п6" localSheetId="9">[139]Сибмол!#REF!</definedName>
    <definedName name="п6" localSheetId="10">[139]Сибмол!#REF!</definedName>
    <definedName name="п6">[139]Сибмол!#REF!</definedName>
    <definedName name="павв" localSheetId="15">#REF!</definedName>
    <definedName name="павв" localSheetId="12">#REF!</definedName>
    <definedName name="павв" localSheetId="11">#REF!</definedName>
    <definedName name="павв" localSheetId="8">#REF!</definedName>
    <definedName name="павв" localSheetId="9">#REF!</definedName>
    <definedName name="павв" localSheetId="10">#REF!</definedName>
    <definedName name="павв" localSheetId="6">#REF!</definedName>
    <definedName name="павв" localSheetId="5">#REF!</definedName>
    <definedName name="павв" localSheetId="4">#REF!</definedName>
    <definedName name="павв">#REF!</definedName>
    <definedName name="паоаолаол" localSheetId="15">#REF!</definedName>
    <definedName name="паоаолаол" localSheetId="12">#REF!</definedName>
    <definedName name="паоаолаол" localSheetId="11">#REF!</definedName>
    <definedName name="паоаолаол" localSheetId="8">#REF!</definedName>
    <definedName name="паоаолаол" localSheetId="9">#REF!</definedName>
    <definedName name="паоаолаол" localSheetId="10">#REF!</definedName>
    <definedName name="паоаолаол">#REF!</definedName>
    <definedName name="папп" localSheetId="15">#REF!</definedName>
    <definedName name="папп" localSheetId="12">#REF!</definedName>
    <definedName name="папп" localSheetId="11">#REF!</definedName>
    <definedName name="папп" localSheetId="8">#REF!</definedName>
    <definedName name="папп" localSheetId="9">#REF!</definedName>
    <definedName name="папп" localSheetId="10">#REF!</definedName>
    <definedName name="папп">#REF!</definedName>
    <definedName name="Параметры" localSheetId="15">[162]Параметры!#REF!</definedName>
    <definedName name="Параметры" localSheetId="12">[162]Параметры!#REF!</definedName>
    <definedName name="Параметры" localSheetId="11">[162]Параметры!#REF!</definedName>
    <definedName name="Параметры" localSheetId="8">[162]Параметры!#REF!</definedName>
    <definedName name="Параметры" localSheetId="9">[162]Параметры!#REF!</definedName>
    <definedName name="Параметры" localSheetId="10">[162]Параметры!#REF!</definedName>
    <definedName name="Параметры">[162]Параметры!#REF!</definedName>
    <definedName name="пва" localSheetId="15">#REF!</definedName>
    <definedName name="пва" localSheetId="12">#REF!</definedName>
    <definedName name="пва" localSheetId="11">#REF!</definedName>
    <definedName name="пва" localSheetId="8">#REF!</definedName>
    <definedName name="пва" localSheetId="9">#REF!</definedName>
    <definedName name="пва" localSheetId="10">#REF!</definedName>
    <definedName name="пва" localSheetId="6">#REF!</definedName>
    <definedName name="пва" localSheetId="5">#REF!</definedName>
    <definedName name="пва" localSheetId="4">#REF!</definedName>
    <definedName name="пва">#REF!</definedName>
    <definedName name="пварп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15">#REF!</definedName>
    <definedName name="пвп" localSheetId="12">#REF!</definedName>
    <definedName name="пвп" localSheetId="11">#REF!</definedName>
    <definedName name="пвп" localSheetId="8">#REF!</definedName>
    <definedName name="пвп" localSheetId="9">#REF!</definedName>
    <definedName name="пвп" localSheetId="10">#REF!</definedName>
    <definedName name="пвп" localSheetId="6">#REF!</definedName>
    <definedName name="пвп" localSheetId="5">#REF!</definedName>
    <definedName name="пвп" localSheetId="4">#REF!</definedName>
    <definedName name="пвп">#REF!</definedName>
    <definedName name="Пдс" localSheetId="15">#REF!</definedName>
    <definedName name="Пдс" localSheetId="12">#REF!</definedName>
    <definedName name="Пдс" localSheetId="11">#REF!</definedName>
    <definedName name="Пдс" localSheetId="8">#REF!</definedName>
    <definedName name="Пдс" localSheetId="9">#REF!</definedName>
    <definedName name="Пдс" localSheetId="10">#REF!</definedName>
    <definedName name="Пдс">#REF!</definedName>
    <definedName name="первый" localSheetId="15">#REF!</definedName>
    <definedName name="первый" localSheetId="12">#REF!</definedName>
    <definedName name="первый" localSheetId="11">#REF!</definedName>
    <definedName name="первый" localSheetId="8">#REF!</definedName>
    <definedName name="первый" localSheetId="9">#REF!</definedName>
    <definedName name="первый" localSheetId="10">#REF!</definedName>
    <definedName name="первый">#REF!</definedName>
    <definedName name="Период" localSheetId="12">#REF!</definedName>
    <definedName name="Период" localSheetId="11">#REF!</definedName>
    <definedName name="Период" localSheetId="8">#REF!</definedName>
    <definedName name="Период" localSheetId="9">#REF!</definedName>
    <definedName name="Период" localSheetId="10">#REF!</definedName>
    <definedName name="Период">#REF!</definedName>
    <definedName name="ПЛАН" localSheetId="15">#REF!,#REF!,#REF!</definedName>
    <definedName name="ПЛАН" localSheetId="12">#REF!,#REF!,#REF!</definedName>
    <definedName name="ПЛАН" localSheetId="11">#REF!,#REF!,#REF!</definedName>
    <definedName name="ПЛАН" localSheetId="8">#REF!,#REF!,#REF!</definedName>
    <definedName name="ПЛАН" localSheetId="9">#REF!,#REF!,#REF!</definedName>
    <definedName name="ПЛАН" localSheetId="10">#REF!,#REF!,#REF!</definedName>
    <definedName name="ПЛАН" localSheetId="6">#REF!,#REF!,#REF!</definedName>
    <definedName name="ПЛАН" localSheetId="5">#REF!,#REF!,#REF!</definedName>
    <definedName name="ПЛАН" localSheetId="4">#REF!,#REF!,#REF!</definedName>
    <definedName name="ПЛАН">#REF!,#REF!,#REF!</definedName>
    <definedName name="ПЛАН1" localSheetId="15">#REF!</definedName>
    <definedName name="ПЛАН1" localSheetId="12">#REF!</definedName>
    <definedName name="ПЛАН1" localSheetId="11">#REF!</definedName>
    <definedName name="ПЛАН1" localSheetId="8">#REF!</definedName>
    <definedName name="ПЛАН1" localSheetId="9">#REF!</definedName>
    <definedName name="ПЛАН1" localSheetId="10">#REF!</definedName>
    <definedName name="ПЛАН1" localSheetId="6">#REF!</definedName>
    <definedName name="ПЛАН1" localSheetId="5">#REF!</definedName>
    <definedName name="ПЛАН1" localSheetId="4">#REF!</definedName>
    <definedName name="ПЛАН1">#REF!</definedName>
    <definedName name="план56" localSheetId="15">[7]!план56</definedName>
    <definedName name="план56" localSheetId="11">#N/A</definedName>
    <definedName name="план56" localSheetId="8">#N/A</definedName>
    <definedName name="план56" localSheetId="9">#N/A</definedName>
    <definedName name="план56" localSheetId="6">#N/A</definedName>
    <definedName name="план56" localSheetId="5">#N/A</definedName>
    <definedName name="план56" localSheetId="4">#N/A</definedName>
    <definedName name="план56">#N/A</definedName>
    <definedName name="Плата_за_капитал" localSheetId="15">#REF!,#REF!,#REF!,#REF!,#REF!,#REF!,#REF!,#REF!,#REF!,#REF!</definedName>
    <definedName name="Плата_за_капитал" localSheetId="12">#REF!,#REF!,#REF!,#REF!,#REF!,#REF!,#REF!,#REF!,#REF!,#REF!</definedName>
    <definedName name="Плата_за_капитал" localSheetId="11">#REF!,#REF!,#REF!,#REF!,#REF!,#REF!,#REF!,#REF!,#REF!,#REF!</definedName>
    <definedName name="Плата_за_капитал" localSheetId="8">#REF!,#REF!,#REF!,#REF!,#REF!,#REF!,#REF!,#REF!,#REF!,#REF!</definedName>
    <definedName name="Плата_за_капитал" localSheetId="9">#REF!,#REF!,#REF!,#REF!,#REF!,#REF!,#REF!,#REF!,#REF!,#REF!</definedName>
    <definedName name="Плата_за_капитал" localSheetId="10">#REF!,#REF!,#REF!,#REF!,#REF!,#REF!,#REF!,#REF!,#REF!,#REF!</definedName>
    <definedName name="Плата_за_капитал" localSheetId="6">#REF!,#REF!,#REF!,#REF!,#REF!,#REF!,#REF!,#REF!,#REF!,#REF!</definedName>
    <definedName name="Плата_за_капитал" localSheetId="5">#REF!,#REF!,#REF!,#REF!,#REF!,#REF!,#REF!,#REF!,#REF!,#REF!</definedName>
    <definedName name="Плата_за_капитал" localSheetId="4">#REF!,#REF!,#REF!,#REF!,#REF!,#REF!,#REF!,#REF!,#REF!,#REF!</definedName>
    <definedName name="Плата_за_капитал">#REF!,#REF!,#REF!,#REF!,#REF!,#REF!,#REF!,#REF!,#REF!,#REF!</definedName>
    <definedName name="ПМС" localSheetId="15">[7]!ПМС</definedName>
    <definedName name="ПМС" localSheetId="11">#N/A</definedName>
    <definedName name="ПМС" localSheetId="8">#N/A</definedName>
    <definedName name="ПМС" localSheetId="9">#N/A</definedName>
    <definedName name="ПМС" localSheetId="6">#N/A</definedName>
    <definedName name="ПМС" localSheetId="5">#N/A</definedName>
    <definedName name="ПМС" localSheetId="4">#N/A</definedName>
    <definedName name="ПМС">#N/A</definedName>
    <definedName name="ПМС1" localSheetId="15">[7]!ПМС1</definedName>
    <definedName name="ПМС1" localSheetId="11">#N/A</definedName>
    <definedName name="ПМС1" localSheetId="8">#N/A</definedName>
    <definedName name="ПМС1" localSheetId="9">#N/A</definedName>
    <definedName name="ПМС1" localSheetId="6">#N/A</definedName>
    <definedName name="ПМС1" localSheetId="5">#N/A</definedName>
    <definedName name="ПМС1" localSheetId="4">#N/A</definedName>
    <definedName name="ПМС1">#N/A</definedName>
    <definedName name="пнлнееен" localSheetId="15" hidden="1">{#N/A,#N/A,FALSE,"Себестоимсть-97"}</definedName>
    <definedName name="пнлнееен" localSheetId="2" hidden="1">{#N/A,#N/A,FALSE,"Себестоимсть-97"}</definedName>
    <definedName name="пнлнееен" localSheetId="3" hidden="1">{#N/A,#N/A,FALSE,"Себестоимсть-97"}</definedName>
    <definedName name="пнлнееен" localSheetId="11" hidden="1">{#N/A,#N/A,FALSE,"Себестоимсть-97"}</definedName>
    <definedName name="пнлнееен" localSheetId="8" hidden="1">{#N/A,#N/A,FALSE,"Себестоимсть-97"}</definedName>
    <definedName name="пнлнееен" localSheetId="9" hidden="1">{#N/A,#N/A,FALSE,"Себестоимсть-97"}</definedName>
    <definedName name="пнлнееен" localSheetId="10" hidden="1">{#N/A,#N/A,FALSE,"Себестоимсть-97"}</definedName>
    <definedName name="пнлнееен" localSheetId="6" hidden="1">{#N/A,#N/A,FALSE,"Себестоимсть-97"}</definedName>
    <definedName name="пнлнееен" localSheetId="5" hidden="1">{#N/A,#N/A,FALSE,"Себестоимсть-97"}</definedName>
    <definedName name="пнлнееен" localSheetId="4" hidden="1">{#N/A,#N/A,FALSE,"Себестоимсть-97"}</definedName>
    <definedName name="пнлнееен" hidden="1">{#N/A,#N/A,FALSE,"Себестоимсть-97"}</definedName>
    <definedName name="пнлнееен1" localSheetId="15" hidden="1">{#N/A,#N/A,FALSE,"Себестоимсть-97"}</definedName>
    <definedName name="пнлнееен1" localSheetId="2" hidden="1">{#N/A,#N/A,FALSE,"Себестоимсть-97"}</definedName>
    <definedName name="пнлнееен1" localSheetId="3" hidden="1">{#N/A,#N/A,FALSE,"Себестоимсть-97"}</definedName>
    <definedName name="пнлнееен1" localSheetId="11" hidden="1">{#N/A,#N/A,FALSE,"Себестоимсть-97"}</definedName>
    <definedName name="пнлнееен1" localSheetId="8" hidden="1">{#N/A,#N/A,FALSE,"Себестоимсть-97"}</definedName>
    <definedName name="пнлнееен1" localSheetId="9" hidden="1">{#N/A,#N/A,FALSE,"Себестоимсть-97"}</definedName>
    <definedName name="пнлнееен1" localSheetId="10" hidden="1">{#N/A,#N/A,FALSE,"Себестоимсть-97"}</definedName>
    <definedName name="пнлнееен1" localSheetId="6" hidden="1">{#N/A,#N/A,FALSE,"Себестоимсть-97"}</definedName>
    <definedName name="пнлнееен1" localSheetId="5" hidden="1">{#N/A,#N/A,FALSE,"Себестоимсть-97"}</definedName>
    <definedName name="пнлнееен1" localSheetId="4" hidden="1">{#N/A,#N/A,FALSE,"Себестоимсть-97"}</definedName>
    <definedName name="пнлнееен1" hidden="1">{#N/A,#N/A,FALSE,"Себестоимсть-97"}</definedName>
    <definedName name="Подоперация" localSheetId="15">#REF!</definedName>
    <definedName name="Подоперация" localSheetId="12">#REF!</definedName>
    <definedName name="Подоперация" localSheetId="11">#REF!</definedName>
    <definedName name="Подоперация" localSheetId="8">#REF!</definedName>
    <definedName name="Подоперация" localSheetId="9">#REF!</definedName>
    <definedName name="Подоперация" localSheetId="10">#REF!</definedName>
    <definedName name="Подоперация" localSheetId="6">#REF!</definedName>
    <definedName name="Подоперация" localSheetId="5">#REF!</definedName>
    <definedName name="Подоперация" localSheetId="4">#REF!</definedName>
    <definedName name="Подоперация">#REF!</definedName>
    <definedName name="подпись_должн1" localSheetId="15">#REF!</definedName>
    <definedName name="подпись_должн1" localSheetId="12">#REF!</definedName>
    <definedName name="подпись_должн1" localSheetId="11">#REF!</definedName>
    <definedName name="подпись_должн1" localSheetId="8">#REF!</definedName>
    <definedName name="подпись_должн1" localSheetId="9">#REF!</definedName>
    <definedName name="подпись_должн1" localSheetId="10">#REF!</definedName>
    <definedName name="подпись_должн1">#REF!</definedName>
    <definedName name="подпись_должн2" localSheetId="15">#REF!</definedName>
    <definedName name="подпись_должн2" localSheetId="12">#REF!</definedName>
    <definedName name="подпись_должн2" localSheetId="11">#REF!</definedName>
    <definedName name="подпись_должн2" localSheetId="8">#REF!</definedName>
    <definedName name="подпись_должн2" localSheetId="9">#REF!</definedName>
    <definedName name="подпись_должн2" localSheetId="10">#REF!</definedName>
    <definedName name="подпись_должн2">#REF!</definedName>
    <definedName name="подпись_должн3" localSheetId="12">#REF!</definedName>
    <definedName name="подпись_должн3" localSheetId="11">#REF!</definedName>
    <definedName name="подпись_должн3" localSheetId="8">#REF!</definedName>
    <definedName name="подпись_должн3" localSheetId="9">#REF!</definedName>
    <definedName name="подпись_должн3" localSheetId="10">#REF!</definedName>
    <definedName name="подпись_должн3">#REF!</definedName>
    <definedName name="подпись_фио1" localSheetId="12">#REF!</definedName>
    <definedName name="подпись_фио1" localSheetId="11">#REF!</definedName>
    <definedName name="подпись_фио1" localSheetId="8">#REF!</definedName>
    <definedName name="подпись_фио1" localSheetId="9">#REF!</definedName>
    <definedName name="подпись_фио1" localSheetId="10">#REF!</definedName>
    <definedName name="подпись_фио1">#REF!</definedName>
    <definedName name="подпись_фио2" localSheetId="12">#REF!</definedName>
    <definedName name="подпись_фио2" localSheetId="11">#REF!</definedName>
    <definedName name="подпись_фио2" localSheetId="8">#REF!</definedName>
    <definedName name="подпись_фио2" localSheetId="9">#REF!</definedName>
    <definedName name="подпись_фио2" localSheetId="10">#REF!</definedName>
    <definedName name="подпись_фио2">#REF!</definedName>
    <definedName name="подпись_фио3" localSheetId="12">#REF!</definedName>
    <definedName name="подпись_фио3" localSheetId="11">#REF!</definedName>
    <definedName name="подпись_фио3" localSheetId="8">#REF!</definedName>
    <definedName name="подпись_фио3" localSheetId="9">#REF!</definedName>
    <definedName name="подпись_фио3" localSheetId="10">#REF!</definedName>
    <definedName name="подпись_фио3">#REF!</definedName>
    <definedName name="ПОКАЗАТЕЛИ_ДОЛГОСР.ПРОГНОЗА" localSheetId="12">'[163]2002(v2)'!#REF!</definedName>
    <definedName name="ПОКАЗАТЕЛИ_ДОЛГОСР.ПРОГНОЗА" localSheetId="11">#REF!</definedName>
    <definedName name="ПОКАЗАТЕЛИ_ДОЛГОСР.ПРОГНОЗА" localSheetId="8">#REF!</definedName>
    <definedName name="ПОКАЗАТЕЛИ_ДОЛГОСР.ПРОГНОЗА" localSheetId="9">#REF!</definedName>
    <definedName name="ПОКАЗАТЕЛИ_ДОЛГОСР.ПРОГНОЗА" localSheetId="10">#REF!</definedName>
    <definedName name="ПОКАЗАТЕЛИ_ДОЛГОСР.ПРОГНОЗА" localSheetId="6">#REF!</definedName>
    <definedName name="ПОКАЗАТЕЛИ_ДОЛГОСР.ПРОГНОЗА" localSheetId="5">#REF!</definedName>
    <definedName name="ПОКАЗАТЕЛИ_ДОЛГОСР.ПРОГНОЗА" localSheetId="4">#REF!</definedName>
    <definedName name="ПОКАЗАТЕЛИ_ДОЛГОСР.ПРОГНОЗА">'[163]2002(v2)'!#REF!</definedName>
    <definedName name="попороо" localSheetId="2">#REF!</definedName>
    <definedName name="попороо" localSheetId="3">#REF!</definedName>
    <definedName name="попороо" localSheetId="12">#REF!</definedName>
    <definedName name="попороо" localSheetId="11">#REF!</definedName>
    <definedName name="попороо" localSheetId="8">#REF!</definedName>
    <definedName name="попороо" localSheetId="9">#REF!</definedName>
    <definedName name="попороо" localSheetId="10">#REF!</definedName>
    <definedName name="попороо" localSheetId="6">#REF!</definedName>
    <definedName name="попороо" localSheetId="5">#REF!</definedName>
    <definedName name="попороо" localSheetId="4">#REF!</definedName>
    <definedName name="попороо">#REF!</definedName>
    <definedName name="попро" localSheetId="12">#REF!</definedName>
    <definedName name="попро" localSheetId="11">#REF!</definedName>
    <definedName name="попро" localSheetId="8">#REF!</definedName>
    <definedName name="попро" localSheetId="9">#REF!</definedName>
    <definedName name="попро" localSheetId="10">#REF!</definedName>
    <definedName name="попро">#REF!</definedName>
    <definedName name="постав" localSheetId="12">#REF!</definedName>
    <definedName name="постав" localSheetId="11">#REF!</definedName>
    <definedName name="постав" localSheetId="8">#REF!</definedName>
    <definedName name="постав" localSheetId="9">#REF!</definedName>
    <definedName name="постав" localSheetId="10">#REF!</definedName>
    <definedName name="постав">#REF!</definedName>
    <definedName name="ПОТР._РЫНОКДП" localSheetId="3">'[16]1999-veca'!#REF!</definedName>
    <definedName name="ПОТР._РЫНОКДП" localSheetId="12">'[15]1999-veca'!#REF!</definedName>
    <definedName name="ПОТР._РЫНОКДП" localSheetId="11">'[15]1999-veca'!#REF!</definedName>
    <definedName name="ПОТР._РЫНОКДП" localSheetId="10">'[15]1999-veca'!#REF!</definedName>
    <definedName name="ПОТР._РЫНОКДП" localSheetId="6">'[15]1999-veca'!#REF!</definedName>
    <definedName name="ПОТР._РЫНОКДП" localSheetId="5">'[15]1999-veca'!#REF!</definedName>
    <definedName name="ПОТР._РЫНОКДП" localSheetId="4">'[16]1999-veca'!#REF!</definedName>
    <definedName name="ПОТР._РЫНОКДП">'[15]1999-veca'!#REF!</definedName>
    <definedName name="Потреб_вып_всего" localSheetId="3">'[104]Текущие цены'!#REF!</definedName>
    <definedName name="Потреб_вып_всего" localSheetId="12">'[105]Текущие цены'!#REF!</definedName>
    <definedName name="Потреб_вып_всего" localSheetId="11">'[105]Текущие цены'!#REF!</definedName>
    <definedName name="Потреб_вып_всего" localSheetId="10">'[105]Текущие цены'!#REF!</definedName>
    <definedName name="Потреб_вып_всего" localSheetId="6">'[105]Текущие цены'!#REF!</definedName>
    <definedName name="Потреб_вып_всего" localSheetId="5">'[105]Текущие цены'!#REF!</definedName>
    <definedName name="Потреб_вып_всего" localSheetId="4">'[104]Текущие цены'!#REF!</definedName>
    <definedName name="Потреб_вып_всего">'[105]Текущие цены'!#REF!</definedName>
    <definedName name="Потреб_вып_оф_н_цпг" localSheetId="3">'[104]Текущие цены'!#REF!</definedName>
    <definedName name="Потреб_вып_оф_н_цпг" localSheetId="12">'[105]Текущие цены'!#REF!</definedName>
    <definedName name="Потреб_вып_оф_н_цпг" localSheetId="11">'[105]Текущие цены'!#REF!</definedName>
    <definedName name="Потреб_вып_оф_н_цпг" localSheetId="10">'[105]Текущие цены'!#REF!</definedName>
    <definedName name="Потреб_вып_оф_н_цпг" localSheetId="6">'[105]Текущие цены'!#REF!</definedName>
    <definedName name="Потреб_вып_оф_н_цпг" localSheetId="5">'[105]Текущие цены'!#REF!</definedName>
    <definedName name="Потреб_вып_оф_н_цпг" localSheetId="4">'[104]Текущие цены'!#REF!</definedName>
    <definedName name="Потреб_вып_оф_н_цпг">'[105]Текущие цены'!#REF!</definedName>
    <definedName name="Поясн" localSheetId="2">#REF!</definedName>
    <definedName name="Поясн" localSheetId="3">#REF!</definedName>
    <definedName name="Поясн" localSheetId="12">#REF!</definedName>
    <definedName name="Поясн" localSheetId="11">#REF!</definedName>
    <definedName name="Поясн" localSheetId="8">#REF!</definedName>
    <definedName name="Поясн" localSheetId="9">#REF!</definedName>
    <definedName name="Поясн" localSheetId="10">#REF!</definedName>
    <definedName name="Поясн" localSheetId="6">#REF!</definedName>
    <definedName name="Поясн" localSheetId="5">#REF!</definedName>
    <definedName name="Поясн" localSheetId="4">#REF!</definedName>
    <definedName name="Поясн">#REF!</definedName>
    <definedName name="пояснения" localSheetId="12">#REF!</definedName>
    <definedName name="пояснения" localSheetId="11">#REF!</definedName>
    <definedName name="пояснения" localSheetId="8">#REF!</definedName>
    <definedName name="пояснения" localSheetId="9">#REF!</definedName>
    <definedName name="пояснения" localSheetId="10">#REF!</definedName>
    <definedName name="пояснения">#REF!</definedName>
    <definedName name="пп" localSheetId="15" hidden="1">#REF!,#REF!,#REF!,амортизация!P1_SCOPE_PER_PRT,амортизация!P2_SCOPE_PER_PRT,амортизация!P3_SCOPE_PER_PRT,амортизация!P4_SCOPE_PER_PRT</definedName>
    <definedName name="пп" localSheetId="3" hidden="1">#REF!,#REF!,#REF!,[131]!P1_SCOPE_PER_PRT,[131]!P2_SCOPE_PER_PRT,[131]!P3_SCOPE_PER_PRT,[131]!P4_SCOPE_PER_PRT</definedName>
    <definedName name="пп" localSheetId="12" hidden="1">#REF!,#REF!,#REF!,[132]!P1_SCOPE_PER_PRT,[132]!P2_SCOPE_PER_PRT,[132]!P3_SCOPE_PER_PRT,[132]!P4_SCOPE_PER_PRT</definedName>
    <definedName name="пп" localSheetId="7" hidden="1">#REF!,#REF!,#REF!,[132]!P1_SCOPE_PER_PRT,[132]!P2_SCOPE_PER_PRT,[132]!P3_SCOPE_PER_PRT,[132]!P4_SCOPE_PER_PRT</definedName>
    <definedName name="пп" localSheetId="11" hidden="1">#REF!,#REF!,#REF!,'Прил 6 к расп'!P1_SCOPE_PER_PRT,'Прил 6 к расп'!P2_SCOPE_PER_PRT,'Прил 6 к расп'!P3_SCOPE_PER_PRT,'Прил 6 к расп'!P4_SCOPE_PER_PRT</definedName>
    <definedName name="пп" localSheetId="8" hidden="1">#REF!,#REF!,#REF!,Прил2!P1_SCOPE_PER_PRT,Прил2!P2_SCOPE_PER_PRT,Прил2!P3_SCOPE_PER_PRT,Прил2!P4_SCOPE_PER_PRT</definedName>
    <definedName name="пп" localSheetId="9" hidden="1">#REF!,#REF!,#REF!,Прил3!P1_SCOPE_PER_PRT,Прил3!P2_SCOPE_PER_PRT,Прил3!P3_SCOPE_PER_PRT,Прил3!P4_SCOPE_PER_PRT</definedName>
    <definedName name="пп" localSheetId="10" hidden="1">#REF!,#REF!,#REF!,[133]!P1_SCOPE_PER_PRT,[133]!P2_SCOPE_PER_PRT,[133]!P3_SCOPE_PER_PRT,[133]!P4_SCOPE_PER_PRT</definedName>
    <definedName name="пп" localSheetId="6" hidden="1">#REF!,#REF!,#REF!,[133]!P1_SCOPE_PER_PRT,[133]!P2_SCOPE_PER_PRT,[133]!P3_SCOPE_PER_PRT,[133]!P4_SCOPE_PER_PRT</definedName>
    <definedName name="пп" localSheetId="5" hidden="1">#REF!,#REF!,#REF!,[133]!P1_SCOPE_PER_PRT,[133]!P2_SCOPE_PER_PRT,[133]!P3_SCOPE_PER_PRT,[133]!P4_SCOPE_PER_PRT</definedName>
    <definedName name="пп" localSheetId="4" hidden="1">#REF!,#REF!,#REF!,[134]!P1_SCOPE_PER_PRT,[134]!P2_SCOPE_PER_PRT,[134]!P3_SCOPE_PER_PRT,[134]!P4_SCOPE_PER_PRT</definedName>
    <definedName name="пп" hidden="1">#REF!,#REF!,#REF!,[132]!P1_SCOPE_PER_PRT,[132]!P2_SCOPE_PER_PRT,[132]!P3_SCOPE_PER_PRT,[132]!P4_SCOPE_PER_PRT</definedName>
    <definedName name="ппп">'[6]#ССЫЛКА'!$A$5:$EH$116</definedName>
    <definedName name="пппп" localSheetId="15">#REF!</definedName>
    <definedName name="пппп" localSheetId="12">#REF!</definedName>
    <definedName name="пппп" localSheetId="11">#REF!</definedName>
    <definedName name="пппп" localSheetId="8">#REF!</definedName>
    <definedName name="пппп" localSheetId="9">#REF!</definedName>
    <definedName name="пппп" localSheetId="10">#REF!</definedName>
    <definedName name="пппп" localSheetId="6">#REF!</definedName>
    <definedName name="пппп" localSheetId="5">#REF!</definedName>
    <definedName name="пппп" localSheetId="4">#REF!</definedName>
    <definedName name="пппп">#REF!</definedName>
    <definedName name="ппррр" localSheetId="15">#REF!</definedName>
    <definedName name="ппррр" localSheetId="12">#REF!</definedName>
    <definedName name="ппррр" localSheetId="11">#REF!</definedName>
    <definedName name="ппррр" localSheetId="8">#REF!</definedName>
    <definedName name="ппррр" localSheetId="9">#REF!</definedName>
    <definedName name="ппррр" localSheetId="10">#REF!</definedName>
    <definedName name="ппррр">#REF!</definedName>
    <definedName name="пр" localSheetId="15" hidden="1">{"План продаж",#N/A,FALSE,"товар"}</definedName>
    <definedName name="пр" localSheetId="2" hidden="1">{"План продаж",#N/A,FALSE,"товар"}</definedName>
    <definedName name="пр" localSheetId="3" hidden="1">{"План продаж",#N/A,FALSE,"товар"}</definedName>
    <definedName name="пр" localSheetId="7" hidden="1">{"План продаж",#N/A,FALSE,"товар"}</definedName>
    <definedName name="пр" localSheetId="11" hidden="1">{"План продаж",#N/A,FALSE,"товар"}</definedName>
    <definedName name="пр" localSheetId="8" hidden="1">{"План продаж",#N/A,FALSE,"товар"}</definedName>
    <definedName name="пр" localSheetId="9" hidden="1">{"План продаж",#N/A,FALSE,"товар"}</definedName>
    <definedName name="пр" localSheetId="10" hidden="1">{"План продаж",#N/A,FALSE,"товар"}</definedName>
    <definedName name="пр" localSheetId="6" hidden="1">{"План продаж",#N/A,FALSE,"товар"}</definedName>
    <definedName name="пр" localSheetId="5" hidden="1">{"План продаж",#N/A,FALSE,"товар"}</definedName>
    <definedName name="пр" localSheetId="4" hidden="1">{"План продаж",#N/A,FALSE,"товар"}</definedName>
    <definedName name="пр" hidden="1">{"План продаж",#N/A,FALSE,"товар"}</definedName>
    <definedName name="пр.пр." localSheetId="15" hidden="1">#REF!,#REF!,#REF!,амортизация!P1_SCOPE_PER_PRT,амортизация!P2_SCOPE_PER_PRT,амортизация!P3_SCOPE_PER_PRT,амортизация!P4_SCOPE_PER_PRT</definedName>
    <definedName name="пр.пр." localSheetId="2" hidden="1">#REF!,#REF!,#REF!,P1_SCOPE_PER_PRT,P2_SCOPE_PER_PRT,P3_SCOPE_PER_PRT,P4_SCOPE_PER_PRT</definedName>
    <definedName name="пр.пр." localSheetId="3" hidden="1">#REF!,#REF!,#REF!,P1_SCOPE_PER_PRT,P2_SCOPE_PER_PRT,P3_SCOPE_PER_PRT,P4_SCOPE_PER_PRT</definedName>
    <definedName name="пр.пр." localSheetId="12" hidden="1">#REF!,#REF!,#REF!,'переменные на 5 лет'!P1_SCOPE_PER_PRT,'переменные на 5 лет'!P2_SCOPE_PER_PRT,'переменные на 5 лет'!P3_SCOPE_PER_PRT,'переменные на 5 лет'!P4_SCOPE_PER_PRT</definedName>
    <definedName name="пр.пр." localSheetId="11" hidden="1">#REF!,#REF!,#REF!,P1_SCOPE_PER_PRT,P2_SCOPE_PER_PRT,P3_SCOPE_PER_PRT,P4_SCOPE_PER_PRT</definedName>
    <definedName name="пр.пр." localSheetId="8" hidden="1">#REF!,#REF!,#REF!,P1_SCOPE_PER_PRT,P2_SCOPE_PER_PRT,P3_SCOPE_PER_PRT,P4_SCOPE_PER_PRT</definedName>
    <definedName name="пр.пр." localSheetId="9" hidden="1">#REF!,#REF!,#REF!,P1_SCOPE_PER_PRT,P2_SCOPE_PER_PRT,P3_SCOPE_PER_PRT,P4_SCOPE_PER_PRT</definedName>
    <definedName name="пр.пр." localSheetId="10" hidden="1">#REF!,#REF!,#REF!,Прил4!P1_SCOPE_PER_PRT,Прил4!P2_SCOPE_PER_PRT,Прил4!P3_SCOPE_PER_PRT,Прил4!P4_SCOPE_PER_PRT</definedName>
    <definedName name="пр.пр." localSheetId="6" hidden="1">#REF!,#REF!,#REF!,Тарифы!P1_SCOPE_PER_PRT,Тарифы!P2_SCOPE_PER_PRT,Тарифы!P3_SCOPE_PER_PRT,Тарифы!P4_SCOPE_PER_PRT</definedName>
    <definedName name="пр.пр." localSheetId="5" hidden="1">#REF!,#REF!,#REF!,'Тарифы (2)'!P1_SCOPE_PER_PRT,'Тарифы (2)'!P2_SCOPE_PER_PRT,'Тарифы (2)'!P3_SCOPE_PER_PRT,'Тарифы (2)'!P4_SCOPE_PER_PRT</definedName>
    <definedName name="пр.пр." localSheetId="4" hidden="1">#REF!,#REF!,#REF!,'Тарифы (3)'!P1_SCOPE_PER_PRT,'Тарифы (3)'!P2_SCOPE_PER_PRT,'Тарифы (3)'!P3_SCOPE_PER_PRT,'Тарифы (3)'!P4_SCOPE_PER_PRT</definedName>
    <definedName name="пр.пр." hidden="1">#REF!,#REF!,#REF!,P1_SCOPE_PER_PRT,P2_SCOPE_PER_PRT,P3_SCOPE_PER_PRT,P4_SCOPE_PER_PRT</definedName>
    <definedName name="Предлагаемые_для_утверждения_тарифы_на_эл.эн" localSheetId="15">#REF!</definedName>
    <definedName name="Предлагаемые_для_утверждения_тарифы_на_эл.эн" localSheetId="12">#REF!</definedName>
    <definedName name="Предлагаемые_для_утверждения_тарифы_на_эл.эн" localSheetId="11">#REF!</definedName>
    <definedName name="Предлагаемые_для_утверждения_тарифы_на_эл.эн" localSheetId="8">#REF!</definedName>
    <definedName name="Предлагаемые_для_утверждения_тарифы_на_эл.эн" localSheetId="9">#REF!</definedName>
    <definedName name="Предлагаемые_для_утверждения_тарифы_на_эл.эн" localSheetId="10">#REF!</definedName>
    <definedName name="Предлагаемые_для_утверждения_тарифы_на_эл.эн" localSheetId="6">#REF!</definedName>
    <definedName name="Предлагаемые_для_утверждения_тарифы_на_эл.эн" localSheetId="5">#REF!</definedName>
    <definedName name="Предлагаемые_для_утверждения_тарифы_на_эл.эн" localSheetId="4">#REF!</definedName>
    <definedName name="Предлагаемые_для_утверждения_тарифы_на_эл.эн">#REF!</definedName>
    <definedName name="Предприятие" localSheetId="15">#REF!</definedName>
    <definedName name="Предприятие" localSheetId="12">#REF!</definedName>
    <definedName name="Предприятие" localSheetId="11">#REF!</definedName>
    <definedName name="Предприятие" localSheetId="8">#REF!</definedName>
    <definedName name="Предприятие" localSheetId="9">#REF!</definedName>
    <definedName name="Предприятие" localSheetId="10">#REF!</definedName>
    <definedName name="Предприятие">#REF!</definedName>
    <definedName name="Предприятия" localSheetId="15">#REF!</definedName>
    <definedName name="Предприятия" localSheetId="12">#REF!</definedName>
    <definedName name="Предприятия" localSheetId="11">#REF!</definedName>
    <definedName name="Предприятия" localSheetId="8">#REF!</definedName>
    <definedName name="Предприятия" localSheetId="9">#REF!</definedName>
    <definedName name="Предприятия" localSheetId="10">#REF!</definedName>
    <definedName name="Предприятия">#REF!</definedName>
    <definedName name="прибыль3" localSheetId="15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localSheetId="11" hidden="1">{#N/A,#N/A,TRUE,"Лист1";#N/A,#N/A,TRUE,"Лист2";#N/A,#N/A,TRUE,"Лист3"}</definedName>
    <definedName name="прибыль3" localSheetId="8" hidden="1">{#N/A,#N/A,TRUE,"Лист1";#N/A,#N/A,TRUE,"Лист2";#N/A,#N/A,TRUE,"Лист3"}</definedName>
    <definedName name="прибыль3" localSheetId="9" hidden="1">{#N/A,#N/A,TRUE,"Лист1";#N/A,#N/A,TRUE,"Лист2";#N/A,#N/A,TRUE,"Лист3"}</definedName>
    <definedName name="прибыль3" localSheetId="10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15">[7]!прил</definedName>
    <definedName name="прил" localSheetId="11">#N/A</definedName>
    <definedName name="прил" localSheetId="8">#N/A</definedName>
    <definedName name="прил" localSheetId="9">#N/A</definedName>
    <definedName name="прил" localSheetId="6">#N/A</definedName>
    <definedName name="прил" localSheetId="5">#N/A</definedName>
    <definedName name="прил" localSheetId="4">#N/A</definedName>
    <definedName name="прил">#N/A</definedName>
    <definedName name="приложе" localSheetId="15">#REF!</definedName>
    <definedName name="приложе" localSheetId="12">#REF!</definedName>
    <definedName name="приложе" localSheetId="11">#REF!</definedName>
    <definedName name="приложе" localSheetId="8">#REF!</definedName>
    <definedName name="приложе" localSheetId="9">#REF!</definedName>
    <definedName name="приложе" localSheetId="10">#REF!</definedName>
    <definedName name="приложе" localSheetId="6">#REF!</definedName>
    <definedName name="приложе" localSheetId="5">#REF!</definedName>
    <definedName name="приложе" localSheetId="4">#REF!</definedName>
    <definedName name="приложе">#REF!</definedName>
    <definedName name="Приход_расход" localSheetId="15">#REF!</definedName>
    <definedName name="Приход_расход" localSheetId="12">#REF!</definedName>
    <definedName name="Приход_расход" localSheetId="11">#REF!</definedName>
    <definedName name="Приход_расход" localSheetId="8">#REF!</definedName>
    <definedName name="Приход_расход" localSheetId="9">#REF!</definedName>
    <definedName name="Приход_расход" localSheetId="10">#REF!</definedName>
    <definedName name="Приход_расход">#REF!</definedName>
    <definedName name="Прогноз_Вып_пц" localSheetId="3">[104]рабочий!$Y$240:$AP$262</definedName>
    <definedName name="Прогноз_Вып_пц" localSheetId="6">[105]рабочий!$Y$240:$AP$262</definedName>
    <definedName name="Прогноз_Вып_пц" localSheetId="5">[105]рабочий!$Y$240:$AP$262</definedName>
    <definedName name="Прогноз_Вып_пц" localSheetId="4">[104]рабочий!$Y$240:$AP$262</definedName>
    <definedName name="Прогноз_Вып_пц">[105]рабочий!$Y$240:$AP$262</definedName>
    <definedName name="Прогноз_вып_цпг" localSheetId="2">'[105]Текущие цены'!#REF!</definedName>
    <definedName name="Прогноз_вып_цпг" localSheetId="3">'[104]Текущие цены'!#REF!</definedName>
    <definedName name="Прогноз_вып_цпг" localSheetId="12">'[105]Текущие цены'!#REF!</definedName>
    <definedName name="Прогноз_вып_цпг" localSheetId="11">'[105]Текущие цены'!#REF!</definedName>
    <definedName name="Прогноз_вып_цпг" localSheetId="8">'[105]Текущие цены'!#REF!</definedName>
    <definedName name="Прогноз_вып_цпг" localSheetId="9">'[105]Текущие цены'!#REF!</definedName>
    <definedName name="Прогноз_вып_цпг" localSheetId="10">'[105]Текущие цены'!#REF!</definedName>
    <definedName name="Прогноз_вып_цпг" localSheetId="6">'[105]Текущие цены'!#REF!</definedName>
    <definedName name="Прогноз_вып_цпг" localSheetId="5">'[105]Текущие цены'!#REF!</definedName>
    <definedName name="Прогноз_вып_цпг" localSheetId="4">'[104]Текущие цены'!#REF!</definedName>
    <definedName name="Прогноз_вып_цпг">'[105]Текущие цены'!#REF!</definedName>
    <definedName name="Прогноз97" localSheetId="3">[164]ПРОГНОЗ_1!#REF!</definedName>
    <definedName name="Прогноз97" localSheetId="12">[165]ПРОГНОЗ_1!#REF!</definedName>
    <definedName name="Прогноз97" localSheetId="11">[165]ПРОГНОЗ_1!#REF!</definedName>
    <definedName name="Прогноз97" localSheetId="10">[165]ПРОГНОЗ_1!#REF!</definedName>
    <definedName name="Прогноз97" localSheetId="6">[165]ПРОГНОЗ_1!#REF!</definedName>
    <definedName name="Прогноз97" localSheetId="5">[165]ПРОГНОЗ_1!#REF!</definedName>
    <definedName name="Прогноз97" localSheetId="4">[164]ПРОГНОЗ_1!#REF!</definedName>
    <definedName name="Прогноз97">[165]ПРОГНОЗ_1!#REF!</definedName>
    <definedName name="прод" localSheetId="15">#REF!</definedName>
    <definedName name="прод" localSheetId="12">#REF!</definedName>
    <definedName name="прод" localSheetId="11">#REF!</definedName>
    <definedName name="прод" localSheetId="8">#REF!</definedName>
    <definedName name="прод" localSheetId="9">#REF!</definedName>
    <definedName name="прод" localSheetId="10">#REF!</definedName>
    <definedName name="прод" localSheetId="6">#REF!</definedName>
    <definedName name="прод" localSheetId="5">#REF!</definedName>
    <definedName name="прод" localSheetId="4">#REF!</definedName>
    <definedName name="прод">#REF!</definedName>
    <definedName name="Проект" localSheetId="12">#REF!</definedName>
    <definedName name="Проект" localSheetId="11">#REF!</definedName>
    <definedName name="Проект" localSheetId="8">#REF!</definedName>
    <definedName name="Проект" localSheetId="9">#REF!</definedName>
    <definedName name="Проект" localSheetId="10">#REF!</definedName>
    <definedName name="Проект">#REF!</definedName>
    <definedName name="проп" localSheetId="12">#REF!</definedName>
    <definedName name="проп" localSheetId="11">#REF!</definedName>
    <definedName name="проп" localSheetId="8">#REF!</definedName>
    <definedName name="проп" localSheetId="9">#REF!</definedName>
    <definedName name="проп" localSheetId="10">#REF!</definedName>
    <definedName name="проп">#REF!</definedName>
    <definedName name="пропл" localSheetId="15">#REF!,#REF!,#REF!,#REF!,#REF!,#REF!,#REF!,#REF!,#REF!,#REF!</definedName>
    <definedName name="пропл" localSheetId="12">#REF!,#REF!,#REF!,#REF!,#REF!,#REF!,#REF!,#REF!,#REF!,#REF!</definedName>
    <definedName name="пропл" localSheetId="11">#REF!,#REF!,#REF!,#REF!,#REF!,#REF!,#REF!,#REF!,#REF!,#REF!</definedName>
    <definedName name="пропл" localSheetId="8">#REF!,#REF!,#REF!,#REF!,#REF!,#REF!,#REF!,#REF!,#REF!,#REF!</definedName>
    <definedName name="пропл" localSheetId="9">#REF!,#REF!,#REF!,#REF!,#REF!,#REF!,#REF!,#REF!,#REF!,#REF!</definedName>
    <definedName name="пропл" localSheetId="10">#REF!,#REF!,#REF!,#REF!,#REF!,#REF!,#REF!,#REF!,#REF!,#REF!</definedName>
    <definedName name="пропл" localSheetId="6">#REF!,#REF!,#REF!,#REF!,#REF!,#REF!,#REF!,#REF!,#REF!,#REF!</definedName>
    <definedName name="пропл" localSheetId="5">#REF!,#REF!,#REF!,#REF!,#REF!,#REF!,#REF!,#REF!,#REF!,#REF!</definedName>
    <definedName name="пропл" localSheetId="4">#REF!,#REF!,#REF!,#REF!,#REF!,#REF!,#REF!,#REF!,#REF!,#REF!</definedName>
    <definedName name="пропл">#REF!,#REF!,#REF!,#REF!,#REF!,#REF!,#REF!,#REF!,#REF!,#REF!</definedName>
    <definedName name="проплп" localSheetId="15">#REF!</definedName>
    <definedName name="проплп" localSheetId="12">#REF!</definedName>
    <definedName name="проплп" localSheetId="11">#REF!</definedName>
    <definedName name="проплп" localSheetId="8">#REF!</definedName>
    <definedName name="проплп" localSheetId="9">#REF!</definedName>
    <definedName name="проплп" localSheetId="10">#REF!</definedName>
    <definedName name="проплп" localSheetId="6">#REF!</definedName>
    <definedName name="проплп" localSheetId="5">#REF!</definedName>
    <definedName name="проплп" localSheetId="4">#REF!</definedName>
    <definedName name="проплп">#REF!</definedName>
    <definedName name="Процент" localSheetId="15">[166]Financing!#REF!</definedName>
    <definedName name="Процент" localSheetId="12">[166]Financing!#REF!</definedName>
    <definedName name="Процент" localSheetId="11">[166]Financing!#REF!</definedName>
    <definedName name="Процент" localSheetId="8">[166]Financing!#REF!</definedName>
    <definedName name="Процент" localSheetId="9">[166]Financing!#REF!</definedName>
    <definedName name="Процент" localSheetId="10">[166]Financing!#REF!</definedName>
    <definedName name="Процент" localSheetId="6">[166]Financing!#REF!</definedName>
    <definedName name="Процент" localSheetId="5">[166]Financing!#REF!</definedName>
    <definedName name="Процент" localSheetId="4">[166]Financing!#REF!</definedName>
    <definedName name="Процент">[166]Financing!#REF!</definedName>
    <definedName name="прош_год" localSheetId="15">#REF!</definedName>
    <definedName name="прош_год" localSheetId="12">#REF!</definedName>
    <definedName name="прош_год" localSheetId="11">#REF!</definedName>
    <definedName name="прош_год" localSheetId="8">#REF!</definedName>
    <definedName name="прош_год" localSheetId="9">#REF!</definedName>
    <definedName name="прош_год" localSheetId="10">#REF!</definedName>
    <definedName name="прош_год" localSheetId="6">#REF!</definedName>
    <definedName name="прош_год" localSheetId="5">#REF!</definedName>
    <definedName name="прош_год" localSheetId="4">#REF!</definedName>
    <definedName name="прош_год">#REF!</definedName>
    <definedName name="прпооооооо" localSheetId="15">#REF!</definedName>
    <definedName name="прпооооооо" localSheetId="12">#REF!</definedName>
    <definedName name="прпооооооо" localSheetId="11">#REF!</definedName>
    <definedName name="прпооооооо" localSheetId="8">#REF!</definedName>
    <definedName name="прпооооооо" localSheetId="9">#REF!</definedName>
    <definedName name="прпооооооо" localSheetId="10">#REF!</definedName>
    <definedName name="прпооооооо">#REF!</definedName>
    <definedName name="прпор" localSheetId="15">#REF!</definedName>
    <definedName name="прпор" localSheetId="12">#REF!</definedName>
    <definedName name="прпор" localSheetId="11">#REF!</definedName>
    <definedName name="прпор" localSheetId="8">#REF!</definedName>
    <definedName name="прпор" localSheetId="9">#REF!</definedName>
    <definedName name="прпор" localSheetId="10">#REF!</definedName>
    <definedName name="прпор">#REF!</definedName>
    <definedName name="прпрнаанал" localSheetId="15" hidden="1">#REF!,#REF!,#REF!,амортизация!P1_SCOPE_PER_PRT,амортизация!P2_SCOPE_PER_PRT,амортизация!P3_SCOPE_PER_PRT,амортизация!P4_SCOPE_PER_PRT</definedName>
    <definedName name="прпрнаанал" localSheetId="2" hidden="1">#REF!,#REF!,#REF!,P1_SCOPE_PER_PRT,P2_SCOPE_PER_PRT,P3_SCOPE_PER_PRT,P4_SCOPE_PER_PRT</definedName>
    <definedName name="прпрнаанал" localSheetId="3" hidden="1">#REF!,#REF!,#REF!,P1_SCOPE_PER_PRT,P2_SCOPE_PER_PRT,P3_SCOPE_PER_PRT,P4_SCOPE_PER_PRT</definedName>
    <definedName name="прпрнаанал" localSheetId="12" hidden="1">#REF!,#REF!,#REF!,'переменные на 5 лет'!P1_SCOPE_PER_PRT,'переменные на 5 лет'!P2_SCOPE_PER_PRT,'переменные на 5 лет'!P3_SCOPE_PER_PRT,'переменные на 5 лет'!P4_SCOPE_PER_PRT</definedName>
    <definedName name="прпрнаанал" localSheetId="7" hidden="1">#REF!,#REF!,#REF!,подконтрольные!P1_SCOPE_PER_PRT,подконтрольные!P2_SCOPE_PER_PRT,подконтрольные!P3_SCOPE_PER_PRT,подконтрольные!P4_SCOPE_PER_PRT</definedName>
    <definedName name="прпрнаанал" localSheetId="11" hidden="1">#REF!,#REF!,#REF!,'Прил 6 к расп'!P1_SCOPE_PER_PRT,'Прил 6 к расп'!P2_SCOPE_PER_PRT,'Прил 6 к расп'!P3_SCOPE_PER_PRT,'Прил 6 к расп'!P4_SCOPE_PER_PRT</definedName>
    <definedName name="прпрнаанал" localSheetId="8" hidden="1">#REF!,#REF!,#REF!,Прил2!P1_SCOPE_PER_PRT,Прил2!P2_SCOPE_PER_PRT,Прил2!P3_SCOPE_PER_PRT,Прил2!P4_SCOPE_PER_PRT</definedName>
    <definedName name="прпрнаанал" localSheetId="9" hidden="1">#REF!,#REF!,#REF!,Прил3!P1_SCOPE_PER_PRT,Прил3!P2_SCOPE_PER_PRT,Прил3!P3_SCOPE_PER_PRT,Прил3!P4_SCOPE_PER_PRT</definedName>
    <definedName name="прпрнаанал" localSheetId="10" hidden="1">#REF!,#REF!,#REF!,Прил4!P1_SCOPE_PER_PRT,Прил4!P2_SCOPE_PER_PRT,Прил4!P3_SCOPE_PER_PRT,Прил4!P4_SCOPE_PER_PRT</definedName>
    <definedName name="прпрнаанал" localSheetId="6" hidden="1">#REF!,#REF!,#REF!,Тарифы!P1_SCOPE_PER_PRT,Тарифы!P2_SCOPE_PER_PRT,Тарифы!P3_SCOPE_PER_PRT,Тарифы!P4_SCOPE_PER_PRT</definedName>
    <definedName name="прпрнаанал" localSheetId="5" hidden="1">#REF!,#REF!,#REF!,'Тарифы (2)'!P1_SCOPE_PER_PRT,'Тарифы (2)'!P2_SCOPE_PER_PRT,'Тарифы (2)'!P3_SCOPE_PER_PRT,'Тарифы (2)'!P4_SCOPE_PER_PRT</definedName>
    <definedName name="прпрнаанал" localSheetId="4" hidden="1">#REF!,#REF!,#REF!,'Тарифы (3)'!P1_SCOPE_PER_PRT,'Тарифы (3)'!P2_SCOPE_PER_PRT,'Тарифы (3)'!P3_SCOPE_PER_PRT,'Тарифы (3)'!P4_SCOPE_PER_PRT</definedName>
    <definedName name="прпрнаанал" hidden="1">#REF!,#REF!,#REF!,P1_SCOPE_PER_PRT,P2_SCOPE_PER_PRT,P3_SCOPE_PER_PRT,P4_SCOPE_PER_PRT</definedName>
    <definedName name="ПТО" localSheetId="3">[167]БДР!#REF!</definedName>
    <definedName name="ПТО" localSheetId="12">[167]БДР!#REF!</definedName>
    <definedName name="ПТО" localSheetId="11">[167]БДР!#REF!</definedName>
    <definedName name="ПТО" localSheetId="6">[167]БДР!#REF!</definedName>
    <definedName name="ПТО" localSheetId="5">[167]БДР!#REF!</definedName>
    <definedName name="ПТО" localSheetId="4">[167]БДР!#REF!</definedName>
    <definedName name="ПТО">[167]БДР!#REF!</definedName>
    <definedName name="пуд" localSheetId="15">[139]Сибмол!#REF!</definedName>
    <definedName name="пуд" localSheetId="12">[139]Сибмол!#REF!</definedName>
    <definedName name="пуд" localSheetId="11">[139]Сибмол!#REF!</definedName>
    <definedName name="пуд" localSheetId="8">[139]Сибмол!#REF!</definedName>
    <definedName name="пуд" localSheetId="9">[139]Сибмол!#REF!</definedName>
    <definedName name="пуд" localSheetId="10">[139]Сибмол!#REF!</definedName>
    <definedName name="пуд" localSheetId="6">[139]Сибмол!#REF!</definedName>
    <definedName name="пуд" localSheetId="5">[139]Сибмол!#REF!</definedName>
    <definedName name="пуд" localSheetId="4">[139]Сибмол!#REF!</definedName>
    <definedName name="пуд">[139]Сибмол!#REF!</definedName>
    <definedName name="пукпаук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ятый" localSheetId="3">#REF!</definedName>
    <definedName name="пятый" localSheetId="12">#REF!</definedName>
    <definedName name="пятый" localSheetId="11">#REF!</definedName>
    <definedName name="пятый" localSheetId="6">#REF!</definedName>
    <definedName name="пятый" localSheetId="5">#REF!</definedName>
    <definedName name="пятый" localSheetId="4">#REF!</definedName>
    <definedName name="пятый">#REF!</definedName>
    <definedName name="р" localSheetId="15">#REF!</definedName>
    <definedName name="р" localSheetId="12">#REF!</definedName>
    <definedName name="р" localSheetId="11">#REF!</definedName>
    <definedName name="р" localSheetId="8">#REF!</definedName>
    <definedName name="р" localSheetId="9">#REF!</definedName>
    <definedName name="р" localSheetId="10">#REF!</definedName>
    <definedName name="р" localSheetId="6">#REF!</definedName>
    <definedName name="р" localSheetId="5">#REF!</definedName>
    <definedName name="р" localSheetId="4">#REF!</definedName>
    <definedName name="р">#REF!</definedName>
    <definedName name="Расчёт_диффер_по_времени_суток_ставок_за_эл.эн" localSheetId="15">#REF!</definedName>
    <definedName name="Расчёт_диффер_по_времени_суток_ставок_за_эл.эн" localSheetId="12">#REF!</definedName>
    <definedName name="Расчёт_диффер_по_времени_суток_ставок_за_эл.эн" localSheetId="11">#REF!</definedName>
    <definedName name="Расчёт_диффер_по_времени_суток_ставок_за_эл.эн" localSheetId="8">#REF!</definedName>
    <definedName name="Расчёт_диффер_по_времени_суток_ставок_за_эл.эн" localSheetId="9">#REF!</definedName>
    <definedName name="Расчёт_диффер_по_времени_суток_ставок_за_эл.эн" localSheetId="10">#REF!</definedName>
    <definedName name="Расчёт_диффер_по_времени_суток_ставок_за_эл.эн">#REF!</definedName>
    <definedName name="Расчет_диффер_ставок_платы_за_тепловую_мощность" localSheetId="15">#REF!</definedName>
    <definedName name="Расчет_диффер_ставок_платы_за_тепловую_мощность" localSheetId="12">#REF!</definedName>
    <definedName name="Расчет_диффер_ставок_платы_за_тепловую_мощность" localSheetId="11">#REF!</definedName>
    <definedName name="Расчет_диффер_ставок_платы_за_тепловую_мощность" localSheetId="8">#REF!</definedName>
    <definedName name="Расчет_диффер_ставок_платы_за_тепловую_мощность" localSheetId="9">#REF!</definedName>
    <definedName name="Расчет_диффер_ставок_платы_за_тепловую_мощность" localSheetId="1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12">#REF!</definedName>
    <definedName name="Расчет_дифференцированных_ставок_платы_за_теплоэнергию" localSheetId="11">#REF!</definedName>
    <definedName name="Расчет_дифференцированных_ставок_платы_за_теплоэнергию" localSheetId="8">#REF!</definedName>
    <definedName name="Расчет_дифференцированных_ставок_платы_за_теплоэнергию" localSheetId="9">#REF!</definedName>
    <definedName name="Расчет_дифференцированных_ставок_платы_за_теплоэнергию" localSheetId="10">#REF!</definedName>
    <definedName name="Расчет_дифференцированных_ставок_платы_за_теплоэнергию">#REF!</definedName>
    <definedName name="Расчет_региональной_абонентной_платы" localSheetId="12">#REF!</definedName>
    <definedName name="Расчет_региональной_абонентной_платы" localSheetId="11">#REF!</definedName>
    <definedName name="Расчет_региональной_абонентной_платы" localSheetId="8">#REF!</definedName>
    <definedName name="Расчет_региональной_абонентной_платы" localSheetId="9">#REF!</definedName>
    <definedName name="Расчет_региональной_абонентной_платы" localSheetId="10">#REF!</definedName>
    <definedName name="Расчет_региональной_абонентной_платы">#REF!</definedName>
    <definedName name="ргззхщ" localSheetId="12">#REF!</definedName>
    <definedName name="ргззхщ" localSheetId="11">#REF!</definedName>
    <definedName name="ргззхщ" localSheetId="8">#REF!</definedName>
    <definedName name="ргззхщ" localSheetId="9">#REF!</definedName>
    <definedName name="ргззхщ" localSheetId="10">#REF!</definedName>
    <definedName name="ргззхщ">#REF!</definedName>
    <definedName name="Регион" localSheetId="12">#REF!</definedName>
    <definedName name="Регион" localSheetId="11">#REF!</definedName>
    <definedName name="Регион" localSheetId="8">#REF!</definedName>
    <definedName name="Регион" localSheetId="9">#REF!</definedName>
    <definedName name="Регион" localSheetId="10">#REF!</definedName>
    <definedName name="Регион">#REF!</definedName>
    <definedName name="Регионы" localSheetId="12">#REF!</definedName>
    <definedName name="Регионы" localSheetId="11">#REF!</definedName>
    <definedName name="Регионы" localSheetId="8">#REF!</definedName>
    <definedName name="Регионы" localSheetId="9">#REF!</definedName>
    <definedName name="Регионы" localSheetId="10">#REF!</definedName>
    <definedName name="Регионы">#REF!</definedName>
    <definedName name="ремонт" localSheetId="12">#REF!</definedName>
    <definedName name="ремонт" localSheetId="11">#REF!</definedName>
    <definedName name="ремонт" localSheetId="8">#REF!</definedName>
    <definedName name="ремонт" localSheetId="9">#REF!</definedName>
    <definedName name="ремонт" localSheetId="10">#REF!</definedName>
    <definedName name="ремонт">#REF!</definedName>
    <definedName name="рис1" localSheetId="15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localSheetId="11" hidden="1">{#N/A,#N/A,TRUE,"Лист1";#N/A,#N/A,TRUE,"Лист2";#N/A,#N/A,TRUE,"Лист3"}</definedName>
    <definedName name="рис1" localSheetId="8" hidden="1">{#N/A,#N/A,TRUE,"Лист1";#N/A,#N/A,TRUE,"Лист2";#N/A,#N/A,TRUE,"Лист3"}</definedName>
    <definedName name="рис1" localSheetId="9" hidden="1">{#N/A,#N/A,TRUE,"Лист1";#N/A,#N/A,TRUE,"Лист2";#N/A,#N/A,TRUE,"Лист3"}</definedName>
    <definedName name="рис1" localSheetId="10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[121]ПЦ!$C$1</definedName>
    <definedName name="рол" localSheetId="15" hidden="1">{"Товар.выработка без продаж",#N/A,FALSE,"товар"}</definedName>
    <definedName name="рол" localSheetId="2" hidden="1">{"Товар.выработка без продаж",#N/A,FALSE,"товар"}</definedName>
    <definedName name="рол" localSheetId="3" hidden="1">{"Товар.выработка без продаж",#N/A,FALSE,"товар"}</definedName>
    <definedName name="рол" localSheetId="7" hidden="1">{"Товар.выработка без продаж",#N/A,FALSE,"товар"}</definedName>
    <definedName name="рол" localSheetId="11" hidden="1">{"Товар.выработка без продаж",#N/A,FALSE,"товар"}</definedName>
    <definedName name="рол" localSheetId="8" hidden="1">{"Товар.выработка без продаж",#N/A,FALSE,"товар"}</definedName>
    <definedName name="рол" localSheetId="9" hidden="1">{"Товар.выработка без продаж",#N/A,FALSE,"товар"}</definedName>
    <definedName name="рол" localSheetId="10" hidden="1">{"Товар.выработка без продаж",#N/A,FALSE,"товар"}</definedName>
    <definedName name="рол" localSheetId="6" hidden="1">{"Товар.выработка без продаж",#N/A,FALSE,"товар"}</definedName>
    <definedName name="рол" localSheetId="5" hidden="1">{"Товар.выработка без продаж",#N/A,FALSE,"товар"}</definedName>
    <definedName name="рол" localSheetId="4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15">#REF!</definedName>
    <definedName name="ролллллп" localSheetId="12">#REF!</definedName>
    <definedName name="ролллллп" localSheetId="11">#REF!</definedName>
    <definedName name="ролллллп" localSheetId="8">#REF!</definedName>
    <definedName name="ролллллп" localSheetId="9">#REF!</definedName>
    <definedName name="ролллллп" localSheetId="10">#REF!</definedName>
    <definedName name="ролллллп" localSheetId="6">#REF!</definedName>
    <definedName name="ролллллп" localSheetId="5">#REF!</definedName>
    <definedName name="ролллллп" localSheetId="4">#REF!</definedName>
    <definedName name="ролллллп">#REF!</definedName>
    <definedName name="ролржрж" localSheetId="15">#REF!</definedName>
    <definedName name="ролржрж" localSheetId="12">#REF!</definedName>
    <definedName name="ролржрж" localSheetId="11">#REF!</definedName>
    <definedName name="ролржрж" localSheetId="8">#REF!</definedName>
    <definedName name="ролржрж" localSheetId="9">#REF!</definedName>
    <definedName name="ролржрж" localSheetId="10">#REF!</definedName>
    <definedName name="ролржрж">#REF!</definedName>
    <definedName name="ронп" localSheetId="12">'[160]БСС-2'!#REF!</definedName>
    <definedName name="ронп" localSheetId="11">'[160]БСС-2'!#REF!</definedName>
    <definedName name="ронп">'[160]БСС-2'!#REF!</definedName>
    <definedName name="роо" localSheetId="15">#REF!</definedName>
    <definedName name="роо" localSheetId="12">#REF!</definedName>
    <definedName name="роо" localSheetId="11">#REF!</definedName>
    <definedName name="роо" localSheetId="8">#REF!</definedName>
    <definedName name="роо" localSheetId="9">#REF!</definedName>
    <definedName name="роо" localSheetId="10">#REF!</definedName>
    <definedName name="роо" localSheetId="6">#REF!</definedName>
    <definedName name="роо" localSheetId="5">#REF!</definedName>
    <definedName name="роо" localSheetId="4">#REF!</definedName>
    <definedName name="роо">#REF!</definedName>
    <definedName name="ропор" localSheetId="15">[7]!ропор</definedName>
    <definedName name="ропор" localSheetId="11">#N/A</definedName>
    <definedName name="ропор" localSheetId="8">#N/A</definedName>
    <definedName name="ропор" localSheetId="9">#N/A</definedName>
    <definedName name="ропор" localSheetId="6">#N/A</definedName>
    <definedName name="ропор" localSheetId="5">#N/A</definedName>
    <definedName name="ропор" localSheetId="4">#N/A</definedName>
    <definedName name="ропор">#N/A</definedName>
    <definedName name="рород" localSheetId="15">#REF!</definedName>
    <definedName name="рород" localSheetId="12">#REF!</definedName>
    <definedName name="рород" localSheetId="11">#REF!</definedName>
    <definedName name="рород" localSheetId="8">#REF!</definedName>
    <definedName name="рород" localSheetId="9">#REF!</definedName>
    <definedName name="рород" localSheetId="10">#REF!</definedName>
    <definedName name="рород" localSheetId="6">#REF!</definedName>
    <definedName name="рород" localSheetId="5">#REF!</definedName>
    <definedName name="рород" localSheetId="4">#REF!</definedName>
    <definedName name="рород">#REF!</definedName>
    <definedName name="РП">'[121]БР-1'!$B$3</definedName>
    <definedName name="РПП" localSheetId="2">#REF!</definedName>
    <definedName name="РПП" localSheetId="3">#REF!</definedName>
    <definedName name="РПП" localSheetId="12">#REF!</definedName>
    <definedName name="РПП" localSheetId="11">#REF!</definedName>
    <definedName name="РПП" localSheetId="6">#REF!</definedName>
    <definedName name="РПП" localSheetId="5">#REF!</definedName>
    <definedName name="РПП" localSheetId="4">#REF!</definedName>
    <definedName name="РПП">#REF!</definedName>
    <definedName name="рпшо" localSheetId="15">#REF!</definedName>
    <definedName name="рпшо" localSheetId="12">#REF!</definedName>
    <definedName name="рпшо" localSheetId="11">#REF!</definedName>
    <definedName name="рпшо" localSheetId="8">#REF!</definedName>
    <definedName name="рпшо" localSheetId="9">#REF!</definedName>
    <definedName name="рпшо" localSheetId="10">#REF!</definedName>
    <definedName name="рпшо" localSheetId="6">#REF!</definedName>
    <definedName name="рпшо" localSheetId="5">#REF!</definedName>
    <definedName name="рпшо" localSheetId="4">#REF!</definedName>
    <definedName name="рпшо">#REF!</definedName>
    <definedName name="РРР" localSheetId="15">#REF!</definedName>
    <definedName name="РРР" localSheetId="12">#REF!</definedName>
    <definedName name="РРР" localSheetId="11">#REF!</definedName>
    <definedName name="РРР" localSheetId="8">#REF!</definedName>
    <definedName name="РРР" localSheetId="9">#REF!</definedName>
    <definedName name="РРР" localSheetId="10">#REF!</definedName>
    <definedName name="РРР">#REF!</definedName>
    <definedName name="рск2" localSheetId="15">[7]!рск2</definedName>
    <definedName name="рск2" localSheetId="11">#N/A</definedName>
    <definedName name="рск2" localSheetId="8">#N/A</definedName>
    <definedName name="рск2" localSheetId="9">#N/A</definedName>
    <definedName name="рск2" localSheetId="6">#N/A</definedName>
    <definedName name="рск2" localSheetId="5">#N/A</definedName>
    <definedName name="рск2" localSheetId="4">#N/A</definedName>
    <definedName name="рск2">#N/A</definedName>
    <definedName name="рск3" localSheetId="15">[7]!рск3</definedName>
    <definedName name="рск3" localSheetId="11">#N/A</definedName>
    <definedName name="рск3" localSheetId="8">#N/A</definedName>
    <definedName name="рск3" localSheetId="9">#N/A</definedName>
    <definedName name="рск3" localSheetId="6">#N/A</definedName>
    <definedName name="рск3" localSheetId="5">#N/A</definedName>
    <definedName name="рск3" localSheetId="4">#N/A</definedName>
    <definedName name="рск3">#N/A</definedName>
    <definedName name="с" localSheetId="15">#REF!</definedName>
    <definedName name="с" localSheetId="12">#REF!</definedName>
    <definedName name="с" localSheetId="11">#REF!</definedName>
    <definedName name="с" localSheetId="8">#REF!</definedName>
    <definedName name="с" localSheetId="9">#REF!</definedName>
    <definedName name="с" localSheetId="10">#REF!</definedName>
    <definedName name="с" localSheetId="6">#REF!</definedName>
    <definedName name="с" localSheetId="5">#REF!</definedName>
    <definedName name="с" localSheetId="4">#REF!</definedName>
    <definedName name="с">#REF!</definedName>
    <definedName name="с_деп" localSheetId="15">#REF!</definedName>
    <definedName name="с_деп" localSheetId="12">#REF!</definedName>
    <definedName name="с_деп" localSheetId="11">#REF!</definedName>
    <definedName name="с_деп" localSheetId="8">#REF!</definedName>
    <definedName name="с_деп" localSheetId="9">#REF!</definedName>
    <definedName name="с_деп" localSheetId="10">#REF!</definedName>
    <definedName name="с_деп">#REF!</definedName>
    <definedName name="с_доплВУпроц" localSheetId="15">#REF!</definedName>
    <definedName name="с_доплВУпроц" localSheetId="12">#REF!</definedName>
    <definedName name="с_доплВУпроц" localSheetId="11">#REF!</definedName>
    <definedName name="с_доплВУпроц" localSheetId="8">#REF!</definedName>
    <definedName name="с_доплВУпроц" localSheetId="9">#REF!</definedName>
    <definedName name="с_доплВУпроц" localSheetId="10">#REF!</definedName>
    <definedName name="с_доплВУпроц">#REF!</definedName>
    <definedName name="с_доплВУсумма" localSheetId="12">#REF!</definedName>
    <definedName name="с_доплВУсумма" localSheetId="11">#REF!</definedName>
    <definedName name="с_доплВУсумма" localSheetId="8">#REF!</definedName>
    <definedName name="с_доплВУсумма" localSheetId="9">#REF!</definedName>
    <definedName name="с_доплВУсумма" localSheetId="10">#REF!</definedName>
    <definedName name="с_доплВУсумма">#REF!</definedName>
    <definedName name="с_доплСЛпроц" localSheetId="12">#REF!</definedName>
    <definedName name="с_доплСЛпроц" localSheetId="11">#REF!</definedName>
    <definedName name="с_доплСЛпроц" localSheetId="8">#REF!</definedName>
    <definedName name="с_доплСЛпроц" localSheetId="9">#REF!</definedName>
    <definedName name="с_доплСЛпроц" localSheetId="10">#REF!</definedName>
    <definedName name="с_доплСЛпроц">#REF!</definedName>
    <definedName name="с_доплСЛсумма" localSheetId="12">#REF!</definedName>
    <definedName name="с_доплСЛсумма" localSheetId="11">#REF!</definedName>
    <definedName name="с_доплСЛсумма" localSheetId="8">#REF!</definedName>
    <definedName name="с_доплСЛсумма" localSheetId="9">#REF!</definedName>
    <definedName name="с_доплСЛсумма" localSheetId="10">#REF!</definedName>
    <definedName name="с_доплСЛсумма">#REF!</definedName>
    <definedName name="с_категПерс" localSheetId="12">#REF!</definedName>
    <definedName name="с_категПерс" localSheetId="11">#REF!</definedName>
    <definedName name="с_категПерс" localSheetId="8">#REF!</definedName>
    <definedName name="с_категПерс" localSheetId="9">#REF!</definedName>
    <definedName name="с_категПерс" localSheetId="10">#REF!</definedName>
    <definedName name="с_категПерс">#REF!</definedName>
    <definedName name="с_кол" localSheetId="12">#REF!</definedName>
    <definedName name="с_кол" localSheetId="11">#REF!</definedName>
    <definedName name="с_кол" localSheetId="8">#REF!</definedName>
    <definedName name="с_кол" localSheetId="9">#REF!</definedName>
    <definedName name="с_кол" localSheetId="10">#REF!</definedName>
    <definedName name="с_кол">#REF!</definedName>
    <definedName name="с_оклад" localSheetId="12">#REF!</definedName>
    <definedName name="с_оклад" localSheetId="11">#REF!</definedName>
    <definedName name="с_оклад" localSheetId="8">#REF!</definedName>
    <definedName name="с_оклад" localSheetId="9">#REF!</definedName>
    <definedName name="с_оклад" localSheetId="10">#REF!</definedName>
    <definedName name="с_оклад">#REF!</definedName>
    <definedName name="с_период" localSheetId="12">#REF!</definedName>
    <definedName name="с_период" localSheetId="11">#REF!</definedName>
    <definedName name="с_период" localSheetId="8">#REF!</definedName>
    <definedName name="с_период" localSheetId="9">#REF!</definedName>
    <definedName name="с_период" localSheetId="10">#REF!</definedName>
    <definedName name="с_период">#REF!</definedName>
    <definedName name="с_прим" localSheetId="12">#REF!</definedName>
    <definedName name="с_прим" localSheetId="11">#REF!</definedName>
    <definedName name="с_прим" localSheetId="8">#REF!</definedName>
    <definedName name="с_прим" localSheetId="9">#REF!</definedName>
    <definedName name="с_прим" localSheetId="10">#REF!</definedName>
    <definedName name="с_прим">#REF!</definedName>
    <definedName name="с_разрядКв" localSheetId="12">#REF!</definedName>
    <definedName name="с_разрядКв" localSheetId="11">#REF!</definedName>
    <definedName name="с_разрядКв" localSheetId="8">#REF!</definedName>
    <definedName name="с_разрядКв" localSheetId="9">#REF!</definedName>
    <definedName name="с_разрядКв" localSheetId="10">#REF!</definedName>
    <definedName name="с_разрядКв">#REF!</definedName>
    <definedName name="с_разрядОпл" localSheetId="12">#REF!</definedName>
    <definedName name="с_разрядОпл" localSheetId="11">#REF!</definedName>
    <definedName name="с_разрядОпл" localSheetId="8">#REF!</definedName>
    <definedName name="с_разрядОпл" localSheetId="9">#REF!</definedName>
    <definedName name="с_разрядОпл" localSheetId="10">#REF!</definedName>
    <definedName name="с_разрядОпл">#REF!</definedName>
    <definedName name="с_фонд" localSheetId="12">#REF!</definedName>
    <definedName name="с_фонд" localSheetId="11">#REF!</definedName>
    <definedName name="с_фонд" localSheetId="8">#REF!</definedName>
    <definedName name="с_фонд" localSheetId="9">#REF!</definedName>
    <definedName name="с_фонд" localSheetId="10">#REF!</definedName>
    <definedName name="с_фонд">#REF!</definedName>
    <definedName name="с1" localSheetId="12">#REF!</definedName>
    <definedName name="с1" localSheetId="11">#REF!</definedName>
    <definedName name="с1" localSheetId="8">#REF!</definedName>
    <definedName name="с1" localSheetId="9">#REF!</definedName>
    <definedName name="с1" localSheetId="10">#REF!</definedName>
    <definedName name="с1">#REF!</definedName>
    <definedName name="самара" localSheetId="12">#REF!</definedName>
    <definedName name="самара" localSheetId="11">#REF!</definedName>
    <definedName name="самара" localSheetId="8">#REF!</definedName>
    <definedName name="самара" localSheetId="9">#REF!</definedName>
    <definedName name="самара" localSheetId="10">#REF!</definedName>
    <definedName name="самара">#REF!</definedName>
    <definedName name="СБЕ" localSheetId="12">#REF!</definedName>
    <definedName name="СБЕ" localSheetId="11">#REF!</definedName>
    <definedName name="СБЕ" localSheetId="8">#REF!</definedName>
    <definedName name="СБЕ" localSheetId="9">#REF!</definedName>
    <definedName name="СБЕ" localSheetId="10">#REF!</definedName>
    <definedName name="СБЕ">#REF!</definedName>
    <definedName name="сваеррта" localSheetId="15">[7]!сваеррта</definedName>
    <definedName name="сваеррта" localSheetId="11">#N/A</definedName>
    <definedName name="сваеррта" localSheetId="8">#N/A</definedName>
    <definedName name="сваеррта" localSheetId="9">#N/A</definedName>
    <definedName name="сваеррта" localSheetId="6">#N/A</definedName>
    <definedName name="сваеррта" localSheetId="5">#N/A</definedName>
    <definedName name="сваеррта" localSheetId="4">#N/A</definedName>
    <definedName name="сваеррта">#N/A</definedName>
    <definedName name="свмпвппв" localSheetId="15">[7]!свмпвппв</definedName>
    <definedName name="свмпвппв" localSheetId="11">#N/A</definedName>
    <definedName name="свмпвппв" localSheetId="8">#N/A</definedName>
    <definedName name="свмпвппв" localSheetId="9">#N/A</definedName>
    <definedName name="свмпвппв" localSheetId="6">#N/A</definedName>
    <definedName name="свмпвппв" localSheetId="5">#N/A</definedName>
    <definedName name="свмпвппв" localSheetId="4">#N/A</definedName>
    <definedName name="свмпвппв">#N/A</definedName>
    <definedName name="свод">[168]Temp_TOV!$A$1:$FE$130</definedName>
    <definedName name="сводная" localSheetId="2">#REF!</definedName>
    <definedName name="сводная" localSheetId="3">#REF!</definedName>
    <definedName name="сводная" localSheetId="12">#REF!</definedName>
    <definedName name="сводная" localSheetId="11">#REF!</definedName>
    <definedName name="сводная" localSheetId="6">#REF!</definedName>
    <definedName name="сводная" localSheetId="5">#REF!</definedName>
    <definedName name="сводная" localSheetId="4">#REF!</definedName>
    <definedName name="сводная">#REF!</definedName>
    <definedName name="Сводная_таблица_по_эл.эн" localSheetId="15">#REF!</definedName>
    <definedName name="Сводная_таблица_по_эл.эн" localSheetId="12">#REF!</definedName>
    <definedName name="Сводная_таблица_по_эл.эн" localSheetId="11">#REF!</definedName>
    <definedName name="Сводная_таблица_по_эл.эн" localSheetId="8">#REF!</definedName>
    <definedName name="Сводная_таблица_по_эл.эн" localSheetId="9">#REF!</definedName>
    <definedName name="Сводная_таблица_по_эл.эн" localSheetId="10">#REF!</definedName>
    <definedName name="Сводная_таблица_по_эл.эн">#REF!</definedName>
    <definedName name="Сводная_таблица_тарифов_на_тепловую_энергию_и_мощность" localSheetId="15">#REF!</definedName>
    <definedName name="Сводная_таблица_тарифов_на_тепловую_энергию_и_мощность" localSheetId="12">#REF!</definedName>
    <definedName name="Сводная_таблица_тарифов_на_тепловую_энергию_и_мощность" localSheetId="11">#REF!</definedName>
    <definedName name="Сводная_таблица_тарифов_на_тепловую_энергию_и_мощность" localSheetId="8">#REF!</definedName>
    <definedName name="Сводная_таблица_тарифов_на_тепловую_энергию_и_мощность" localSheetId="9">#REF!</definedName>
    <definedName name="Сводная_таблица_тарифов_на_тепловую_энергию_и_мощность" localSheetId="1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15">#REF!</definedName>
    <definedName name="Сводная_таблица_тарифов_на_электроэнергию_и_мощность" localSheetId="12">#REF!</definedName>
    <definedName name="Сводная_таблица_тарифов_на_электроэнергию_и_мощность" localSheetId="11">#REF!</definedName>
    <definedName name="Сводная_таблица_тарифов_на_электроэнергию_и_мощность" localSheetId="8">#REF!</definedName>
    <definedName name="Сводная_таблица_тарифов_на_электроэнергию_и_мощность" localSheetId="9">#REF!</definedName>
    <definedName name="Сводная_таблица_тарифов_на_электроэнергию_и_мощность" localSheetId="1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12">#REF!</definedName>
    <definedName name="Сводные_экономические_показатели_по_потребителям" localSheetId="11">#REF!</definedName>
    <definedName name="Сводные_экономические_показатели_по_потребителям" localSheetId="8">#REF!</definedName>
    <definedName name="Сводные_экономические_показатели_по_потребителям" localSheetId="9">#REF!</definedName>
    <definedName name="Сводные_экономические_показатели_по_потребителям" localSheetId="10">#REF!</definedName>
    <definedName name="Сводные_экономические_показатели_по_потребителям">#REF!</definedName>
    <definedName name="себ" localSheetId="15">[7]!себ</definedName>
    <definedName name="себ" localSheetId="11">#N/A</definedName>
    <definedName name="себ" localSheetId="8">#N/A</definedName>
    <definedName name="себ" localSheetId="9">#N/A</definedName>
    <definedName name="себ" localSheetId="6">#N/A</definedName>
    <definedName name="себ" localSheetId="5">#N/A</definedName>
    <definedName name="себ" localSheetId="4">#N/A</definedName>
    <definedName name="себ">#N/A</definedName>
    <definedName name="Себестоимость_Молоко" localSheetId="15">#REF!,#REF!,#REF!,#REF!,#REF!,#REF!,#REF!,#REF!,#REF!,#REF!</definedName>
    <definedName name="Себестоимость_Молоко" localSheetId="12">#REF!,#REF!,#REF!,#REF!,#REF!,#REF!,#REF!,#REF!,#REF!,#REF!</definedName>
    <definedName name="Себестоимость_Молоко" localSheetId="11">#REF!,#REF!,#REF!,#REF!,#REF!,#REF!,#REF!,#REF!,#REF!,#REF!</definedName>
    <definedName name="Себестоимость_Молоко" localSheetId="8">#REF!,#REF!,#REF!,#REF!,#REF!,#REF!,#REF!,#REF!,#REF!,#REF!</definedName>
    <definedName name="Себестоимость_Молоко" localSheetId="9">#REF!,#REF!,#REF!,#REF!,#REF!,#REF!,#REF!,#REF!,#REF!,#REF!</definedName>
    <definedName name="Себестоимость_Молоко" localSheetId="10">#REF!,#REF!,#REF!,#REF!,#REF!,#REF!,#REF!,#REF!,#REF!,#REF!</definedName>
    <definedName name="Себестоимость_Молоко" localSheetId="6">#REF!,#REF!,#REF!,#REF!,#REF!,#REF!,#REF!,#REF!,#REF!,#REF!</definedName>
    <definedName name="Себестоимость_Молоко" localSheetId="5">#REF!,#REF!,#REF!,#REF!,#REF!,#REF!,#REF!,#REF!,#REF!,#REF!</definedName>
    <definedName name="Себестоимость_Молоко" localSheetId="4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15">#REF!,#REF!,#REF!,#REF!,#REF!,#REF!,#REF!,#REF!,#REF!,#REF!</definedName>
    <definedName name="Себестоимость_Сок" localSheetId="12">#REF!,#REF!,#REF!,#REF!,#REF!,#REF!,#REF!,#REF!,#REF!,#REF!</definedName>
    <definedName name="Себестоимость_Сок" localSheetId="11">#REF!,#REF!,#REF!,#REF!,#REF!,#REF!,#REF!,#REF!,#REF!,#REF!</definedName>
    <definedName name="Себестоимость_Сок" localSheetId="8">#REF!,#REF!,#REF!,#REF!,#REF!,#REF!,#REF!,#REF!,#REF!,#REF!</definedName>
    <definedName name="Себестоимость_Сок" localSheetId="9">#REF!,#REF!,#REF!,#REF!,#REF!,#REF!,#REF!,#REF!,#REF!,#REF!</definedName>
    <definedName name="Себестоимость_Сок" localSheetId="1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15">#REF!,#REF!,#REF!,#REF!,#REF!,#REF!,#REF!,#REF!,#REF!,#REF!</definedName>
    <definedName name="Себестоимость_Сок3" localSheetId="12">#REF!,#REF!,#REF!,#REF!,#REF!,#REF!,#REF!,#REF!,#REF!,#REF!</definedName>
    <definedName name="Себестоимость_Сок3" localSheetId="11">#REF!,#REF!,#REF!,#REF!,#REF!,#REF!,#REF!,#REF!,#REF!,#REF!</definedName>
    <definedName name="Себестоимость_Сок3" localSheetId="8">#REF!,#REF!,#REF!,#REF!,#REF!,#REF!,#REF!,#REF!,#REF!,#REF!</definedName>
    <definedName name="Себестоимость_Сок3" localSheetId="9">#REF!,#REF!,#REF!,#REF!,#REF!,#REF!,#REF!,#REF!,#REF!,#REF!</definedName>
    <definedName name="Себестоимость_Сок3" localSheetId="10">#REF!,#REF!,#REF!,#REF!,#REF!,#REF!,#REF!,#REF!,#REF!,#REF!</definedName>
    <definedName name="Себестоимость_Сок3">#REF!,#REF!,#REF!,#REF!,#REF!,#REF!,#REF!,#REF!,#REF!,#REF!</definedName>
    <definedName name="себестоимость2" localSheetId="15">[7]!себестоимость2</definedName>
    <definedName name="себестоимость2" localSheetId="11">#N/A</definedName>
    <definedName name="себестоимость2" localSheetId="8">#N/A</definedName>
    <definedName name="себестоимость2" localSheetId="9">#N/A</definedName>
    <definedName name="себестоимость2" localSheetId="6">#N/A</definedName>
    <definedName name="себестоимость2" localSheetId="5">#N/A</definedName>
    <definedName name="себестоимость2" localSheetId="4">#N/A</definedName>
    <definedName name="себестоимость2">#N/A</definedName>
    <definedName name="семь" localSheetId="15">#REF!</definedName>
    <definedName name="семь" localSheetId="12">#REF!</definedName>
    <definedName name="семь" localSheetId="11">#REF!</definedName>
    <definedName name="семь" localSheetId="8">#REF!</definedName>
    <definedName name="семь" localSheetId="9">#REF!</definedName>
    <definedName name="семь" localSheetId="10">#REF!</definedName>
    <definedName name="семь" localSheetId="6">#REF!</definedName>
    <definedName name="семь" localSheetId="5">#REF!</definedName>
    <definedName name="семь" localSheetId="4">#REF!</definedName>
    <definedName name="семь">#REF!</definedName>
    <definedName name="сен" localSheetId="15">#REF!</definedName>
    <definedName name="сен" localSheetId="12">#REF!</definedName>
    <definedName name="сен" localSheetId="11">#REF!</definedName>
    <definedName name="сен" localSheetId="8">#REF!</definedName>
    <definedName name="сен" localSheetId="9">#REF!</definedName>
    <definedName name="сен" localSheetId="10">#REF!</definedName>
    <definedName name="сен">#REF!</definedName>
    <definedName name="сен2" localSheetId="15">#REF!</definedName>
    <definedName name="сен2" localSheetId="12">#REF!</definedName>
    <definedName name="сен2" localSheetId="11">#REF!</definedName>
    <definedName name="сен2" localSheetId="8">#REF!</definedName>
    <definedName name="сен2" localSheetId="9">#REF!</definedName>
    <definedName name="сен2" localSheetId="10">#REF!</definedName>
    <definedName name="сен2">#REF!</definedName>
    <definedName name="Сергею" localSheetId="15">[169]АНАЛИТ!$B$2:$B$87,[169]АНАЛИТ!#REF!,[169]АНАЛИТ!#REF!,[169]АНАЛИТ!$AB$2</definedName>
    <definedName name="Сергею" localSheetId="2">[169]АНАЛИТ!$B$2:$B$87,[169]АНАЛИТ!#REF!,[169]АНАЛИТ!#REF!,[169]АНАЛИТ!$AB$2</definedName>
    <definedName name="Сергею" localSheetId="3">[169]АНАЛИТ!$B$2:$B$87,[169]АНАЛИТ!#REF!,[169]АНАЛИТ!#REF!,[169]АНАЛИТ!$AB$2</definedName>
    <definedName name="Сергею" localSheetId="12">[169]АНАЛИТ!$B$2:$B$87,[169]АНАЛИТ!#REF!,[169]АНАЛИТ!#REF!,[169]АНАЛИТ!$AB$2</definedName>
    <definedName name="Сергею" localSheetId="11">[169]АНАЛИТ!$B$2:$B$87,[169]АНАЛИТ!#REF!,[169]АНАЛИТ!#REF!,[169]АНАЛИТ!$AB$2</definedName>
    <definedName name="Сергею" localSheetId="8">[169]АНАЛИТ!$B$2:$B$87,[169]АНАЛИТ!#REF!,[169]АНАЛИТ!#REF!,[169]АНАЛИТ!$AB$2</definedName>
    <definedName name="Сергею" localSheetId="9">[169]АНАЛИТ!$B$2:$B$87,[169]АНАЛИТ!#REF!,[169]АНАЛИТ!#REF!,[169]АНАЛИТ!$AB$2</definedName>
    <definedName name="Сергею" localSheetId="10">[169]АНАЛИТ!$B$2:$B$87,[169]АНАЛИТ!#REF!,[169]АНАЛИТ!#REF!,[169]АНАЛИТ!$AB$2</definedName>
    <definedName name="Сергею" localSheetId="6">[169]АНАЛИТ!$B$2:$B$87,[169]АНАЛИТ!#REF!,[169]АНАЛИТ!#REF!,[169]АНАЛИТ!$AB$2</definedName>
    <definedName name="Сергею" localSheetId="5">[169]АНАЛИТ!$B$2:$B$87,[169]АНАЛИТ!#REF!,[169]АНАЛИТ!#REF!,[169]АНАЛИТ!$AB$2</definedName>
    <definedName name="Сергею" localSheetId="4">[169]АНАЛИТ!$B$2:$B$87,[169]АНАЛИТ!#REF!,[169]АНАЛИТ!#REF!,[169]АНАЛИТ!$AB$2</definedName>
    <definedName name="Сергею">[169]АНАЛИТ!$B$2:$B$87,[169]АНАЛИТ!#REF!,[169]АНАЛИТ!#REF!,[169]АНАЛИТ!$AB$2</definedName>
    <definedName name="Сергеюnew" localSheetId="15">[170]АНАЛИТ!$B$2:$B$87,[170]АНАЛИТ!#REF!,[170]АНАЛИТ!#REF!,[170]АНАЛИТ!$AB$2</definedName>
    <definedName name="Сергеюnew" localSheetId="2">[170]АНАЛИТ!$B$2:$B$87,[170]АНАЛИТ!#REF!,[170]АНАЛИТ!#REF!,[170]АНАЛИТ!$AB$2</definedName>
    <definedName name="Сергеюnew" localSheetId="3">[170]АНАЛИТ!$B$2:$B$87,[170]АНАЛИТ!#REF!,[170]АНАЛИТ!#REF!,[170]АНАЛИТ!$AB$2</definedName>
    <definedName name="Сергеюnew" localSheetId="12">[170]АНАЛИТ!$B$2:$B$87,[170]АНАЛИТ!#REF!,[170]АНАЛИТ!#REF!,[170]АНАЛИТ!$AB$2</definedName>
    <definedName name="Сергеюnew" localSheetId="11">[170]АНАЛИТ!$B$2:$B$87,[170]АНАЛИТ!#REF!,[170]АНАЛИТ!#REF!,[170]АНАЛИТ!$AB$2</definedName>
    <definedName name="Сергеюnew" localSheetId="8">[170]АНАЛИТ!$B$2:$B$87,[170]АНАЛИТ!#REF!,[170]АНАЛИТ!#REF!,[170]АНАЛИТ!$AB$2</definedName>
    <definedName name="Сергеюnew" localSheetId="9">[170]АНАЛИТ!$B$2:$B$87,[170]АНАЛИТ!#REF!,[170]АНАЛИТ!#REF!,[170]АНАЛИТ!$AB$2</definedName>
    <definedName name="Сергеюnew" localSheetId="10">[170]АНАЛИТ!$B$2:$B$87,[170]АНАЛИТ!#REF!,[170]АНАЛИТ!#REF!,[170]АНАЛИТ!$AB$2</definedName>
    <definedName name="Сергеюnew" localSheetId="6">[170]АНАЛИТ!$B$2:$B$87,[170]АНАЛИТ!#REF!,[170]АНАЛИТ!#REF!,[170]АНАЛИТ!$AB$2</definedName>
    <definedName name="Сергеюnew" localSheetId="5">[170]АНАЛИТ!$B$2:$B$87,[170]АНАЛИТ!#REF!,[170]АНАЛИТ!#REF!,[170]АНАЛИТ!$AB$2</definedName>
    <definedName name="Сергеюnew" localSheetId="4">[170]АНАЛИТ!$B$2:$B$87,[170]АНАЛИТ!#REF!,[170]АНАЛИТ!#REF!,[170]АНАЛИТ!$AB$2</definedName>
    <definedName name="Сергеюnew">[170]АНАЛИТ!$B$2:$B$87,[170]АНАЛИТ!#REF!,[170]АНАЛИТ!#REF!,[170]АНАЛИТ!$AB$2</definedName>
    <definedName name="СИ">'[121]БН-2'!$B$3</definedName>
    <definedName name="ск" localSheetId="15">[7]!ск</definedName>
    <definedName name="ск" localSheetId="11">#N/A</definedName>
    <definedName name="ск" localSheetId="8">#N/A</definedName>
    <definedName name="ск" localSheetId="9">#N/A</definedName>
    <definedName name="ск" localSheetId="6">#N/A</definedName>
    <definedName name="ск" localSheetId="5">#N/A</definedName>
    <definedName name="ск" localSheetId="4">#N/A</definedName>
    <definedName name="ск">#N/A</definedName>
    <definedName name="см" localSheetId="15" hidden="1">{"План продаж",#N/A,FALSE,"товар"}</definedName>
    <definedName name="см" localSheetId="2" hidden="1">{"План продаж",#N/A,FALSE,"товар"}</definedName>
    <definedName name="см" localSheetId="3" hidden="1">{"План продаж",#N/A,FALSE,"товар"}</definedName>
    <definedName name="см" localSheetId="7" hidden="1">{"План продаж",#N/A,FALSE,"товар"}</definedName>
    <definedName name="см" localSheetId="11" hidden="1">{"План продаж",#N/A,FALSE,"товар"}</definedName>
    <definedName name="см" localSheetId="8" hidden="1">{"План продаж",#N/A,FALSE,"товар"}</definedName>
    <definedName name="см" localSheetId="9" hidden="1">{"План продаж",#N/A,FALSE,"товар"}</definedName>
    <definedName name="см" localSheetId="10" hidden="1">{"План продаж",#N/A,FALSE,"товар"}</definedName>
    <definedName name="см" localSheetId="6" hidden="1">{"План продаж",#N/A,FALSE,"товар"}</definedName>
    <definedName name="см" localSheetId="5" hidden="1">{"План продаж",#N/A,FALSE,"товар"}</definedName>
    <definedName name="см" localSheetId="4" hidden="1">{"План продаж",#N/A,FALSE,"товар"}</definedName>
    <definedName name="см" hidden="1">{"План продаж",#N/A,FALSE,"товар"}</definedName>
    <definedName name="СМИ">'[121]БН-1'!$B$3</definedName>
    <definedName name="сммито" localSheetId="15">#REF!</definedName>
    <definedName name="сммито" localSheetId="12">#REF!</definedName>
    <definedName name="сммито" localSheetId="11">#REF!</definedName>
    <definedName name="сммито" localSheetId="8">#REF!</definedName>
    <definedName name="сммито" localSheetId="9">#REF!</definedName>
    <definedName name="сммито" localSheetId="10">#REF!</definedName>
    <definedName name="сммито" localSheetId="6">#REF!</definedName>
    <definedName name="сммито" localSheetId="5">#REF!</definedName>
    <definedName name="сммито" localSheetId="4">#REF!</definedName>
    <definedName name="сммито">#REF!</definedName>
    <definedName name="Смолы" localSheetId="3">#REF!,#REF!</definedName>
    <definedName name="Смолы" localSheetId="12">#REF!,#REF!</definedName>
    <definedName name="Смолы" localSheetId="11">#REF!,#REF!</definedName>
    <definedName name="Смолы" localSheetId="6">#REF!,#REF!</definedName>
    <definedName name="Смолы" localSheetId="5">#REF!,#REF!</definedName>
    <definedName name="Смолы" localSheetId="4">#REF!,#REF!</definedName>
    <definedName name="Смолы">#REF!,#REF!</definedName>
    <definedName name="смсист" localSheetId="15">#REF!</definedName>
    <definedName name="смсист" localSheetId="12">#REF!</definedName>
    <definedName name="смсист" localSheetId="11">#REF!</definedName>
    <definedName name="смсист" localSheetId="8">#REF!</definedName>
    <definedName name="смсист" localSheetId="9">#REF!</definedName>
    <definedName name="смсист" localSheetId="10">#REF!</definedName>
    <definedName name="смсист" localSheetId="6">#REF!</definedName>
    <definedName name="смсист" localSheetId="5">#REF!</definedName>
    <definedName name="смсист" localSheetId="4">#REF!</definedName>
    <definedName name="смсист">#REF!</definedName>
    <definedName name="соб.нуж.02." localSheetId="12">#REF!</definedName>
    <definedName name="соб.нуж.02." localSheetId="11">#REF!</definedName>
    <definedName name="соб.нуж.02.">#REF!</definedName>
    <definedName name="сомп" localSheetId="15">[7]!сомп</definedName>
    <definedName name="сомп" localSheetId="11">#N/A</definedName>
    <definedName name="сомп" localSheetId="8">#N/A</definedName>
    <definedName name="сомп" localSheetId="9">#N/A</definedName>
    <definedName name="сомп" localSheetId="6">#N/A</definedName>
    <definedName name="сомп" localSheetId="5">#N/A</definedName>
    <definedName name="сомп" localSheetId="4">#N/A</definedName>
    <definedName name="сомп">#N/A</definedName>
    <definedName name="сомпас" localSheetId="15">[7]!сомпас</definedName>
    <definedName name="сомпас" localSheetId="11">#N/A</definedName>
    <definedName name="сомпас" localSheetId="8">#N/A</definedName>
    <definedName name="сомпас" localSheetId="9">#N/A</definedName>
    <definedName name="сомпас" localSheetId="6">#N/A</definedName>
    <definedName name="сомпас" localSheetId="5">#N/A</definedName>
    <definedName name="сомпас" localSheetId="4">#N/A</definedName>
    <definedName name="сомпас">#N/A</definedName>
    <definedName name="соро" localSheetId="15">#REF!</definedName>
    <definedName name="соро" localSheetId="12">#REF!</definedName>
    <definedName name="соро" localSheetId="11">#REF!</definedName>
    <definedName name="соро" localSheetId="8">#REF!</definedName>
    <definedName name="соро" localSheetId="9">#REF!</definedName>
    <definedName name="соро" localSheetId="10">#REF!</definedName>
    <definedName name="соро" localSheetId="6">#REF!</definedName>
    <definedName name="соро" localSheetId="5">#REF!</definedName>
    <definedName name="соро" localSheetId="4">#REF!</definedName>
    <definedName name="соро">#REF!</definedName>
    <definedName name="СПб9" localSheetId="12">OFFSET(#REF!,0,0,COUNTA(#REF!)-COUNTBLANK(#REF!))</definedName>
    <definedName name="СПб9" localSheetId="11">OFFSET(#REF!,0,0,COUNTA(#REF!)-COUNTBLANK(#REF!))</definedName>
    <definedName name="СПб9" localSheetId="6">OFFSET(#REF!,0,0,COUNTA(#REF!)-COUNTBLANK(#REF!))</definedName>
    <definedName name="СПб9" localSheetId="5">OFFSET(#REF!,0,0,COUNTA(#REF!)-COUNTBLANK(#REF!))</definedName>
    <definedName name="СПб9" localSheetId="4">OFFSET(#REF!,0,0,COUNTA(#REF!)-COUNTBLANK(#REF!))</definedName>
    <definedName name="СПб9">OFFSET(#REF!,0,0,COUNTA(#REF!)-COUNTBLANK(#REF!))</definedName>
    <definedName name="Сравнительные_варианты_двухставочных_тарифов_на_теплоэн" localSheetId="15">#REF!</definedName>
    <definedName name="Сравнительные_варианты_двухставочных_тарифов_на_теплоэн" localSheetId="2">#REF!</definedName>
    <definedName name="Сравнительные_варианты_двухставочных_тарифов_на_теплоэн" localSheetId="3">#REF!</definedName>
    <definedName name="Сравнительные_варианты_двухставочных_тарифов_на_теплоэн" localSheetId="12">#REF!</definedName>
    <definedName name="Сравнительные_варианты_двухставочных_тарифов_на_теплоэн" localSheetId="11">#REF!</definedName>
    <definedName name="Сравнительные_варианты_двухставочных_тарифов_на_теплоэн" localSheetId="8">#REF!</definedName>
    <definedName name="Сравнительные_варианты_двухставочных_тарифов_на_теплоэн" localSheetId="9">#REF!</definedName>
    <definedName name="Сравнительные_варианты_двухставочных_тарифов_на_теплоэн" localSheetId="10">#REF!</definedName>
    <definedName name="Сравнительные_варианты_двухставочных_тарифов_на_теплоэн" localSheetId="5">#REF!</definedName>
    <definedName name="Сравнительные_варианты_двухставочных_тарифов_на_теплоэн" localSheetId="4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15">#REF!</definedName>
    <definedName name="Сравнительные_варианты_двухставочных_тарифов_на_эл.эн" localSheetId="12">#REF!</definedName>
    <definedName name="Сравнительные_варианты_двухставочных_тарифов_на_эл.эн" localSheetId="11">#REF!</definedName>
    <definedName name="Сравнительные_варианты_двухставочных_тарифов_на_эл.эн" localSheetId="8">#REF!</definedName>
    <definedName name="Сравнительные_варианты_двухставочных_тарифов_на_эл.эн" localSheetId="9">#REF!</definedName>
    <definedName name="Сравнительные_варианты_двухставочных_тарифов_на_эл.эн" localSheetId="1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12">#REF!</definedName>
    <definedName name="Сравнительный_анализ_ТЭП_к_расчету_тарифов" localSheetId="11">#REF!</definedName>
    <definedName name="Сравнительный_анализ_ТЭП_к_расчету_тарифов" localSheetId="8">#REF!</definedName>
    <definedName name="Сравнительный_анализ_ТЭП_к_расчету_тарифов" localSheetId="9">#REF!</definedName>
    <definedName name="Сравнительный_анализ_ТЭП_к_расчету_тарифов" localSheetId="10">#REF!</definedName>
    <definedName name="Сравнительный_анализ_ТЭП_к_расчету_тарифов">#REF!</definedName>
    <definedName name="СрЦенаГаз2" localSheetId="11">[98]газ!$O$33</definedName>
    <definedName name="СрЦенаГаз2" localSheetId="8">[98]газ!$O$33</definedName>
    <definedName name="СрЦенаГаз2" localSheetId="9">[98]газ!$O$33</definedName>
    <definedName name="СрЦенаГаз2">[98]газ!$O$33</definedName>
    <definedName name="сс" localSheetId="15">#REF!</definedName>
    <definedName name="сс" localSheetId="12">#REF!</definedName>
    <definedName name="сс" localSheetId="11">#REF!</definedName>
    <definedName name="сс" localSheetId="8">#REF!</definedName>
    <definedName name="сс" localSheetId="9">#REF!</definedName>
    <definedName name="сс" localSheetId="10">#REF!</definedName>
    <definedName name="сс" localSheetId="6">#REF!</definedName>
    <definedName name="сс" localSheetId="5">#REF!</definedName>
    <definedName name="сс" localSheetId="4">#REF!</definedName>
    <definedName name="сс">#REF!</definedName>
    <definedName name="сситьннно" localSheetId="15">#REF!</definedName>
    <definedName name="сситьннно" localSheetId="12">#REF!</definedName>
    <definedName name="сситьннно" localSheetId="11">#REF!</definedName>
    <definedName name="сситьннно" localSheetId="8">#REF!</definedName>
    <definedName name="сситьннно" localSheetId="9">#REF!</definedName>
    <definedName name="сситьннно" localSheetId="10">#REF!</definedName>
    <definedName name="сситьннно">#REF!</definedName>
    <definedName name="сссс" localSheetId="15">[7]!сссс</definedName>
    <definedName name="сссс" localSheetId="11">#N/A</definedName>
    <definedName name="сссс" localSheetId="8">#N/A</definedName>
    <definedName name="сссс" localSheetId="9">#N/A</definedName>
    <definedName name="сссс" localSheetId="6">#N/A</definedName>
    <definedName name="сссс" localSheetId="5">#N/A</definedName>
    <definedName name="сссс" localSheetId="4">#N/A</definedName>
    <definedName name="сссс">#N/A</definedName>
    <definedName name="ссы" localSheetId="15">[7]!ссы</definedName>
    <definedName name="ссы" localSheetId="11">#N/A</definedName>
    <definedName name="ссы" localSheetId="8">#N/A</definedName>
    <definedName name="ссы" localSheetId="9">#N/A</definedName>
    <definedName name="ссы" localSheetId="6">#N/A</definedName>
    <definedName name="ссы" localSheetId="5">#N/A</definedName>
    <definedName name="ссы" localSheetId="4">#N/A</definedName>
    <definedName name="ссы">#N/A</definedName>
    <definedName name="ссы2" localSheetId="15">[7]!ссы2</definedName>
    <definedName name="ссы2" localSheetId="11">#N/A</definedName>
    <definedName name="ссы2" localSheetId="8">#N/A</definedName>
    <definedName name="ссы2" localSheetId="9">#N/A</definedName>
    <definedName name="ссы2" localSheetId="6">#N/A</definedName>
    <definedName name="ссы2" localSheetId="5">#N/A</definedName>
    <definedName name="ссы2" localSheetId="4">#N/A</definedName>
    <definedName name="ссы2">#N/A</definedName>
    <definedName name="старьё" localSheetId="3">#REF!</definedName>
    <definedName name="старьё" localSheetId="12">#REF!</definedName>
    <definedName name="старьё" localSheetId="11">#REF!</definedName>
    <definedName name="старьё" localSheetId="6">#REF!</definedName>
    <definedName name="старьё" localSheetId="5">#REF!</definedName>
    <definedName name="старьё" localSheetId="4">#REF!</definedName>
    <definedName name="старьё">#REF!</definedName>
    <definedName name="Статус_контрагента" localSheetId="15">#REF!</definedName>
    <definedName name="Статус_контрагента" localSheetId="12">#REF!</definedName>
    <definedName name="Статус_контрагента" localSheetId="11">#REF!</definedName>
    <definedName name="Статус_контрагента" localSheetId="8">#REF!</definedName>
    <definedName name="Статус_контрагента" localSheetId="9">#REF!</definedName>
    <definedName name="Статус_контрагента" localSheetId="10">#REF!</definedName>
    <definedName name="Статус_контрагента">#REF!</definedName>
    <definedName name="Статья" localSheetId="15">#REF!</definedName>
    <definedName name="Статья" localSheetId="12">#REF!</definedName>
    <definedName name="Статья" localSheetId="11">#REF!</definedName>
    <definedName name="Статья" localSheetId="8">#REF!</definedName>
    <definedName name="Статья" localSheetId="9">#REF!</definedName>
    <definedName name="Статья" localSheetId="10">#REF!</definedName>
    <definedName name="Статья">#REF!</definedName>
    <definedName name="строка" localSheetId="15">[128]СписочнаяЧисленность!#REF!</definedName>
    <definedName name="строка" localSheetId="12">[128]СписочнаяЧисленность!#REF!</definedName>
    <definedName name="строка" localSheetId="11">[128]СписочнаяЧисленность!#REF!</definedName>
    <definedName name="строка" localSheetId="8">[128]СписочнаяЧисленность!#REF!</definedName>
    <definedName name="строка" localSheetId="9">[128]СписочнаяЧисленность!#REF!</definedName>
    <definedName name="строка" localSheetId="10">[128]СписочнаяЧисленность!#REF!</definedName>
    <definedName name="строка">[128]СписочнаяЧисленность!#REF!</definedName>
    <definedName name="т" localSheetId="15">#REF!</definedName>
    <definedName name="т" localSheetId="12">#REF!</definedName>
    <definedName name="т" localSheetId="11">#REF!</definedName>
    <definedName name="т" localSheetId="8">#REF!</definedName>
    <definedName name="т" localSheetId="9">#REF!</definedName>
    <definedName name="т" localSheetId="10">#REF!</definedName>
    <definedName name="т" localSheetId="6">#REF!</definedName>
    <definedName name="т" localSheetId="5">#REF!</definedName>
    <definedName name="т" localSheetId="4">#REF!</definedName>
    <definedName name="т">#REF!</definedName>
    <definedName name="Таблица41" localSheetId="15">#REF!</definedName>
    <definedName name="Таблица41" localSheetId="12">#REF!</definedName>
    <definedName name="Таблица41" localSheetId="11">#REF!</definedName>
    <definedName name="Таблица41" localSheetId="8">#REF!</definedName>
    <definedName name="Таблица41" localSheetId="9">#REF!</definedName>
    <definedName name="Таблица41" localSheetId="10">#REF!</definedName>
    <definedName name="Таблица41">#REF!</definedName>
    <definedName name="таня" localSheetId="15">[7]!таня</definedName>
    <definedName name="таня" localSheetId="11">#N/A</definedName>
    <definedName name="таня" localSheetId="8">#N/A</definedName>
    <definedName name="таня" localSheetId="9">#N/A</definedName>
    <definedName name="таня" localSheetId="6">#N/A</definedName>
    <definedName name="таня" localSheetId="5">#N/A</definedName>
    <definedName name="таня" localSheetId="4">#N/A</definedName>
    <definedName name="таня">#N/A</definedName>
    <definedName name="текмес" localSheetId="15">#REF!</definedName>
    <definedName name="текмес" localSheetId="12">#REF!</definedName>
    <definedName name="текмес" localSheetId="11">#REF!</definedName>
    <definedName name="текмес" localSheetId="8">#REF!</definedName>
    <definedName name="текмес" localSheetId="9">#REF!</definedName>
    <definedName name="текмес" localSheetId="10">#REF!</definedName>
    <definedName name="текмес" localSheetId="6">#REF!</definedName>
    <definedName name="текмес" localSheetId="5">#REF!</definedName>
    <definedName name="текмес" localSheetId="4">#REF!</definedName>
    <definedName name="текмес">#REF!</definedName>
    <definedName name="текмес2" localSheetId="15">#REF!</definedName>
    <definedName name="текмес2" localSheetId="12">#REF!</definedName>
    <definedName name="текмес2" localSheetId="11">#REF!</definedName>
    <definedName name="текмес2" localSheetId="8">#REF!</definedName>
    <definedName name="текмес2" localSheetId="9">#REF!</definedName>
    <definedName name="текмес2" localSheetId="10">#REF!</definedName>
    <definedName name="текмес2">#REF!</definedName>
    <definedName name="тело_отчета" localSheetId="15">[128]СписочнаяЧисленность!#REF!</definedName>
    <definedName name="тело_отчета" localSheetId="12">[128]СписочнаяЧисленность!#REF!</definedName>
    <definedName name="тело_отчета" localSheetId="11">[128]СписочнаяЧисленность!#REF!</definedName>
    <definedName name="тело_отчета" localSheetId="8">[128]СписочнаяЧисленность!#REF!</definedName>
    <definedName name="тело_отчета" localSheetId="9">[128]СписочнаяЧисленность!#REF!</definedName>
    <definedName name="тело_отчета" localSheetId="10">[128]СписочнаяЧисленность!#REF!</definedName>
    <definedName name="тело_отчета">[128]СписочнаяЧисленность!#REF!</definedName>
    <definedName name="тепло" localSheetId="15">[7]!тепло</definedName>
    <definedName name="тепло" localSheetId="11">#N/A</definedName>
    <definedName name="тепло" localSheetId="8">#N/A</definedName>
    <definedName name="тепло" localSheetId="9">#N/A</definedName>
    <definedName name="тепло" localSheetId="6">#N/A</definedName>
    <definedName name="тепло" localSheetId="5">#N/A</definedName>
    <definedName name="тепло" localSheetId="4">#N/A</definedName>
    <definedName name="тепло">#N/A</definedName>
    <definedName name="Тепло_1">[171]Нормы!$D$10</definedName>
    <definedName name="ТМИТМ" localSheetId="3">'[121]БСС-2'!#REF!</definedName>
    <definedName name="ТМИТМ" localSheetId="12">'[121]БСС-2'!#REF!</definedName>
    <definedName name="ТМИТМ" localSheetId="11">'[121]БСС-2'!#REF!</definedName>
    <definedName name="ТМИТМ" localSheetId="6">'[121]БСС-2'!#REF!</definedName>
    <definedName name="ТМИТМ" localSheetId="5">'[121]БСС-2'!#REF!</definedName>
    <definedName name="ТМИТМ" localSheetId="4">'[121]БСС-2'!#REF!</definedName>
    <definedName name="ТМИТМ">'[121]БСС-2'!#REF!</definedName>
    <definedName name="ТМЦ">[121]БДР!$B$3</definedName>
    <definedName name="ТМЦ2">[121]БДР!$B$41</definedName>
    <definedName name="ТМЦ3" localSheetId="3">[121]БДР!#REF!</definedName>
    <definedName name="ТМЦ3" localSheetId="12">[121]БДР!#REF!</definedName>
    <definedName name="ТМЦ3" localSheetId="11">[121]БДР!#REF!</definedName>
    <definedName name="ТМЦ3" localSheetId="6">[121]БДР!#REF!</definedName>
    <definedName name="ТМЦ3" localSheetId="5">[121]БДР!#REF!</definedName>
    <definedName name="ТМЦ3" localSheetId="4">[121]БДР!#REF!</definedName>
    <definedName name="ТМЦ3">[121]БДР!#REF!</definedName>
    <definedName name="толо" localSheetId="15">#REF!</definedName>
    <definedName name="толо" localSheetId="12">#REF!</definedName>
    <definedName name="толо" localSheetId="11">#REF!</definedName>
    <definedName name="толо" localSheetId="8">#REF!</definedName>
    <definedName name="толо" localSheetId="9">#REF!</definedName>
    <definedName name="толо" localSheetId="10">#REF!</definedName>
    <definedName name="толо" localSheetId="6">#REF!</definedName>
    <definedName name="толо" localSheetId="5">#REF!</definedName>
    <definedName name="толо" localSheetId="4">#REF!</definedName>
    <definedName name="толо">#REF!</definedName>
    <definedName name="тп" localSheetId="15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localSheetId="11" hidden="1">{#N/A,#N/A,TRUE,"Лист1";#N/A,#N/A,TRUE,"Лист2";#N/A,#N/A,TRUE,"Лист3"}</definedName>
    <definedName name="тп" localSheetId="8" hidden="1">{#N/A,#N/A,TRUE,"Лист1";#N/A,#N/A,TRUE,"Лист2";#N/A,#N/A,TRUE,"Лист3"}</definedName>
    <definedName name="тп" localSheetId="9" hidden="1">{#N/A,#N/A,TRUE,"Лист1";#N/A,#N/A,TRUE,"Лист2";#N/A,#N/A,TRUE,"Лист3"}</definedName>
    <definedName name="тп" localSheetId="10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5">#REF!</definedName>
    <definedName name="третий" localSheetId="12">#REF!</definedName>
    <definedName name="третий" localSheetId="11">#REF!</definedName>
    <definedName name="третий" localSheetId="8">#REF!</definedName>
    <definedName name="третий" localSheetId="9">#REF!</definedName>
    <definedName name="третий" localSheetId="10">#REF!</definedName>
    <definedName name="третий" localSheetId="6">#REF!</definedName>
    <definedName name="третий" localSheetId="5">#REF!</definedName>
    <definedName name="третий" localSheetId="4">#REF!</definedName>
    <definedName name="третий">#REF!</definedName>
    <definedName name="ттт" localSheetId="15">#REF!</definedName>
    <definedName name="ттт" localSheetId="12">#REF!</definedName>
    <definedName name="ттт" localSheetId="11">#REF!</definedName>
    <definedName name="ттт" localSheetId="8">#REF!</definedName>
    <definedName name="ттт" localSheetId="9">#REF!</definedName>
    <definedName name="ттт" localSheetId="10">#REF!</definedName>
    <definedName name="ттт">#REF!</definedName>
    <definedName name="тттт" localSheetId="15">#REF!</definedName>
    <definedName name="тттт" localSheetId="12">#REF!</definedName>
    <definedName name="тттт" localSheetId="11">#REF!</definedName>
    <definedName name="тттт" localSheetId="8">#REF!</definedName>
    <definedName name="тттт" localSheetId="9">#REF!</definedName>
    <definedName name="тттт" localSheetId="10">#REF!</definedName>
    <definedName name="тттт">#REF!</definedName>
    <definedName name="ть" localSheetId="15">[7]!ть</definedName>
    <definedName name="ть" localSheetId="11">#N/A</definedName>
    <definedName name="ть" localSheetId="8">#N/A</definedName>
    <definedName name="ть" localSheetId="9">#N/A</definedName>
    <definedName name="ть" localSheetId="6">#N/A</definedName>
    <definedName name="ть" localSheetId="5">#N/A</definedName>
    <definedName name="ть" localSheetId="4">#N/A</definedName>
    <definedName name="ть">#N/A</definedName>
    <definedName name="у" localSheetId="15">#REF!</definedName>
    <definedName name="у" localSheetId="12">#REF!</definedName>
    <definedName name="у" localSheetId="11">#REF!</definedName>
    <definedName name="у" localSheetId="8">#REF!</definedName>
    <definedName name="у" localSheetId="9">#REF!</definedName>
    <definedName name="у" localSheetId="10">#REF!</definedName>
    <definedName name="у" localSheetId="6">#REF!</definedName>
    <definedName name="у" localSheetId="5">#REF!</definedName>
    <definedName name="у" localSheetId="4">#REF!</definedName>
    <definedName name="у">#REF!</definedName>
    <definedName name="у1" localSheetId="15">[7]!у1</definedName>
    <definedName name="у1" localSheetId="11">#N/A</definedName>
    <definedName name="у1" localSheetId="8">#N/A</definedName>
    <definedName name="у1" localSheetId="9">#N/A</definedName>
    <definedName name="у1" localSheetId="6">#N/A</definedName>
    <definedName name="у1" localSheetId="5">#N/A</definedName>
    <definedName name="у1" localSheetId="4">#N/A</definedName>
    <definedName name="у1">#N/A</definedName>
    <definedName name="уакк" localSheetId="15">#REF!</definedName>
    <definedName name="уакк" localSheetId="12">#REF!</definedName>
    <definedName name="уакк" localSheetId="11">#REF!</definedName>
    <definedName name="уакк" localSheetId="8">#REF!</definedName>
    <definedName name="уакк" localSheetId="9">#REF!</definedName>
    <definedName name="уакк" localSheetId="10">#REF!</definedName>
    <definedName name="уакк" localSheetId="6">#REF!</definedName>
    <definedName name="уакк" localSheetId="5">#REF!</definedName>
    <definedName name="уакк" localSheetId="4">#REF!</definedName>
    <definedName name="уакк">#REF!</definedName>
    <definedName name="уакупр" localSheetId="15">#REF!</definedName>
    <definedName name="уакупр" localSheetId="12">#REF!</definedName>
    <definedName name="уакупр" localSheetId="11">#REF!</definedName>
    <definedName name="уакупр" localSheetId="8">#REF!</definedName>
    <definedName name="уакупр" localSheetId="9">#REF!</definedName>
    <definedName name="уакупр" localSheetId="10">#REF!</definedName>
    <definedName name="уакупр">#REF!</definedName>
    <definedName name="уаук" localSheetId="15">#REF!</definedName>
    <definedName name="уаук" localSheetId="12">#REF!</definedName>
    <definedName name="уаук" localSheetId="11">#REF!</definedName>
    <definedName name="уаук" localSheetId="8">#REF!</definedName>
    <definedName name="уаук" localSheetId="9">#REF!</definedName>
    <definedName name="уаук" localSheetId="10">#REF!</definedName>
    <definedName name="уаук">#REF!</definedName>
    <definedName name="уаукеап" localSheetId="12">#REF!</definedName>
    <definedName name="уаукеап" localSheetId="11">#REF!</definedName>
    <definedName name="уаукеап" localSheetId="8">#REF!</definedName>
    <definedName name="уаукеап" localSheetId="9">#REF!</definedName>
    <definedName name="уаукеап" localSheetId="10">#REF!</definedName>
    <definedName name="уаукеап">#REF!</definedName>
    <definedName name="уваса" localSheetId="12">#REF!</definedName>
    <definedName name="уваса" localSheetId="11">#REF!</definedName>
    <definedName name="уваса" localSheetId="8">#REF!</definedName>
    <definedName name="уваса" localSheetId="9">#REF!</definedName>
    <definedName name="уваса" localSheetId="10">#REF!</definedName>
    <definedName name="уваса">#REF!</definedName>
    <definedName name="увцфук" localSheetId="12">#REF!</definedName>
    <definedName name="увцфук" localSheetId="11">#REF!</definedName>
    <definedName name="увцфук" localSheetId="8">#REF!</definedName>
    <definedName name="увцфук" localSheetId="9">#REF!</definedName>
    <definedName name="увцфук" localSheetId="10">#REF!</definedName>
    <definedName name="увцфук">#REF!</definedName>
    <definedName name="уеку" localSheetId="12">#REF!</definedName>
    <definedName name="уеку" localSheetId="11">#REF!</definedName>
    <definedName name="уеку" localSheetId="8">#REF!</definedName>
    <definedName name="уеку" localSheetId="9">#REF!</definedName>
    <definedName name="уеку" localSheetId="10">#REF!</definedName>
    <definedName name="уеку">#REF!</definedName>
    <definedName name="ук" localSheetId="15">[7]!ук</definedName>
    <definedName name="ук" localSheetId="11">#N/A</definedName>
    <definedName name="ук" localSheetId="8">#N/A</definedName>
    <definedName name="ук" localSheetId="9">#N/A</definedName>
    <definedName name="ук" localSheetId="6">#N/A</definedName>
    <definedName name="ук" localSheetId="5">#N/A</definedName>
    <definedName name="ук" localSheetId="4">#N/A</definedName>
    <definedName name="ук">#N/A</definedName>
    <definedName name="ук12" localSheetId="15">#REF!</definedName>
    <definedName name="ук12" localSheetId="12">#REF!</definedName>
    <definedName name="ук12" localSheetId="11">#REF!</definedName>
    <definedName name="ук12" localSheetId="8">#REF!</definedName>
    <definedName name="ук12" localSheetId="9">#REF!</definedName>
    <definedName name="ук12" localSheetId="10">#REF!</definedName>
    <definedName name="ук12" localSheetId="6">#REF!</definedName>
    <definedName name="ук12" localSheetId="5">#REF!</definedName>
    <definedName name="ук12" localSheetId="4">#REF!</definedName>
    <definedName name="ук12">#REF!</definedName>
    <definedName name="укац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15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11" hidden="1">{#N/A,#N/A,TRUE,"Лист1";#N/A,#N/A,TRUE,"Лист2";#N/A,#N/A,TRUE,"Лист3"}</definedName>
    <definedName name="укеееукеееееееееееееее" localSheetId="8" hidden="1">{#N/A,#N/A,TRUE,"Лист1";#N/A,#N/A,TRUE,"Лист2";#N/A,#N/A,TRUE,"Лист3"}</definedName>
    <definedName name="укеееукеееееееееееееее" localSheetId="9" hidden="1">{#N/A,#N/A,TRUE,"Лист1";#N/A,#N/A,TRUE,"Лист2";#N/A,#N/A,TRUE,"Лист3"}</definedName>
    <definedName name="укеееукеееееееееееееее" localSheetId="10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15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11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localSheetId="9" hidden="1">{#N/A,#N/A,TRUE,"Лист1";#N/A,#N/A,TRUE,"Лист2";#N/A,#N/A,TRUE,"Лист3"}</definedName>
    <definedName name="укеукеуеуе" localSheetId="10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15">[7]!умер</definedName>
    <definedName name="умер" localSheetId="11">#N/A</definedName>
    <definedName name="умер" localSheetId="8">#N/A</definedName>
    <definedName name="умер" localSheetId="9">#N/A</definedName>
    <definedName name="умер" localSheetId="6">#N/A</definedName>
    <definedName name="умер" localSheetId="5">#N/A</definedName>
    <definedName name="умер" localSheetId="4">#N/A</definedName>
    <definedName name="умер">#N/A</definedName>
    <definedName name="уу" localSheetId="15">[7]!уу</definedName>
    <definedName name="уу" localSheetId="11">#N/A</definedName>
    <definedName name="уу" localSheetId="8">#N/A</definedName>
    <definedName name="уу" localSheetId="9">#N/A</definedName>
    <definedName name="уу" localSheetId="6">#N/A</definedName>
    <definedName name="уу" localSheetId="5">#N/A</definedName>
    <definedName name="уу" localSheetId="4">#N/A</definedName>
    <definedName name="уу">#N/A</definedName>
    <definedName name="уук" localSheetId="15">#REF!</definedName>
    <definedName name="уук" localSheetId="12">#REF!</definedName>
    <definedName name="уук" localSheetId="11">#REF!</definedName>
    <definedName name="уук" localSheetId="8">#REF!</definedName>
    <definedName name="уук" localSheetId="9">#REF!</definedName>
    <definedName name="уук" localSheetId="10">#REF!</definedName>
    <definedName name="уук" localSheetId="6">#REF!</definedName>
    <definedName name="уук" localSheetId="5">#REF!</definedName>
    <definedName name="уук" localSheetId="4">#REF!</definedName>
    <definedName name="уук">#REF!</definedName>
    <definedName name="уууу" localSheetId="15">#REF!</definedName>
    <definedName name="уууу" localSheetId="12">#REF!</definedName>
    <definedName name="уууу" localSheetId="11">#REF!</definedName>
    <definedName name="уууу" localSheetId="8">#REF!</definedName>
    <definedName name="уууу" localSheetId="9">#REF!</definedName>
    <definedName name="уууу" localSheetId="10">#REF!</definedName>
    <definedName name="уууу">#REF!</definedName>
    <definedName name="ууууу" localSheetId="15">#REF!</definedName>
    <definedName name="ууууу" localSheetId="12">#REF!</definedName>
    <definedName name="ууууу" localSheetId="11">#REF!</definedName>
    <definedName name="ууууу" localSheetId="8">#REF!</definedName>
    <definedName name="ууууу" localSheetId="9">#REF!</definedName>
    <definedName name="ууууу" localSheetId="10">#REF!</definedName>
    <definedName name="ууууу">#REF!</definedName>
    <definedName name="УФ" localSheetId="15">[7]!УФ</definedName>
    <definedName name="УФ" localSheetId="11">#N/A</definedName>
    <definedName name="УФ" localSheetId="8">#N/A</definedName>
    <definedName name="УФ" localSheetId="9">#N/A</definedName>
    <definedName name="УФ" localSheetId="6">#N/A</definedName>
    <definedName name="УФ" localSheetId="5">#N/A</definedName>
    <definedName name="УФ" localSheetId="4">#N/A</definedName>
    <definedName name="УФ">#N/A</definedName>
    <definedName name="уцапек" localSheetId="15">#REF!</definedName>
    <definedName name="уцапек" localSheetId="12">#REF!</definedName>
    <definedName name="уцапек" localSheetId="11">#REF!</definedName>
    <definedName name="уцапек" localSheetId="8">#REF!</definedName>
    <definedName name="уцапек" localSheetId="9">#REF!</definedName>
    <definedName name="уцапек" localSheetId="10">#REF!</definedName>
    <definedName name="уцапек" localSheetId="6">#REF!</definedName>
    <definedName name="уцапек" localSheetId="5">#REF!</definedName>
    <definedName name="уцапек" localSheetId="4">#REF!</definedName>
    <definedName name="уцапек">#REF!</definedName>
    <definedName name="уца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15">[7]!уыукпе</definedName>
    <definedName name="уыукпе" localSheetId="11">#N/A</definedName>
    <definedName name="уыукпе" localSheetId="8">#N/A</definedName>
    <definedName name="уыукпе" localSheetId="9">#N/A</definedName>
    <definedName name="уыукпе" localSheetId="6">#N/A</definedName>
    <definedName name="уыукпе" localSheetId="5">#N/A</definedName>
    <definedName name="уыукпе" localSheetId="4">#N/A</definedName>
    <definedName name="уыукпе">#N/A</definedName>
    <definedName name="ф" localSheetId="15">#REF!</definedName>
    <definedName name="ф" localSheetId="12">#REF!</definedName>
    <definedName name="ф" localSheetId="11">#REF!</definedName>
    <definedName name="ф" localSheetId="8">#REF!</definedName>
    <definedName name="ф" localSheetId="9">#REF!</definedName>
    <definedName name="ф" localSheetId="10">#REF!</definedName>
    <definedName name="ф" localSheetId="6">#REF!</definedName>
    <definedName name="ф" localSheetId="5">#REF!</definedName>
    <definedName name="ф" localSheetId="4">#REF!</definedName>
    <definedName name="ф">#REF!</definedName>
    <definedName name="ф0113" localSheetId="15">#REF!</definedName>
    <definedName name="ф0113" localSheetId="12">#REF!</definedName>
    <definedName name="ф0113" localSheetId="11">#REF!</definedName>
    <definedName name="ф0113" localSheetId="8">#REF!</definedName>
    <definedName name="ф0113" localSheetId="9">#REF!</definedName>
    <definedName name="ф0113" localSheetId="10">#REF!</definedName>
    <definedName name="ф0113">#REF!</definedName>
    <definedName name="фам" localSheetId="15">[7]!фам</definedName>
    <definedName name="фам" localSheetId="11">#N/A</definedName>
    <definedName name="фам" localSheetId="8">#N/A</definedName>
    <definedName name="фам" localSheetId="9">#N/A</definedName>
    <definedName name="фам" localSheetId="6">#N/A</definedName>
    <definedName name="фам" localSheetId="5">#N/A</definedName>
    <definedName name="фам" localSheetId="4">#N/A</definedName>
    <definedName name="фам">#N/A</definedName>
    <definedName name="фв" localSheetId="15">#REF!</definedName>
    <definedName name="фв" localSheetId="12">#REF!</definedName>
    <definedName name="фв" localSheetId="11">#REF!</definedName>
    <definedName name="фв" localSheetId="8">#REF!</definedName>
    <definedName name="фв" localSheetId="9">#REF!</definedName>
    <definedName name="фв" localSheetId="10">#REF!</definedName>
    <definedName name="фв" localSheetId="6">#REF!</definedName>
    <definedName name="фв" localSheetId="5">#REF!</definedName>
    <definedName name="фв" localSheetId="4">#REF!</definedName>
    <definedName name="фв">#REF!</definedName>
    <definedName name="фвар" localSheetId="15" hidden="1">#REF!,#REF!,#REF!,амортизация!P1_SCOPE_PER_PRT,амортизация!P2_SCOPE_PER_PRT,амортизация!P3_SCOPE_PER_PRT,амортизация!P4_SCOPE_PER_PRT</definedName>
    <definedName name="фвар" localSheetId="2" hidden="1">#REF!,#REF!,#REF!,P1_SCOPE_PER_PRT,P2_SCOPE_PER_PRT,P3_SCOPE_PER_PRT,P4_SCOPE_PER_PRT</definedName>
    <definedName name="фвар" localSheetId="3" hidden="1">#REF!,#REF!,#REF!,P1_SCOPE_PER_PRT,P2_SCOPE_PER_PRT,P3_SCOPE_PER_PRT,P4_SCOPE_PER_PRT</definedName>
    <definedName name="фвар" localSheetId="12" hidden="1">#REF!,#REF!,#REF!,'переменные на 5 лет'!P1_SCOPE_PER_PRT,'переменные на 5 лет'!P2_SCOPE_PER_PRT,'переменные на 5 лет'!P3_SCOPE_PER_PRT,'переменные на 5 лет'!P4_SCOPE_PER_PRT</definedName>
    <definedName name="фвар" localSheetId="7" hidden="1">#REF!,#REF!,#REF!,подконтрольные!P1_SCOPE_PER_PRT,подконтрольные!P2_SCOPE_PER_PRT,подконтрольные!P3_SCOPE_PER_PRT,подконтрольные!P4_SCOPE_PER_PRT</definedName>
    <definedName name="фвар" localSheetId="11" hidden="1">#REF!,#REF!,#REF!,'Прил 6 к расп'!P1_SCOPE_PER_PRT,'Прил 6 к расп'!P2_SCOPE_PER_PRT,'Прил 6 к расп'!P3_SCOPE_PER_PRT,'Прил 6 к расп'!P4_SCOPE_PER_PRT</definedName>
    <definedName name="фвар" localSheetId="8" hidden="1">#REF!,#REF!,#REF!,Прил2!P1_SCOPE_PER_PRT,Прил2!P2_SCOPE_PER_PRT,Прил2!P3_SCOPE_PER_PRT,Прил2!P4_SCOPE_PER_PRT</definedName>
    <definedName name="фвар" localSheetId="9" hidden="1">#REF!,#REF!,#REF!,Прил3!P1_SCOPE_PER_PRT,Прил3!P2_SCOPE_PER_PRT,Прил3!P3_SCOPE_PER_PRT,Прил3!P4_SCOPE_PER_PRT</definedName>
    <definedName name="фвар" localSheetId="10" hidden="1">#REF!,#REF!,#REF!,Прил4!P1_SCOPE_PER_PRT,Прил4!P2_SCOPE_PER_PRT,Прил4!P3_SCOPE_PER_PRT,Прил4!P4_SCOPE_PER_PRT</definedName>
    <definedName name="фвар" localSheetId="6" hidden="1">#REF!,#REF!,#REF!,Тарифы!P1_SCOPE_PER_PRT,Тарифы!P2_SCOPE_PER_PRT,Тарифы!P3_SCOPE_PER_PRT,Тарифы!P4_SCOPE_PER_PRT</definedName>
    <definedName name="фвар" localSheetId="5" hidden="1">#REF!,#REF!,#REF!,'Тарифы (2)'!P1_SCOPE_PER_PRT,'Тарифы (2)'!P2_SCOPE_PER_PRT,'Тарифы (2)'!P3_SCOPE_PER_PRT,'Тарифы (2)'!P4_SCOPE_PER_PRT</definedName>
    <definedName name="фвар" localSheetId="4" hidden="1">#REF!,#REF!,#REF!,'Тарифы (3)'!P1_SCOPE_PER_PRT,'Тарифы (3)'!P2_SCOPE_PER_PRT,'Тарифы (3)'!P3_SCOPE_PER_PRT,'Тарифы (3)'!P4_SCOPE_PER_PRT</definedName>
    <definedName name="фвар" hidden="1">#REF!,#REF!,#REF!,P1_SCOPE_PER_PRT,P2_SCOPE_PER_PRT,P3_SCOPE_PER_PRT,P4_SCOPE_PER_PRT</definedName>
    <definedName name="фвцу" localSheetId="15">#REF!</definedName>
    <definedName name="фвцу" localSheetId="12">#REF!</definedName>
    <definedName name="фвцу" localSheetId="11">#REF!</definedName>
    <definedName name="фвцу" localSheetId="8">#REF!</definedName>
    <definedName name="фвцу" localSheetId="9">#REF!</definedName>
    <definedName name="фвцу" localSheetId="10">#REF!</definedName>
    <definedName name="фвцу" localSheetId="6">#REF!</definedName>
    <definedName name="фвцу" localSheetId="5">#REF!</definedName>
    <definedName name="фвцу" localSheetId="4">#REF!</definedName>
    <definedName name="фвцу">#REF!</definedName>
    <definedName name="фев" localSheetId="15">#REF!</definedName>
    <definedName name="фев" localSheetId="12">#REF!</definedName>
    <definedName name="фев" localSheetId="11">#REF!</definedName>
    <definedName name="фев" localSheetId="8">#REF!</definedName>
    <definedName name="фев" localSheetId="9">#REF!</definedName>
    <definedName name="фев" localSheetId="10">#REF!</definedName>
    <definedName name="фев">#REF!</definedName>
    <definedName name="фев2" localSheetId="15">#REF!</definedName>
    <definedName name="фев2" localSheetId="12">#REF!</definedName>
    <definedName name="фев2" localSheetId="11">#REF!</definedName>
    <definedName name="фев2" localSheetId="8">#REF!</definedName>
    <definedName name="фев2" localSheetId="9">#REF!</definedName>
    <definedName name="фев2" localSheetId="10">#REF!</definedName>
    <definedName name="фев2">#REF!</definedName>
    <definedName name="фильтр" localSheetId="12">#REF!</definedName>
    <definedName name="фильтр" localSheetId="11">#REF!</definedName>
    <definedName name="фильтр" localSheetId="8">#REF!</definedName>
    <definedName name="фильтр" localSheetId="9">#REF!</definedName>
    <definedName name="фильтр" localSheetId="10">#REF!</definedName>
    <definedName name="фильтр">#REF!</definedName>
    <definedName name="фо_а_н_пц" localSheetId="3">[104]рабочий!$AR$240:$BI$263</definedName>
    <definedName name="фо_а_н_пц" localSheetId="6">[105]рабочий!$AR$240:$BI$263</definedName>
    <definedName name="фо_а_н_пц" localSheetId="5">[105]рабочий!$AR$240:$BI$263</definedName>
    <definedName name="фо_а_н_пц" localSheetId="4">[104]рабочий!$AR$240:$BI$263</definedName>
    <definedName name="фо_а_н_пц">[105]рабочий!$AR$240:$BI$263</definedName>
    <definedName name="фо_а_с_пц" localSheetId="3">[104]рабочий!$AS$202:$BI$224</definedName>
    <definedName name="фо_а_с_пц" localSheetId="6">[105]рабочий!$AS$202:$BI$224</definedName>
    <definedName name="фо_а_с_пц" localSheetId="5">[105]рабочий!$AS$202:$BI$224</definedName>
    <definedName name="фо_а_с_пц" localSheetId="4">[104]рабочий!$AS$202:$BI$224</definedName>
    <definedName name="фо_а_с_пц">[105]рабочий!$AS$202:$BI$224</definedName>
    <definedName name="фо_н_03" localSheetId="3">[104]рабочий!$X$305:$X$327</definedName>
    <definedName name="фо_н_03" localSheetId="6">[105]рабочий!$X$305:$X$327</definedName>
    <definedName name="фо_н_03" localSheetId="5">[105]рабочий!$X$305:$X$327</definedName>
    <definedName name="фо_н_03" localSheetId="4">[104]рабочий!$X$305:$X$327</definedName>
    <definedName name="фо_н_03">[105]рабочий!$X$305:$X$327</definedName>
    <definedName name="фо_н_04" localSheetId="3">[104]рабочий!$X$335:$X$357</definedName>
    <definedName name="фо_н_04" localSheetId="6">[105]рабочий!$X$335:$X$357</definedName>
    <definedName name="фо_н_04" localSheetId="5">[105]рабочий!$X$335:$X$357</definedName>
    <definedName name="фо_н_04" localSheetId="4">[104]рабочий!$X$335:$X$357</definedName>
    <definedName name="фо_н_04">[105]рабочий!$X$335:$X$357</definedName>
    <definedName name="Форма" localSheetId="15">[7]!Форма</definedName>
    <definedName name="Форма" localSheetId="11">#N/A</definedName>
    <definedName name="Форма" localSheetId="8">#N/A</definedName>
    <definedName name="Форма" localSheetId="9">#N/A</definedName>
    <definedName name="Форма" localSheetId="6">#N/A</definedName>
    <definedName name="Форма" localSheetId="5">#N/A</definedName>
    <definedName name="Форма" localSheetId="4">#N/A</definedName>
    <definedName name="Форма">#N/A</definedName>
    <definedName name="ФПБКХ" localSheetId="3">#REF!</definedName>
    <definedName name="ФПБКХ" localSheetId="12">#REF!</definedName>
    <definedName name="ФПБКХ" localSheetId="11">#REF!</definedName>
    <definedName name="ФПБКХ" localSheetId="6">#REF!</definedName>
    <definedName name="ФПБКХ" localSheetId="5">#REF!</definedName>
    <definedName name="ФПБКХ" localSheetId="4">#REF!</definedName>
    <definedName name="ФПБКХ">#REF!</definedName>
    <definedName name="фпсв" localSheetId="12">#REF!</definedName>
    <definedName name="фпсв" localSheetId="11">#REF!</definedName>
    <definedName name="фпсв">#REF!</definedName>
    <definedName name="фпЦКК" localSheetId="12">#REF!</definedName>
    <definedName name="фпЦКК" localSheetId="11">#REF!</definedName>
    <definedName name="фпЦКК">#REF!</definedName>
    <definedName name="фук" localSheetId="15" hidden="1">#REF!,#REF!,#REF!,амортизация!P1_SCOPE_PER_PRT,амортизация!P2_SCOPE_PER_PRT,амортизация!P3_SCOPE_PER_PRT,амортизация!P4_SCOPE_PER_PRT</definedName>
    <definedName name="фук" localSheetId="2" hidden="1">#REF!,#REF!,#REF!,P1_SCOPE_PER_PRT,P2_SCOPE_PER_PRT,P3_SCOPE_PER_PRT,P4_SCOPE_PER_PRT</definedName>
    <definedName name="фук" localSheetId="3" hidden="1">#REF!,#REF!,#REF!,P1_SCOPE_PER_PRT,P2_SCOPE_PER_PRT,P3_SCOPE_PER_PRT,P4_SCOPE_PER_PRT</definedName>
    <definedName name="фук" localSheetId="12" hidden="1">#REF!,#REF!,#REF!,'переменные на 5 лет'!P1_SCOPE_PER_PRT,'переменные на 5 лет'!P2_SCOPE_PER_PRT,'переменные на 5 лет'!P3_SCOPE_PER_PRT,'переменные на 5 лет'!P4_SCOPE_PER_PRT</definedName>
    <definedName name="фук" localSheetId="7" hidden="1">#REF!,#REF!,#REF!,подконтрольные!P1_SCOPE_PER_PRT,подконтрольные!P2_SCOPE_PER_PRT,подконтрольные!P3_SCOPE_PER_PRT,подконтрольные!P4_SCOPE_PER_PRT</definedName>
    <definedName name="фук" localSheetId="11" hidden="1">#REF!,#REF!,#REF!,'Прил 6 к расп'!P1_SCOPE_PER_PRT,'Прил 6 к расп'!P2_SCOPE_PER_PRT,'Прил 6 к расп'!P3_SCOPE_PER_PRT,'Прил 6 к расп'!P4_SCOPE_PER_PRT</definedName>
    <definedName name="фук" localSheetId="8" hidden="1">#REF!,#REF!,#REF!,Прил2!P1_SCOPE_PER_PRT,Прил2!P2_SCOPE_PER_PRT,Прил2!P3_SCOPE_PER_PRT,Прил2!P4_SCOPE_PER_PRT</definedName>
    <definedName name="фук" localSheetId="9" hidden="1">#REF!,#REF!,#REF!,Прил3!P1_SCOPE_PER_PRT,Прил3!P2_SCOPE_PER_PRT,Прил3!P3_SCOPE_PER_PRT,Прил3!P4_SCOPE_PER_PRT</definedName>
    <definedName name="фук" localSheetId="10" hidden="1">#REF!,#REF!,#REF!,Прил4!P1_SCOPE_PER_PRT,Прил4!P2_SCOPE_PER_PRT,Прил4!P3_SCOPE_PER_PRT,Прил4!P4_SCOPE_PER_PRT</definedName>
    <definedName name="фук" localSheetId="6" hidden="1">#REF!,#REF!,#REF!,Тарифы!P1_SCOPE_PER_PRT,Тарифы!P2_SCOPE_PER_PRT,Тарифы!P3_SCOPE_PER_PRT,Тарифы!P4_SCOPE_PER_PRT</definedName>
    <definedName name="фук" localSheetId="5" hidden="1">#REF!,#REF!,#REF!,'Тарифы (2)'!P1_SCOPE_PER_PRT,'Тарифы (2)'!P2_SCOPE_PER_PRT,'Тарифы (2)'!P3_SCOPE_PER_PRT,'Тарифы (2)'!P4_SCOPE_PER_PRT</definedName>
    <definedName name="фук" localSheetId="4" hidden="1">#REF!,#REF!,#REF!,'Тарифы (3)'!P1_SCOPE_PER_PRT,'Тарифы (3)'!P2_SCOPE_PER_PRT,'Тарифы (3)'!P3_SCOPE_PER_PRT,'Тарифы (3)'!P4_SCOPE_PER_PRT</definedName>
    <definedName name="фук" hidden="1">#REF!,#REF!,#REF!,P1_SCOPE_PER_PRT,P2_SCOPE_PER_PRT,P3_SCOPE_PER_PRT,P4_SCOPE_PER_PRT</definedName>
    <definedName name="Фуфцу" localSheetId="15">#REF!</definedName>
    <definedName name="Фуфцу" localSheetId="12">#REF!</definedName>
    <definedName name="Фуфцу" localSheetId="11">#REF!</definedName>
    <definedName name="Фуфцу" localSheetId="8">#REF!</definedName>
    <definedName name="Фуфцу" localSheetId="9">#REF!</definedName>
    <definedName name="Фуфцу" localSheetId="10">#REF!</definedName>
    <definedName name="Фуфцу" localSheetId="6">#REF!</definedName>
    <definedName name="Фуфцу" localSheetId="5">#REF!</definedName>
    <definedName name="Фуфцу" localSheetId="4">#REF!</definedName>
    <definedName name="Фуфцу">#REF!</definedName>
    <definedName name="фуцу" localSheetId="15">#REF!</definedName>
    <definedName name="фуцу" localSheetId="12">#REF!</definedName>
    <definedName name="фуцу" localSheetId="11">#REF!</definedName>
    <definedName name="фуцу" localSheetId="8">#REF!</definedName>
    <definedName name="фуцу" localSheetId="9">#REF!</definedName>
    <definedName name="фуцу" localSheetId="10">#REF!</definedName>
    <definedName name="фуцу">#REF!</definedName>
    <definedName name="фф" localSheetId="15">#REF!</definedName>
    <definedName name="фф" localSheetId="12">#REF!</definedName>
    <definedName name="фф" localSheetId="11">#REF!</definedName>
    <definedName name="фф" localSheetId="8">#REF!</definedName>
    <definedName name="фф" localSheetId="9">#REF!</definedName>
    <definedName name="фф" localSheetId="10">#REF!</definedName>
    <definedName name="фф">#REF!</definedName>
    <definedName name="ффф" localSheetId="15" hidden="1">{"PRINTME",#N/A,FALSE,"FINAL-10"}</definedName>
    <definedName name="ффф" localSheetId="2" hidden="1">{"PRINTME",#N/A,FALSE,"FINAL-10"}</definedName>
    <definedName name="ффф" localSheetId="3" hidden="1">{"PRINTME",#N/A,FALSE,"FINAL-10"}</definedName>
    <definedName name="ффф" localSheetId="7" hidden="1">{"PRINTME",#N/A,FALSE,"FINAL-10"}</definedName>
    <definedName name="ффф" localSheetId="11" hidden="1">{"PRINTME",#N/A,FALSE,"FINAL-10"}</definedName>
    <definedName name="ффф" localSheetId="8" hidden="1">{"PRINTME",#N/A,FALSE,"FINAL-10"}</definedName>
    <definedName name="ффф" localSheetId="9" hidden="1">{"PRINTME",#N/A,FALSE,"FINAL-10"}</definedName>
    <definedName name="ффф" localSheetId="10" hidden="1">{"PRINTME",#N/A,FALSE,"FINAL-10"}</definedName>
    <definedName name="ффф" localSheetId="6" hidden="1">{"PRINTME",#N/A,FALSE,"FINAL-10"}</definedName>
    <definedName name="ффф" localSheetId="5" hidden="1">{"PRINTME",#N/A,FALSE,"FINAL-10"}</definedName>
    <definedName name="ффф" localSheetId="4" hidden="1">{"PRINTME",#N/A,FALSE,"FINAL-10"}</definedName>
    <definedName name="ффф" hidden="1">{"PRINTME",#N/A,FALSE,"FINAL-10"}</definedName>
    <definedName name="фффффф" localSheetId="15" hidden="1">{#N/A,#N/A,TRUE,"Лист1";#N/A,#N/A,TRUE,"Лист2";#N/A,#N/A,TRUE,"Лист3"}</definedName>
    <definedName name="фффффф" localSheetId="2" hidden="1">{#N/A,#N/A,TRUE,"Лист1";#N/A,#N/A,TRUE,"Лист2";#N/A,#N/A,TRUE,"Лист3"}</definedName>
    <definedName name="фффффф" localSheetId="3" hidden="1">{#N/A,#N/A,TRUE,"Лист1";#N/A,#N/A,TRUE,"Лист2";#N/A,#N/A,TRUE,"Лист3"}</definedName>
    <definedName name="фффффф" localSheetId="11" hidden="1">{#N/A,#N/A,TRUE,"Лист1";#N/A,#N/A,TRUE,"Лист2";#N/A,#N/A,TRUE,"Лист3"}</definedName>
    <definedName name="фффффф" localSheetId="8" hidden="1">{#N/A,#N/A,TRUE,"Лист1";#N/A,#N/A,TRUE,"Лист2";#N/A,#N/A,TRUE,"Лист3"}</definedName>
    <definedName name="фффффф" localSheetId="9" hidden="1">{#N/A,#N/A,TRUE,"Лист1";#N/A,#N/A,TRUE,"Лист2";#N/A,#N/A,TRUE,"Лист3"}</definedName>
    <definedName name="фффффф" localSheetId="10" hidden="1">{#N/A,#N/A,TRUE,"Лист1";#N/A,#N/A,TRUE,"Лист2";#N/A,#N/A,TRUE,"Лист3"}</definedName>
    <definedName name="фффффф" localSheetId="6" hidden="1">{#N/A,#N/A,TRUE,"Лист1";#N/A,#N/A,TRUE,"Лист2";#N/A,#N/A,TRUE,"Лист3"}</definedName>
    <definedName name="фффффф" localSheetId="5" hidden="1">{#N/A,#N/A,TRUE,"Лист1";#N/A,#N/A,TRUE,"Лист2";#N/A,#N/A,TRUE,"Лист3"}</definedName>
    <definedName name="фффффф" localSheetId="4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15">#REF!</definedName>
    <definedName name="фцуцйук" localSheetId="12">#REF!</definedName>
    <definedName name="фцуцйук" localSheetId="11">#REF!</definedName>
    <definedName name="фцуцйук" localSheetId="8">#REF!</definedName>
    <definedName name="фцуцйук" localSheetId="9">#REF!</definedName>
    <definedName name="фцуцйук" localSheetId="10">#REF!</definedName>
    <definedName name="фцуцйук" localSheetId="6">#REF!</definedName>
    <definedName name="фцуцйук" localSheetId="5">#REF!</definedName>
    <definedName name="фцуцйук" localSheetId="4">#REF!</definedName>
    <definedName name="фцуцйук">#REF!</definedName>
    <definedName name="фы" localSheetId="12">#REF!</definedName>
    <definedName name="фы" localSheetId="11">#REF!</definedName>
    <definedName name="фы">#REF!</definedName>
    <definedName name="фыаспит" localSheetId="15">[7]!фыаспит</definedName>
    <definedName name="фыаспит" localSheetId="11">#N/A</definedName>
    <definedName name="фыаспит" localSheetId="8">#N/A</definedName>
    <definedName name="фыаспит" localSheetId="9">#N/A</definedName>
    <definedName name="фыаспит" localSheetId="6">#N/A</definedName>
    <definedName name="фыаспит" localSheetId="5">#N/A</definedName>
    <definedName name="фыаспит" localSheetId="4">#N/A</definedName>
    <definedName name="фыаспит">#N/A</definedName>
    <definedName name="фывфы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15">#REF!</definedName>
    <definedName name="фыйцу" localSheetId="12">#REF!</definedName>
    <definedName name="фыйцу" localSheetId="11">#REF!</definedName>
    <definedName name="фыйцу" localSheetId="8">#REF!</definedName>
    <definedName name="фыйцу" localSheetId="9">#REF!</definedName>
    <definedName name="фыйцу" localSheetId="10">#REF!</definedName>
    <definedName name="фыйцу" localSheetId="6">#REF!</definedName>
    <definedName name="фыйцу" localSheetId="5">#REF!</definedName>
    <definedName name="фыйцу" localSheetId="4">#REF!</definedName>
    <definedName name="фыйцу">#REF!</definedName>
    <definedName name="фыувц" localSheetId="15">#REF!</definedName>
    <definedName name="фыувц" localSheetId="12">#REF!</definedName>
    <definedName name="фыувц" localSheetId="11">#REF!</definedName>
    <definedName name="фыувц" localSheetId="8">#REF!</definedName>
    <definedName name="фыувц" localSheetId="9">#REF!</definedName>
    <definedName name="фыувц" localSheetId="10">#REF!</definedName>
    <definedName name="фыувц">#REF!</definedName>
    <definedName name="х" localSheetId="15">#REF!</definedName>
    <definedName name="х" localSheetId="12">#REF!</definedName>
    <definedName name="х" localSheetId="11">#REF!</definedName>
    <definedName name="х" localSheetId="8">#REF!</definedName>
    <definedName name="х" localSheetId="9">#REF!</definedName>
    <definedName name="х" localSheetId="10">#REF!</definedName>
    <definedName name="х">#REF!</definedName>
    <definedName name="Химикаты" localSheetId="12">#REF!</definedName>
    <definedName name="Химикаты" localSheetId="11">#REF!</definedName>
    <definedName name="Химикаты">#REF!</definedName>
    <definedName name="ц" localSheetId="12">#REF!</definedName>
    <definedName name="ц" localSheetId="11">#REF!</definedName>
    <definedName name="ц" localSheetId="8">#REF!</definedName>
    <definedName name="ц" localSheetId="9">#REF!</definedName>
    <definedName name="ц" localSheetId="10">#REF!</definedName>
    <definedName name="ц">#REF!</definedName>
    <definedName name="ц1" localSheetId="15">[7]!ц1</definedName>
    <definedName name="ц1" localSheetId="11">#N/A</definedName>
    <definedName name="ц1" localSheetId="8">#N/A</definedName>
    <definedName name="ц1" localSheetId="9">#N/A</definedName>
    <definedName name="ц1" localSheetId="6">#N/A</definedName>
    <definedName name="ц1" localSheetId="5">#N/A</definedName>
    <definedName name="ц1" localSheetId="4">#N/A</definedName>
    <definedName name="ц1">#N/A</definedName>
    <definedName name="цвсцуа" localSheetId="15">#REF!</definedName>
    <definedName name="цвсцуа" localSheetId="12">#REF!</definedName>
    <definedName name="цвсцуа" localSheetId="11">#REF!</definedName>
    <definedName name="цвсцуа" localSheetId="8">#REF!</definedName>
    <definedName name="цвсцуа" localSheetId="9">#REF!</definedName>
    <definedName name="цвсцуа" localSheetId="10">#REF!</definedName>
    <definedName name="цвсцуа" localSheetId="6">#REF!</definedName>
    <definedName name="цвсцуа" localSheetId="5">#REF!</definedName>
    <definedName name="цвсцуа" localSheetId="4">#REF!</definedName>
    <definedName name="цвсцуа">#REF!</definedName>
    <definedName name="цена_фреш_АП" localSheetId="15">#REF!</definedName>
    <definedName name="цена_фреш_АП" localSheetId="12">#REF!</definedName>
    <definedName name="цена_фреш_АП" localSheetId="11">#REF!</definedName>
    <definedName name="цена_фреш_АП" localSheetId="8">#REF!</definedName>
    <definedName name="цена_фреш_АП" localSheetId="9">#REF!</definedName>
    <definedName name="цена_фреш_АП" localSheetId="10">#REF!</definedName>
    <definedName name="цена_фреш_АП">#REF!</definedName>
    <definedName name="цйаук" localSheetId="15">#REF!</definedName>
    <definedName name="цйаук" localSheetId="12">#REF!</definedName>
    <definedName name="цйаук" localSheetId="11">#REF!</definedName>
    <definedName name="цйаук" localSheetId="8">#REF!</definedName>
    <definedName name="цйаук" localSheetId="9">#REF!</definedName>
    <definedName name="цйаук" localSheetId="10">#REF!</definedName>
    <definedName name="цйаук">#REF!</definedName>
    <definedName name="цпцп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15">#REF!</definedName>
    <definedName name="ЦУ" localSheetId="12">#REF!</definedName>
    <definedName name="ЦУ" localSheetId="11">#REF!</definedName>
    <definedName name="ЦУ" localSheetId="8">#REF!</definedName>
    <definedName name="ЦУ" localSheetId="9">#REF!</definedName>
    <definedName name="ЦУ" localSheetId="10">#REF!</definedName>
    <definedName name="ЦУ" localSheetId="6">#REF!</definedName>
    <definedName name="ЦУ" localSheetId="5">#REF!</definedName>
    <definedName name="ЦУ" localSheetId="4">#REF!</definedName>
    <definedName name="ЦУ">#REF!</definedName>
    <definedName name="ЦУ_2" localSheetId="15">#REF!</definedName>
    <definedName name="ЦУ_2" localSheetId="12">#REF!</definedName>
    <definedName name="ЦУ_2" localSheetId="11">#REF!</definedName>
    <definedName name="ЦУ_2" localSheetId="8">#REF!</definedName>
    <definedName name="ЦУ_2" localSheetId="9">#REF!</definedName>
    <definedName name="ЦУ_2" localSheetId="10">#REF!</definedName>
    <definedName name="ЦУ_2">#REF!</definedName>
    <definedName name="ЦУ_ДЛ" localSheetId="11">'[172]Справочник подразделений'!$C$5:$C$137</definedName>
    <definedName name="ЦУ_ДЛ" localSheetId="8">'[172]Справочник подразделений'!$C$5:$C$137</definedName>
    <definedName name="ЦУ_ДЛ" localSheetId="9">'[172]Справочник подразделений'!$C$5:$C$137</definedName>
    <definedName name="ЦУ_ДЛ">'[172]Справочник подразделений'!$C$5:$C$137</definedName>
    <definedName name="ЦУ_ДЛ_2" localSheetId="11">'[173]Справочник подразделений'!$C$5:$C$184</definedName>
    <definedName name="ЦУ_ДЛ_2" localSheetId="8">'[173]Справочник подразделений'!$C$5:$C$184</definedName>
    <definedName name="ЦУ_ДЛ_2" localSheetId="9">'[173]Справочник подразделений'!$C$5:$C$184</definedName>
    <definedName name="ЦУ_ДЛ_2">'[173]Справочник подразделений'!$C$5:$C$184</definedName>
    <definedName name="ЦУ_ДРП">'[174]Справочник подразделений'!$C$5:$C$137</definedName>
    <definedName name="цуа" localSheetId="15">[7]!цуа</definedName>
    <definedName name="цуа" localSheetId="11">#N/A</definedName>
    <definedName name="цуа" localSheetId="8">#N/A</definedName>
    <definedName name="цуа" localSheetId="9">#N/A</definedName>
    <definedName name="цуа" localSheetId="6">#N/A</definedName>
    <definedName name="цуа" localSheetId="5">#N/A</definedName>
    <definedName name="цуа" localSheetId="4">#N/A</definedName>
    <definedName name="цуа">#N/A</definedName>
    <definedName name="цуав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15">#REF!</definedName>
    <definedName name="цуаку" localSheetId="12">#REF!</definedName>
    <definedName name="цуаку" localSheetId="11">#REF!</definedName>
    <definedName name="цуаку" localSheetId="8">#REF!</definedName>
    <definedName name="цуаку" localSheetId="9">#REF!</definedName>
    <definedName name="цуаку" localSheetId="10">#REF!</definedName>
    <definedName name="цуаку" localSheetId="6">#REF!</definedName>
    <definedName name="цуаку" localSheetId="5">#REF!</definedName>
    <definedName name="цуаку" localSheetId="4">#REF!</definedName>
    <definedName name="цуаку">#REF!</definedName>
    <definedName name="цуап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15">#REF!</definedName>
    <definedName name="цуй" localSheetId="12">#REF!</definedName>
    <definedName name="цуй" localSheetId="11">#REF!</definedName>
    <definedName name="цуй" localSheetId="8">#REF!</definedName>
    <definedName name="цуй" localSheetId="9">#REF!</definedName>
    <definedName name="цуй" localSheetId="10">#REF!</definedName>
    <definedName name="цуй" localSheetId="6">#REF!</definedName>
    <definedName name="цуй" localSheetId="5">#REF!</definedName>
    <definedName name="цуй" localSheetId="4">#REF!</definedName>
    <definedName name="цуй">#REF!</definedName>
    <definedName name="цука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15">#REF!</definedName>
    <definedName name="цукц" localSheetId="12">#REF!</definedName>
    <definedName name="цукц" localSheetId="11">#REF!</definedName>
    <definedName name="цукц" localSheetId="8">#REF!</definedName>
    <definedName name="цукц" localSheetId="9">#REF!</definedName>
    <definedName name="цукц" localSheetId="10">#REF!</definedName>
    <definedName name="цукц" localSheetId="6">#REF!</definedName>
    <definedName name="цукц" localSheetId="5">#REF!</definedName>
    <definedName name="цукц" localSheetId="4">#REF!</definedName>
    <definedName name="цукц">#REF!</definedName>
    <definedName name="цукц34" localSheetId="15">#REF!</definedName>
    <definedName name="цукц34" localSheetId="12">#REF!</definedName>
    <definedName name="цукц34" localSheetId="11">#REF!</definedName>
    <definedName name="цукц34" localSheetId="8">#REF!</definedName>
    <definedName name="цукц34" localSheetId="9">#REF!</definedName>
    <definedName name="цукц34" localSheetId="10">#REF!</definedName>
    <definedName name="цукц34">#REF!</definedName>
    <definedName name="цукц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15">#REF!</definedName>
    <definedName name="цуц" localSheetId="12">#REF!</definedName>
    <definedName name="цуц" localSheetId="11">#REF!</definedName>
    <definedName name="цуц" localSheetId="8">#REF!</definedName>
    <definedName name="цуц" localSheetId="9">#REF!</definedName>
    <definedName name="цуц" localSheetId="10">#REF!</definedName>
    <definedName name="цуц" localSheetId="6">#REF!</definedName>
    <definedName name="цуц" localSheetId="5">#REF!</definedName>
    <definedName name="цуц" localSheetId="4">#REF!</definedName>
    <definedName name="цуц">#REF!</definedName>
    <definedName name="цу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15">#REF!</definedName>
    <definedName name="ЦФО" localSheetId="12">#REF!</definedName>
    <definedName name="ЦФО" localSheetId="11">#REF!</definedName>
    <definedName name="ЦФО" localSheetId="8">#REF!</definedName>
    <definedName name="ЦФО" localSheetId="9">#REF!</definedName>
    <definedName name="ЦФО" localSheetId="10">#REF!</definedName>
    <definedName name="ЦФО" localSheetId="6">#REF!</definedName>
    <definedName name="ЦФО" localSheetId="5">#REF!</definedName>
    <definedName name="ЦФО" localSheetId="4">#REF!</definedName>
    <definedName name="ЦФО">#REF!</definedName>
    <definedName name="цццц" localSheetId="15">#REF!</definedName>
    <definedName name="цццц" localSheetId="12">#REF!</definedName>
    <definedName name="цццц" localSheetId="11">#REF!</definedName>
    <definedName name="цццц" localSheetId="8">#REF!</definedName>
    <definedName name="цццц" localSheetId="9">#REF!</definedName>
    <definedName name="цццц" localSheetId="10">#REF!</definedName>
    <definedName name="цццц">#REF!</definedName>
    <definedName name="цыукцк" localSheetId="15">#REF!</definedName>
    <definedName name="цыукцк" localSheetId="12">#REF!</definedName>
    <definedName name="цыукцк" localSheetId="11">#REF!</definedName>
    <definedName name="цыукцк" localSheetId="8">#REF!</definedName>
    <definedName name="цыукцк" localSheetId="9">#REF!</definedName>
    <definedName name="цыукцк" localSheetId="10">#REF!</definedName>
    <definedName name="цыукцк">#REF!</definedName>
    <definedName name="ч" localSheetId="12">#REF!</definedName>
    <definedName name="ч" localSheetId="11">#REF!</definedName>
    <definedName name="ч" localSheetId="8">#REF!</definedName>
    <definedName name="ч" localSheetId="9">#REF!</definedName>
    <definedName name="ч" localSheetId="10">#REF!</definedName>
    <definedName name="ч">#REF!</definedName>
    <definedName name="черновик" localSheetId="15">[7]!черновик</definedName>
    <definedName name="черновик" localSheetId="11">#N/A</definedName>
    <definedName name="черновик" localSheetId="8">#N/A</definedName>
    <definedName name="черновик" localSheetId="9">#N/A</definedName>
    <definedName name="черновик" localSheetId="6">#N/A</definedName>
    <definedName name="черновик" localSheetId="5">#N/A</definedName>
    <definedName name="черновик" localSheetId="4">#N/A</definedName>
    <definedName name="черновик">#N/A</definedName>
    <definedName name="четвертый" localSheetId="15">#REF!</definedName>
    <definedName name="четвертый" localSheetId="12">#REF!</definedName>
    <definedName name="четвертый" localSheetId="11">#REF!</definedName>
    <definedName name="четвертый" localSheetId="8">#REF!</definedName>
    <definedName name="четвертый" localSheetId="9">#REF!</definedName>
    <definedName name="четвертый" localSheetId="10">#REF!</definedName>
    <definedName name="четвертый" localSheetId="6">#REF!</definedName>
    <definedName name="четвертый" localSheetId="5">#REF!</definedName>
    <definedName name="четвертый" localSheetId="4">#REF!</definedName>
    <definedName name="четвертый">#REF!</definedName>
    <definedName name="четвёртый" localSheetId="12">#REF!</definedName>
    <definedName name="четвёртый" localSheetId="11">#REF!</definedName>
    <definedName name="четвёртый">#REF!</definedName>
    <definedName name="Чистая_прибыль" localSheetId="15">#REF!,#REF!,#REF!,#REF!,#REF!,#REF!,#REF!,#REF!,#REF!,#REF!</definedName>
    <definedName name="Чистая_прибыль" localSheetId="12">#REF!,#REF!,#REF!,#REF!,#REF!,#REF!,#REF!,#REF!,#REF!,#REF!</definedName>
    <definedName name="Чистая_прибыль" localSheetId="11">#REF!,#REF!,#REF!,#REF!,#REF!,#REF!,#REF!,#REF!,#REF!,#REF!</definedName>
    <definedName name="Чистая_прибыль" localSheetId="8">#REF!,#REF!,#REF!,#REF!,#REF!,#REF!,#REF!,#REF!,#REF!,#REF!</definedName>
    <definedName name="Чистая_прибыль" localSheetId="9">#REF!,#REF!,#REF!,#REF!,#REF!,#REF!,#REF!,#REF!,#REF!,#REF!</definedName>
    <definedName name="Чистая_прибыль" localSheetId="10">#REF!,#REF!,#REF!,#REF!,#REF!,#REF!,#REF!,#REF!,#REF!,#REF!</definedName>
    <definedName name="Чистая_прибыль" localSheetId="6">#REF!,#REF!,#REF!,#REF!,#REF!,#REF!,#REF!,#REF!,#REF!,#REF!</definedName>
    <definedName name="Чистая_прибыль" localSheetId="5">#REF!,#REF!,#REF!,#REF!,#REF!,#REF!,#REF!,#REF!,#REF!,#REF!</definedName>
    <definedName name="Чистая_прибыль" localSheetId="4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15">#REF!,#REF!,#REF!,#REF!,#REF!,#REF!,#REF!,#REF!,#REF!,#REF!</definedName>
    <definedName name="Чистая_прибыль_Молоко" localSheetId="12">#REF!,#REF!,#REF!,#REF!,#REF!,#REF!,#REF!,#REF!,#REF!,#REF!</definedName>
    <definedName name="Чистая_прибыль_Молоко" localSheetId="11">#REF!,#REF!,#REF!,#REF!,#REF!,#REF!,#REF!,#REF!,#REF!,#REF!</definedName>
    <definedName name="Чистая_прибыль_Молоко" localSheetId="8">#REF!,#REF!,#REF!,#REF!,#REF!,#REF!,#REF!,#REF!,#REF!,#REF!</definedName>
    <definedName name="Чистая_прибыль_Молоко" localSheetId="9">#REF!,#REF!,#REF!,#REF!,#REF!,#REF!,#REF!,#REF!,#REF!,#REF!</definedName>
    <definedName name="Чистая_прибыль_Молоко" localSheetId="1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15">#REF!,#REF!,#REF!,#REF!,#REF!,#REF!,#REF!,#REF!,#REF!,#REF!</definedName>
    <definedName name="Чистая_прибыль_Сок" localSheetId="12">#REF!,#REF!,#REF!,#REF!,#REF!,#REF!,#REF!,#REF!,#REF!,#REF!</definedName>
    <definedName name="Чистая_прибыль_Сок" localSheetId="11">#REF!,#REF!,#REF!,#REF!,#REF!,#REF!,#REF!,#REF!,#REF!,#REF!</definedName>
    <definedName name="Чистая_прибыль_Сок" localSheetId="8">#REF!,#REF!,#REF!,#REF!,#REF!,#REF!,#REF!,#REF!,#REF!,#REF!</definedName>
    <definedName name="Чистая_прибыль_Сок" localSheetId="9">#REF!,#REF!,#REF!,#REF!,#REF!,#REF!,#REF!,#REF!,#REF!,#REF!</definedName>
    <definedName name="Чистая_прибыль_Сок" localSheetId="10">#REF!,#REF!,#REF!,#REF!,#REF!,#REF!,#REF!,#REF!,#REF!,#REF!</definedName>
    <definedName name="Чистая_прибыль_Сок">#REF!,#REF!,#REF!,#REF!,#REF!,#REF!,#REF!,#REF!,#REF!,#REF!</definedName>
    <definedName name="ЧМ">[121]БКР!$B$1</definedName>
    <definedName name="чч" localSheetId="15">#REF!</definedName>
    <definedName name="чч" localSheetId="12">#REF!</definedName>
    <definedName name="чч" localSheetId="11">#REF!</definedName>
    <definedName name="чч" localSheetId="8">#REF!</definedName>
    <definedName name="чч" localSheetId="9">#REF!</definedName>
    <definedName name="чч" localSheetId="10">#REF!</definedName>
    <definedName name="чч" localSheetId="6">#REF!</definedName>
    <definedName name="чч" localSheetId="5">#REF!</definedName>
    <definedName name="чч" localSheetId="4">#REF!</definedName>
    <definedName name="чч">#REF!</definedName>
    <definedName name="ччччч" localSheetId="15">#REF!</definedName>
    <definedName name="ччччч" localSheetId="12">#REF!</definedName>
    <definedName name="ччччч" localSheetId="11">#REF!</definedName>
    <definedName name="ччччч" localSheetId="8">#REF!</definedName>
    <definedName name="ччччч" localSheetId="9">#REF!</definedName>
    <definedName name="ччччч" localSheetId="10">#REF!</definedName>
    <definedName name="ччччч">#REF!</definedName>
    <definedName name="ш" localSheetId="15">#REF!</definedName>
    <definedName name="ш" localSheetId="12">#REF!</definedName>
    <definedName name="ш" localSheetId="11">#REF!</definedName>
    <definedName name="ш" localSheetId="8">#REF!</definedName>
    <definedName name="ш" localSheetId="9">#REF!</definedName>
    <definedName name="ш" localSheetId="10">#REF!</definedName>
    <definedName name="ш">#REF!</definedName>
    <definedName name="шашп" localSheetId="12">#REF!</definedName>
    <definedName name="шашп" localSheetId="11">#REF!</definedName>
    <definedName name="шашп" localSheetId="8">#REF!</definedName>
    <definedName name="шашп" localSheetId="9">#REF!</definedName>
    <definedName name="шашп" localSheetId="10">#REF!</definedName>
    <definedName name="шашп">#REF!</definedName>
    <definedName name="шир_дан" localSheetId="12">#REF!</definedName>
    <definedName name="шир_дан" localSheetId="11">#REF!</definedName>
    <definedName name="шир_дан" localSheetId="8">#REF!</definedName>
    <definedName name="шир_дан" localSheetId="9">#REF!</definedName>
    <definedName name="шир_дан" localSheetId="10">#REF!</definedName>
    <definedName name="шир_дан">#REF!</definedName>
    <definedName name="шир_отч" localSheetId="12">#REF!</definedName>
    <definedName name="шир_отч" localSheetId="11">#REF!</definedName>
    <definedName name="шир_отч" localSheetId="8">#REF!</definedName>
    <definedName name="шир_отч" localSheetId="9">#REF!</definedName>
    <definedName name="шир_отч" localSheetId="10">#REF!</definedName>
    <definedName name="шир_отч">#REF!</definedName>
    <definedName name="шир_прош" localSheetId="12">#REF!</definedName>
    <definedName name="шир_прош" localSheetId="11">#REF!</definedName>
    <definedName name="шир_прош" localSheetId="8">#REF!</definedName>
    <definedName name="шир_прош" localSheetId="9">#REF!</definedName>
    <definedName name="шир_прош" localSheetId="10">#REF!</definedName>
    <definedName name="шир_прош">#REF!</definedName>
    <definedName name="шир_тек" localSheetId="12">#REF!</definedName>
    <definedName name="шир_тек" localSheetId="11">#REF!</definedName>
    <definedName name="шир_тек" localSheetId="8">#REF!</definedName>
    <definedName name="шир_тек" localSheetId="9">#REF!</definedName>
    <definedName name="шир_тек" localSheetId="10">#REF!</definedName>
    <definedName name="шир_тек">#REF!</definedName>
    <definedName name="шт" localSheetId="12">#REF!</definedName>
    <definedName name="шт" localSheetId="11">#REF!</definedName>
    <definedName name="шт" localSheetId="8">#REF!</definedName>
    <definedName name="шт" localSheetId="9">#REF!</definedName>
    <definedName name="шт" localSheetId="10">#REF!</definedName>
    <definedName name="шт">#REF!</definedName>
    <definedName name="шшшшшо" localSheetId="15">[7]!шшшшшо</definedName>
    <definedName name="шшшшшо" localSheetId="11">#N/A</definedName>
    <definedName name="шшшшшо" localSheetId="8">#N/A</definedName>
    <definedName name="шшшшшо" localSheetId="9">#N/A</definedName>
    <definedName name="шшшшшо" localSheetId="6">#N/A</definedName>
    <definedName name="шшшшшо" localSheetId="5">#N/A</definedName>
    <definedName name="шшшшшо" localSheetId="4">#N/A</definedName>
    <definedName name="шшшшшо">#N/A</definedName>
    <definedName name="щ" localSheetId="15">#REF!</definedName>
    <definedName name="щ" localSheetId="12">#REF!</definedName>
    <definedName name="щ" localSheetId="11">#REF!</definedName>
    <definedName name="щ" localSheetId="8">#REF!</definedName>
    <definedName name="щ" localSheetId="9">#REF!</definedName>
    <definedName name="щ" localSheetId="10">#REF!</definedName>
    <definedName name="щ" localSheetId="6">#REF!</definedName>
    <definedName name="щ" localSheetId="5">#REF!</definedName>
    <definedName name="щ" localSheetId="4">#REF!</definedName>
    <definedName name="щ">#REF!</definedName>
    <definedName name="щжш" localSheetId="15">#REF!</definedName>
    <definedName name="щжш" localSheetId="12">#REF!</definedName>
    <definedName name="щжш" localSheetId="11">#REF!</definedName>
    <definedName name="щжш" localSheetId="8">#REF!</definedName>
    <definedName name="щжш" localSheetId="9">#REF!</definedName>
    <definedName name="щжш" localSheetId="10">#REF!</definedName>
    <definedName name="щжш">#REF!</definedName>
    <definedName name="щжшжэ." localSheetId="15">#REF!</definedName>
    <definedName name="щжшжэ." localSheetId="12">#REF!</definedName>
    <definedName name="щжшжэ." localSheetId="11">#REF!</definedName>
    <definedName name="щжшжэ." localSheetId="8">#REF!</definedName>
    <definedName name="щжшжэ." localSheetId="9">#REF!</definedName>
    <definedName name="щжшжэ." localSheetId="10">#REF!</definedName>
    <definedName name="щжшжэ.">#REF!</definedName>
    <definedName name="щлл" localSheetId="12">#REF!</definedName>
    <definedName name="щлл" localSheetId="11">#REF!</definedName>
    <definedName name="щлл" localSheetId="8">#REF!</definedName>
    <definedName name="щлл" localSheetId="9">#REF!</definedName>
    <definedName name="щлл" localSheetId="10">#REF!</definedName>
    <definedName name="щлл">#REF!</definedName>
    <definedName name="ы" localSheetId="12">#REF!</definedName>
    <definedName name="ы" localSheetId="11">#REF!</definedName>
    <definedName name="ы" localSheetId="8">#REF!</definedName>
    <definedName name="ы" localSheetId="9">#REF!</definedName>
    <definedName name="ы" localSheetId="10">#REF!</definedName>
    <definedName name="ы">#REF!</definedName>
    <definedName name="ыа" localSheetId="12">#REF!</definedName>
    <definedName name="ыа" localSheetId="11">#REF!</definedName>
    <definedName name="ыа" localSheetId="8">#REF!</definedName>
    <definedName name="ыа" localSheetId="9">#REF!</definedName>
    <definedName name="ыа" localSheetId="10">#REF!</definedName>
    <definedName name="ыа">#REF!</definedName>
    <definedName name="ыаппав">#N/A</definedName>
    <definedName name="ыаппр" localSheetId="15">[7]!ыаппр</definedName>
    <definedName name="ыаппр" localSheetId="11">#N/A</definedName>
    <definedName name="ыаппр" localSheetId="8">#N/A</definedName>
    <definedName name="ыаппр" localSheetId="9">#N/A</definedName>
    <definedName name="ыаппр" localSheetId="6">#N/A</definedName>
    <definedName name="ыаппр" localSheetId="5">#N/A</definedName>
    <definedName name="ыаппр" localSheetId="4">#N/A</definedName>
    <definedName name="ыаппр">#N/A</definedName>
    <definedName name="ыапр" localSheetId="15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localSheetId="7" hidden="1">{#N/A,#N/A,TRUE,"Лист1";#N/A,#N/A,TRUE,"Лист2";#N/A,#N/A,TRUE,"Лист3"}</definedName>
    <definedName name="ыапр" localSheetId="11" hidden="1">{#N/A,#N/A,TRUE,"Лист1";#N/A,#N/A,TRUE,"Лист2";#N/A,#N/A,TRUE,"Лист3"}</definedName>
    <definedName name="ыапр" localSheetId="8" hidden="1">{#N/A,#N/A,TRUE,"Лист1";#N/A,#N/A,TRUE,"Лист2";#N/A,#N/A,TRUE,"Лист3"}</definedName>
    <definedName name="ыапр" localSheetId="9" hidden="1">{#N/A,#N/A,TRUE,"Лист1";#N/A,#N/A,TRUE,"Лист2";#N/A,#N/A,TRUE,"Лист3"}</definedName>
    <definedName name="ыапр" localSheetId="10" hidden="1">{#N/A,#N/A,TRUE,"Лист1";#N/A,#N/A,TRUE,"Лист2";#N/A,#N/A,TRUE,"Лист3"}</definedName>
    <definedName name="ыапр" localSheetId="6" hidden="1">{#N/A,#N/A,TRUE,"Лист1";#N/A,#N/A,TRUE,"Лист2";#N/A,#N/A,TRUE,"Лист3"}</definedName>
    <definedName name="ыапр" localSheetId="5" hidden="1">{#N/A,#N/A,TRUE,"Лист1";#N/A,#N/A,TRUE,"Лист2";#N/A,#N/A,TRUE,"Лист3"}</definedName>
    <definedName name="ыапр" localSheetId="4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15">[7]!ыаупп</definedName>
    <definedName name="ыаупп" localSheetId="11">#N/A</definedName>
    <definedName name="ыаупп" localSheetId="8">#N/A</definedName>
    <definedName name="ыаупп" localSheetId="9">#N/A</definedName>
    <definedName name="ыаупп" localSheetId="6">#N/A</definedName>
    <definedName name="ыаупп" localSheetId="5">#N/A</definedName>
    <definedName name="ыаупп" localSheetId="4">#N/A</definedName>
    <definedName name="ыаупп">#N/A</definedName>
    <definedName name="ыаыыа" localSheetId="15">[7]!ыаыыа</definedName>
    <definedName name="ыаыыа" localSheetId="11">#N/A</definedName>
    <definedName name="ыаыыа" localSheetId="8">#N/A</definedName>
    <definedName name="ыаыыа" localSheetId="9">#N/A</definedName>
    <definedName name="ыаыыа" localSheetId="6">#N/A</definedName>
    <definedName name="ыаыыа" localSheetId="5">#N/A</definedName>
    <definedName name="ыаыыа" localSheetId="4">#N/A</definedName>
    <definedName name="ыаыыа">#N/A</definedName>
    <definedName name="ыв" localSheetId="15">[7]!ыв</definedName>
    <definedName name="ыв" localSheetId="11">#N/A</definedName>
    <definedName name="ыв" localSheetId="8">#N/A</definedName>
    <definedName name="ыв" localSheetId="9">#N/A</definedName>
    <definedName name="ыв" localSheetId="6">#N/A</definedName>
    <definedName name="ыв" localSheetId="5">#N/A</definedName>
    <definedName name="ыв" localSheetId="4">#N/A</definedName>
    <definedName name="ыв">#N/A</definedName>
    <definedName name="ыва" localSheetId="15">#REF!</definedName>
    <definedName name="ыва" localSheetId="12">#REF!</definedName>
    <definedName name="ыва" localSheetId="11">#REF!</definedName>
    <definedName name="ыва" localSheetId="8">#REF!</definedName>
    <definedName name="ыва" localSheetId="9">#REF!</definedName>
    <definedName name="ыва" localSheetId="10">#REF!</definedName>
    <definedName name="ыва" localSheetId="6">#REF!</definedName>
    <definedName name="ыва" localSheetId="5">#REF!</definedName>
    <definedName name="ыва" localSheetId="4">#REF!</definedName>
    <definedName name="ыва">#REF!</definedName>
    <definedName name="ывау" localSheetId="15">#REF!</definedName>
    <definedName name="ывау" localSheetId="12">#REF!</definedName>
    <definedName name="ывау" localSheetId="11">#REF!</definedName>
    <definedName name="ывау" localSheetId="8">#REF!</definedName>
    <definedName name="ывау" localSheetId="9">#REF!</definedName>
    <definedName name="ывау" localSheetId="10">#REF!</definedName>
    <definedName name="ывау">#REF!</definedName>
    <definedName name="ывацу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15">#REF!</definedName>
    <definedName name="ываыа" localSheetId="12">#REF!</definedName>
    <definedName name="ываыа" localSheetId="11">#REF!</definedName>
    <definedName name="ываыа" localSheetId="8">#REF!</definedName>
    <definedName name="ываыа" localSheetId="9">#REF!</definedName>
    <definedName name="ываыа" localSheetId="10">#REF!</definedName>
    <definedName name="ываыа" localSheetId="6">#REF!</definedName>
    <definedName name="ываыа" localSheetId="5">#REF!</definedName>
    <definedName name="ываыа" localSheetId="4">#REF!</definedName>
    <definedName name="ываыа">#REF!</definedName>
    <definedName name="ываывац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15">[7]!ывпкывк</definedName>
    <definedName name="ывпкывк" localSheetId="11">#N/A</definedName>
    <definedName name="ывпкывк" localSheetId="8">#N/A</definedName>
    <definedName name="ывпкывк" localSheetId="9">#N/A</definedName>
    <definedName name="ывпкывк" localSheetId="6">#N/A</definedName>
    <definedName name="ывпкывк" localSheetId="5">#N/A</definedName>
    <definedName name="ывпкывк" localSheetId="4">#N/A</definedName>
    <definedName name="ывпкывк">#N/A</definedName>
    <definedName name="ывпмьпь" localSheetId="15">[7]!ывпмьпь</definedName>
    <definedName name="ывпмьпь" localSheetId="11">#N/A</definedName>
    <definedName name="ывпмьпь" localSheetId="8">#N/A</definedName>
    <definedName name="ывпмьпь" localSheetId="9">#N/A</definedName>
    <definedName name="ывпмьпь" localSheetId="6">#N/A</definedName>
    <definedName name="ывпмьпь" localSheetId="5">#N/A</definedName>
    <definedName name="ывпмьпь" localSheetId="4">#N/A</definedName>
    <definedName name="ывпмьпь">#N/A</definedName>
    <definedName name="ывпцуа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15">#REF!</definedName>
    <definedName name="ывцук" localSheetId="12">#REF!</definedName>
    <definedName name="ывцук" localSheetId="11">#REF!</definedName>
    <definedName name="ывцук" localSheetId="8">#REF!</definedName>
    <definedName name="ывцук" localSheetId="9">#REF!</definedName>
    <definedName name="ывцук" localSheetId="10">#REF!</definedName>
    <definedName name="ывцук" localSheetId="6">#REF!</definedName>
    <definedName name="ывцук" localSheetId="5">#REF!</definedName>
    <definedName name="ывцук" localSheetId="4">#REF!</definedName>
    <definedName name="ывцук">#REF!</definedName>
    <definedName name="ыкыук" localSheetId="15">#REF!</definedName>
    <definedName name="ыкыук" localSheetId="12">#REF!</definedName>
    <definedName name="ыкыук" localSheetId="11">#REF!</definedName>
    <definedName name="ыкыук" localSheetId="8">#REF!</definedName>
    <definedName name="ыкыук" localSheetId="9">#REF!</definedName>
    <definedName name="ыкыук" localSheetId="10">#REF!</definedName>
    <definedName name="ыкыук">#REF!</definedName>
    <definedName name="ымпы" localSheetId="15">[7]!ымпы</definedName>
    <definedName name="ымпы" localSheetId="11">#N/A</definedName>
    <definedName name="ымпы" localSheetId="8">#N/A</definedName>
    <definedName name="ымпы" localSheetId="9">#N/A</definedName>
    <definedName name="ымпы" localSheetId="6">#N/A</definedName>
    <definedName name="ымпы" localSheetId="5">#N/A</definedName>
    <definedName name="ымпы" localSheetId="4">#N/A</definedName>
    <definedName name="ымпы">#N/A</definedName>
    <definedName name="ыпр" localSheetId="15">[7]!ыпр</definedName>
    <definedName name="ыпр" localSheetId="11">#N/A</definedName>
    <definedName name="ыпр" localSheetId="8">#N/A</definedName>
    <definedName name="ыпр" localSheetId="9">#N/A</definedName>
    <definedName name="ыпр" localSheetId="6">#N/A</definedName>
    <definedName name="ыпр" localSheetId="5">#N/A</definedName>
    <definedName name="ыпр" localSheetId="4">#N/A</definedName>
    <definedName name="ыпр">#N/A</definedName>
    <definedName name="ыпукп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15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localSheetId="7" hidden="1">{#N/A,#N/A,TRUE,"Лист1";#N/A,#N/A,TRUE,"Лист2";#N/A,#N/A,TRUE,"Лист3"}</definedName>
    <definedName name="ыпыим" localSheetId="11" hidden="1">{#N/A,#N/A,TRUE,"Лист1";#N/A,#N/A,TRUE,"Лист2";#N/A,#N/A,TRUE,"Лист3"}</definedName>
    <definedName name="ыпыим" localSheetId="8" hidden="1">{#N/A,#N/A,TRUE,"Лист1";#N/A,#N/A,TRUE,"Лист2";#N/A,#N/A,TRUE,"Лист3"}</definedName>
    <definedName name="ыпыим" localSheetId="9" hidden="1">{#N/A,#N/A,TRUE,"Лист1";#N/A,#N/A,TRUE,"Лист2";#N/A,#N/A,TRUE,"Лист3"}</definedName>
    <definedName name="ыпыим" localSheetId="10" hidden="1">{#N/A,#N/A,TRUE,"Лист1";#N/A,#N/A,TRUE,"Лист2";#N/A,#N/A,TRUE,"Лист3"}</definedName>
    <definedName name="ыпыим" localSheetId="6" hidden="1">{#N/A,#N/A,TRUE,"Лист1";#N/A,#N/A,TRUE,"Лист2";#N/A,#N/A,TRUE,"Лист3"}</definedName>
    <definedName name="ыпыим" localSheetId="5" hidden="1">{#N/A,#N/A,TRUE,"Лист1";#N/A,#N/A,TRUE,"Лист2";#N/A,#N/A,TRUE,"Лист3"}</definedName>
    <definedName name="ыпыим" localSheetId="4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5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localSheetId="7" hidden="1">{#N/A,#N/A,TRUE,"Лист1";#N/A,#N/A,TRUE,"Лист2";#N/A,#N/A,TRUE,"Лист3"}</definedName>
    <definedName name="ыпыпми" localSheetId="11" hidden="1">{#N/A,#N/A,TRUE,"Лист1";#N/A,#N/A,TRUE,"Лист2";#N/A,#N/A,TRUE,"Лист3"}</definedName>
    <definedName name="ыпыпми" localSheetId="8" hidden="1">{#N/A,#N/A,TRUE,"Лист1";#N/A,#N/A,TRUE,"Лист2";#N/A,#N/A,TRUE,"Лист3"}</definedName>
    <definedName name="ыпыпми" localSheetId="9" hidden="1">{#N/A,#N/A,TRUE,"Лист1";#N/A,#N/A,TRUE,"Лист2";#N/A,#N/A,TRUE,"Лист3"}</definedName>
    <definedName name="ыпыпми" localSheetId="10" hidden="1">{#N/A,#N/A,TRUE,"Лист1";#N/A,#N/A,TRUE,"Лист2";#N/A,#N/A,TRUE,"Лист3"}</definedName>
    <definedName name="ыпыпми" localSheetId="6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5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localSheetId="7" hidden="1">{#N/A,#N/A,TRUE,"Лист1";#N/A,#N/A,TRUE,"Лист2";#N/A,#N/A,TRUE,"Лист3"}</definedName>
    <definedName name="ысчпи" localSheetId="11" hidden="1">{#N/A,#N/A,TRUE,"Лист1";#N/A,#N/A,TRUE,"Лист2";#N/A,#N/A,TRUE,"Лист3"}</definedName>
    <definedName name="ысчпи" localSheetId="8" hidden="1">{#N/A,#N/A,TRUE,"Лист1";#N/A,#N/A,TRUE,"Лист2";#N/A,#N/A,TRUE,"Лист3"}</definedName>
    <definedName name="ысчпи" localSheetId="9" hidden="1">{#N/A,#N/A,TRUE,"Лист1";#N/A,#N/A,TRUE,"Лист2";#N/A,#N/A,TRUE,"Лист3"}</definedName>
    <definedName name="ысчпи" localSheetId="10" hidden="1">{#N/A,#N/A,TRUE,"Лист1";#N/A,#N/A,TRUE,"Лист2";#N/A,#N/A,TRUE,"Лист3"}</definedName>
    <definedName name="ысчпи" localSheetId="6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5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11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localSheetId="9" hidden="1">{#N/A,#N/A,TRUE,"Лист1";#N/A,#N/A,TRUE,"Лист2";#N/A,#N/A,TRUE,"Лист3"}</definedName>
    <definedName name="ыуаы" localSheetId="10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15" hidden="1">#REF!,#REF!,#REF!,#REF!,#REF!,#REF!,#REF!</definedName>
    <definedName name="ыфавфыв" localSheetId="12" hidden="1">#REF!,#REF!,#REF!,#REF!,#REF!,#REF!,#REF!</definedName>
    <definedName name="ыфавфыв" localSheetId="7" hidden="1">#REF!,#REF!,#REF!,#REF!,#REF!,#REF!,#REF!</definedName>
    <definedName name="ыфавфыв" localSheetId="11" hidden="1">#REF!,#REF!,#REF!,#REF!,#REF!,#REF!,#REF!</definedName>
    <definedName name="ыфавфыв" localSheetId="8" hidden="1">#REF!,#REF!,#REF!,#REF!,#REF!,#REF!,#REF!</definedName>
    <definedName name="ыфавфыв" localSheetId="9" hidden="1">#REF!,#REF!,#REF!,#REF!,#REF!,#REF!,#REF!</definedName>
    <definedName name="ыфавфыв" localSheetId="10" hidden="1">#REF!,#REF!,#REF!,#REF!,#REF!,#REF!,#REF!</definedName>
    <definedName name="ыфавфыв" localSheetId="6" hidden="1">#REF!,#REF!,#REF!,#REF!,#REF!,#REF!,#REF!</definedName>
    <definedName name="ыфавфыв" localSheetId="5" hidden="1">#REF!,#REF!,#REF!,#REF!,#REF!,#REF!,#REF!</definedName>
    <definedName name="ыфавфыв" localSheetId="4" hidden="1">#REF!,#REF!,#REF!,#REF!,#REF!,#REF!,#REF!</definedName>
    <definedName name="ыфавфыв" hidden="1">#REF!,#REF!,#REF!,#REF!,#REF!,#REF!,#REF!</definedName>
    <definedName name="ыфса" localSheetId="15">[7]!ыфса</definedName>
    <definedName name="ыфса" localSheetId="11">#N/A</definedName>
    <definedName name="ыфса" localSheetId="8">#N/A</definedName>
    <definedName name="ыфса" localSheetId="9">#N/A</definedName>
    <definedName name="ыфса" localSheetId="6">#N/A</definedName>
    <definedName name="ыфса" localSheetId="5">#N/A</definedName>
    <definedName name="ыфса" localSheetId="4">#N/A</definedName>
    <definedName name="ыфса">#N/A</definedName>
    <definedName name="ыфцу" localSheetId="15">#REF!</definedName>
    <definedName name="ыфцу" localSheetId="12">#REF!</definedName>
    <definedName name="ыфцу" localSheetId="11">#REF!</definedName>
    <definedName name="ыфцу" localSheetId="8">#REF!</definedName>
    <definedName name="ыфцу" localSheetId="9">#REF!</definedName>
    <definedName name="ыфцу" localSheetId="10">#REF!</definedName>
    <definedName name="ыфцу" localSheetId="6">#REF!</definedName>
    <definedName name="ыфцу" localSheetId="5">#REF!</definedName>
    <definedName name="ыфцу" localSheetId="4">#REF!</definedName>
    <definedName name="ыфцу">#REF!</definedName>
    <definedName name="ыыы" localSheetId="15">#REF!</definedName>
    <definedName name="ыыы" localSheetId="12">#REF!</definedName>
    <definedName name="ыыы" localSheetId="11">#REF!</definedName>
    <definedName name="ыыы" localSheetId="8">#REF!</definedName>
    <definedName name="ыыы" localSheetId="9">#REF!</definedName>
    <definedName name="ыыы" localSheetId="10">#REF!</definedName>
    <definedName name="ыыы">#REF!</definedName>
    <definedName name="ыыы1" localSheetId="15" hidden="1">{#N/A,#N/A,FALSE,"Себестоимсть-97"}</definedName>
    <definedName name="ыыы1" localSheetId="2" hidden="1">{#N/A,#N/A,FALSE,"Себестоимсть-97"}</definedName>
    <definedName name="ыыы1" localSheetId="3" hidden="1">{#N/A,#N/A,FALSE,"Себестоимсть-97"}</definedName>
    <definedName name="ыыы1" localSheetId="11" hidden="1">{#N/A,#N/A,FALSE,"Себестоимсть-97"}</definedName>
    <definedName name="ыыы1" localSheetId="8" hidden="1">{#N/A,#N/A,FALSE,"Себестоимсть-97"}</definedName>
    <definedName name="ыыы1" localSheetId="9" hidden="1">{#N/A,#N/A,FALSE,"Себестоимсть-97"}</definedName>
    <definedName name="ыыы1" localSheetId="10" hidden="1">{#N/A,#N/A,FALSE,"Себестоимсть-97"}</definedName>
    <definedName name="ыыы1" localSheetId="6" hidden="1">{#N/A,#N/A,FALSE,"Себестоимсть-97"}</definedName>
    <definedName name="ыыы1" localSheetId="5" hidden="1">{#N/A,#N/A,FALSE,"Себестоимсть-97"}</definedName>
    <definedName name="ыыы1" localSheetId="4" hidden="1">{#N/A,#N/A,FALSE,"Себестоимсть-97"}</definedName>
    <definedName name="ыыы1" hidden="1">{#N/A,#N/A,FALSE,"Себестоимсть-97"}</definedName>
    <definedName name="ыыыы" localSheetId="15">#REF!</definedName>
    <definedName name="ыыыы" localSheetId="12">#REF!</definedName>
    <definedName name="ыыыы" localSheetId="11">#REF!</definedName>
    <definedName name="ыыыы" localSheetId="8">#REF!</definedName>
    <definedName name="ыыыы" localSheetId="9">#REF!</definedName>
    <definedName name="ыыыы" localSheetId="10">#REF!</definedName>
    <definedName name="ыыыы" localSheetId="6">#REF!</definedName>
    <definedName name="ыыыы" localSheetId="5">#REF!</definedName>
    <definedName name="ыыыы" localSheetId="4">#REF!</definedName>
    <definedName name="ыыыы">#REF!</definedName>
    <definedName name="ьлбюб" localSheetId="12">#REF!</definedName>
    <definedName name="ьлбюб" localSheetId="11">#REF!</definedName>
    <definedName name="ьлбюб" localSheetId="8">#REF!</definedName>
    <definedName name="ьлбюб" localSheetId="9">#REF!</definedName>
    <definedName name="ьлбюб" localSheetId="10">#REF!</definedName>
    <definedName name="ьлбюб">#REF!</definedName>
    <definedName name="ььь" localSheetId="12">#REF!</definedName>
    <definedName name="ььь" localSheetId="11">#REF!</definedName>
    <definedName name="ььь" localSheetId="10">#REF!</definedName>
    <definedName name="ььь">#REF!</definedName>
    <definedName name="э" localSheetId="12">#REF!</definedName>
    <definedName name="э" localSheetId="11">#REF!</definedName>
    <definedName name="э" localSheetId="10">#REF!</definedName>
    <definedName name="э">#REF!</definedName>
    <definedName name="ЭлДВП" localSheetId="12">#REF!</definedName>
    <definedName name="ЭлДВП" localSheetId="11">#REF!</definedName>
    <definedName name="ЭлДВП">#REF!</definedName>
    <definedName name="электр" localSheetId="12">#REF!</definedName>
    <definedName name="электр" localSheetId="11">#REF!</definedName>
    <definedName name="электр">#REF!</definedName>
    <definedName name="Энергоресурсы" localSheetId="12">#REF!</definedName>
    <definedName name="Энергоресурсы" localSheetId="11">#REF!</definedName>
    <definedName name="Энергоресурсы">#REF!</definedName>
    <definedName name="ээ" localSheetId="12">#REF!</definedName>
    <definedName name="ээ" localSheetId="11">#REF!</definedName>
    <definedName name="ээ" localSheetId="8">#REF!</definedName>
    <definedName name="ээ" localSheetId="9">#REF!</definedName>
    <definedName name="ээ" localSheetId="10">#REF!</definedName>
    <definedName name="ээ">#REF!</definedName>
    <definedName name="эээ" localSheetId="12">#REF!</definedName>
    <definedName name="эээ" localSheetId="11">#REF!</definedName>
    <definedName name="эээ">#REF!</definedName>
    <definedName name="ю" localSheetId="15">[7]!ю</definedName>
    <definedName name="ю" localSheetId="11">#N/A</definedName>
    <definedName name="ю" localSheetId="8">#N/A</definedName>
    <definedName name="ю" localSheetId="9">#N/A</definedName>
    <definedName name="ю" localSheetId="6">#N/A</definedName>
    <definedName name="ю" localSheetId="5">#N/A</definedName>
    <definedName name="ю" localSheetId="4">#N/A</definedName>
    <definedName name="ю">#N/A</definedName>
    <definedName name="юююю" localSheetId="2">#REF!</definedName>
    <definedName name="юююю" localSheetId="3">#REF!</definedName>
    <definedName name="юююю" localSheetId="12">#REF!</definedName>
    <definedName name="юююю" localSheetId="11">#REF!</definedName>
    <definedName name="юююю" localSheetId="8">#REF!</definedName>
    <definedName name="юююю" localSheetId="9">#REF!</definedName>
    <definedName name="юююю" localSheetId="10">#REF!</definedName>
    <definedName name="юююю" localSheetId="6">#REF!</definedName>
    <definedName name="юююю" localSheetId="5">#REF!</definedName>
    <definedName name="юююю" localSheetId="4">#REF!</definedName>
    <definedName name="юююю">#REF!</definedName>
    <definedName name="ююююююю" localSheetId="15">[7]!ююююююю</definedName>
    <definedName name="ююююююю" localSheetId="11">#N/A</definedName>
    <definedName name="ююююююю" localSheetId="8">#N/A</definedName>
    <definedName name="ююююююю" localSheetId="9">#N/A</definedName>
    <definedName name="ююююююю" localSheetId="6">#N/A</definedName>
    <definedName name="ююююююю" localSheetId="5">#N/A</definedName>
    <definedName name="ююююююю" localSheetId="4">#N/A</definedName>
    <definedName name="ююююююю">#N/A</definedName>
    <definedName name="я" localSheetId="15">#REF!</definedName>
    <definedName name="я" localSheetId="12">#REF!</definedName>
    <definedName name="я" localSheetId="11">#REF!</definedName>
    <definedName name="я" localSheetId="8">#REF!</definedName>
    <definedName name="я" localSheetId="9">#REF!</definedName>
    <definedName name="я" localSheetId="10">#REF!</definedName>
    <definedName name="я" localSheetId="6">#REF!</definedName>
    <definedName name="я" localSheetId="5">#REF!</definedName>
    <definedName name="я" localSheetId="4">#REF!</definedName>
    <definedName name="я">#REF!</definedName>
    <definedName name="явцыв" localSheetId="15">#REF!</definedName>
    <definedName name="явцыв" localSheetId="12">#REF!</definedName>
    <definedName name="явцыв" localSheetId="11">#REF!</definedName>
    <definedName name="явцыв" localSheetId="8">#REF!</definedName>
    <definedName name="явцыв" localSheetId="9">#REF!</definedName>
    <definedName name="явцыв" localSheetId="10">#REF!</definedName>
    <definedName name="явцыв">#REF!</definedName>
    <definedName name="янв" localSheetId="15">#REF!</definedName>
    <definedName name="янв" localSheetId="12">#REF!</definedName>
    <definedName name="янв" localSheetId="11">#REF!</definedName>
    <definedName name="янв" localSheetId="8">#REF!</definedName>
    <definedName name="янв" localSheetId="9">#REF!</definedName>
    <definedName name="янв" localSheetId="10">#REF!</definedName>
    <definedName name="янв">#REF!</definedName>
    <definedName name="янв2" localSheetId="12">#REF!</definedName>
    <definedName name="янв2" localSheetId="11">#REF!</definedName>
    <definedName name="янв2" localSheetId="8">#REF!</definedName>
    <definedName name="янв2" localSheetId="9">#REF!</definedName>
    <definedName name="янв2" localSheetId="10">#REF!</definedName>
    <definedName name="янв2">#REF!</definedName>
    <definedName name="яя" localSheetId="12">#REF!</definedName>
    <definedName name="яя" localSheetId="11">#REF!</definedName>
    <definedName name="яя" localSheetId="8">#REF!</definedName>
    <definedName name="яя" localSheetId="9">#REF!</definedName>
    <definedName name="яя" localSheetId="10">#REF!</definedName>
    <definedName name="яя">#REF!</definedName>
    <definedName name="яяя" localSheetId="15">[7]!яяя</definedName>
    <definedName name="яяя" localSheetId="11">#N/A</definedName>
    <definedName name="яяя" localSheetId="8">#N/A</definedName>
    <definedName name="яяя" localSheetId="9">#N/A</definedName>
    <definedName name="яяя" localSheetId="6">#N/A</definedName>
    <definedName name="яяя" localSheetId="5">#N/A</definedName>
    <definedName name="яяя" localSheetId="4">#N/A</definedName>
    <definedName name="яяя">#N/A</definedName>
  </definedNames>
  <calcPr calcId="145621" calcOnSave="0"/>
</workbook>
</file>

<file path=xl/calcChain.xml><?xml version="1.0" encoding="utf-8"?>
<calcChain xmlns="http://schemas.openxmlformats.org/spreadsheetml/2006/main">
  <c r="F17" i="83" l="1"/>
  <c r="F14" i="83"/>
  <c r="F13" i="83"/>
  <c r="F12" i="83"/>
  <c r="F9" i="83"/>
  <c r="F8" i="83"/>
  <c r="E8" i="83"/>
  <c r="AD67" i="78" l="1"/>
  <c r="M67" i="78"/>
  <c r="E67" i="78"/>
  <c r="AD23" i="78"/>
  <c r="R23" i="78"/>
  <c r="M23" i="78"/>
  <c r="N143" i="82" l="1"/>
  <c r="I143" i="82"/>
  <c r="Z143" i="82"/>
  <c r="V143" i="82"/>
  <c r="R143" i="82"/>
  <c r="J132" i="79"/>
  <c r="Z142" i="82"/>
  <c r="V142" i="82"/>
  <c r="R142" i="82"/>
  <c r="N142" i="82"/>
  <c r="I142" i="82"/>
  <c r="R131" i="79"/>
  <c r="L137" i="82" l="1"/>
  <c r="J137" i="82"/>
  <c r="J133" i="82"/>
  <c r="AH125" i="82"/>
  <c r="AG125" i="82"/>
  <c r="AF125" i="82"/>
  <c r="AE125" i="82"/>
  <c r="AD125" i="82"/>
  <c r="AC125" i="82"/>
  <c r="AH119" i="82"/>
  <c r="AG119" i="82"/>
  <c r="AF119" i="82"/>
  <c r="AE119" i="82"/>
  <c r="AD119" i="82"/>
  <c r="AC119" i="82"/>
  <c r="AH118" i="82"/>
  <c r="AG118" i="82"/>
  <c r="AF118" i="82"/>
  <c r="AD118" i="82"/>
  <c r="AC118" i="82"/>
  <c r="Z118" i="82"/>
  <c r="Y118" i="82"/>
  <c r="V118" i="82"/>
  <c r="U118" i="82"/>
  <c r="R118" i="82"/>
  <c r="Q118" i="82"/>
  <c r="N118" i="82"/>
  <c r="M118" i="82"/>
  <c r="J118" i="82"/>
  <c r="I118" i="82"/>
  <c r="AE118" i="82" s="1"/>
  <c r="D118" i="82"/>
  <c r="AH117" i="82"/>
  <c r="AG117" i="82"/>
  <c r="AF117" i="82"/>
  <c r="AE117" i="82"/>
  <c r="AD117" i="82"/>
  <c r="AC117" i="82"/>
  <c r="AH116" i="82"/>
  <c r="AG116" i="82"/>
  <c r="AF116" i="82"/>
  <c r="AE116" i="82"/>
  <c r="AD116" i="82"/>
  <c r="AC116" i="82"/>
  <c r="AH115" i="82"/>
  <c r="AG115" i="82"/>
  <c r="AF115" i="82"/>
  <c r="AE115" i="82"/>
  <c r="AD115" i="82"/>
  <c r="AC115" i="82"/>
  <c r="AH114" i="82"/>
  <c r="AG114" i="82"/>
  <c r="AF114" i="82"/>
  <c r="AE114" i="82"/>
  <c r="AD114" i="82"/>
  <c r="AC114" i="82"/>
  <c r="Z114" i="82"/>
  <c r="Y114" i="82"/>
  <c r="V114" i="82"/>
  <c r="U114" i="82"/>
  <c r="R114" i="82"/>
  <c r="Q114" i="82"/>
  <c r="N114" i="82"/>
  <c r="M114" i="82"/>
  <c r="I114" i="82"/>
  <c r="H114" i="82"/>
  <c r="E114" i="82"/>
  <c r="D114" i="82"/>
  <c r="AH113" i="82"/>
  <c r="AG113" i="82"/>
  <c r="AF113" i="82"/>
  <c r="AE113" i="82"/>
  <c r="AD113" i="82"/>
  <c r="AC113" i="82"/>
  <c r="A113" i="82"/>
  <c r="AH112" i="82"/>
  <c r="AG112" i="82"/>
  <c r="AF112" i="82"/>
  <c r="AE112" i="82"/>
  <c r="AD112" i="82"/>
  <c r="AC112" i="82"/>
  <c r="AH111" i="82"/>
  <c r="AG111" i="82"/>
  <c r="AF111" i="82"/>
  <c r="AE111" i="82"/>
  <c r="AD111" i="82"/>
  <c r="AC111" i="82"/>
  <c r="AH110" i="82"/>
  <c r="AG110" i="82"/>
  <c r="AF110" i="82"/>
  <c r="AE110" i="82"/>
  <c r="AD110" i="82"/>
  <c r="AC110" i="82"/>
  <c r="AA108" i="82"/>
  <c r="Z108" i="82"/>
  <c r="W108" i="82"/>
  <c r="V108" i="82"/>
  <c r="S108" i="82"/>
  <c r="R108" i="82"/>
  <c r="O108" i="82"/>
  <c r="N108" i="82"/>
  <c r="K108" i="82"/>
  <c r="J108" i="82"/>
  <c r="H108" i="82"/>
  <c r="G108" i="82"/>
  <c r="F108" i="82"/>
  <c r="E108" i="82"/>
  <c r="AH105" i="82"/>
  <c r="AG105" i="82"/>
  <c r="AF105" i="82"/>
  <c r="AE105" i="82"/>
  <c r="AD105" i="82"/>
  <c r="AC105" i="82"/>
  <c r="H104" i="82"/>
  <c r="G104" i="82"/>
  <c r="F104" i="82"/>
  <c r="E104" i="82"/>
  <c r="AB103" i="82"/>
  <c r="AA103" i="82"/>
  <c r="Z103" i="82"/>
  <c r="X103" i="82"/>
  <c r="W103" i="82"/>
  <c r="V103" i="82"/>
  <c r="T103" i="82"/>
  <c r="S103" i="82"/>
  <c r="R103" i="82"/>
  <c r="P103" i="82"/>
  <c r="O103" i="82"/>
  <c r="N103" i="82"/>
  <c r="L103" i="82"/>
  <c r="K103" i="82"/>
  <c r="J103" i="82"/>
  <c r="H103" i="82"/>
  <c r="G103" i="82"/>
  <c r="F103" i="82"/>
  <c r="E103" i="82"/>
  <c r="AA102" i="82"/>
  <c r="W102" i="82"/>
  <c r="S102" i="82"/>
  <c r="O102" i="82"/>
  <c r="K102" i="82"/>
  <c r="H102" i="82"/>
  <c r="G102" i="82"/>
  <c r="F102" i="82"/>
  <c r="E102" i="82"/>
  <c r="AH97" i="82"/>
  <c r="AG97" i="82"/>
  <c r="AF97" i="82"/>
  <c r="AE97" i="82"/>
  <c r="AD97" i="82"/>
  <c r="AC97" i="82"/>
  <c r="Y95" i="82"/>
  <c r="U95" i="82"/>
  <c r="AH95" i="82" s="1"/>
  <c r="Q95" i="82"/>
  <c r="AF95" i="82" s="1"/>
  <c r="N95" i="82"/>
  <c r="M95" i="82"/>
  <c r="J95" i="82"/>
  <c r="I95" i="82" s="1"/>
  <c r="AF94" i="82"/>
  <c r="Y94" i="82"/>
  <c r="AH94" i="82" s="1"/>
  <c r="U94" i="82"/>
  <c r="AG94" i="82" s="1"/>
  <c r="Q94" i="82"/>
  <c r="M94" i="82"/>
  <c r="I94" i="82"/>
  <c r="AC94" i="82" s="1"/>
  <c r="AE93" i="82"/>
  <c r="AD93" i="82"/>
  <c r="Y93" i="82"/>
  <c r="Y91" i="82" s="1"/>
  <c r="U93" i="82"/>
  <c r="AH93" i="82" s="1"/>
  <c r="Q93" i="82"/>
  <c r="AF93" i="82" s="1"/>
  <c r="M93" i="82"/>
  <c r="I93" i="82"/>
  <c r="AC93" i="82" s="1"/>
  <c r="AH92" i="82"/>
  <c r="Y92" i="82"/>
  <c r="U92" i="82"/>
  <c r="U91" i="82" s="1"/>
  <c r="Q92" i="82"/>
  <c r="AG92" i="82" s="1"/>
  <c r="N92" i="82"/>
  <c r="M92" i="82" s="1"/>
  <c r="J92" i="82"/>
  <c r="I92" i="82"/>
  <c r="AD92" i="82" s="1"/>
  <c r="AB91" i="82"/>
  <c r="AB104" i="82" s="1"/>
  <c r="AA91" i="82"/>
  <c r="AA104" i="82" s="1"/>
  <c r="Z91" i="82"/>
  <c r="Z104" i="82" s="1"/>
  <c r="X91" i="82"/>
  <c r="X104" i="82" s="1"/>
  <c r="W91" i="82"/>
  <c r="W104" i="82" s="1"/>
  <c r="V91" i="82"/>
  <c r="V104" i="82" s="1"/>
  <c r="T91" i="82"/>
  <c r="T104" i="82" s="1"/>
  <c r="S91" i="82"/>
  <c r="S104" i="82" s="1"/>
  <c r="R91" i="82"/>
  <c r="R104" i="82" s="1"/>
  <c r="P91" i="82"/>
  <c r="P104" i="82" s="1"/>
  <c r="O91" i="82"/>
  <c r="O104" i="82" s="1"/>
  <c r="N91" i="82"/>
  <c r="N104" i="82" s="1"/>
  <c r="L91" i="82"/>
  <c r="L104" i="82" s="1"/>
  <c r="K91" i="82"/>
  <c r="K104" i="82" s="1"/>
  <c r="J91" i="82"/>
  <c r="J104" i="82" s="1"/>
  <c r="D91" i="82"/>
  <c r="D104" i="82" s="1"/>
  <c r="AH90" i="82"/>
  <c r="AD90" i="82"/>
  <c r="AC90" i="82"/>
  <c r="Y90" i="82"/>
  <c r="Y103" i="82" s="1"/>
  <c r="U90" i="82"/>
  <c r="U103" i="82" s="1"/>
  <c r="Q90" i="82"/>
  <c r="Q103" i="82" s="1"/>
  <c r="AF103" i="82" s="1"/>
  <c r="M90" i="82"/>
  <c r="M103" i="82" s="1"/>
  <c r="AE103" i="82" s="1"/>
  <c r="I90" i="82"/>
  <c r="I103" i="82" s="1"/>
  <c r="D90" i="82"/>
  <c r="D103" i="82" s="1"/>
  <c r="D89" i="82"/>
  <c r="D102" i="82" s="1"/>
  <c r="L88" i="82"/>
  <c r="P88" i="82" s="1"/>
  <c r="I88" i="82"/>
  <c r="AC88" i="82" s="1"/>
  <c r="D88" i="82"/>
  <c r="AG87" i="82"/>
  <c r="AF87" i="82"/>
  <c r="Y87" i="82"/>
  <c r="AH87" i="82" s="1"/>
  <c r="U87" i="82"/>
  <c r="Q87" i="82"/>
  <c r="M87" i="82"/>
  <c r="AE87" i="82" s="1"/>
  <c r="I87" i="82"/>
  <c r="AD87" i="82" s="1"/>
  <c r="D87" i="82"/>
  <c r="AG86" i="82"/>
  <c r="AF86" i="82"/>
  <c r="Y86" i="82"/>
  <c r="AH86" i="82" s="1"/>
  <c r="U86" i="82"/>
  <c r="Q86" i="82"/>
  <c r="M86" i="82"/>
  <c r="AE86" i="82" s="1"/>
  <c r="I86" i="82"/>
  <c r="AD86" i="82" s="1"/>
  <c r="D86" i="82"/>
  <c r="AA85" i="82"/>
  <c r="Z85" i="82"/>
  <c r="W85" i="82"/>
  <c r="V85" i="82"/>
  <c r="S85" i="82"/>
  <c r="R85" i="82"/>
  <c r="O85" i="82"/>
  <c r="N85" i="82"/>
  <c r="L85" i="82"/>
  <c r="L83" i="82" s="1"/>
  <c r="K85" i="82"/>
  <c r="J85" i="82"/>
  <c r="H85" i="82"/>
  <c r="H83" i="82" s="1"/>
  <c r="G85" i="82"/>
  <c r="F85" i="82"/>
  <c r="E85" i="82"/>
  <c r="D85" i="82"/>
  <c r="D83" i="82" s="1"/>
  <c r="AH84" i="82"/>
  <c r="AG84" i="82"/>
  <c r="AF84" i="82"/>
  <c r="AE84" i="82"/>
  <c r="AD84" i="82"/>
  <c r="AC84" i="82"/>
  <c r="AA83" i="82"/>
  <c r="AA107" i="82" s="1"/>
  <c r="Z83" i="82"/>
  <c r="Z107" i="82" s="1"/>
  <c r="W83" i="82"/>
  <c r="W107" i="82" s="1"/>
  <c r="V83" i="82"/>
  <c r="V107" i="82" s="1"/>
  <c r="S83" i="82"/>
  <c r="S107" i="82" s="1"/>
  <c r="R83" i="82"/>
  <c r="R107" i="82" s="1"/>
  <c r="O83" i="82"/>
  <c r="O107" i="82" s="1"/>
  <c r="N83" i="82"/>
  <c r="N107" i="82" s="1"/>
  <c r="K83" i="82"/>
  <c r="K107" i="82" s="1"/>
  <c r="J83" i="82"/>
  <c r="J107" i="82" s="1"/>
  <c r="G83" i="82"/>
  <c r="G107" i="82" s="1"/>
  <c r="F83" i="82"/>
  <c r="F107" i="82" s="1"/>
  <c r="E83" i="82"/>
  <c r="E107" i="82" s="1"/>
  <c r="AG82" i="82"/>
  <c r="AF82" i="82"/>
  <c r="Y82" i="82"/>
  <c r="AH82" i="82" s="1"/>
  <c r="U82" i="82"/>
  <c r="Q82" i="82"/>
  <c r="M82" i="82"/>
  <c r="AE82" i="82" s="1"/>
  <c r="I82" i="82"/>
  <c r="AD82" i="82" s="1"/>
  <c r="D82" i="82"/>
  <c r="AG81" i="82"/>
  <c r="AF81" i="82"/>
  <c r="Y81" i="82"/>
  <c r="AH81" i="82" s="1"/>
  <c r="U81" i="82"/>
  <c r="Q81" i="82"/>
  <c r="M81" i="82"/>
  <c r="AE81" i="82" s="1"/>
  <c r="I81" i="82"/>
  <c r="AD81" i="82" s="1"/>
  <c r="D81" i="82"/>
  <c r="R80" i="82"/>
  <c r="V80" i="82" s="1"/>
  <c r="N80" i="82"/>
  <c r="M80" i="82"/>
  <c r="AE80" i="82" s="1"/>
  <c r="I80" i="82"/>
  <c r="AD80" i="82" s="1"/>
  <c r="D80" i="82"/>
  <c r="Z79" i="82"/>
  <c r="Y79" i="82" s="1"/>
  <c r="J79" i="82"/>
  <c r="R79" i="82" s="1"/>
  <c r="D79" i="82"/>
  <c r="H78" i="82"/>
  <c r="D78" i="82"/>
  <c r="AG77" i="82"/>
  <c r="AC77" i="82"/>
  <c r="Y77" i="82"/>
  <c r="AH77" i="82" s="1"/>
  <c r="U77" i="82"/>
  <c r="Q77" i="82"/>
  <c r="M77" i="82"/>
  <c r="AE77" i="82" s="1"/>
  <c r="I77" i="82"/>
  <c r="AD77" i="82" s="1"/>
  <c r="D77" i="82"/>
  <c r="D76" i="82"/>
  <c r="AA75" i="82"/>
  <c r="W75" i="82"/>
  <c r="W59" i="82" s="1"/>
  <c r="W99" i="82" s="1"/>
  <c r="S75" i="82"/>
  <c r="S59" i="82" s="1"/>
  <c r="S99" i="82" s="1"/>
  <c r="O75" i="82"/>
  <c r="O59" i="82" s="1"/>
  <c r="O99" i="82" s="1"/>
  <c r="K75" i="82"/>
  <c r="K59" i="82" s="1"/>
  <c r="K99" i="82" s="1"/>
  <c r="G75" i="82"/>
  <c r="G59" i="82" s="1"/>
  <c r="G99" i="82" s="1"/>
  <c r="F75" i="82"/>
  <c r="E75" i="82"/>
  <c r="D75" i="82"/>
  <c r="N74" i="82"/>
  <c r="I74" i="82"/>
  <c r="AC74" i="82" s="1"/>
  <c r="D74" i="82"/>
  <c r="AD74" i="82" s="1"/>
  <c r="AE73" i="82"/>
  <c r="AD73" i="82"/>
  <c r="Y73" i="82"/>
  <c r="U73" i="82"/>
  <c r="Q73" i="82"/>
  <c r="AF73" i="82" s="1"/>
  <c r="M73" i="82"/>
  <c r="I73" i="82"/>
  <c r="AC73" i="82" s="1"/>
  <c r="D73" i="82"/>
  <c r="AE72" i="82"/>
  <c r="AD72" i="82"/>
  <c r="Y72" i="82"/>
  <c r="U72" i="82"/>
  <c r="Q72" i="82"/>
  <c r="AF72" i="82" s="1"/>
  <c r="M72" i="82"/>
  <c r="I72" i="82"/>
  <c r="AC72" i="82" s="1"/>
  <c r="D72" i="82"/>
  <c r="AE71" i="82"/>
  <c r="Y71" i="82"/>
  <c r="U71" i="82"/>
  <c r="Q71" i="82"/>
  <c r="AF71" i="82" s="1"/>
  <c r="M71" i="82"/>
  <c r="I71" i="82"/>
  <c r="AC71" i="82" s="1"/>
  <c r="D71" i="82"/>
  <c r="AD71" i="82" s="1"/>
  <c r="D70" i="82"/>
  <c r="D108" i="82" s="1"/>
  <c r="AF69" i="82"/>
  <c r="Y69" i="82"/>
  <c r="U69" i="82"/>
  <c r="AG69" i="82" s="1"/>
  <c r="Q69" i="82"/>
  <c r="M69" i="82"/>
  <c r="I69" i="82"/>
  <c r="D69" i="82"/>
  <c r="AF68" i="82"/>
  <c r="Y68" i="82"/>
  <c r="U68" i="82"/>
  <c r="AG68" i="82" s="1"/>
  <c r="Q68" i="82"/>
  <c r="M68" i="82"/>
  <c r="I68" i="82"/>
  <c r="D68" i="82"/>
  <c r="AF67" i="82"/>
  <c r="Y67" i="82"/>
  <c r="U67" i="82"/>
  <c r="AG67" i="82" s="1"/>
  <c r="Q67" i="82"/>
  <c r="M67" i="82"/>
  <c r="I67" i="82"/>
  <c r="D67" i="82"/>
  <c r="AF66" i="82"/>
  <c r="Y66" i="82"/>
  <c r="U66" i="82"/>
  <c r="AG66" i="82" s="1"/>
  <c r="Q66" i="82"/>
  <c r="M66" i="82"/>
  <c r="I66" i="82"/>
  <c r="D66" i="82"/>
  <c r="D63" i="82" s="1"/>
  <c r="D59" i="82" s="1"/>
  <c r="D99" i="82" s="1"/>
  <c r="J65" i="82"/>
  <c r="N65" i="82" s="1"/>
  <c r="M65" i="82" s="1"/>
  <c r="D65" i="82"/>
  <c r="AG64" i="82"/>
  <c r="Y64" i="82"/>
  <c r="U64" i="82"/>
  <c r="Q64" i="82"/>
  <c r="AF64" i="82" s="1"/>
  <c r="M64" i="82"/>
  <c r="I64" i="82"/>
  <c r="AD64" i="82" s="1"/>
  <c r="D64" i="82"/>
  <c r="AA63" i="82"/>
  <c r="W63" i="82"/>
  <c r="S63" i="82"/>
  <c r="O63" i="82"/>
  <c r="K63" i="82"/>
  <c r="H63" i="82"/>
  <c r="G63" i="82"/>
  <c r="F63" i="82"/>
  <c r="E63" i="82"/>
  <c r="AG62" i="82"/>
  <c r="Y62" i="82"/>
  <c r="AH62" i="82" s="1"/>
  <c r="U62" i="82"/>
  <c r="Q62" i="82"/>
  <c r="M62" i="82"/>
  <c r="AE62" i="82" s="1"/>
  <c r="I62" i="82"/>
  <c r="AD62" i="82" s="1"/>
  <c r="D62" i="82"/>
  <c r="AF61" i="82"/>
  <c r="AE61" i="82"/>
  <c r="Y61" i="82"/>
  <c r="U61" i="82"/>
  <c r="AG61" i="82" s="1"/>
  <c r="Q61" i="82"/>
  <c r="M61" i="82"/>
  <c r="I61" i="82"/>
  <c r="AC61" i="82" s="1"/>
  <c r="D61" i="82"/>
  <c r="AG60" i="82"/>
  <c r="AB60" i="82"/>
  <c r="AA60" i="82"/>
  <c r="Z60" i="82"/>
  <c r="X60" i="82"/>
  <c r="W60" i="82"/>
  <c r="V60" i="82"/>
  <c r="U60" i="82"/>
  <c r="T60" i="82"/>
  <c r="S60" i="82"/>
  <c r="R60" i="82"/>
  <c r="Q60" i="82"/>
  <c r="AF60" i="82" s="1"/>
  <c r="P60" i="82"/>
  <c r="O60" i="82"/>
  <c r="N60" i="82"/>
  <c r="M60" i="82"/>
  <c r="L60" i="82"/>
  <c r="K60" i="82"/>
  <c r="J60" i="82"/>
  <c r="H60" i="82"/>
  <c r="G60" i="82"/>
  <c r="F60" i="82"/>
  <c r="E60" i="82"/>
  <c r="D60" i="82"/>
  <c r="AA59" i="82"/>
  <c r="AA99" i="82" s="1"/>
  <c r="F59" i="82"/>
  <c r="F99" i="82" s="1"/>
  <c r="E59" i="82"/>
  <c r="E99" i="82" s="1"/>
  <c r="J58" i="82"/>
  <c r="L58" i="82" s="1"/>
  <c r="D58" i="82"/>
  <c r="AH57" i="82"/>
  <c r="AG57" i="82"/>
  <c r="AD57" i="82"/>
  <c r="AC57" i="82"/>
  <c r="Y57" i="82"/>
  <c r="U57" i="82"/>
  <c r="Q57" i="82"/>
  <c r="AF57" i="82" s="1"/>
  <c r="M57" i="82"/>
  <c r="AE57" i="82" s="1"/>
  <c r="I57" i="82"/>
  <c r="D57" i="82"/>
  <c r="AH56" i="82"/>
  <c r="AG56" i="82"/>
  <c r="AD56" i="82"/>
  <c r="AC56" i="82"/>
  <c r="Y56" i="82"/>
  <c r="U56" i="82"/>
  <c r="Q56" i="82"/>
  <c r="AF56" i="82" s="1"/>
  <c r="M56" i="82"/>
  <c r="AE56" i="82" s="1"/>
  <c r="I56" i="82"/>
  <c r="D56" i="82"/>
  <c r="H55" i="82"/>
  <c r="J55" i="82" s="1"/>
  <c r="D55" i="82"/>
  <c r="AA54" i="82"/>
  <c r="W54" i="82"/>
  <c r="S54" i="82"/>
  <c r="O54" i="82"/>
  <c r="K54" i="82"/>
  <c r="H54" i="82"/>
  <c r="G54" i="82"/>
  <c r="F54" i="82"/>
  <c r="E54" i="82"/>
  <c r="D54" i="82"/>
  <c r="L53" i="82"/>
  <c r="I53" i="82"/>
  <c r="D53" i="82"/>
  <c r="AC52" i="82"/>
  <c r="M52" i="82"/>
  <c r="AE52" i="82" s="1"/>
  <c r="I52" i="82"/>
  <c r="AD52" i="82" s="1"/>
  <c r="D52" i="82"/>
  <c r="J51" i="82"/>
  <c r="L51" i="82" s="1"/>
  <c r="D51" i="82"/>
  <c r="I50" i="82"/>
  <c r="D50" i="82"/>
  <c r="J49" i="82"/>
  <c r="L49" i="82" s="1"/>
  <c r="I49" i="82" s="1"/>
  <c r="H49" i="82"/>
  <c r="D49" i="82"/>
  <c r="J48" i="82"/>
  <c r="L48" i="82" s="1"/>
  <c r="I48" i="82" s="1"/>
  <c r="D48" i="82"/>
  <c r="J47" i="82"/>
  <c r="D47" i="82"/>
  <c r="J46" i="82"/>
  <c r="L46" i="82" s="1"/>
  <c r="I46" i="82" s="1"/>
  <c r="D46" i="82"/>
  <c r="J45" i="82"/>
  <c r="H45" i="82"/>
  <c r="D45" i="82"/>
  <c r="J44" i="82"/>
  <c r="L44" i="82" s="1"/>
  <c r="D44" i="82"/>
  <c r="D43" i="82"/>
  <c r="J43" i="82" s="1"/>
  <c r="L43" i="82" s="1"/>
  <c r="AE42" i="82"/>
  <c r="AD42" i="82"/>
  <c r="M42" i="82"/>
  <c r="I42" i="82"/>
  <c r="D42" i="82"/>
  <c r="AA41" i="82"/>
  <c r="W41" i="82"/>
  <c r="S41" i="82"/>
  <c r="O41" i="82"/>
  <c r="K41" i="82"/>
  <c r="H41" i="82"/>
  <c r="G41" i="82"/>
  <c r="F41" i="82"/>
  <c r="E41" i="82"/>
  <c r="D41" i="82"/>
  <c r="AE40" i="82"/>
  <c r="AD40" i="82"/>
  <c r="Y40" i="82"/>
  <c r="U40" i="82"/>
  <c r="Q40" i="82"/>
  <c r="AF40" i="82" s="1"/>
  <c r="M40" i="82"/>
  <c r="I40" i="82"/>
  <c r="AC40" i="82" s="1"/>
  <c r="D40" i="82"/>
  <c r="AE39" i="82"/>
  <c r="AD39" i="82"/>
  <c r="Y39" i="82"/>
  <c r="Y38" i="82" s="1"/>
  <c r="U39" i="82"/>
  <c r="Q39" i="82"/>
  <c r="M39" i="82"/>
  <c r="I39" i="82"/>
  <c r="AC39" i="82" s="1"/>
  <c r="D39" i="82"/>
  <c r="D38" i="82" s="1"/>
  <c r="AB38" i="82"/>
  <c r="AA38" i="82"/>
  <c r="Z38" i="82"/>
  <c r="X38" i="82"/>
  <c r="W38" i="82"/>
  <c r="V38" i="82"/>
  <c r="T38" i="82"/>
  <c r="S38" i="82"/>
  <c r="R38" i="82"/>
  <c r="P38" i="82"/>
  <c r="O38" i="82"/>
  <c r="N38" i="82"/>
  <c r="M38" i="82"/>
  <c r="L38" i="82"/>
  <c r="K38" i="82"/>
  <c r="J38" i="82"/>
  <c r="H38" i="82"/>
  <c r="G38" i="82"/>
  <c r="F38" i="82"/>
  <c r="E38" i="82"/>
  <c r="AF36" i="82"/>
  <c r="Y36" i="82"/>
  <c r="AH36" i="82" s="1"/>
  <c r="U36" i="82"/>
  <c r="Q36" i="82"/>
  <c r="M36" i="82"/>
  <c r="J36" i="82"/>
  <c r="L36" i="82" s="1"/>
  <c r="D36" i="82"/>
  <c r="AG35" i="82"/>
  <c r="Y35" i="82"/>
  <c r="AH35" i="82" s="1"/>
  <c r="U35" i="82"/>
  <c r="Q35" i="82"/>
  <c r="AF35" i="82" s="1"/>
  <c r="M35" i="82"/>
  <c r="I35" i="82"/>
  <c r="AD35" i="82" s="1"/>
  <c r="D35" i="82"/>
  <c r="AG34" i="82"/>
  <c r="AF34" i="82"/>
  <c r="Y34" i="82"/>
  <c r="U34" i="82"/>
  <c r="Q34" i="82"/>
  <c r="M34" i="82"/>
  <c r="L34" i="82"/>
  <c r="I34" i="82"/>
  <c r="AD34" i="82" s="1"/>
  <c r="D34" i="82"/>
  <c r="J34" i="82" s="1"/>
  <c r="AB33" i="82"/>
  <c r="AA33" i="82"/>
  <c r="Z33" i="82"/>
  <c r="X33" i="82"/>
  <c r="W33" i="82"/>
  <c r="V33" i="82"/>
  <c r="T33" i="82"/>
  <c r="S33" i="82"/>
  <c r="R33" i="82"/>
  <c r="P33" i="82"/>
  <c r="O33" i="82"/>
  <c r="N33" i="82"/>
  <c r="K33" i="82"/>
  <c r="J33" i="82"/>
  <c r="H33" i="82"/>
  <c r="G33" i="82"/>
  <c r="F33" i="82"/>
  <c r="E33" i="82"/>
  <c r="D33" i="82"/>
  <c r="J32" i="82"/>
  <c r="D32" i="82"/>
  <c r="AF31" i="82"/>
  <c r="Y31" i="82"/>
  <c r="U31" i="82"/>
  <c r="AG31" i="82" s="1"/>
  <c r="Q31" i="82"/>
  <c r="M31" i="82"/>
  <c r="AE31" i="82" s="1"/>
  <c r="I31" i="82"/>
  <c r="D31" i="82"/>
  <c r="D28" i="82" s="1"/>
  <c r="J30" i="82"/>
  <c r="H30" i="82"/>
  <c r="H76" i="82" s="1"/>
  <c r="H75" i="82" s="1"/>
  <c r="H59" i="82" s="1"/>
  <c r="H99" i="82" s="1"/>
  <c r="D30" i="82"/>
  <c r="AH29" i="82"/>
  <c r="AG29" i="82"/>
  <c r="AF29" i="82"/>
  <c r="AE29" i="82"/>
  <c r="AD29" i="82"/>
  <c r="AC29" i="82"/>
  <c r="AA28" i="82"/>
  <c r="W28" i="82"/>
  <c r="S28" i="82"/>
  <c r="O28" i="82"/>
  <c r="K28" i="82"/>
  <c r="G28" i="82"/>
  <c r="G37" i="82" s="1"/>
  <c r="F28" i="82"/>
  <c r="E28" i="82"/>
  <c r="E20" i="82" s="1"/>
  <c r="E98" i="82" s="1"/>
  <c r="J27" i="82"/>
  <c r="D27" i="82"/>
  <c r="J26" i="82"/>
  <c r="L26" i="82" s="1"/>
  <c r="D26" i="82"/>
  <c r="AA25" i="82"/>
  <c r="W25" i="82"/>
  <c r="S25" i="82"/>
  <c r="O25" i="82"/>
  <c r="K25" i="82"/>
  <c r="K20" i="82" s="1"/>
  <c r="H25" i="82"/>
  <c r="G25" i="82"/>
  <c r="G20" i="82" s="1"/>
  <c r="G98" i="82" s="1"/>
  <c r="F25" i="82"/>
  <c r="E25" i="82"/>
  <c r="D25" i="82"/>
  <c r="AH24" i="82"/>
  <c r="AE24" i="82"/>
  <c r="AD24" i="82"/>
  <c r="Y24" i="82"/>
  <c r="U24" i="82"/>
  <c r="AG24" i="82" s="1"/>
  <c r="Q24" i="82"/>
  <c r="AF24" i="82" s="1"/>
  <c r="M24" i="82"/>
  <c r="I24" i="82"/>
  <c r="AC24" i="82" s="1"/>
  <c r="D24" i="82"/>
  <c r="AH23" i="82"/>
  <c r="AE23" i="82"/>
  <c r="AD23" i="82"/>
  <c r="Y23" i="82"/>
  <c r="U23" i="82"/>
  <c r="AG23" i="82" s="1"/>
  <c r="Q23" i="82"/>
  <c r="AF23" i="82" s="1"/>
  <c r="M23" i="82"/>
  <c r="I23" i="82"/>
  <c r="AC23" i="82" s="1"/>
  <c r="D23" i="82"/>
  <c r="AH22" i="82"/>
  <c r="AE22" i="82"/>
  <c r="AD22" i="82"/>
  <c r="Y22" i="82"/>
  <c r="U22" i="82"/>
  <c r="AG22" i="82" s="1"/>
  <c r="Q22" i="82"/>
  <c r="AF22" i="82" s="1"/>
  <c r="M22" i="82"/>
  <c r="I22" i="82"/>
  <c r="AC22" i="82" s="1"/>
  <c r="D22" i="82"/>
  <c r="AH21" i="82"/>
  <c r="AG21" i="82"/>
  <c r="AF21" i="82"/>
  <c r="AE21" i="82"/>
  <c r="AD21" i="82"/>
  <c r="AC21" i="82"/>
  <c r="F20" i="82"/>
  <c r="F98" i="82" s="1"/>
  <c r="AB19" i="82"/>
  <c r="AA19" i="82"/>
  <c r="Y19" i="82" s="1"/>
  <c r="AH19" i="82" s="1"/>
  <c r="Z19" i="82"/>
  <c r="X19" i="82"/>
  <c r="W19" i="82"/>
  <c r="U19" i="82" s="1"/>
  <c r="AG19" i="82" s="1"/>
  <c r="V19" i="82"/>
  <c r="T19" i="82"/>
  <c r="S19" i="82"/>
  <c r="Q19" i="82" s="1"/>
  <c r="R19" i="82"/>
  <c r="P19" i="82"/>
  <c r="O19" i="82"/>
  <c r="O14" i="82" s="1"/>
  <c r="O100" i="82" s="1"/>
  <c r="N19" i="82"/>
  <c r="L19" i="82"/>
  <c r="K19" i="82"/>
  <c r="I19" i="82" s="1"/>
  <c r="J19" i="82"/>
  <c r="D19" i="82"/>
  <c r="AH18" i="82"/>
  <c r="AE18" i="82"/>
  <c r="AD18" i="82"/>
  <c r="Y18" i="82"/>
  <c r="U18" i="82"/>
  <c r="AG18" i="82" s="1"/>
  <c r="Q18" i="82"/>
  <c r="AF18" i="82" s="1"/>
  <c r="M18" i="82"/>
  <c r="I18" i="82"/>
  <c r="AC18" i="82" s="1"/>
  <c r="D18" i="82"/>
  <c r="AB17" i="82"/>
  <c r="Z17" i="82"/>
  <c r="Z14" i="82" s="1"/>
  <c r="Y17" i="82"/>
  <c r="AH17" i="82" s="1"/>
  <c r="X17" i="82"/>
  <c r="V17" i="82"/>
  <c r="U17" i="82"/>
  <c r="AG17" i="82" s="1"/>
  <c r="T17" i="82"/>
  <c r="Q17" i="82" s="1"/>
  <c r="R17" i="82"/>
  <c r="P17" i="82"/>
  <c r="N17" i="82"/>
  <c r="M17" i="82" s="1"/>
  <c r="AE17" i="82" s="1"/>
  <c r="L17" i="82"/>
  <c r="J17" i="82"/>
  <c r="J14" i="82" s="1"/>
  <c r="I17" i="82"/>
  <c r="AC17" i="82" s="1"/>
  <c r="D17" i="82"/>
  <c r="AG16" i="82"/>
  <c r="AF16" i="82"/>
  <c r="Y16" i="82"/>
  <c r="AH16" i="82" s="1"/>
  <c r="U16" i="82"/>
  <c r="Q16" i="82"/>
  <c r="M16" i="82"/>
  <c r="AE16" i="82" s="1"/>
  <c r="I16" i="82"/>
  <c r="AC16" i="82" s="1"/>
  <c r="D16" i="82"/>
  <c r="AG15" i="82"/>
  <c r="AF15" i="82"/>
  <c r="Y15" i="82"/>
  <c r="AH15" i="82" s="1"/>
  <c r="U15" i="82"/>
  <c r="Q15" i="82"/>
  <c r="M15" i="82"/>
  <c r="AE15" i="82" s="1"/>
  <c r="I15" i="82"/>
  <c r="AD15" i="82" s="1"/>
  <c r="D15" i="82"/>
  <c r="AB14" i="82"/>
  <c r="X14" i="82"/>
  <c r="V14" i="82"/>
  <c r="T14" i="82"/>
  <c r="R14" i="82"/>
  <c r="P14" i="82"/>
  <c r="L14" i="82"/>
  <c r="H14" i="82"/>
  <c r="H100" i="82" s="1"/>
  <c r="G14" i="82"/>
  <c r="G100" i="82" s="1"/>
  <c r="F14" i="82"/>
  <c r="F100" i="82" s="1"/>
  <c r="E14" i="82"/>
  <c r="E100" i="82" s="1"/>
  <c r="D14" i="82"/>
  <c r="D100" i="82" s="1"/>
  <c r="AC13" i="82"/>
  <c r="AC12" i="82"/>
  <c r="M12" i="82"/>
  <c r="Q12" i="82" s="1"/>
  <c r="AC11" i="82"/>
  <c r="AC10" i="82"/>
  <c r="M10" i="82"/>
  <c r="M7" i="82" s="1"/>
  <c r="AC9" i="82"/>
  <c r="AC8" i="82"/>
  <c r="Y8" i="82"/>
  <c r="U8" i="82"/>
  <c r="Q8" i="82"/>
  <c r="M8" i="82"/>
  <c r="AD7" i="82"/>
  <c r="AC7" i="82"/>
  <c r="I51" i="82" l="1"/>
  <c r="AC51" i="82" s="1"/>
  <c r="Q10" i="82"/>
  <c r="Q7" i="82" s="1"/>
  <c r="U10" i="82"/>
  <c r="U7" i="82" s="1"/>
  <c r="U12" i="82"/>
  <c r="AC19" i="82"/>
  <c r="AD19" i="82"/>
  <c r="N7" i="82"/>
  <c r="P7" i="82"/>
  <c r="O7" i="82"/>
  <c r="J100" i="82"/>
  <c r="K98" i="82"/>
  <c r="O20" i="82"/>
  <c r="L33" i="82"/>
  <c r="AD46" i="82"/>
  <c r="AC46" i="82"/>
  <c r="AF17" i="82"/>
  <c r="D37" i="82"/>
  <c r="D20" i="82"/>
  <c r="D98" i="82" s="1"/>
  <c r="AC49" i="82"/>
  <c r="AD49" i="82"/>
  <c r="Z100" i="82"/>
  <c r="L100" i="82"/>
  <c r="AB100" i="82"/>
  <c r="AD17" i="82"/>
  <c r="AC15" i="82"/>
  <c r="N14" i="82"/>
  <c r="V100" i="82"/>
  <c r="AD16" i="82"/>
  <c r="M19" i="82"/>
  <c r="AE19" i="82" s="1"/>
  <c r="K14" i="82"/>
  <c r="K100" i="82" s="1"/>
  <c r="S14" i="82"/>
  <c r="W14" i="82"/>
  <c r="AA14" i="82"/>
  <c r="AA100" i="82" s="1"/>
  <c r="J25" i="82"/>
  <c r="I26" i="82"/>
  <c r="H28" i="82"/>
  <c r="Q33" i="82"/>
  <c r="I36" i="82"/>
  <c r="E37" i="82"/>
  <c r="AG40" i="82"/>
  <c r="AH40" i="82"/>
  <c r="I43" i="82"/>
  <c r="J41" i="82"/>
  <c r="I44" i="82"/>
  <c r="AD48" i="82"/>
  <c r="AC48" i="82"/>
  <c r="T100" i="82"/>
  <c r="J78" i="82"/>
  <c r="L32" i="82"/>
  <c r="L78" i="82" s="1"/>
  <c r="I33" i="82"/>
  <c r="AG36" i="82"/>
  <c r="U33" i="82"/>
  <c r="AG33" i="82" s="1"/>
  <c r="AC53" i="82"/>
  <c r="AD53" i="82"/>
  <c r="V79" i="82"/>
  <c r="U79" i="82" s="1"/>
  <c r="AG79" i="82" s="1"/>
  <c r="Q79" i="82"/>
  <c r="P100" i="82"/>
  <c r="L27" i="82"/>
  <c r="L25" i="82" s="1"/>
  <c r="J28" i="82"/>
  <c r="J37" i="82" s="1"/>
  <c r="J76" i="82"/>
  <c r="I30" i="82"/>
  <c r="AD31" i="82"/>
  <c r="AH31" i="82"/>
  <c r="Y33" i="82"/>
  <c r="AH33" i="82" s="1"/>
  <c r="AE35" i="82"/>
  <c r="AC35" i="82"/>
  <c r="AF39" i="82"/>
  <c r="Q38" i="82"/>
  <c r="AF38" i="82" s="1"/>
  <c r="L45" i="82"/>
  <c r="I45" i="82" s="1"/>
  <c r="L47" i="82"/>
  <c r="I47" i="82" s="1"/>
  <c r="AD51" i="82"/>
  <c r="J54" i="82"/>
  <c r="I55" i="82"/>
  <c r="X100" i="82"/>
  <c r="R100" i="82"/>
  <c r="L30" i="82"/>
  <c r="AC31" i="82"/>
  <c r="AE34" i="82"/>
  <c r="M33" i="82"/>
  <c r="AE33" i="82" s="1"/>
  <c r="AC34" i="82"/>
  <c r="AH34" i="82"/>
  <c r="AG39" i="82"/>
  <c r="U38" i="82"/>
  <c r="AH39" i="82"/>
  <c r="AC42" i="82"/>
  <c r="AD50" i="82"/>
  <c r="I38" i="82"/>
  <c r="L55" i="82"/>
  <c r="L54" i="82" s="1"/>
  <c r="I58" i="82"/>
  <c r="AF62" i="82"/>
  <c r="J63" i="82"/>
  <c r="N63" i="82"/>
  <c r="I65" i="82"/>
  <c r="R65" i="82"/>
  <c r="AG73" i="82"/>
  <c r="AH73" i="82"/>
  <c r="U104" i="82"/>
  <c r="AE95" i="82"/>
  <c r="AD95" i="82"/>
  <c r="AC95" i="82"/>
  <c r="AH79" i="82"/>
  <c r="M88" i="82"/>
  <c r="T88" i="82"/>
  <c r="P85" i="82"/>
  <c r="P83" i="82" s="1"/>
  <c r="AC50" i="82"/>
  <c r="I60" i="82"/>
  <c r="Y60" i="82"/>
  <c r="AC62" i="82"/>
  <c r="AE64" i="82"/>
  <c r="AC64" i="82"/>
  <c r="AH64" i="82"/>
  <c r="AC66" i="82"/>
  <c r="AD66" i="82"/>
  <c r="AH66" i="82"/>
  <c r="AC67" i="82"/>
  <c r="AD67" i="82"/>
  <c r="AH67" i="82"/>
  <c r="AC68" i="82"/>
  <c r="AD68" i="82"/>
  <c r="AH68" i="82"/>
  <c r="AC69" i="82"/>
  <c r="AD69" i="82"/>
  <c r="AH69" i="82"/>
  <c r="AG71" i="82"/>
  <c r="AH71" i="82"/>
  <c r="AF77" i="82"/>
  <c r="L101" i="82"/>
  <c r="L107" i="82"/>
  <c r="L70" i="82"/>
  <c r="AE92" i="82"/>
  <c r="M91" i="82"/>
  <c r="AD61" i="82"/>
  <c r="AH61" i="82"/>
  <c r="AE66" i="82"/>
  <c r="AE67" i="82"/>
  <c r="AE68" i="82"/>
  <c r="AE69" i="82"/>
  <c r="AG72" i="82"/>
  <c r="AH72" i="82"/>
  <c r="R74" i="82"/>
  <c r="M74" i="82"/>
  <c r="AE74" i="82" s="1"/>
  <c r="N79" i="82"/>
  <c r="M79" i="82" s="1"/>
  <c r="I79" i="82"/>
  <c r="U80" i="82"/>
  <c r="Z80" i="82"/>
  <c r="Y80" i="82" s="1"/>
  <c r="AH80" i="82" s="1"/>
  <c r="D101" i="82"/>
  <c r="D107" i="82"/>
  <c r="H101" i="82"/>
  <c r="H107" i="82"/>
  <c r="Y104" i="82"/>
  <c r="AH104" i="82" s="1"/>
  <c r="AH91" i="82"/>
  <c r="Q80" i="82"/>
  <c r="AF80" i="82" s="1"/>
  <c r="AD88" i="82"/>
  <c r="AC103" i="82"/>
  <c r="AD103" i="82"/>
  <c r="AH103" i="82"/>
  <c r="AF90" i="82"/>
  <c r="I91" i="82"/>
  <c r="Q91" i="82"/>
  <c r="AF92" i="82"/>
  <c r="AG93" i="82"/>
  <c r="AD94" i="82"/>
  <c r="AG95" i="82"/>
  <c r="E101" i="82"/>
  <c r="E96" i="82" s="1"/>
  <c r="J101" i="82"/>
  <c r="O101" i="82"/>
  <c r="Z101" i="82"/>
  <c r="AG90" i="82"/>
  <c r="AC92" i="82"/>
  <c r="AE94" i="82"/>
  <c r="F101" i="82"/>
  <c r="F96" i="82" s="1"/>
  <c r="K101" i="82"/>
  <c r="V101" i="82"/>
  <c r="AA101" i="82"/>
  <c r="AC80" i="82"/>
  <c r="AC81" i="82"/>
  <c r="AC82" i="82"/>
  <c r="I85" i="82"/>
  <c r="AC86" i="82"/>
  <c r="AC87" i="82"/>
  <c r="G101" i="82"/>
  <c r="G96" i="82" s="1"/>
  <c r="R101" i="82"/>
  <c r="W101" i="82"/>
  <c r="AG103" i="82"/>
  <c r="AE90" i="82"/>
  <c r="N101" i="82"/>
  <c r="S101" i="82"/>
  <c r="E122" i="82" l="1"/>
  <c r="D122" i="82" s="1"/>
  <c r="D120" i="82" s="1"/>
  <c r="D121" i="82" s="1"/>
  <c r="E106" i="82"/>
  <c r="E109" i="82" s="1"/>
  <c r="E128" i="82"/>
  <c r="E127" i="82"/>
  <c r="F128" i="82"/>
  <c r="F127" i="82"/>
  <c r="D124" i="82"/>
  <c r="F106" i="82"/>
  <c r="F109" i="82" s="1"/>
  <c r="AC47" i="82"/>
  <c r="AD47" i="82"/>
  <c r="G128" i="82"/>
  <c r="G127" i="82"/>
  <c r="D123" i="82"/>
  <c r="G106" i="82"/>
  <c r="G109" i="82" s="1"/>
  <c r="AC45" i="82"/>
  <c r="AD45" i="82"/>
  <c r="I41" i="82"/>
  <c r="AD85" i="82"/>
  <c r="AC85" i="82"/>
  <c r="I83" i="82"/>
  <c r="I104" i="82"/>
  <c r="AD91" i="82"/>
  <c r="AC91" i="82"/>
  <c r="AE79" i="82"/>
  <c r="P101" i="82"/>
  <c r="P107" i="82"/>
  <c r="P70" i="82"/>
  <c r="AE91" i="82"/>
  <c r="M104" i="82"/>
  <c r="AE104" i="82" s="1"/>
  <c r="AH60" i="82"/>
  <c r="J75" i="82"/>
  <c r="J59" i="82" s="1"/>
  <c r="J99" i="82" s="1"/>
  <c r="AC44" i="82"/>
  <c r="AD44" i="82"/>
  <c r="AG80" i="82"/>
  <c r="V74" i="82"/>
  <c r="Q74" i="82"/>
  <c r="AF74" i="82" s="1"/>
  <c r="AD60" i="82"/>
  <c r="AC60" i="82"/>
  <c r="M85" i="82"/>
  <c r="AE88" i="82"/>
  <c r="AC38" i="82"/>
  <c r="AE38" i="82"/>
  <c r="AD38" i="82"/>
  <c r="L76" i="82"/>
  <c r="L75" i="82" s="1"/>
  <c r="L28" i="82"/>
  <c r="L37" i="82" s="1"/>
  <c r="AF79" i="82"/>
  <c r="I27" i="82"/>
  <c r="I25" i="82" s="1"/>
  <c r="AE60" i="82"/>
  <c r="AC26" i="82"/>
  <c r="AD26" i="82"/>
  <c r="S100" i="82"/>
  <c r="Q14" i="82"/>
  <c r="D96" i="82"/>
  <c r="L41" i="82"/>
  <c r="K96" i="82"/>
  <c r="AF91" i="82"/>
  <c r="Q104" i="82"/>
  <c r="AD79" i="82"/>
  <c r="AC79" i="82"/>
  <c r="L108" i="82"/>
  <c r="I70" i="82"/>
  <c r="L63" i="82"/>
  <c r="L59" i="82" s="1"/>
  <c r="L99" i="82" s="1"/>
  <c r="AG91" i="82"/>
  <c r="V65" i="82"/>
  <c r="Q65" i="82"/>
  <c r="R63" i="82"/>
  <c r="AG38" i="82"/>
  <c r="AH38" i="82"/>
  <c r="AC33" i="82"/>
  <c r="AD33" i="82"/>
  <c r="AD43" i="82"/>
  <c r="AC43" i="82"/>
  <c r="AC36" i="82"/>
  <c r="AD36" i="82"/>
  <c r="AE36" i="82"/>
  <c r="J20" i="82"/>
  <c r="I14" i="82"/>
  <c r="Y12" i="82"/>
  <c r="Y10" i="82"/>
  <c r="Y7" i="82" s="1"/>
  <c r="AC65" i="82"/>
  <c r="AD65" i="82"/>
  <c r="AC58" i="82"/>
  <c r="AD58" i="82"/>
  <c r="AD55" i="82"/>
  <c r="I54" i="82"/>
  <c r="AC55" i="82"/>
  <c r="AD30" i="82"/>
  <c r="AC30" i="82"/>
  <c r="AF33" i="82"/>
  <c r="Y14" i="82"/>
  <c r="AF19" i="82"/>
  <c r="V7" i="82"/>
  <c r="X7" i="82"/>
  <c r="W7" i="82"/>
  <c r="AG104" i="82"/>
  <c r="Q88" i="82"/>
  <c r="T85" i="82"/>
  <c r="T83" i="82" s="1"/>
  <c r="X88" i="82"/>
  <c r="I78" i="82"/>
  <c r="AE65" i="82"/>
  <c r="H20" i="82"/>
  <c r="H98" i="82" s="1"/>
  <c r="H96" i="82" s="1"/>
  <c r="H37" i="82"/>
  <c r="W100" i="82"/>
  <c r="U14" i="82"/>
  <c r="N100" i="82"/>
  <c r="M14" i="82"/>
  <c r="I32" i="82"/>
  <c r="O98" i="82"/>
  <c r="O96" i="82" s="1"/>
  <c r="S20" i="82"/>
  <c r="S7" i="82"/>
  <c r="T7" i="82"/>
  <c r="R7" i="82"/>
  <c r="AD25" i="82" l="1"/>
  <c r="AC25" i="82"/>
  <c r="S98" i="82"/>
  <c r="S96" i="82" s="1"/>
  <c r="W20" i="82"/>
  <c r="O128" i="82"/>
  <c r="M124" i="82"/>
  <c r="O127" i="82"/>
  <c r="O106" i="82"/>
  <c r="O109" i="82" s="1"/>
  <c r="U88" i="82"/>
  <c r="AB88" i="82"/>
  <c r="X85" i="82"/>
  <c r="X83" i="82" s="1"/>
  <c r="AC32" i="82"/>
  <c r="AD32" i="82"/>
  <c r="U100" i="82"/>
  <c r="AG14" i="82"/>
  <c r="M100" i="82"/>
  <c r="AE14" i="82"/>
  <c r="AD78" i="82"/>
  <c r="AC78" i="82"/>
  <c r="AF88" i="82"/>
  <c r="Q85" i="82"/>
  <c r="I28" i="82"/>
  <c r="I20" i="82" s="1"/>
  <c r="AD54" i="82"/>
  <c r="AC54" i="82"/>
  <c r="I100" i="82"/>
  <c r="AC14" i="82"/>
  <c r="AD14" i="82"/>
  <c r="AF65" i="82"/>
  <c r="I108" i="82"/>
  <c r="AC70" i="82"/>
  <c r="AD70" i="82"/>
  <c r="AF104" i="82"/>
  <c r="D127" i="82"/>
  <c r="D131" i="82"/>
  <c r="D128" i="82"/>
  <c r="D106" i="82"/>
  <c r="D109" i="82" s="1"/>
  <c r="M83" i="82"/>
  <c r="AE85" i="82"/>
  <c r="I63" i="82"/>
  <c r="J98" i="82"/>
  <c r="N20" i="82"/>
  <c r="J89" i="82"/>
  <c r="U65" i="82"/>
  <c r="Z65" i="82"/>
  <c r="V63" i="82"/>
  <c r="Q100" i="82"/>
  <c r="AF100" i="82" s="1"/>
  <c r="AF14" i="82"/>
  <c r="Z74" i="82"/>
  <c r="Y74" i="82" s="1"/>
  <c r="AH74" i="82" s="1"/>
  <c r="U74" i="82"/>
  <c r="AG74" i="82" s="1"/>
  <c r="AD104" i="82"/>
  <c r="AC104" i="82"/>
  <c r="AC41" i="82"/>
  <c r="AD41" i="82"/>
  <c r="L20" i="82"/>
  <c r="H127" i="82"/>
  <c r="H128" i="82"/>
  <c r="H122" i="82"/>
  <c r="H106" i="82"/>
  <c r="H109" i="82" s="1"/>
  <c r="Y100" i="82"/>
  <c r="AH100" i="82" s="1"/>
  <c r="AH14" i="82"/>
  <c r="Z7" i="82"/>
  <c r="AB7" i="82"/>
  <c r="AA7" i="82"/>
  <c r="K128" i="82"/>
  <c r="K127" i="82"/>
  <c r="I124" i="82"/>
  <c r="K106" i="82"/>
  <c r="K109" i="82" s="1"/>
  <c r="I76" i="82"/>
  <c r="I107" i="82"/>
  <c r="I101" i="82"/>
  <c r="AD83" i="82"/>
  <c r="AC83" i="82"/>
  <c r="T101" i="82"/>
  <c r="T70" i="82"/>
  <c r="T107" i="82"/>
  <c r="AD27" i="82"/>
  <c r="AC27" i="82"/>
  <c r="P108" i="82"/>
  <c r="M70" i="82"/>
  <c r="P63" i="82"/>
  <c r="AD76" i="82" l="1"/>
  <c r="I75" i="82"/>
  <c r="AC76" i="82"/>
  <c r="M108" i="82"/>
  <c r="AE108" i="82" s="1"/>
  <c r="AE70" i="82"/>
  <c r="M63" i="82"/>
  <c r="T108" i="82"/>
  <c r="T63" i="82"/>
  <c r="Q70" i="82"/>
  <c r="AC124" i="82"/>
  <c r="AD124" i="82"/>
  <c r="L98" i="82"/>
  <c r="P20" i="82"/>
  <c r="L89" i="82"/>
  <c r="L102" i="82" s="1"/>
  <c r="J102" i="82"/>
  <c r="AD107" i="82"/>
  <c r="AC107" i="82"/>
  <c r="N98" i="82"/>
  <c r="N43" i="82"/>
  <c r="N55" i="82"/>
  <c r="N48" i="82"/>
  <c r="N58" i="82"/>
  <c r="N53" i="82"/>
  <c r="N47" i="82"/>
  <c r="N45" i="82"/>
  <c r="N30" i="82"/>
  <c r="N27" i="82"/>
  <c r="N51" i="82"/>
  <c r="N46" i="82"/>
  <c r="N32" i="82"/>
  <c r="N26" i="82"/>
  <c r="R20" i="82"/>
  <c r="N44" i="82"/>
  <c r="M107" i="82"/>
  <c r="AE107" i="82" s="1"/>
  <c r="AE83" i="82"/>
  <c r="M101" i="82"/>
  <c r="AE101" i="82" s="1"/>
  <c r="AD108" i="82"/>
  <c r="AC108" i="82"/>
  <c r="I37" i="82"/>
  <c r="AD28" i="82"/>
  <c r="AC28" i="82"/>
  <c r="X101" i="82"/>
  <c r="X107" i="82"/>
  <c r="X70" i="82"/>
  <c r="S128" i="82"/>
  <c r="S127" i="82"/>
  <c r="Q124" i="82"/>
  <c r="AF124" i="82" s="1"/>
  <c r="S106" i="82"/>
  <c r="S109" i="82" s="1"/>
  <c r="Y65" i="82"/>
  <c r="Z63" i="82"/>
  <c r="J96" i="82"/>
  <c r="AD100" i="82"/>
  <c r="AC100" i="82"/>
  <c r="AF85" i="82"/>
  <c r="Q83" i="82"/>
  <c r="AG100" i="82"/>
  <c r="Y88" i="82"/>
  <c r="AB85" i="82"/>
  <c r="AB83" i="82" s="1"/>
  <c r="AE124" i="82"/>
  <c r="I98" i="82"/>
  <c r="AC20" i="82"/>
  <c r="AD20" i="82"/>
  <c r="AG65" i="82"/>
  <c r="AC63" i="82"/>
  <c r="AD63" i="82"/>
  <c r="I59" i="82"/>
  <c r="AE100" i="82"/>
  <c r="AG88" i="82"/>
  <c r="U85" i="82"/>
  <c r="AD101" i="82"/>
  <c r="AC101" i="82"/>
  <c r="W98" i="82"/>
  <c r="W96" i="82" s="1"/>
  <c r="AA20" i="82"/>
  <c r="AA98" i="82" s="1"/>
  <c r="AA96" i="82" s="1"/>
  <c r="AA128" i="82" l="1"/>
  <c r="AA127" i="82"/>
  <c r="Y124" i="82"/>
  <c r="AH124" i="82" s="1"/>
  <c r="AA106" i="82"/>
  <c r="AA109" i="82" s="1"/>
  <c r="AB101" i="82"/>
  <c r="AB107" i="82"/>
  <c r="AB70" i="82"/>
  <c r="AD37" i="82"/>
  <c r="AC37" i="82"/>
  <c r="W128" i="82"/>
  <c r="W127" i="82"/>
  <c r="U124" i="82"/>
  <c r="AG124" i="82" s="1"/>
  <c r="W106" i="82"/>
  <c r="W109" i="82" s="1"/>
  <c r="AH88" i="82"/>
  <c r="Y85" i="82"/>
  <c r="AH65" i="82"/>
  <c r="N25" i="82"/>
  <c r="N41" i="82"/>
  <c r="AD98" i="82"/>
  <c r="AC98" i="82"/>
  <c r="N78" i="82"/>
  <c r="N76" i="82"/>
  <c r="N28" i="82"/>
  <c r="N37" i="82" s="1"/>
  <c r="I89" i="82"/>
  <c r="L96" i="82"/>
  <c r="Q107" i="82"/>
  <c r="AF107" i="82" s="1"/>
  <c r="Q101" i="82"/>
  <c r="AF101" i="82" s="1"/>
  <c r="AF83" i="82"/>
  <c r="X108" i="82"/>
  <c r="U70" i="82"/>
  <c r="X63" i="82"/>
  <c r="N54" i="82"/>
  <c r="AE63" i="82"/>
  <c r="AC75" i="82"/>
  <c r="AD75" i="82"/>
  <c r="I99" i="82"/>
  <c r="AC59" i="82"/>
  <c r="AD59" i="82"/>
  <c r="J128" i="82"/>
  <c r="J122" i="82"/>
  <c r="I122" i="82" s="1"/>
  <c r="J127" i="82"/>
  <c r="J106" i="82"/>
  <c r="J109" i="82" s="1"/>
  <c r="AG85" i="82"/>
  <c r="U83" i="82"/>
  <c r="R98" i="82"/>
  <c r="R58" i="82"/>
  <c r="R53" i="82"/>
  <c r="R49" i="82"/>
  <c r="R47" i="82"/>
  <c r="R45" i="82"/>
  <c r="R52" i="82"/>
  <c r="R50" i="82"/>
  <c r="R55" i="82"/>
  <c r="R51" i="82"/>
  <c r="R44" i="82"/>
  <c r="R30" i="82"/>
  <c r="R48" i="82"/>
  <c r="R27" i="82"/>
  <c r="R32" i="82"/>
  <c r="R26" i="82"/>
  <c r="R46" i="82"/>
  <c r="R43" i="82"/>
  <c r="V20" i="82"/>
  <c r="P98" i="82"/>
  <c r="P55" i="82"/>
  <c r="M55" i="82" s="1"/>
  <c r="P48" i="82"/>
  <c r="M48" i="82" s="1"/>
  <c r="AE48" i="82" s="1"/>
  <c r="P46" i="82"/>
  <c r="M46" i="82" s="1"/>
  <c r="AE46" i="82" s="1"/>
  <c r="P51" i="82"/>
  <c r="M51" i="82" s="1"/>
  <c r="AE51" i="82" s="1"/>
  <c r="P58" i="82"/>
  <c r="M58" i="82" s="1"/>
  <c r="AE58" i="82" s="1"/>
  <c r="P50" i="82"/>
  <c r="M50" i="82" s="1"/>
  <c r="AE50" i="82" s="1"/>
  <c r="P43" i="82"/>
  <c r="M43" i="82" s="1"/>
  <c r="P53" i="82"/>
  <c r="M53" i="82" s="1"/>
  <c r="AE53" i="82" s="1"/>
  <c r="P47" i="82"/>
  <c r="M47" i="82" s="1"/>
  <c r="AE47" i="82" s="1"/>
  <c r="P45" i="82"/>
  <c r="M45" i="82" s="1"/>
  <c r="AE45" i="82" s="1"/>
  <c r="P44" i="82"/>
  <c r="M44" i="82" s="1"/>
  <c r="AE44" i="82" s="1"/>
  <c r="T20" i="82"/>
  <c r="P49" i="82"/>
  <c r="M49" i="82" s="1"/>
  <c r="AE49" i="82" s="1"/>
  <c r="P30" i="82"/>
  <c r="M30" i="82" s="1"/>
  <c r="P32" i="82"/>
  <c r="P78" i="82" s="1"/>
  <c r="P27" i="82"/>
  <c r="M27" i="82" s="1"/>
  <c r="AE27" i="82" s="1"/>
  <c r="P26" i="82"/>
  <c r="P25" i="82" s="1"/>
  <c r="Q108" i="82"/>
  <c r="AF108" i="82" s="1"/>
  <c r="AF70" i="82"/>
  <c r="Q63" i="82"/>
  <c r="AE55" i="82" l="1"/>
  <c r="M54" i="82"/>
  <c r="AE54" i="82" s="1"/>
  <c r="AE30" i="82"/>
  <c r="V98" i="82"/>
  <c r="V51" i="82"/>
  <c r="V44" i="82"/>
  <c r="V42" i="82"/>
  <c r="V58" i="82"/>
  <c r="V53" i="82"/>
  <c r="V49" i="82"/>
  <c r="V55" i="82"/>
  <c r="V48" i="82"/>
  <c r="V46" i="82"/>
  <c r="V32" i="82"/>
  <c r="V26" i="82"/>
  <c r="Z20" i="82"/>
  <c r="V47" i="82"/>
  <c r="V45" i="82"/>
  <c r="V50" i="82"/>
  <c r="V43" i="82"/>
  <c r="V30" i="82"/>
  <c r="V52" i="82"/>
  <c r="V27" i="82"/>
  <c r="T98" i="82"/>
  <c r="T52" i="82"/>
  <c r="T50" i="82"/>
  <c r="Q50" i="82" s="1"/>
  <c r="AF50" i="82" s="1"/>
  <c r="T43" i="82"/>
  <c r="T55" i="82"/>
  <c r="Q55" i="82" s="1"/>
  <c r="T48" i="82"/>
  <c r="Q48" i="82" s="1"/>
  <c r="AF48" i="82" s="1"/>
  <c r="T58" i="82"/>
  <c r="Q58" i="82" s="1"/>
  <c r="AF58" i="82" s="1"/>
  <c r="T53" i="82"/>
  <c r="T49" i="82"/>
  <c r="Q49" i="82" s="1"/>
  <c r="AF49" i="82" s="1"/>
  <c r="T47" i="82"/>
  <c r="T45" i="82"/>
  <c r="T30" i="82"/>
  <c r="T27" i="82"/>
  <c r="T32" i="82"/>
  <c r="T78" i="82" s="1"/>
  <c r="T26" i="82"/>
  <c r="T46" i="82"/>
  <c r="T42" i="82"/>
  <c r="T51" i="82"/>
  <c r="T44" i="82"/>
  <c r="Q44" i="82" s="1"/>
  <c r="AF44" i="82" s="1"/>
  <c r="X20" i="82"/>
  <c r="P41" i="82"/>
  <c r="Q46" i="82"/>
  <c r="AF46" i="82" s="1"/>
  <c r="R54" i="82"/>
  <c r="Q47" i="82"/>
  <c r="AF47" i="82" s="1"/>
  <c r="M32" i="82"/>
  <c r="AE32" i="82" s="1"/>
  <c r="AH85" i="82"/>
  <c r="Y83" i="82"/>
  <c r="R76" i="82"/>
  <c r="Q30" i="82"/>
  <c r="R28" i="82"/>
  <c r="R37" i="82" s="1"/>
  <c r="U107" i="82"/>
  <c r="AG107" i="82" s="1"/>
  <c r="AG83" i="82"/>
  <c r="U101" i="82"/>
  <c r="AG101" i="82" s="1"/>
  <c r="AC122" i="82"/>
  <c r="I120" i="82"/>
  <c r="AD122" i="82"/>
  <c r="AC99" i="82"/>
  <c r="AD99" i="82"/>
  <c r="L127" i="82"/>
  <c r="I123" i="82"/>
  <c r="L128" i="82"/>
  <c r="L106" i="82"/>
  <c r="L109" i="82" s="1"/>
  <c r="M78" i="82"/>
  <c r="AE78" i="82" s="1"/>
  <c r="M41" i="82"/>
  <c r="AE41" i="82" s="1"/>
  <c r="AE43" i="82"/>
  <c r="M26" i="82"/>
  <c r="AB108" i="82"/>
  <c r="Y70" i="82"/>
  <c r="AB63" i="82"/>
  <c r="P76" i="82"/>
  <c r="P75" i="82" s="1"/>
  <c r="P59" i="82" s="1"/>
  <c r="P28" i="82"/>
  <c r="P37" i="82" s="1"/>
  <c r="R25" i="82"/>
  <c r="AF63" i="82"/>
  <c r="Q52" i="82"/>
  <c r="AF52" i="82" s="1"/>
  <c r="I102" i="82"/>
  <c r="I96" i="82" s="1"/>
  <c r="AD89" i="82"/>
  <c r="AC89" i="82"/>
  <c r="P54" i="82"/>
  <c r="R78" i="82"/>
  <c r="Q78" i="82" s="1"/>
  <c r="AF78" i="82" s="1"/>
  <c r="Q32" i="82"/>
  <c r="AF32" i="82" s="1"/>
  <c r="Q53" i="82"/>
  <c r="AF53" i="82" s="1"/>
  <c r="R41" i="82"/>
  <c r="Q43" i="82"/>
  <c r="AF43" i="82" s="1"/>
  <c r="Q27" i="82"/>
  <c r="AF27" i="82" s="1"/>
  <c r="Q51" i="82"/>
  <c r="AF51" i="82" s="1"/>
  <c r="Q45" i="82"/>
  <c r="AF45" i="82" s="1"/>
  <c r="U108" i="82"/>
  <c r="AG108" i="82" s="1"/>
  <c r="AG70" i="82"/>
  <c r="U63" i="82"/>
  <c r="N75" i="82"/>
  <c r="N59" i="82" s="1"/>
  <c r="T25" i="82" l="1"/>
  <c r="AG63" i="82"/>
  <c r="Y107" i="82"/>
  <c r="AH107" i="82" s="1"/>
  <c r="Y101" i="82"/>
  <c r="AH101" i="82" s="1"/>
  <c r="AH83" i="82"/>
  <c r="N99" i="82"/>
  <c r="N89" i="82"/>
  <c r="Q26" i="82"/>
  <c r="Y108" i="82"/>
  <c r="AH108" i="82" s="1"/>
  <c r="AH70" i="82"/>
  <c r="Y63" i="82"/>
  <c r="AC123" i="82"/>
  <c r="AD123" i="82"/>
  <c r="R75" i="82"/>
  <c r="R59" i="82" s="1"/>
  <c r="X98" i="82"/>
  <c r="X58" i="82"/>
  <c r="U58" i="82" s="1"/>
  <c r="AG58" i="82" s="1"/>
  <c r="X53" i="82"/>
  <c r="X49" i="82"/>
  <c r="U49" i="82" s="1"/>
  <c r="AG49" i="82" s="1"/>
  <c r="X47" i="82"/>
  <c r="U47" i="82" s="1"/>
  <c r="AG47" i="82" s="1"/>
  <c r="X45" i="82"/>
  <c r="X52" i="82"/>
  <c r="X50" i="82"/>
  <c r="U50" i="82" s="1"/>
  <c r="AG50" i="82" s="1"/>
  <c r="X55" i="82"/>
  <c r="X54" i="82" s="1"/>
  <c r="X51" i="82"/>
  <c r="X44" i="82"/>
  <c r="X42" i="82"/>
  <c r="U42" i="82" s="1"/>
  <c r="X48" i="82"/>
  <c r="X46" i="82"/>
  <c r="U46" i="82" s="1"/>
  <c r="AG46" i="82" s="1"/>
  <c r="X43" i="82"/>
  <c r="X30" i="82"/>
  <c r="X27" i="82"/>
  <c r="X32" i="82"/>
  <c r="X78" i="82" s="1"/>
  <c r="X26" i="82"/>
  <c r="AB20" i="82"/>
  <c r="T76" i="82"/>
  <c r="T75" i="82" s="1"/>
  <c r="T59" i="82" s="1"/>
  <c r="T28" i="82"/>
  <c r="T37" i="82" s="1"/>
  <c r="V76" i="82"/>
  <c r="V28" i="82"/>
  <c r="V37" i="82" s="1"/>
  <c r="U30" i="82"/>
  <c r="U53" i="82"/>
  <c r="AG53" i="82" s="1"/>
  <c r="U51" i="82"/>
  <c r="AG51" i="82" s="1"/>
  <c r="I121" i="82"/>
  <c r="AD120" i="82"/>
  <c r="AC120" i="82"/>
  <c r="U43" i="82"/>
  <c r="AG43" i="82" s="1"/>
  <c r="I131" i="82"/>
  <c r="I133" i="82" s="1"/>
  <c r="I106" i="82"/>
  <c r="I128" i="82"/>
  <c r="I129" i="82" s="1"/>
  <c r="I127" i="82"/>
  <c r="AC96" i="82"/>
  <c r="AD96" i="82"/>
  <c r="Z98" i="82"/>
  <c r="Z55" i="82"/>
  <c r="Z48" i="82"/>
  <c r="Z46" i="82"/>
  <c r="Z51" i="82"/>
  <c r="Z58" i="82"/>
  <c r="Z52" i="82"/>
  <c r="Z50" i="82"/>
  <c r="Z43" i="82"/>
  <c r="Z47" i="82"/>
  <c r="Z45" i="82"/>
  <c r="Z44" i="82"/>
  <c r="Z30" i="82"/>
  <c r="Z32" i="82"/>
  <c r="Z27" i="82"/>
  <c r="Z26" i="82"/>
  <c r="Z53" i="82"/>
  <c r="Z49" i="82"/>
  <c r="Z42" i="82"/>
  <c r="P99" i="82"/>
  <c r="P96" i="82" s="1"/>
  <c r="P89" i="82"/>
  <c r="P102" i="82" s="1"/>
  <c r="M25" i="82"/>
  <c r="AE26" i="82"/>
  <c r="U27" i="82"/>
  <c r="AG27" i="82" s="1"/>
  <c r="U26" i="82"/>
  <c r="V25" i="82"/>
  <c r="U55" i="82"/>
  <c r="V54" i="82"/>
  <c r="V41" i="82"/>
  <c r="U48" i="82"/>
  <c r="AG48" i="82" s="1"/>
  <c r="AC102" i="82"/>
  <c r="AD102" i="82"/>
  <c r="Q54" i="82"/>
  <c r="AF54" i="82" s="1"/>
  <c r="AF55" i="82"/>
  <c r="M76" i="82"/>
  <c r="AF30" i="82"/>
  <c r="Q28" i="82"/>
  <c r="Q42" i="82"/>
  <c r="T41" i="82"/>
  <c r="T54" i="82"/>
  <c r="U52" i="82"/>
  <c r="AG52" i="82" s="1"/>
  <c r="U45" i="82"/>
  <c r="AG45" i="82" s="1"/>
  <c r="V78" i="82"/>
  <c r="U78" i="82" s="1"/>
  <c r="AG78" i="82" s="1"/>
  <c r="U32" i="82"/>
  <c r="AG32" i="82" s="1"/>
  <c r="U44" i="82"/>
  <c r="AG44" i="82" s="1"/>
  <c r="M28" i="82"/>
  <c r="AE28" i="82" l="1"/>
  <c r="M37" i="82"/>
  <c r="AE37" i="82" s="1"/>
  <c r="M20" i="82"/>
  <c r="AE25" i="82"/>
  <c r="U76" i="82"/>
  <c r="V75" i="82"/>
  <c r="V59" i="82" s="1"/>
  <c r="X76" i="82"/>
  <c r="X75" i="82" s="1"/>
  <c r="X59" i="82" s="1"/>
  <c r="X28" i="82"/>
  <c r="X37" i="82" s="1"/>
  <c r="Q76" i="82"/>
  <c r="M89" i="82"/>
  <c r="N102" i="82"/>
  <c r="U41" i="82"/>
  <c r="AG42" i="82"/>
  <c r="AC106" i="82"/>
  <c r="I109" i="82"/>
  <c r="AD106" i="82"/>
  <c r="AF26" i="82"/>
  <c r="Q25" i="82"/>
  <c r="U25" i="82"/>
  <c r="AG26" i="82"/>
  <c r="Z41" i="82"/>
  <c r="AB98" i="82"/>
  <c r="AB51" i="82"/>
  <c r="AB44" i="82"/>
  <c r="Y44" i="82" s="1"/>
  <c r="AH44" i="82" s="1"/>
  <c r="AB42" i="82"/>
  <c r="Y42" i="82" s="1"/>
  <c r="AB58" i="82"/>
  <c r="Y58" i="82" s="1"/>
  <c r="AH58" i="82" s="1"/>
  <c r="AB53" i="82"/>
  <c r="AB49" i="82"/>
  <c r="Y49" i="82" s="1"/>
  <c r="AH49" i="82" s="1"/>
  <c r="AB55" i="82"/>
  <c r="AB48" i="82"/>
  <c r="Y48" i="82" s="1"/>
  <c r="AH48" i="82" s="1"/>
  <c r="AB46" i="82"/>
  <c r="Y46" i="82" s="1"/>
  <c r="AH46" i="82" s="1"/>
  <c r="AB32" i="82"/>
  <c r="AB78" i="82" s="1"/>
  <c r="AB26" i="82"/>
  <c r="AB43" i="82"/>
  <c r="Y43" i="82" s="1"/>
  <c r="AH43" i="82" s="1"/>
  <c r="AB27" i="82"/>
  <c r="Y27" i="82" s="1"/>
  <c r="AH27" i="82" s="1"/>
  <c r="AB50" i="82"/>
  <c r="Y50" i="82" s="1"/>
  <c r="AH50" i="82" s="1"/>
  <c r="AB52" i="82"/>
  <c r="Y52" i="82" s="1"/>
  <c r="AH52" i="82" s="1"/>
  <c r="AB47" i="82"/>
  <c r="Y47" i="82" s="1"/>
  <c r="AH47" i="82" s="1"/>
  <c r="AB45" i="82"/>
  <c r="Y45" i="82" s="1"/>
  <c r="AH45" i="82" s="1"/>
  <c r="AB30" i="82"/>
  <c r="Y30" i="82" s="1"/>
  <c r="X41" i="82"/>
  <c r="AH63" i="82"/>
  <c r="AF42" i="82"/>
  <c r="Q41" i="82"/>
  <c r="AF41" i="82" s="1"/>
  <c r="M75" i="82"/>
  <c r="AE76" i="82"/>
  <c r="Z78" i="82"/>
  <c r="Y78" i="82" s="1"/>
  <c r="AH78" i="82" s="1"/>
  <c r="Z54" i="82"/>
  <c r="Y55" i="82"/>
  <c r="AD121" i="82"/>
  <c r="AC121" i="82"/>
  <c r="X25" i="82"/>
  <c r="R99" i="82"/>
  <c r="R89" i="82"/>
  <c r="N96" i="82"/>
  <c r="U54" i="82"/>
  <c r="AG54" i="82" s="1"/>
  <c r="AG55" i="82"/>
  <c r="Y53" i="82"/>
  <c r="AH53" i="82" s="1"/>
  <c r="Z76" i="82"/>
  <c r="Z28" i="82"/>
  <c r="Z37" i="82" s="1"/>
  <c r="Y51" i="82"/>
  <c r="AH51" i="82" s="1"/>
  <c r="U28" i="82"/>
  <c r="AG30" i="82"/>
  <c r="T99" i="82"/>
  <c r="T89" i="82"/>
  <c r="T102" i="82" s="1"/>
  <c r="Q37" i="82"/>
  <c r="AF37" i="82" s="1"/>
  <c r="AF28" i="82"/>
  <c r="P127" i="82"/>
  <c r="M123" i="82"/>
  <c r="AE123" i="82" s="1"/>
  <c r="P128" i="82"/>
  <c r="P106" i="82"/>
  <c r="P109" i="82" s="1"/>
  <c r="Y26" i="82"/>
  <c r="Z25" i="82"/>
  <c r="Y32" i="82" l="1"/>
  <c r="AH32" i="82" s="1"/>
  <c r="U37" i="82"/>
  <c r="AG37" i="82" s="1"/>
  <c r="AG28" i="82"/>
  <c r="AH55" i="82"/>
  <c r="Y54" i="82"/>
  <c r="AH54" i="82" s="1"/>
  <c r="AE75" i="82"/>
  <c r="M59" i="82"/>
  <c r="AG25" i="82"/>
  <c r="U20" i="82"/>
  <c r="M102" i="82"/>
  <c r="AE102" i="82" s="1"/>
  <c r="AE89" i="82"/>
  <c r="V99" i="82"/>
  <c r="V89" i="82"/>
  <c r="M98" i="82"/>
  <c r="AE20" i="82"/>
  <c r="Y41" i="82"/>
  <c r="AH41" i="82" s="1"/>
  <c r="AH42" i="82"/>
  <c r="AF25" i="82"/>
  <c r="Q20" i="82"/>
  <c r="AD109" i="82"/>
  <c r="AC109" i="82"/>
  <c r="Q75" i="82"/>
  <c r="AF76" i="82"/>
  <c r="U75" i="82"/>
  <c r="AG76" i="82"/>
  <c r="T96" i="82"/>
  <c r="Z75" i="82"/>
  <c r="Z59" i="82" s="1"/>
  <c r="N128" i="82"/>
  <c r="N127" i="82"/>
  <c r="N122" i="82"/>
  <c r="M122" i="82" s="1"/>
  <c r="N106" i="82"/>
  <c r="N109" i="82" s="1"/>
  <c r="AB25" i="82"/>
  <c r="AB54" i="82"/>
  <c r="AB41" i="82"/>
  <c r="AG41" i="82"/>
  <c r="AH30" i="82"/>
  <c r="Y28" i="82"/>
  <c r="AH26" i="82"/>
  <c r="Y25" i="82"/>
  <c r="R102" i="82"/>
  <c r="R96" i="82" s="1"/>
  <c r="Q89" i="82"/>
  <c r="AB76" i="82"/>
  <c r="AB75" i="82" s="1"/>
  <c r="AB59" i="82" s="1"/>
  <c r="AB28" i="82"/>
  <c r="AB37" i="82" s="1"/>
  <c r="X99" i="82"/>
  <c r="X89" i="82"/>
  <c r="X102" i="82" s="1"/>
  <c r="AB99" i="82" l="1"/>
  <c r="AB89" i="82"/>
  <c r="AB102" i="82" s="1"/>
  <c r="AE122" i="82"/>
  <c r="M120" i="82"/>
  <c r="Y76" i="82"/>
  <c r="Q98" i="82"/>
  <c r="AF20" i="82"/>
  <c r="Q102" i="82"/>
  <c r="AF102" i="82" s="1"/>
  <c r="AF89" i="82"/>
  <c r="Y37" i="82"/>
  <c r="AH37" i="82" s="1"/>
  <c r="AH28" i="82"/>
  <c r="T127" i="82"/>
  <c r="T128" i="82"/>
  <c r="Q123" i="82"/>
  <c r="AF123" i="82" s="1"/>
  <c r="T106" i="82"/>
  <c r="T109" i="82" s="1"/>
  <c r="M99" i="82"/>
  <c r="AE99" i="82" s="1"/>
  <c r="AE59" i="82"/>
  <c r="R128" i="82"/>
  <c r="R122" i="82"/>
  <c r="Q122" i="82" s="1"/>
  <c r="R127" i="82"/>
  <c r="R106" i="82"/>
  <c r="R109" i="82" s="1"/>
  <c r="X96" i="82"/>
  <c r="M96" i="82"/>
  <c r="AE98" i="82"/>
  <c r="AF75" i="82"/>
  <c r="Q59" i="82"/>
  <c r="AH25" i="82"/>
  <c r="Y20" i="82"/>
  <c r="Z99" i="82"/>
  <c r="Z89" i="82"/>
  <c r="AG75" i="82"/>
  <c r="U59" i="82"/>
  <c r="U89" i="82"/>
  <c r="V102" i="82"/>
  <c r="V96" i="82" s="1"/>
  <c r="U98" i="82"/>
  <c r="AG20" i="82"/>
  <c r="V128" i="82" l="1"/>
  <c r="V127" i="82"/>
  <c r="V122" i="82"/>
  <c r="U122" i="82" s="1"/>
  <c r="V106" i="82"/>
  <c r="V109" i="82" s="1"/>
  <c r="Q99" i="82"/>
  <c r="AF99" i="82" s="1"/>
  <c r="AF59" i="82"/>
  <c r="AG98" i="82"/>
  <c r="M106" i="82"/>
  <c r="M128" i="82"/>
  <c r="M127" i="82"/>
  <c r="AE96" i="82"/>
  <c r="AF122" i="82"/>
  <c r="Q120" i="82"/>
  <c r="AE120" i="82"/>
  <c r="M121" i="82"/>
  <c r="AE121" i="82" s="1"/>
  <c r="Z102" i="82"/>
  <c r="Y89" i="82"/>
  <c r="X127" i="82"/>
  <c r="U123" i="82"/>
  <c r="AG123" i="82" s="1"/>
  <c r="X128" i="82"/>
  <c r="X106" i="82"/>
  <c r="X109" i="82" s="1"/>
  <c r="U102" i="82"/>
  <c r="AG102" i="82" s="1"/>
  <c r="AG89" i="82"/>
  <c r="Z96" i="82"/>
  <c r="AF98" i="82"/>
  <c r="Q96" i="82"/>
  <c r="U99" i="82"/>
  <c r="AG59" i="82"/>
  <c r="Y98" i="82"/>
  <c r="AH20" i="82"/>
  <c r="AH76" i="82"/>
  <c r="Y75" i="82"/>
  <c r="AB96" i="82"/>
  <c r="AG99" i="82" l="1"/>
  <c r="Q106" i="82"/>
  <c r="Q128" i="82"/>
  <c r="Q127" i="82"/>
  <c r="AF96" i="82"/>
  <c r="U96" i="82"/>
  <c r="AH98" i="82"/>
  <c r="Y102" i="82"/>
  <c r="AH102" i="82" s="1"/>
  <c r="AH89" i="82"/>
  <c r="AF120" i="82"/>
  <c r="Q121" i="82"/>
  <c r="AF121" i="82" s="1"/>
  <c r="AG122" i="82"/>
  <c r="U120" i="82"/>
  <c r="AB127" i="82"/>
  <c r="Y123" i="82"/>
  <c r="AH123" i="82" s="1"/>
  <c r="AB128" i="82"/>
  <c r="AB106" i="82"/>
  <c r="AB109" i="82" s="1"/>
  <c r="AH75" i="82"/>
  <c r="Y59" i="82"/>
  <c r="Z128" i="82"/>
  <c r="Z122" i="82"/>
  <c r="Y122" i="82" s="1"/>
  <c r="Z127" i="82"/>
  <c r="Z106" i="82"/>
  <c r="Z109" i="82" s="1"/>
  <c r="M109" i="82"/>
  <c r="AE109" i="82" s="1"/>
  <c r="AE106" i="82"/>
  <c r="Y99" i="82" l="1"/>
  <c r="AH59" i="82"/>
  <c r="Y120" i="82"/>
  <c r="AH122" i="82"/>
  <c r="U121" i="82"/>
  <c r="AG121" i="82" s="1"/>
  <c r="AG120" i="82"/>
  <c r="U106" i="82"/>
  <c r="U128" i="82"/>
  <c r="U127" i="82"/>
  <c r="AG96" i="82"/>
  <c r="Q109" i="82"/>
  <c r="AF109" i="82" s="1"/>
  <c r="AF106" i="82"/>
  <c r="Y121" i="82" l="1"/>
  <c r="AH121" i="82" s="1"/>
  <c r="AH120" i="82"/>
  <c r="AG106" i="82"/>
  <c r="U109" i="82"/>
  <c r="AG109" i="82" s="1"/>
  <c r="AH99" i="82"/>
  <c r="Y96" i="82"/>
  <c r="Y106" i="82" l="1"/>
  <c r="Y128" i="82"/>
  <c r="Y127" i="82"/>
  <c r="AH96" i="82"/>
  <c r="Y109" i="82" l="1"/>
  <c r="AH109" i="82" s="1"/>
  <c r="AH106" i="82"/>
  <c r="S52" i="81" l="1"/>
  <c r="T52" i="81"/>
  <c r="T54" i="81"/>
  <c r="P54" i="81"/>
  <c r="O52" i="81"/>
  <c r="P52" i="81"/>
  <c r="O54" i="81"/>
  <c r="G52" i="81"/>
  <c r="W26" i="81" l="1"/>
  <c r="W25" i="81"/>
  <c r="P42" i="81"/>
  <c r="O42" i="81"/>
  <c r="O29" i="81"/>
  <c r="O26" i="81"/>
  <c r="O25" i="81" s="1"/>
  <c r="K25" i="81"/>
  <c r="I40" i="81"/>
  <c r="H40" i="81"/>
  <c r="I46" i="81"/>
  <c r="P35" i="81" l="1"/>
  <c r="W42" i="81"/>
  <c r="G46" i="81"/>
  <c r="G34" i="81" s="1"/>
  <c r="F69" i="81"/>
  <c r="E69" i="81"/>
  <c r="T67" i="81"/>
  <c r="P67" i="81"/>
  <c r="L67" i="81"/>
  <c r="E66" i="81"/>
  <c r="E71" i="81" s="1"/>
  <c r="D66" i="81"/>
  <c r="E55" i="81"/>
  <c r="I54" i="81"/>
  <c r="G54" i="81" s="1"/>
  <c r="H52" i="81" s="1"/>
  <c r="H54" i="81" s="1"/>
  <c r="K54" i="81" s="1"/>
  <c r="K52" i="81" s="1"/>
  <c r="L52" i="81" s="1"/>
  <c r="L54" i="81" s="1"/>
  <c r="M53" i="81"/>
  <c r="W53" i="81" s="1"/>
  <c r="J53" i="81"/>
  <c r="H53" i="81"/>
  <c r="Z52" i="81"/>
  <c r="Y52" i="81"/>
  <c r="V52" i="81"/>
  <c r="U52" i="81"/>
  <c r="R52" i="81"/>
  <c r="Q52" i="81"/>
  <c r="N52" i="81"/>
  <c r="M52" i="81"/>
  <c r="J52" i="81"/>
  <c r="I52" i="81"/>
  <c r="E49" i="81"/>
  <c r="G48" i="81"/>
  <c r="I47" i="81"/>
  <c r="J47" i="81" s="1"/>
  <c r="H47" i="81"/>
  <c r="G47" i="81"/>
  <c r="E43" i="81"/>
  <c r="G42" i="81"/>
  <c r="P41" i="81"/>
  <c r="T41" i="81" s="1"/>
  <c r="X41" i="81" s="1"/>
  <c r="L41" i="81"/>
  <c r="K41" i="81"/>
  <c r="M41" i="81" s="1"/>
  <c r="N41" i="81" s="1"/>
  <c r="I41" i="81"/>
  <c r="J41" i="81" s="1"/>
  <c r="E37" i="81"/>
  <c r="L35" i="81"/>
  <c r="K35" i="81"/>
  <c r="K47" i="81" s="1"/>
  <c r="J35" i="81"/>
  <c r="Y34" i="81"/>
  <c r="U34" i="81"/>
  <c r="Q34" i="81"/>
  <c r="M34" i="81"/>
  <c r="I34" i="81"/>
  <c r="I36" i="81" s="1"/>
  <c r="F31" i="81"/>
  <c r="E30" i="81"/>
  <c r="G29" i="81"/>
  <c r="K28" i="81"/>
  <c r="M28" i="81" s="1"/>
  <c r="N28" i="81" s="1"/>
  <c r="I28" i="81"/>
  <c r="J28" i="81" s="1"/>
  <c r="H28" i="81"/>
  <c r="L28" i="81" s="1"/>
  <c r="P28" i="81" s="1"/>
  <c r="G28" i="81"/>
  <c r="K27" i="81"/>
  <c r="I27" i="81"/>
  <c r="J27" i="81" s="1"/>
  <c r="H27" i="81"/>
  <c r="G27" i="81"/>
  <c r="Y26" i="81"/>
  <c r="Z26" i="81" s="1"/>
  <c r="U26" i="81"/>
  <c r="V26" i="81" s="1"/>
  <c r="Q26" i="81"/>
  <c r="R26" i="81" s="1"/>
  <c r="M26" i="81"/>
  <c r="I26" i="81"/>
  <c r="J26" i="81" s="1"/>
  <c r="G26" i="81"/>
  <c r="G25" i="81" s="1"/>
  <c r="U25" i="81"/>
  <c r="M25" i="81"/>
  <c r="E22" i="81"/>
  <c r="G21" i="81"/>
  <c r="K20" i="81"/>
  <c r="O20" i="81" s="1"/>
  <c r="J20" i="81"/>
  <c r="H20" i="81"/>
  <c r="L20" i="81" s="1"/>
  <c r="P20" i="81" s="1"/>
  <c r="T20" i="81" s="1"/>
  <c r="X20" i="81" s="1"/>
  <c r="G20" i="81"/>
  <c r="G70" i="81" s="1"/>
  <c r="E15" i="81"/>
  <c r="X13" i="81"/>
  <c r="T13" i="81"/>
  <c r="P13" i="81"/>
  <c r="L13" i="81"/>
  <c r="M13" i="81" s="1"/>
  <c r="N13" i="81" s="1"/>
  <c r="K13" i="81"/>
  <c r="H13" i="81"/>
  <c r="I13" i="81" s="1"/>
  <c r="J13" i="81" s="1"/>
  <c r="G13" i="81"/>
  <c r="E10" i="81"/>
  <c r="P8" i="81"/>
  <c r="L8" i="81"/>
  <c r="K8" i="81"/>
  <c r="J8" i="81"/>
  <c r="I8" i="81"/>
  <c r="H8" i="81"/>
  <c r="G8" i="81"/>
  <c r="Q20" i="81" l="1"/>
  <c r="S20" i="81"/>
  <c r="H21" i="81"/>
  <c r="G19" i="81"/>
  <c r="G7" i="81" s="1"/>
  <c r="G71" i="81"/>
  <c r="K70" i="81"/>
  <c r="O70" i="81" s="1"/>
  <c r="M20" i="81"/>
  <c r="N20" i="81" s="1"/>
  <c r="I25" i="81"/>
  <c r="N25" i="81" s="1"/>
  <c r="L27" i="81"/>
  <c r="O28" i="81"/>
  <c r="G36" i="81"/>
  <c r="H34" i="81"/>
  <c r="H36" i="81" s="1"/>
  <c r="T35" i="81"/>
  <c r="P47" i="81"/>
  <c r="T28" i="81"/>
  <c r="P27" i="81"/>
  <c r="J36" i="81"/>
  <c r="H26" i="81"/>
  <c r="H25" i="81" s="1"/>
  <c r="N26" i="81"/>
  <c r="F71" i="81"/>
  <c r="F66" i="81" s="1"/>
  <c r="M27" i="81"/>
  <c r="N27" i="81" s="1"/>
  <c r="H55" i="81"/>
  <c r="J34" i="81"/>
  <c r="N34" i="81"/>
  <c r="R34" i="81"/>
  <c r="V34" i="81"/>
  <c r="Z34" i="81"/>
  <c r="M35" i="81"/>
  <c r="M36" i="81"/>
  <c r="N36" i="81" s="1"/>
  <c r="L47" i="81"/>
  <c r="M47" i="81" s="1"/>
  <c r="N47" i="81" s="1"/>
  <c r="L53" i="81"/>
  <c r="P53" i="81"/>
  <c r="T53" i="81"/>
  <c r="X53" i="81"/>
  <c r="O41" i="81"/>
  <c r="K42" i="81"/>
  <c r="Q53" i="81"/>
  <c r="M54" i="81"/>
  <c r="N54" i="81" s="1"/>
  <c r="E68" i="81"/>
  <c r="J69" i="81"/>
  <c r="I69" i="81" s="1"/>
  <c r="O35" i="81"/>
  <c r="N53" i="81"/>
  <c r="J54" i="81"/>
  <c r="K53" i="81"/>
  <c r="O53" i="81"/>
  <c r="S53" i="81"/>
  <c r="N132" i="79"/>
  <c r="Z132" i="79"/>
  <c r="V132" i="79"/>
  <c r="R132" i="79"/>
  <c r="J132" i="41"/>
  <c r="Z131" i="79"/>
  <c r="V131" i="79"/>
  <c r="N131" i="79"/>
  <c r="J131" i="79"/>
  <c r="R130" i="41"/>
  <c r="G9" i="81" l="1"/>
  <c r="K67" i="81"/>
  <c r="H22" i="81"/>
  <c r="K21" i="81"/>
  <c r="H19" i="81"/>
  <c r="X28" i="81"/>
  <c r="X27" i="81" s="1"/>
  <c r="T27" i="81"/>
  <c r="Q28" i="81"/>
  <c r="R28" i="81" s="1"/>
  <c r="S28" i="81"/>
  <c r="O27" i="81"/>
  <c r="S70" i="81"/>
  <c r="O71" i="81"/>
  <c r="O47" i="81"/>
  <c r="Q47" i="81" s="1"/>
  <c r="R47" i="81" s="1"/>
  <c r="S35" i="81"/>
  <c r="Q35" i="81"/>
  <c r="O8" i="81"/>
  <c r="R53" i="81"/>
  <c r="Q54" i="81"/>
  <c r="R54" i="81" s="1"/>
  <c r="U53" i="81"/>
  <c r="N35" i="81"/>
  <c r="M8" i="81"/>
  <c r="N8" i="81" s="1"/>
  <c r="X35" i="81"/>
  <c r="T47" i="81"/>
  <c r="T8" i="81"/>
  <c r="M29" i="81"/>
  <c r="N69" i="81"/>
  <c r="M69" i="81" s="1"/>
  <c r="Q41" i="81"/>
  <c r="R41" i="81" s="1"/>
  <c r="S41" i="81"/>
  <c r="O13" i="81"/>
  <c r="Q13" i="81" s="1"/>
  <c r="R13" i="81" s="1"/>
  <c r="H29" i="81"/>
  <c r="H30" i="81" s="1"/>
  <c r="H7" i="81"/>
  <c r="H9" i="81" s="1"/>
  <c r="H10" i="81" s="1"/>
  <c r="H37" i="81"/>
  <c r="H48" i="81"/>
  <c r="I29" i="81"/>
  <c r="J29" i="81" s="1"/>
  <c r="I31" i="81"/>
  <c r="J25" i="81"/>
  <c r="I19" i="81"/>
  <c r="G12" i="81"/>
  <c r="U20" i="81"/>
  <c r="V20" i="81" s="1"/>
  <c r="W20" i="81"/>
  <c r="R20" i="81"/>
  <c r="J26" i="78"/>
  <c r="J27" i="78"/>
  <c r="E71" i="80"/>
  <c r="J69" i="80"/>
  <c r="I69" i="80" s="1"/>
  <c r="F69" i="80"/>
  <c r="E69" i="80"/>
  <c r="E68" i="80"/>
  <c r="T67" i="80"/>
  <c r="P67" i="80"/>
  <c r="L67" i="80"/>
  <c r="E66" i="80"/>
  <c r="D66" i="80"/>
  <c r="E55" i="80"/>
  <c r="M54" i="80"/>
  <c r="N54" i="80" s="1"/>
  <c r="J54" i="80"/>
  <c r="I54" i="80"/>
  <c r="G54" i="80"/>
  <c r="X53" i="80"/>
  <c r="W53" i="80"/>
  <c r="T53" i="80"/>
  <c r="S53" i="80"/>
  <c r="Q53" i="80"/>
  <c r="R53" i="80" s="1"/>
  <c r="P53" i="80"/>
  <c r="O53" i="80"/>
  <c r="N53" i="80"/>
  <c r="M53" i="80"/>
  <c r="L53" i="80"/>
  <c r="K53" i="80"/>
  <c r="J53" i="80"/>
  <c r="H53" i="80"/>
  <c r="Z52" i="80"/>
  <c r="Y52" i="80"/>
  <c r="V52" i="80"/>
  <c r="U52" i="80"/>
  <c r="R52" i="80"/>
  <c r="Q52" i="80"/>
  <c r="N52" i="80"/>
  <c r="M52" i="80"/>
  <c r="J52" i="80"/>
  <c r="I52" i="80"/>
  <c r="G52" i="80"/>
  <c r="H52" i="80" s="1"/>
  <c r="H54" i="80" s="1"/>
  <c r="E49" i="80"/>
  <c r="I48" i="80"/>
  <c r="J48" i="80" s="1"/>
  <c r="G48" i="80"/>
  <c r="M47" i="80"/>
  <c r="N47" i="80" s="1"/>
  <c r="L47" i="80"/>
  <c r="K47" i="80"/>
  <c r="I47" i="80"/>
  <c r="J47" i="80" s="1"/>
  <c r="H47" i="80"/>
  <c r="G47" i="80"/>
  <c r="G46" i="80"/>
  <c r="E43" i="80"/>
  <c r="K42" i="80"/>
  <c r="G42" i="80"/>
  <c r="P41" i="80"/>
  <c r="T41" i="80" s="1"/>
  <c r="X41" i="80" s="1"/>
  <c r="O41" i="80"/>
  <c r="N69" i="80" s="1"/>
  <c r="M69" i="80" s="1"/>
  <c r="M41" i="80"/>
  <c r="N41" i="80" s="1"/>
  <c r="L41" i="80"/>
  <c r="K41" i="80"/>
  <c r="J41" i="80"/>
  <c r="I41" i="80"/>
  <c r="E37" i="80"/>
  <c r="J36" i="80"/>
  <c r="I36" i="80"/>
  <c r="P35" i="80"/>
  <c r="T35" i="80" s="1"/>
  <c r="O35" i="80"/>
  <c r="O47" i="80" s="1"/>
  <c r="N35" i="80"/>
  <c r="M35" i="80"/>
  <c r="M36" i="80" s="1"/>
  <c r="N36" i="80" s="1"/>
  <c r="L35" i="80"/>
  <c r="K35" i="80"/>
  <c r="J35" i="80"/>
  <c r="Z34" i="80"/>
  <c r="Y34" i="80"/>
  <c r="V34" i="80"/>
  <c r="U34" i="80"/>
  <c r="R34" i="80"/>
  <c r="Q34" i="80"/>
  <c r="N34" i="80"/>
  <c r="M34" i="80"/>
  <c r="J34" i="80"/>
  <c r="I34" i="80"/>
  <c r="G34" i="80"/>
  <c r="F31" i="80"/>
  <c r="E30" i="80"/>
  <c r="G29" i="80"/>
  <c r="J28" i="80"/>
  <c r="I28" i="80"/>
  <c r="H28" i="80"/>
  <c r="L28" i="80" s="1"/>
  <c r="G28" i="80"/>
  <c r="K28" i="80" s="1"/>
  <c r="J27" i="80"/>
  <c r="I27" i="80"/>
  <c r="H27" i="80"/>
  <c r="G27" i="80"/>
  <c r="Z26" i="80"/>
  <c r="Y26" i="80"/>
  <c r="V26" i="80"/>
  <c r="U26" i="80"/>
  <c r="R26" i="80"/>
  <c r="Q26" i="80"/>
  <c r="N26" i="80"/>
  <c r="M26" i="80"/>
  <c r="J26" i="80"/>
  <c r="I26" i="80"/>
  <c r="G26" i="80"/>
  <c r="H26" i="80" s="1"/>
  <c r="H25" i="80" s="1"/>
  <c r="J25" i="80"/>
  <c r="I25" i="80"/>
  <c r="I29" i="80" s="1"/>
  <c r="J29" i="80" s="1"/>
  <c r="G25" i="80"/>
  <c r="P22" i="80"/>
  <c r="E22" i="80"/>
  <c r="H21" i="80"/>
  <c r="K21" i="80" s="1"/>
  <c r="L21" i="80" s="1"/>
  <c r="O21" i="80" s="1"/>
  <c r="P21" i="80" s="1"/>
  <c r="S21" i="80" s="1"/>
  <c r="T21" i="80" s="1"/>
  <c r="G21" i="80"/>
  <c r="J20" i="80"/>
  <c r="H20" i="80"/>
  <c r="L20" i="80" s="1"/>
  <c r="G20" i="80"/>
  <c r="G19" i="80"/>
  <c r="E15" i="80"/>
  <c r="X13" i="80"/>
  <c r="T13" i="80"/>
  <c r="P13" i="80"/>
  <c r="Q13" i="80" s="1"/>
  <c r="O13" i="80"/>
  <c r="L13" i="80"/>
  <c r="M13" i="80" s="1"/>
  <c r="N13" i="80" s="1"/>
  <c r="K13" i="80"/>
  <c r="H13" i="80"/>
  <c r="I13" i="80" s="1"/>
  <c r="J13" i="80" s="1"/>
  <c r="G13" i="80"/>
  <c r="E10" i="80"/>
  <c r="T8" i="80"/>
  <c r="P8" i="80"/>
  <c r="O8" i="80"/>
  <c r="N8" i="80"/>
  <c r="M8" i="80"/>
  <c r="L8" i="80"/>
  <c r="K8" i="80"/>
  <c r="J8" i="80"/>
  <c r="I8" i="80"/>
  <c r="H8" i="80"/>
  <c r="G8" i="80"/>
  <c r="G7" i="80"/>
  <c r="G9" i="80" s="1"/>
  <c r="AC7" i="79"/>
  <c r="AD7" i="79"/>
  <c r="M8" i="79"/>
  <c r="Q8" i="79"/>
  <c r="U8" i="79"/>
  <c r="Y8" i="79"/>
  <c r="AC8" i="79"/>
  <c r="AC9" i="79"/>
  <c r="AC10" i="79"/>
  <c r="AC11" i="79"/>
  <c r="M12" i="79"/>
  <c r="M10" i="79" s="1"/>
  <c r="AC12" i="79"/>
  <c r="AC13" i="79"/>
  <c r="E14" i="79"/>
  <c r="F14" i="79"/>
  <c r="D14" i="79" s="1"/>
  <c r="G14" i="79"/>
  <c r="H14" i="79"/>
  <c r="J14" i="79"/>
  <c r="I14" i="79" s="1"/>
  <c r="P14" i="79"/>
  <c r="R14" i="79"/>
  <c r="X14" i="79"/>
  <c r="Z14" i="79"/>
  <c r="D15" i="79"/>
  <c r="I15" i="79"/>
  <c r="AC15" i="79" s="1"/>
  <c r="M15" i="79"/>
  <c r="Q15" i="79"/>
  <c r="AF15" i="79" s="1"/>
  <c r="U15" i="79"/>
  <c r="AG15" i="79" s="1"/>
  <c r="Y15" i="79"/>
  <c r="AD15" i="79"/>
  <c r="AH15" i="79"/>
  <c r="D16" i="79"/>
  <c r="I16" i="79"/>
  <c r="AC16" i="79" s="1"/>
  <c r="M16" i="79"/>
  <c r="Q16" i="79"/>
  <c r="AF16" i="79" s="1"/>
  <c r="U16" i="79"/>
  <c r="AG16" i="79" s="1"/>
  <c r="Y16" i="79"/>
  <c r="AD16" i="79"/>
  <c r="AH16" i="79"/>
  <c r="D17" i="79"/>
  <c r="J17" i="79"/>
  <c r="L17" i="79"/>
  <c r="L14" i="79" s="1"/>
  <c r="N17" i="79"/>
  <c r="N14" i="79" s="1"/>
  <c r="M14" i="79" s="1"/>
  <c r="AE14" i="79" s="1"/>
  <c r="P17" i="79"/>
  <c r="Q17" i="79"/>
  <c r="R17" i="79"/>
  <c r="T17" i="79"/>
  <c r="T14" i="79" s="1"/>
  <c r="V17" i="79"/>
  <c r="U17" i="79" s="1"/>
  <c r="AG17" i="79" s="1"/>
  <c r="X17" i="79"/>
  <c r="Z17" i="79"/>
  <c r="AB17" i="79"/>
  <c r="AB14" i="79" s="1"/>
  <c r="D18" i="79"/>
  <c r="I18" i="79"/>
  <c r="AD18" i="79" s="1"/>
  <c r="M18" i="79"/>
  <c r="AE18" i="79" s="1"/>
  <c r="Q18" i="79"/>
  <c r="AG18" i="79" s="1"/>
  <c r="U18" i="79"/>
  <c r="Y18" i="79"/>
  <c r="AH18" i="79" s="1"/>
  <c r="AF18" i="79"/>
  <c r="D19" i="79"/>
  <c r="I19" i="79"/>
  <c r="AD19" i="79" s="1"/>
  <c r="J19" i="79"/>
  <c r="K19" i="79"/>
  <c r="K14" i="79" s="1"/>
  <c r="L19" i="79"/>
  <c r="M19" i="79"/>
  <c r="AE19" i="79" s="1"/>
  <c r="N19" i="79"/>
  <c r="O19" i="79"/>
  <c r="O14" i="79" s="1"/>
  <c r="P19" i="79"/>
  <c r="Q19" i="79"/>
  <c r="AF19" i="79" s="1"/>
  <c r="R19" i="79"/>
  <c r="S19" i="79"/>
  <c r="S14" i="79" s="1"/>
  <c r="T19" i="79"/>
  <c r="U19" i="79"/>
  <c r="V19" i="79"/>
  <c r="W19" i="79"/>
  <c r="W14" i="79" s="1"/>
  <c r="X19" i="79"/>
  <c r="Y19" i="79"/>
  <c r="AH19" i="79" s="1"/>
  <c r="Z19" i="79"/>
  <c r="AA19" i="79"/>
  <c r="AA14" i="79" s="1"/>
  <c r="AB19" i="79"/>
  <c r="AC19" i="79"/>
  <c r="AG19" i="79"/>
  <c r="AC21" i="79"/>
  <c r="AD21" i="79"/>
  <c r="AE21" i="79"/>
  <c r="AF21" i="79"/>
  <c r="AG21" i="79"/>
  <c r="AH21" i="79"/>
  <c r="D22" i="79"/>
  <c r="I22" i="79"/>
  <c r="M22" i="79"/>
  <c r="AE22" i="79" s="1"/>
  <c r="Q22" i="79"/>
  <c r="AG22" i="79" s="1"/>
  <c r="U22" i="79"/>
  <c r="Y22" i="79"/>
  <c r="AH22" i="79" s="1"/>
  <c r="AF22" i="79"/>
  <c r="D23" i="79"/>
  <c r="I23" i="79"/>
  <c r="M23" i="79"/>
  <c r="AE23" i="79" s="1"/>
  <c r="Q23" i="79"/>
  <c r="AG23" i="79" s="1"/>
  <c r="U23" i="79"/>
  <c r="Y23" i="79"/>
  <c r="AH23" i="79" s="1"/>
  <c r="AF23" i="79"/>
  <c r="D24" i="79"/>
  <c r="I24" i="79"/>
  <c r="M24" i="79"/>
  <c r="Q24" i="79"/>
  <c r="AG24" i="79" s="1"/>
  <c r="U24" i="79"/>
  <c r="Y24" i="79"/>
  <c r="AH24" i="79" s="1"/>
  <c r="AF24" i="79"/>
  <c r="E25" i="79"/>
  <c r="F25" i="79"/>
  <c r="G25" i="79"/>
  <c r="H25" i="79"/>
  <c r="K25" i="79"/>
  <c r="O25" i="79"/>
  <c r="S25" i="79"/>
  <c r="W25" i="79"/>
  <c r="AA25" i="79"/>
  <c r="D26" i="79"/>
  <c r="D25" i="79" s="1"/>
  <c r="D27" i="79"/>
  <c r="D28" i="79"/>
  <c r="E28" i="79"/>
  <c r="F28" i="79"/>
  <c r="G28" i="79"/>
  <c r="H28" i="79"/>
  <c r="K28" i="79"/>
  <c r="O28" i="79"/>
  <c r="S28" i="79"/>
  <c r="W28" i="79"/>
  <c r="AA28" i="79"/>
  <c r="AC29" i="79"/>
  <c r="AD29" i="79"/>
  <c r="AE29" i="79"/>
  <c r="AF29" i="79"/>
  <c r="AG29" i="79"/>
  <c r="AH29" i="79"/>
  <c r="D30" i="79"/>
  <c r="D31" i="79"/>
  <c r="I31" i="79"/>
  <c r="M31" i="79"/>
  <c r="Q31" i="79"/>
  <c r="U31" i="79"/>
  <c r="Y31" i="79"/>
  <c r="AH31" i="79" s="1"/>
  <c r="AD31" i="79"/>
  <c r="AF31" i="79"/>
  <c r="D32" i="79"/>
  <c r="E33" i="79"/>
  <c r="E37" i="79" s="1"/>
  <c r="F33" i="79"/>
  <c r="G33" i="79"/>
  <c r="H33" i="79"/>
  <c r="K33" i="79"/>
  <c r="N33" i="79"/>
  <c r="O33" i="79"/>
  <c r="P33" i="79"/>
  <c r="Q33" i="79"/>
  <c r="R33" i="79"/>
  <c r="S33" i="79"/>
  <c r="T33" i="79"/>
  <c r="V33" i="79"/>
  <c r="W33" i="79"/>
  <c r="X33" i="79"/>
  <c r="Y33" i="79"/>
  <c r="Z33" i="79"/>
  <c r="AA33" i="79"/>
  <c r="AB33" i="79"/>
  <c r="D34" i="79"/>
  <c r="M34" i="79"/>
  <c r="AF34" i="79" s="1"/>
  <c r="Q34" i="79"/>
  <c r="U34" i="79"/>
  <c r="U33" i="79" s="1"/>
  <c r="AG33" i="79" s="1"/>
  <c r="Y34" i="79"/>
  <c r="D35" i="79"/>
  <c r="I35" i="79"/>
  <c r="M35" i="79"/>
  <c r="AF35" i="79" s="1"/>
  <c r="Q35" i="79"/>
  <c r="U35" i="79"/>
  <c r="Y35" i="79"/>
  <c r="AC35" i="79"/>
  <c r="AE35" i="79"/>
  <c r="AG35" i="79"/>
  <c r="D36" i="79"/>
  <c r="M36" i="79"/>
  <c r="Q36" i="79"/>
  <c r="U36" i="79"/>
  <c r="AH36" i="79" s="1"/>
  <c r="Y36" i="79"/>
  <c r="AG36" i="79"/>
  <c r="G37" i="79"/>
  <c r="H37" i="79"/>
  <c r="E38" i="79"/>
  <c r="F38" i="79"/>
  <c r="G38" i="79"/>
  <c r="H38" i="79"/>
  <c r="I38" i="79"/>
  <c r="J38" i="79"/>
  <c r="K38" i="79"/>
  <c r="L38" i="79"/>
  <c r="N38" i="79"/>
  <c r="O38" i="79"/>
  <c r="P38" i="79"/>
  <c r="R38" i="79"/>
  <c r="S38" i="79"/>
  <c r="T38" i="79"/>
  <c r="V38" i="79"/>
  <c r="W38" i="79"/>
  <c r="X38" i="79"/>
  <c r="Y38" i="79"/>
  <c r="Z38" i="79"/>
  <c r="AA38" i="79"/>
  <c r="AB38" i="79"/>
  <c r="AC38" i="79"/>
  <c r="AH38" i="79"/>
  <c r="D39" i="79"/>
  <c r="D38" i="79" s="1"/>
  <c r="AD38" i="79" s="1"/>
  <c r="I39" i="79"/>
  <c r="M39" i="79"/>
  <c r="M38" i="79" s="1"/>
  <c r="AE38" i="79" s="1"/>
  <c r="Q39" i="79"/>
  <c r="U39" i="79"/>
  <c r="Y39" i="79"/>
  <c r="AC39" i="79"/>
  <c r="AD39" i="79"/>
  <c r="AH39" i="79"/>
  <c r="D40" i="79"/>
  <c r="I40" i="79"/>
  <c r="M40" i="79"/>
  <c r="AE40" i="79" s="1"/>
  <c r="Q40" i="79"/>
  <c r="U40" i="79"/>
  <c r="U38" i="79" s="1"/>
  <c r="Y40" i="79"/>
  <c r="AC40" i="79"/>
  <c r="AD40" i="79"/>
  <c r="AH40" i="79"/>
  <c r="E41" i="79"/>
  <c r="F41" i="79"/>
  <c r="G41" i="79"/>
  <c r="K41" i="79"/>
  <c r="O41" i="79"/>
  <c r="S41" i="79"/>
  <c r="W41" i="79"/>
  <c r="AA41" i="79"/>
  <c r="D42" i="79"/>
  <c r="I42" i="79"/>
  <c r="M42" i="79"/>
  <c r="D43" i="79"/>
  <c r="D44" i="79"/>
  <c r="D45" i="79"/>
  <c r="H45" i="79"/>
  <c r="D46" i="79"/>
  <c r="D47" i="79"/>
  <c r="D48" i="79"/>
  <c r="D49" i="79"/>
  <c r="H49" i="79"/>
  <c r="H41" i="79" s="1"/>
  <c r="D50" i="79"/>
  <c r="I50" i="79"/>
  <c r="AC50" i="79"/>
  <c r="D51" i="79"/>
  <c r="D52" i="79"/>
  <c r="I52" i="79"/>
  <c r="M52" i="79"/>
  <c r="AD52" i="79"/>
  <c r="D53" i="79"/>
  <c r="I53" i="79"/>
  <c r="AD53" i="79" s="1"/>
  <c r="L53" i="79"/>
  <c r="AC53" i="79"/>
  <c r="E54" i="79"/>
  <c r="F54" i="79"/>
  <c r="G54" i="79"/>
  <c r="K54" i="79"/>
  <c r="O54" i="79"/>
  <c r="S54" i="79"/>
  <c r="W54" i="79"/>
  <c r="AA54" i="79"/>
  <c r="D55" i="79"/>
  <c r="H55" i="79"/>
  <c r="H54" i="79" s="1"/>
  <c r="D56" i="79"/>
  <c r="I56" i="79"/>
  <c r="M56" i="79"/>
  <c r="Q56" i="79"/>
  <c r="AF56" i="79" s="1"/>
  <c r="U56" i="79"/>
  <c r="Y56" i="79"/>
  <c r="AC56" i="79"/>
  <c r="AE56" i="79"/>
  <c r="D57" i="79"/>
  <c r="AD57" i="79" s="1"/>
  <c r="I57" i="79"/>
  <c r="M57" i="79"/>
  <c r="Q57" i="79"/>
  <c r="AF57" i="79" s="1"/>
  <c r="U57" i="79"/>
  <c r="Y57" i="79"/>
  <c r="AC57" i="79"/>
  <c r="AE57" i="79"/>
  <c r="D58" i="79"/>
  <c r="F59" i="79"/>
  <c r="F99" i="79" s="1"/>
  <c r="E60" i="79"/>
  <c r="F60" i="79"/>
  <c r="G60" i="79"/>
  <c r="H60" i="79"/>
  <c r="I60" i="79"/>
  <c r="J60" i="79"/>
  <c r="K60" i="79"/>
  <c r="L60" i="79"/>
  <c r="N60" i="79"/>
  <c r="O60" i="79"/>
  <c r="P60" i="79"/>
  <c r="Q60" i="79"/>
  <c r="R60" i="79"/>
  <c r="S60" i="79"/>
  <c r="T60" i="79"/>
  <c r="V60" i="79"/>
  <c r="W60" i="79"/>
  <c r="W59" i="79" s="1"/>
  <c r="X60" i="79"/>
  <c r="Y60" i="79"/>
  <c r="Z60" i="79"/>
  <c r="AA60" i="79"/>
  <c r="AA59" i="79" s="1"/>
  <c r="AB60" i="79"/>
  <c r="AC60" i="79"/>
  <c r="D61" i="79"/>
  <c r="I61" i="79"/>
  <c r="M61" i="79"/>
  <c r="M60" i="79" s="1"/>
  <c r="AE60" i="79" s="1"/>
  <c r="Q61" i="79"/>
  <c r="U61" i="79"/>
  <c r="Y61" i="79"/>
  <c r="AC61" i="79"/>
  <c r="D62" i="79"/>
  <c r="AD62" i="79" s="1"/>
  <c r="I62" i="79"/>
  <c r="M62" i="79"/>
  <c r="Q62" i="79"/>
  <c r="AF62" i="79" s="1"/>
  <c r="U62" i="79"/>
  <c r="AH62" i="79" s="1"/>
  <c r="Y62" i="79"/>
  <c r="AC62" i="79"/>
  <c r="AE62" i="79"/>
  <c r="AG62" i="79"/>
  <c r="E63" i="79"/>
  <c r="F63" i="79"/>
  <c r="G63" i="79"/>
  <c r="H63" i="79"/>
  <c r="H59" i="79" s="1"/>
  <c r="J63" i="79"/>
  <c r="K63" i="79"/>
  <c r="N63" i="79"/>
  <c r="O63" i="79"/>
  <c r="S63" i="79"/>
  <c r="V63" i="79"/>
  <c r="W63" i="79"/>
  <c r="AA63" i="79"/>
  <c r="D64" i="79"/>
  <c r="I64" i="79"/>
  <c r="AD64" i="79" s="1"/>
  <c r="M64" i="79"/>
  <c r="Q64" i="79"/>
  <c r="U64" i="79"/>
  <c r="Y64" i="79"/>
  <c r="AE64" i="79"/>
  <c r="AH64" i="79"/>
  <c r="D65" i="79"/>
  <c r="I65" i="79"/>
  <c r="J65" i="79"/>
  <c r="M65" i="79"/>
  <c r="N65" i="79"/>
  <c r="R65" i="79" s="1"/>
  <c r="R63" i="79" s="1"/>
  <c r="Q65" i="79"/>
  <c r="AF65" i="79" s="1"/>
  <c r="V65" i="79"/>
  <c r="Z65" i="79" s="1"/>
  <c r="Z63" i="79" s="1"/>
  <c r="D66" i="79"/>
  <c r="I66" i="79"/>
  <c r="M66" i="79"/>
  <c r="AE66" i="79" s="1"/>
  <c r="Q66" i="79"/>
  <c r="U66" i="79"/>
  <c r="Y66" i="79"/>
  <c r="AC66" i="79"/>
  <c r="AD66" i="79"/>
  <c r="AH66" i="79"/>
  <c r="D67" i="79"/>
  <c r="I67" i="79"/>
  <c r="M67" i="79"/>
  <c r="Q67" i="79"/>
  <c r="U67" i="79"/>
  <c r="Y67" i="79"/>
  <c r="AC67" i="79"/>
  <c r="AE67" i="79"/>
  <c r="D68" i="79"/>
  <c r="I68" i="79"/>
  <c r="M68" i="79"/>
  <c r="Q68" i="79"/>
  <c r="AF68" i="79" s="1"/>
  <c r="U68" i="79"/>
  <c r="AH68" i="79" s="1"/>
  <c r="Y68" i="79"/>
  <c r="AC68" i="79"/>
  <c r="AD68" i="79"/>
  <c r="AE68" i="79"/>
  <c r="AG68" i="79"/>
  <c r="D69" i="79"/>
  <c r="AD69" i="79" s="1"/>
  <c r="I69" i="79"/>
  <c r="M69" i="79"/>
  <c r="AE69" i="79" s="1"/>
  <c r="Q69" i="79"/>
  <c r="U69" i="79"/>
  <c r="AG69" i="79" s="1"/>
  <c r="Y69" i="79"/>
  <c r="AC69" i="79"/>
  <c r="AH69" i="79"/>
  <c r="D70" i="79"/>
  <c r="P70" i="79"/>
  <c r="M70" i="79" s="1"/>
  <c r="D71" i="79"/>
  <c r="I71" i="79"/>
  <c r="AD71" i="79" s="1"/>
  <c r="M71" i="79"/>
  <c r="Q71" i="79"/>
  <c r="U71" i="79"/>
  <c r="Y71" i="79"/>
  <c r="AC71" i="79"/>
  <c r="AG71" i="79"/>
  <c r="AH71" i="79"/>
  <c r="D72" i="79"/>
  <c r="I72" i="79"/>
  <c r="AC72" i="79" s="1"/>
  <c r="M72" i="79"/>
  <c r="Q72" i="79"/>
  <c r="U72" i="79"/>
  <c r="Y72" i="79"/>
  <c r="AH72" i="79" s="1"/>
  <c r="AD72" i="79"/>
  <c r="D73" i="79"/>
  <c r="I73" i="79"/>
  <c r="M73" i="79"/>
  <c r="AE73" i="79" s="1"/>
  <c r="Q73" i="79"/>
  <c r="AG73" i="79" s="1"/>
  <c r="U73" i="79"/>
  <c r="Y73" i="79"/>
  <c r="AC73" i="79"/>
  <c r="AD73" i="79"/>
  <c r="AF73" i="79"/>
  <c r="AH73" i="79"/>
  <c r="D74" i="79"/>
  <c r="I74" i="79"/>
  <c r="AC74" i="79" s="1"/>
  <c r="N74" i="79"/>
  <c r="R74" i="79" s="1"/>
  <c r="E75" i="79"/>
  <c r="F75" i="79"/>
  <c r="G75" i="79"/>
  <c r="H75" i="79"/>
  <c r="K75" i="79"/>
  <c r="O75" i="79"/>
  <c r="S75" i="79"/>
  <c r="W75" i="79"/>
  <c r="AA75" i="79"/>
  <c r="D76" i="79"/>
  <c r="D77" i="79"/>
  <c r="I77" i="79"/>
  <c r="M77" i="79"/>
  <c r="AE77" i="79" s="1"/>
  <c r="Q77" i="79"/>
  <c r="U77" i="79"/>
  <c r="AG77" i="79" s="1"/>
  <c r="Y77" i="79"/>
  <c r="AC77" i="79"/>
  <c r="AF77" i="79"/>
  <c r="D78" i="79"/>
  <c r="D79" i="79"/>
  <c r="J79" i="79"/>
  <c r="Z79" i="79"/>
  <c r="Y79" i="79" s="1"/>
  <c r="D80" i="79"/>
  <c r="I80" i="79"/>
  <c r="M80" i="79"/>
  <c r="AE80" i="79" s="1"/>
  <c r="N80" i="79"/>
  <c r="R80" i="79"/>
  <c r="AC80" i="79"/>
  <c r="AD80" i="79"/>
  <c r="D81" i="79"/>
  <c r="I81" i="79"/>
  <c r="AC81" i="79" s="1"/>
  <c r="M81" i="79"/>
  <c r="Q81" i="79"/>
  <c r="U81" i="79"/>
  <c r="Y81" i="79"/>
  <c r="AH81" i="79" s="1"/>
  <c r="AD81" i="79"/>
  <c r="D82" i="79"/>
  <c r="I82" i="79"/>
  <c r="M82" i="79"/>
  <c r="AE82" i="79" s="1"/>
  <c r="Q82" i="79"/>
  <c r="AG82" i="79" s="1"/>
  <c r="U82" i="79"/>
  <c r="Y82" i="79"/>
  <c r="AC82" i="79"/>
  <c r="AD82" i="79"/>
  <c r="AF82" i="79"/>
  <c r="AH82" i="79"/>
  <c r="E83" i="79"/>
  <c r="F83" i="79"/>
  <c r="F101" i="79" s="1"/>
  <c r="K83" i="79"/>
  <c r="S83" i="79"/>
  <c r="V83" i="79"/>
  <c r="V101" i="79" s="1"/>
  <c r="AA83" i="79"/>
  <c r="AC84" i="79"/>
  <c r="AD84" i="79"/>
  <c r="AE84" i="79"/>
  <c r="AF84" i="79"/>
  <c r="AG84" i="79"/>
  <c r="AH84" i="79"/>
  <c r="D85" i="79"/>
  <c r="D83" i="79" s="1"/>
  <c r="D107" i="79" s="1"/>
  <c r="E85" i="79"/>
  <c r="F85" i="79"/>
  <c r="G85" i="79"/>
  <c r="G83" i="79" s="1"/>
  <c r="G101" i="79" s="1"/>
  <c r="H85" i="79"/>
  <c r="H83" i="79" s="1"/>
  <c r="H101" i="79" s="1"/>
  <c r="J85" i="79"/>
  <c r="J83" i="79" s="1"/>
  <c r="J101" i="79" s="1"/>
  <c r="K85" i="79"/>
  <c r="L85" i="79"/>
  <c r="L83" i="79" s="1"/>
  <c r="L70" i="79" s="1"/>
  <c r="N85" i="79"/>
  <c r="N83" i="79" s="1"/>
  <c r="N101" i="79" s="1"/>
  <c r="O85" i="79"/>
  <c r="O83" i="79" s="1"/>
  <c r="P85" i="79"/>
  <c r="P83" i="79" s="1"/>
  <c r="R85" i="79"/>
  <c r="R83" i="79" s="1"/>
  <c r="R101" i="79" s="1"/>
  <c r="S85" i="79"/>
  <c r="V85" i="79"/>
  <c r="W85" i="79"/>
  <c r="W83" i="79" s="1"/>
  <c r="W101" i="79" s="1"/>
  <c r="X85" i="79"/>
  <c r="X83" i="79" s="1"/>
  <c r="X70" i="79" s="1"/>
  <c r="Z85" i="79"/>
  <c r="Z83" i="79" s="1"/>
  <c r="Z101" i="79" s="1"/>
  <c r="AA85" i="79"/>
  <c r="D86" i="79"/>
  <c r="I86" i="79"/>
  <c r="M86" i="79"/>
  <c r="M85" i="79" s="1"/>
  <c r="Q86" i="79"/>
  <c r="U86" i="79"/>
  <c r="Y86" i="79"/>
  <c r="AF86" i="79"/>
  <c r="D87" i="79"/>
  <c r="I87" i="79"/>
  <c r="M87" i="79"/>
  <c r="Q87" i="79"/>
  <c r="U87" i="79"/>
  <c r="AG87" i="79" s="1"/>
  <c r="Y87" i="79"/>
  <c r="AH87" i="79" s="1"/>
  <c r="AF87" i="79"/>
  <c r="D88" i="79"/>
  <c r="I88" i="79"/>
  <c r="L88" i="79"/>
  <c r="M88" i="79"/>
  <c r="P88" i="79"/>
  <c r="T88" i="79" s="1"/>
  <c r="X88" i="79" s="1"/>
  <c r="Q88" i="79"/>
  <c r="AF88" i="79" s="1"/>
  <c r="D89" i="79"/>
  <c r="D102" i="79" s="1"/>
  <c r="D90" i="79"/>
  <c r="D103" i="79" s="1"/>
  <c r="I90" i="79"/>
  <c r="AD90" i="79" s="1"/>
  <c r="M90" i="79"/>
  <c r="AF90" i="79" s="1"/>
  <c r="Q90" i="79"/>
  <c r="U90" i="79"/>
  <c r="Y90" i="79"/>
  <c r="AH90" i="79" s="1"/>
  <c r="AC90" i="79"/>
  <c r="AE90" i="79"/>
  <c r="AG90" i="79"/>
  <c r="D91" i="79"/>
  <c r="J91" i="79"/>
  <c r="J104" i="79" s="1"/>
  <c r="K91" i="79"/>
  <c r="L91" i="79"/>
  <c r="O91" i="79"/>
  <c r="P91" i="79"/>
  <c r="P104" i="79" s="1"/>
  <c r="R91" i="79"/>
  <c r="S91" i="79"/>
  <c r="T91" i="79"/>
  <c r="T104" i="79" s="1"/>
  <c r="V91" i="79"/>
  <c r="V104" i="79" s="1"/>
  <c r="W91" i="79"/>
  <c r="X91" i="79"/>
  <c r="Z91" i="79"/>
  <c r="Z104" i="79" s="1"/>
  <c r="AA91" i="79"/>
  <c r="AB91" i="79"/>
  <c r="J92" i="79"/>
  <c r="I92" i="79" s="1"/>
  <c r="N92" i="79"/>
  <c r="M92" i="79" s="1"/>
  <c r="Q92" i="79"/>
  <c r="U92" i="79"/>
  <c r="Y92" i="79"/>
  <c r="AC92" i="79"/>
  <c r="AE92" i="79"/>
  <c r="I93" i="79"/>
  <c r="AC93" i="79" s="1"/>
  <c r="M93" i="79"/>
  <c r="AE93" i="79" s="1"/>
  <c r="Q93" i="79"/>
  <c r="U93" i="79"/>
  <c r="Y93" i="79"/>
  <c r="AD93" i="79"/>
  <c r="AF93" i="79"/>
  <c r="AH93" i="79"/>
  <c r="I94" i="79"/>
  <c r="M94" i="79"/>
  <c r="Q94" i="79"/>
  <c r="AF94" i="79" s="1"/>
  <c r="U94" i="79"/>
  <c r="AH94" i="79" s="1"/>
  <c r="Y94" i="79"/>
  <c r="AC94" i="79"/>
  <c r="AD94" i="79"/>
  <c r="AE94" i="79"/>
  <c r="I95" i="79"/>
  <c r="AC95" i="79" s="1"/>
  <c r="J95" i="79"/>
  <c r="M95" i="79"/>
  <c r="AE95" i="79" s="1"/>
  <c r="N95" i="79"/>
  <c r="Q95" i="79"/>
  <c r="AG95" i="79" s="1"/>
  <c r="U95" i="79"/>
  <c r="Y95" i="79"/>
  <c r="AH95" i="79" s="1"/>
  <c r="AC97" i="79"/>
  <c r="AD97" i="79"/>
  <c r="AE97" i="79"/>
  <c r="AF97" i="79"/>
  <c r="AG97" i="79"/>
  <c r="AH97" i="79"/>
  <c r="H99" i="79"/>
  <c r="W99" i="79"/>
  <c r="AA99" i="79"/>
  <c r="D100" i="79"/>
  <c r="E100" i="79"/>
  <c r="F100" i="79"/>
  <c r="G100" i="79"/>
  <c r="H100" i="79"/>
  <c r="AC100" i="79" s="1"/>
  <c r="I100" i="79"/>
  <c r="J100" i="79"/>
  <c r="K100" i="79"/>
  <c r="L100" i="79"/>
  <c r="M100" i="79"/>
  <c r="N100" i="79"/>
  <c r="O100" i="79"/>
  <c r="P100" i="79"/>
  <c r="R100" i="79"/>
  <c r="S100" i="79"/>
  <c r="T100" i="79"/>
  <c r="W100" i="79"/>
  <c r="X100" i="79"/>
  <c r="Z100" i="79"/>
  <c r="AA100" i="79"/>
  <c r="AB100" i="79"/>
  <c r="AD100" i="79"/>
  <c r="AE100" i="79"/>
  <c r="E101" i="79"/>
  <c r="K101" i="79"/>
  <c r="O101" i="79"/>
  <c r="P101" i="79"/>
  <c r="S101" i="79"/>
  <c r="AA101" i="79"/>
  <c r="E102" i="79"/>
  <c r="F102" i="79"/>
  <c r="G102" i="79"/>
  <c r="H102" i="79"/>
  <c r="K102" i="79"/>
  <c r="O102" i="79"/>
  <c r="S102" i="79"/>
  <c r="W102" i="79"/>
  <c r="AA102" i="79"/>
  <c r="E103" i="79"/>
  <c r="F103" i="79"/>
  <c r="G103" i="79"/>
  <c r="H103" i="79"/>
  <c r="I103" i="79"/>
  <c r="AD103" i="79" s="1"/>
  <c r="J103" i="79"/>
  <c r="K103" i="79"/>
  <c r="L103" i="79"/>
  <c r="M103" i="79"/>
  <c r="AE103" i="79" s="1"/>
  <c r="N103" i="79"/>
  <c r="O103" i="79"/>
  <c r="P103" i="79"/>
  <c r="Q103" i="79"/>
  <c r="AF103" i="79" s="1"/>
  <c r="R103" i="79"/>
  <c r="S103" i="79"/>
  <c r="T103" i="79"/>
  <c r="U103" i="79"/>
  <c r="AG103" i="79" s="1"/>
  <c r="V103" i="79"/>
  <c r="W103" i="79"/>
  <c r="X103" i="79"/>
  <c r="Y103" i="79"/>
  <c r="Z103" i="79"/>
  <c r="AA103" i="79"/>
  <c r="AB103" i="79"/>
  <c r="AC103" i="79"/>
  <c r="AH103" i="79"/>
  <c r="D104" i="79"/>
  <c r="E104" i="79"/>
  <c r="F104" i="79"/>
  <c r="G104" i="79"/>
  <c r="H104" i="79"/>
  <c r="K104" i="79"/>
  <c r="L104" i="79"/>
  <c r="O104" i="79"/>
  <c r="R104" i="79"/>
  <c r="S104" i="79"/>
  <c r="W104" i="79"/>
  <c r="X104" i="79"/>
  <c r="AA104" i="79"/>
  <c r="AB104" i="79"/>
  <c r="AC105" i="79"/>
  <c r="AD105" i="79"/>
  <c r="AE105" i="79"/>
  <c r="AF105" i="79"/>
  <c r="AG105" i="79"/>
  <c r="AH105" i="79"/>
  <c r="E107" i="79"/>
  <c r="F107" i="79"/>
  <c r="J107" i="79"/>
  <c r="K107" i="79"/>
  <c r="O107" i="79"/>
  <c r="P107" i="79"/>
  <c r="S107" i="79"/>
  <c r="V107" i="79"/>
  <c r="Z107" i="79"/>
  <c r="AA107" i="79"/>
  <c r="D108" i="79"/>
  <c r="E108" i="79"/>
  <c r="F108" i="79"/>
  <c r="G108" i="79"/>
  <c r="H108" i="79"/>
  <c r="J108" i="79"/>
  <c r="K108" i="79"/>
  <c r="N108" i="79"/>
  <c r="O108" i="79"/>
  <c r="R108" i="79"/>
  <c r="S108" i="79"/>
  <c r="V108" i="79"/>
  <c r="W108" i="79"/>
  <c r="Z108" i="79"/>
  <c r="AA108" i="79"/>
  <c r="AC110" i="79"/>
  <c r="AD110" i="79"/>
  <c r="AE110" i="79"/>
  <c r="AF110" i="79"/>
  <c r="AG110" i="79"/>
  <c r="AH110" i="79"/>
  <c r="AC111" i="79"/>
  <c r="AD111" i="79"/>
  <c r="AE111" i="79"/>
  <c r="AF111" i="79"/>
  <c r="AG111" i="79"/>
  <c r="AH111" i="79"/>
  <c r="AC112" i="79"/>
  <c r="AD112" i="79"/>
  <c r="AE112" i="79"/>
  <c r="AF112" i="79"/>
  <c r="AG112" i="79"/>
  <c r="AH112" i="79"/>
  <c r="A113" i="79"/>
  <c r="AC113" i="79"/>
  <c r="AD113" i="79"/>
  <c r="AE113" i="79"/>
  <c r="AF113" i="79"/>
  <c r="AG113" i="79"/>
  <c r="AH113" i="79"/>
  <c r="D114" i="79"/>
  <c r="AD114" i="79" s="1"/>
  <c r="E114" i="79"/>
  <c r="H114" i="79"/>
  <c r="I114" i="79"/>
  <c r="M114" i="79"/>
  <c r="AE114" i="79" s="1"/>
  <c r="N114" i="79"/>
  <c r="Q114" i="79"/>
  <c r="R114" i="79"/>
  <c r="U114" i="79"/>
  <c r="AG114" i="79" s="1"/>
  <c r="V114" i="79"/>
  <c r="Y114" i="79"/>
  <c r="Z114" i="79"/>
  <c r="AC114" i="79"/>
  <c r="AH114" i="79"/>
  <c r="AC115" i="79"/>
  <c r="AD115" i="79"/>
  <c r="AE115" i="79"/>
  <c r="AF115" i="79"/>
  <c r="AG115" i="79"/>
  <c r="AH115" i="79"/>
  <c r="AC116" i="79"/>
  <c r="AD116" i="79"/>
  <c r="AE116" i="79"/>
  <c r="AF116" i="79"/>
  <c r="AG116" i="79"/>
  <c r="AH116" i="79"/>
  <c r="AC117" i="79"/>
  <c r="AD117" i="79"/>
  <c r="AE117" i="79"/>
  <c r="AF117" i="79"/>
  <c r="AG117" i="79"/>
  <c r="AH117" i="79"/>
  <c r="D118" i="79"/>
  <c r="I118" i="79"/>
  <c r="AD118" i="79" s="1"/>
  <c r="J118" i="79"/>
  <c r="N118" i="79"/>
  <c r="M118" i="79" s="1"/>
  <c r="R118" i="79"/>
  <c r="Q118" i="79" s="1"/>
  <c r="V118" i="79"/>
  <c r="U118" i="79" s="1"/>
  <c r="Z118" i="79"/>
  <c r="Y118" i="79" s="1"/>
  <c r="AC119" i="79"/>
  <c r="AD119" i="79"/>
  <c r="AE119" i="79"/>
  <c r="AF119" i="79"/>
  <c r="AG119" i="79"/>
  <c r="AH119" i="79"/>
  <c r="AC125" i="79"/>
  <c r="AD125" i="79"/>
  <c r="AE125" i="79"/>
  <c r="AF125" i="79"/>
  <c r="AG125" i="79"/>
  <c r="AH125" i="79"/>
  <c r="J133" i="79"/>
  <c r="J137" i="79"/>
  <c r="L137" i="79"/>
  <c r="G14" i="81" l="1"/>
  <c r="Q27" i="81"/>
  <c r="R27" i="81" s="1"/>
  <c r="Y20" i="81"/>
  <c r="Z20" i="81" s="1"/>
  <c r="I21" i="81"/>
  <c r="J21" i="81" s="1"/>
  <c r="J19" i="81"/>
  <c r="K48" i="81"/>
  <c r="K46" i="81" s="1"/>
  <c r="H49" i="81"/>
  <c r="H46" i="81"/>
  <c r="I48" i="81" s="1"/>
  <c r="J48" i="81" s="1"/>
  <c r="L55" i="81"/>
  <c r="U28" i="81"/>
  <c r="V28" i="81" s="1"/>
  <c r="W28" i="81"/>
  <c r="S27" i="81"/>
  <c r="K71" i="81"/>
  <c r="H67" i="81"/>
  <c r="V53" i="81"/>
  <c r="U54" i="81"/>
  <c r="V54" i="81" s="1"/>
  <c r="Y53" i="81"/>
  <c r="R35" i="81"/>
  <c r="Q8" i="81"/>
  <c r="R8" i="81" s="1"/>
  <c r="Q36" i="81"/>
  <c r="R36" i="81" s="1"/>
  <c r="I7" i="81"/>
  <c r="U41" i="81"/>
  <c r="V41" i="81" s="1"/>
  <c r="R69" i="81"/>
  <c r="Q69" i="81" s="1"/>
  <c r="S42" i="81"/>
  <c r="W41" i="81"/>
  <c r="S13" i="81"/>
  <c r="U13" i="81" s="1"/>
  <c r="V13" i="81" s="1"/>
  <c r="L29" i="81"/>
  <c r="N29" i="81"/>
  <c r="K29" i="81"/>
  <c r="K26" i="81" s="1"/>
  <c r="X47" i="81"/>
  <c r="X8" i="81"/>
  <c r="S47" i="81"/>
  <c r="U47" i="81" s="1"/>
  <c r="V47" i="81" s="1"/>
  <c r="W35" i="81"/>
  <c r="U35" i="81"/>
  <c r="S8" i="81"/>
  <c r="S71" i="81"/>
  <c r="W70" i="81"/>
  <c r="W71" i="81" s="1"/>
  <c r="L21" i="81"/>
  <c r="K19" i="81"/>
  <c r="R13" i="80"/>
  <c r="P20" i="80"/>
  <c r="L19" i="80"/>
  <c r="M28" i="80"/>
  <c r="N28" i="80" s="1"/>
  <c r="O28" i="80"/>
  <c r="K27" i="80"/>
  <c r="H29" i="80"/>
  <c r="I19" i="80"/>
  <c r="G12" i="80"/>
  <c r="K20" i="80"/>
  <c r="G70" i="80"/>
  <c r="T22" i="80"/>
  <c r="W21" i="80"/>
  <c r="X21" i="80" s="1"/>
  <c r="X22" i="80" s="1"/>
  <c r="L22" i="80"/>
  <c r="P28" i="80"/>
  <c r="L27" i="80"/>
  <c r="G36" i="80"/>
  <c r="H34" i="80"/>
  <c r="H36" i="80" s="1"/>
  <c r="K54" i="80"/>
  <c r="K52" i="80" s="1"/>
  <c r="L52" i="80" s="1"/>
  <c r="L54" i="80" s="1"/>
  <c r="H55" i="80"/>
  <c r="H19" i="80"/>
  <c r="X35" i="80"/>
  <c r="T47" i="80"/>
  <c r="H22" i="80"/>
  <c r="I31" i="80"/>
  <c r="Q35" i="80"/>
  <c r="P47" i="80"/>
  <c r="Q47" i="80" s="1"/>
  <c r="R47" i="80" s="1"/>
  <c r="S41" i="80"/>
  <c r="O42" i="80"/>
  <c r="U53" i="80"/>
  <c r="Q54" i="80"/>
  <c r="R54" i="80" s="1"/>
  <c r="K67" i="80"/>
  <c r="S35" i="80"/>
  <c r="Q41" i="80"/>
  <c r="R41" i="80" s="1"/>
  <c r="AH118" i="79"/>
  <c r="AG118" i="79"/>
  <c r="AF118" i="79"/>
  <c r="U91" i="79"/>
  <c r="AC88" i="79"/>
  <c r="AD88" i="79"/>
  <c r="Q85" i="79"/>
  <c r="AG81" i="79"/>
  <c r="AF81" i="79"/>
  <c r="U60" i="79"/>
  <c r="AH61" i="79"/>
  <c r="AE118" i="79"/>
  <c r="J30" i="79"/>
  <c r="J27" i="79"/>
  <c r="J36" i="79"/>
  <c r="J26" i="79"/>
  <c r="J46" i="79"/>
  <c r="J48" i="79"/>
  <c r="J43" i="79"/>
  <c r="J49" i="79"/>
  <c r="J58" i="79"/>
  <c r="J44" i="79"/>
  <c r="J47" i="79"/>
  <c r="J55" i="79"/>
  <c r="AC118" i="79"/>
  <c r="W107" i="79"/>
  <c r="R107" i="79"/>
  <c r="L107" i="79"/>
  <c r="G107" i="79"/>
  <c r="L101" i="79"/>
  <c r="AD95" i="79"/>
  <c r="AG94" i="79"/>
  <c r="Y91" i="79"/>
  <c r="I91" i="79"/>
  <c r="AD92" i="79"/>
  <c r="AD87" i="79"/>
  <c r="AE87" i="79"/>
  <c r="AC87" i="79"/>
  <c r="U85" i="79"/>
  <c r="T85" i="79"/>
  <c r="T83" i="79" s="1"/>
  <c r="Q80" i="79"/>
  <c r="AF80" i="79" s="1"/>
  <c r="V80" i="79"/>
  <c r="I79" i="79"/>
  <c r="N79" i="79"/>
  <c r="M79" i="79" s="1"/>
  <c r="R79" i="79"/>
  <c r="AD74" i="79"/>
  <c r="AE71" i="79"/>
  <c r="AF71" i="79"/>
  <c r="AH67" i="79"/>
  <c r="AG67" i="79"/>
  <c r="D63" i="79"/>
  <c r="AD67" i="79"/>
  <c r="P63" i="79"/>
  <c r="E59" i="79"/>
  <c r="E99" i="79" s="1"/>
  <c r="AG92" i="79"/>
  <c r="X63" i="79"/>
  <c r="U70" i="79"/>
  <c r="D101" i="79"/>
  <c r="Q91" i="79"/>
  <c r="AG93" i="79"/>
  <c r="U88" i="79"/>
  <c r="AG88" i="79" s="1"/>
  <c r="AB88" i="79"/>
  <c r="M83" i="79"/>
  <c r="I70" i="79"/>
  <c r="L63" i="79"/>
  <c r="D75" i="79"/>
  <c r="Q74" i="79"/>
  <c r="V74" i="79"/>
  <c r="AG72" i="79"/>
  <c r="AF72" i="79"/>
  <c r="AF66" i="79"/>
  <c r="AG66" i="79"/>
  <c r="AG61" i="79"/>
  <c r="AE70" i="79"/>
  <c r="AE65" i="79"/>
  <c r="AD65" i="79"/>
  <c r="AD61" i="79"/>
  <c r="D60" i="79"/>
  <c r="AD60" i="79" s="1"/>
  <c r="M108" i="79"/>
  <c r="AF114" i="79"/>
  <c r="X108" i="79"/>
  <c r="P108" i="79"/>
  <c r="L108" i="79"/>
  <c r="X107" i="79"/>
  <c r="N107" i="79"/>
  <c r="H107" i="79"/>
  <c r="X101" i="79"/>
  <c r="AF95" i="79"/>
  <c r="M91" i="79"/>
  <c r="AF92" i="79"/>
  <c r="N91" i="79"/>
  <c r="N104" i="79" s="1"/>
  <c r="AE88" i="79"/>
  <c r="AH86" i="79"/>
  <c r="AD86" i="79"/>
  <c r="AE86" i="79"/>
  <c r="I85" i="79"/>
  <c r="AC86" i="79"/>
  <c r="AC65" i="79"/>
  <c r="AF64" i="79"/>
  <c r="J51" i="79"/>
  <c r="AE42" i="79"/>
  <c r="AD42" i="79"/>
  <c r="AC42" i="79"/>
  <c r="AH92" i="79"/>
  <c r="AG86" i="79"/>
  <c r="AH77" i="79"/>
  <c r="AD77" i="79"/>
  <c r="M74" i="79"/>
  <c r="AE74" i="79" s="1"/>
  <c r="AF69" i="79"/>
  <c r="U65" i="79"/>
  <c r="AG65" i="79" s="1"/>
  <c r="S59" i="79"/>
  <c r="S99" i="79" s="1"/>
  <c r="O59" i="79"/>
  <c r="O99" i="79" s="1"/>
  <c r="AF40" i="79"/>
  <c r="AG40" i="79"/>
  <c r="AE81" i="79"/>
  <c r="AE72" i="79"/>
  <c r="AF67" i="79"/>
  <c r="Y65" i="79"/>
  <c r="AH65" i="79" s="1"/>
  <c r="M63" i="79"/>
  <c r="AE61" i="79"/>
  <c r="AF61" i="79"/>
  <c r="J45" i="79"/>
  <c r="I63" i="79"/>
  <c r="AC64" i="79"/>
  <c r="K59" i="79"/>
  <c r="K99" i="79" s="1"/>
  <c r="G59" i="79"/>
  <c r="G99" i="79" s="1"/>
  <c r="AG57" i="79"/>
  <c r="AH57" i="79"/>
  <c r="AG56" i="79"/>
  <c r="AH56" i="79"/>
  <c r="D54" i="79"/>
  <c r="AD56" i="79"/>
  <c r="AC52" i="79"/>
  <c r="AE52" i="79"/>
  <c r="D33" i="79"/>
  <c r="D37" i="79" s="1"/>
  <c r="L34" i="79"/>
  <c r="J34" i="79"/>
  <c r="AG64" i="79"/>
  <c r="AF60" i="79"/>
  <c r="L55" i="79"/>
  <c r="AD50" i="79"/>
  <c r="L44" i="79"/>
  <c r="AG38" i="79"/>
  <c r="AG34" i="79"/>
  <c r="AH60" i="79"/>
  <c r="D41" i="79"/>
  <c r="Q38" i="79"/>
  <c r="AF38" i="79" s="1"/>
  <c r="AG39" i="79"/>
  <c r="AF39" i="79"/>
  <c r="L51" i="79"/>
  <c r="AH35" i="79"/>
  <c r="AD35" i="79"/>
  <c r="AG31" i="79"/>
  <c r="AE24" i="79"/>
  <c r="AD23" i="79"/>
  <c r="AC23" i="79"/>
  <c r="Q14" i="79"/>
  <c r="AE39" i="79"/>
  <c r="AF36" i="79"/>
  <c r="AH34" i="79"/>
  <c r="AH33" i="79"/>
  <c r="AF33" i="79"/>
  <c r="M33" i="79"/>
  <c r="H20" i="79"/>
  <c r="H98" i="79" s="1"/>
  <c r="H96" i="79" s="1"/>
  <c r="G20" i="79"/>
  <c r="G98" i="79" s="1"/>
  <c r="AD24" i="79"/>
  <c r="AC24" i="79"/>
  <c r="M7" i="79"/>
  <c r="K20" i="79"/>
  <c r="Y14" i="79"/>
  <c r="AC14" i="79"/>
  <c r="AD14" i="79"/>
  <c r="J32" i="79"/>
  <c r="AC31" i="79"/>
  <c r="AE31" i="79"/>
  <c r="F20" i="79"/>
  <c r="F98" i="79" s="1"/>
  <c r="F96" i="79" s="1"/>
  <c r="D20" i="79"/>
  <c r="D98" i="79" s="1"/>
  <c r="E20" i="79"/>
  <c r="E98" i="79" s="1"/>
  <c r="AD22" i="79"/>
  <c r="AC22" i="79"/>
  <c r="AC18" i="79"/>
  <c r="M17" i="79"/>
  <c r="AE16" i="79"/>
  <c r="AE15" i="79"/>
  <c r="Q12" i="79"/>
  <c r="V14" i="79"/>
  <c r="Q10" i="79"/>
  <c r="Q7" i="79" s="1"/>
  <c r="Y17" i="79"/>
  <c r="AH17" i="79" s="1"/>
  <c r="I17" i="79"/>
  <c r="G42" i="75"/>
  <c r="I40" i="75"/>
  <c r="O21" i="81" l="1"/>
  <c r="L22" i="81"/>
  <c r="L19" i="81"/>
  <c r="U8" i="81"/>
  <c r="V8" i="81" s="1"/>
  <c r="V35" i="81"/>
  <c r="U36" i="81"/>
  <c r="V36" i="81" s="1"/>
  <c r="U27" i="81"/>
  <c r="S54" i="81"/>
  <c r="T55" i="81" s="1"/>
  <c r="P55" i="81"/>
  <c r="W47" i="81"/>
  <c r="Y47" i="81" s="1"/>
  <c r="Z47" i="81" s="1"/>
  <c r="Y35" i="81"/>
  <c r="W8" i="81"/>
  <c r="V69" i="81"/>
  <c r="U69" i="81" s="1"/>
  <c r="Y41" i="81"/>
  <c r="Z41" i="81" s="1"/>
  <c r="W13" i="81"/>
  <c r="Y13" i="81" s="1"/>
  <c r="Z13" i="81" s="1"/>
  <c r="J7" i="81"/>
  <c r="I9" i="81"/>
  <c r="J9" i="81" s="1"/>
  <c r="Y28" i="81"/>
  <c r="Z28" i="81" s="1"/>
  <c r="W27" i="81"/>
  <c r="J46" i="81"/>
  <c r="M19" i="81"/>
  <c r="K12" i="81"/>
  <c r="L30" i="81"/>
  <c r="L26" i="81"/>
  <c r="L25" i="81" s="1"/>
  <c r="Z53" i="81"/>
  <c r="Y54" i="81"/>
  <c r="K34" i="81"/>
  <c r="Q36" i="80"/>
  <c r="R36" i="80" s="1"/>
  <c r="R35" i="80"/>
  <c r="Q8" i="80"/>
  <c r="R8" i="80" s="1"/>
  <c r="S47" i="80"/>
  <c r="U47" i="80" s="1"/>
  <c r="V47" i="80" s="1"/>
  <c r="W35" i="80"/>
  <c r="U35" i="80"/>
  <c r="S8" i="80"/>
  <c r="H67" i="80"/>
  <c r="U41" i="80"/>
  <c r="V41" i="80" s="1"/>
  <c r="R69" i="80"/>
  <c r="Q69" i="80" s="1"/>
  <c r="S42" i="80"/>
  <c r="W41" i="80"/>
  <c r="S13" i="80"/>
  <c r="U13" i="80" s="1"/>
  <c r="V13" i="80" s="1"/>
  <c r="H37" i="80"/>
  <c r="H48" i="80"/>
  <c r="O20" i="80"/>
  <c r="M20" i="80"/>
  <c r="N20" i="80" s="1"/>
  <c r="K19" i="80"/>
  <c r="H7" i="80"/>
  <c r="G14" i="80"/>
  <c r="H30" i="80"/>
  <c r="K29" i="80"/>
  <c r="V53" i="80"/>
  <c r="U54" i="80"/>
  <c r="V54" i="80" s="1"/>
  <c r="Y53" i="80"/>
  <c r="O54" i="80"/>
  <c r="O52" i="80" s="1"/>
  <c r="P52" i="80" s="1"/>
  <c r="P54" i="80" s="1"/>
  <c r="L55" i="80"/>
  <c r="M27" i="80"/>
  <c r="N27" i="80" s="1"/>
  <c r="K26" i="80"/>
  <c r="T20" i="80"/>
  <c r="P19" i="80"/>
  <c r="X47" i="80"/>
  <c r="X8" i="80"/>
  <c r="T28" i="80"/>
  <c r="P27" i="80"/>
  <c r="G71" i="80"/>
  <c r="F71" i="80" s="1"/>
  <c r="F66" i="80" s="1"/>
  <c r="K70" i="80"/>
  <c r="O70" i="80" s="1"/>
  <c r="J19" i="80"/>
  <c r="I21" i="80"/>
  <c r="J21" i="80" s="1"/>
  <c r="Q28" i="80"/>
  <c r="R28" i="80" s="1"/>
  <c r="S28" i="80"/>
  <c r="O27" i="80"/>
  <c r="R7" i="79"/>
  <c r="S7" i="79"/>
  <c r="T7" i="79"/>
  <c r="AC79" i="79"/>
  <c r="AD79" i="79"/>
  <c r="U83" i="79"/>
  <c r="AG85" i="79"/>
  <c r="U14" i="79"/>
  <c r="V100" i="79"/>
  <c r="AE17" i="79"/>
  <c r="AF17" i="79"/>
  <c r="N7" i="79"/>
  <c r="O7" i="79"/>
  <c r="O20" i="79" s="1"/>
  <c r="P7" i="79"/>
  <c r="L33" i="79"/>
  <c r="I83" i="79"/>
  <c r="AD85" i="79"/>
  <c r="AC85" i="79"/>
  <c r="AE91" i="79"/>
  <c r="M104" i="79"/>
  <c r="Z74" i="79"/>
  <c r="U74" i="79"/>
  <c r="AG74" i="79" s="1"/>
  <c r="AD17" i="79"/>
  <c r="AC17" i="79"/>
  <c r="U12" i="79"/>
  <c r="U10" i="79"/>
  <c r="U7" i="79" s="1"/>
  <c r="E96" i="79"/>
  <c r="L45" i="79"/>
  <c r="I45" i="79" s="1"/>
  <c r="AE63" i="79"/>
  <c r="AF74" i="79"/>
  <c r="AD70" i="79"/>
  <c r="AC70" i="79"/>
  <c r="I108" i="79"/>
  <c r="U108" i="79"/>
  <c r="AE79" i="79"/>
  <c r="T70" i="79"/>
  <c r="T101" i="79"/>
  <c r="T107" i="79"/>
  <c r="I55" i="79"/>
  <c r="J54" i="79"/>
  <c r="L49" i="79"/>
  <c r="I49" i="79"/>
  <c r="J25" i="79"/>
  <c r="L26" i="79"/>
  <c r="I26" i="79" s="1"/>
  <c r="AG91" i="79"/>
  <c r="U104" i="79"/>
  <c r="D96" i="79"/>
  <c r="Y100" i="79"/>
  <c r="AE83" i="79"/>
  <c r="M107" i="79"/>
  <c r="M101" i="79"/>
  <c r="I43" i="79"/>
  <c r="J41" i="79"/>
  <c r="L43" i="79"/>
  <c r="D124" i="79"/>
  <c r="F128" i="79"/>
  <c r="F106" i="79"/>
  <c r="F109" i="79" s="1"/>
  <c r="F127" i="79"/>
  <c r="K98" i="79"/>
  <c r="K96" i="79" s="1"/>
  <c r="G96" i="79"/>
  <c r="L36" i="79"/>
  <c r="I36" i="79" s="1"/>
  <c r="I34" i="79"/>
  <c r="J33" i="79"/>
  <c r="AC63" i="79"/>
  <c r="AD63" i="79"/>
  <c r="U63" i="79"/>
  <c r="I51" i="79"/>
  <c r="AE85" i="79"/>
  <c r="Q104" i="79"/>
  <c r="AF104" i="79" s="1"/>
  <c r="AF91" i="79"/>
  <c r="Z80" i="79"/>
  <c r="Y80" i="79" s="1"/>
  <c r="AH80" i="79" s="1"/>
  <c r="U80" i="79"/>
  <c r="AG80" i="79" s="1"/>
  <c r="AC91" i="79"/>
  <c r="I104" i="79"/>
  <c r="AD91" i="79"/>
  <c r="I44" i="79"/>
  <c r="I48" i="79"/>
  <c r="L48" i="79"/>
  <c r="L27" i="79"/>
  <c r="I27" i="79" s="1"/>
  <c r="AG60" i="79"/>
  <c r="L32" i="79"/>
  <c r="L78" i="79" s="1"/>
  <c r="J78" i="79"/>
  <c r="I78" i="79" s="1"/>
  <c r="L47" i="79"/>
  <c r="I47" i="79" s="1"/>
  <c r="AF85" i="79"/>
  <c r="Q83" i="79"/>
  <c r="H106" i="79"/>
  <c r="H109" i="79" s="1"/>
  <c r="H127" i="79"/>
  <c r="H122" i="79"/>
  <c r="H128" i="79"/>
  <c r="AF14" i="79"/>
  <c r="Q100" i="79"/>
  <c r="AF100" i="79" s="1"/>
  <c r="L54" i="79"/>
  <c r="D59" i="79"/>
  <c r="D99" i="79" s="1"/>
  <c r="AB85" i="79"/>
  <c r="AB83" i="79" s="1"/>
  <c r="Y88" i="79"/>
  <c r="Q79" i="79"/>
  <c r="AF79" i="79" s="1"/>
  <c r="V79" i="79"/>
  <c r="U79" i="79" s="1"/>
  <c r="Y104" i="79"/>
  <c r="AH104" i="79" s="1"/>
  <c r="AH91" i="79"/>
  <c r="L58" i="79"/>
  <c r="I58" i="79"/>
  <c r="L46" i="79"/>
  <c r="I46" i="79"/>
  <c r="L30" i="79"/>
  <c r="I30" i="79" s="1"/>
  <c r="J28" i="79"/>
  <c r="J76" i="79"/>
  <c r="N132" i="41"/>
  <c r="Z132" i="41"/>
  <c r="V132" i="41"/>
  <c r="R132" i="41"/>
  <c r="R127" i="41"/>
  <c r="K36" i="81" l="1"/>
  <c r="L34" i="81"/>
  <c r="L36" i="81" s="1"/>
  <c r="L46" i="81" s="1"/>
  <c r="N19" i="81"/>
  <c r="M21" i="81"/>
  <c r="N21" i="81" s="1"/>
  <c r="M31" i="81"/>
  <c r="P21" i="81"/>
  <c r="O19" i="81"/>
  <c r="P26" i="81"/>
  <c r="P25" i="81" s="1"/>
  <c r="I42" i="81"/>
  <c r="J42" i="81" s="1"/>
  <c r="J40" i="81"/>
  <c r="Z35" i="81"/>
  <c r="Y8" i="81"/>
  <c r="Z8" i="81" s="1"/>
  <c r="Y36" i="81"/>
  <c r="Z36" i="81" s="1"/>
  <c r="W54" i="81"/>
  <c r="W52" i="81" s="1"/>
  <c r="X52" i="81" s="1"/>
  <c r="X54" i="81" s="1"/>
  <c r="X55" i="81" s="1"/>
  <c r="Z54" i="81"/>
  <c r="V27" i="81"/>
  <c r="U29" i="81"/>
  <c r="K14" i="81"/>
  <c r="Y27" i="81"/>
  <c r="Z27" i="81" s="1"/>
  <c r="K7" i="81"/>
  <c r="L7" i="81"/>
  <c r="L9" i="81" s="1"/>
  <c r="U28" i="80"/>
  <c r="V28" i="80" s="1"/>
  <c r="W28" i="80"/>
  <c r="S27" i="80"/>
  <c r="M19" i="80"/>
  <c r="K12" i="80"/>
  <c r="V69" i="80"/>
  <c r="U69" i="80" s="1"/>
  <c r="Y41" i="80"/>
  <c r="Z41" i="80" s="1"/>
  <c r="W42" i="80"/>
  <c r="W13" i="80"/>
  <c r="Y13" i="80" s="1"/>
  <c r="Z13" i="80" s="1"/>
  <c r="W47" i="80"/>
  <c r="Y47" i="80" s="1"/>
  <c r="Z47" i="80" s="1"/>
  <c r="Y35" i="80"/>
  <c r="W8" i="80"/>
  <c r="Q27" i="80"/>
  <c r="R27" i="80" s="1"/>
  <c r="X28" i="80"/>
  <c r="X27" i="80" s="1"/>
  <c r="T27" i="80"/>
  <c r="T19" i="80"/>
  <c r="X20" i="80"/>
  <c r="X19" i="80" s="1"/>
  <c r="S54" i="80"/>
  <c r="S52" i="80" s="1"/>
  <c r="T52" i="80" s="1"/>
  <c r="T54" i="80" s="1"/>
  <c r="T55" i="80" s="1"/>
  <c r="P55" i="80"/>
  <c r="K71" i="80"/>
  <c r="S70" i="80"/>
  <c r="O71" i="80"/>
  <c r="L26" i="80"/>
  <c r="L25" i="80" s="1"/>
  <c r="K25" i="80"/>
  <c r="Z53" i="80"/>
  <c r="Y54" i="80"/>
  <c r="S20" i="80"/>
  <c r="Q20" i="80"/>
  <c r="R20" i="80" s="1"/>
  <c r="O19" i="80"/>
  <c r="H9" i="80"/>
  <c r="H10" i="80" s="1"/>
  <c r="I7" i="80"/>
  <c r="K48" i="80"/>
  <c r="K46" i="80" s="1"/>
  <c r="H49" i="80"/>
  <c r="H46" i="80"/>
  <c r="I46" i="80" s="1"/>
  <c r="U36" i="80"/>
  <c r="V36" i="80" s="1"/>
  <c r="V35" i="80"/>
  <c r="U8" i="80"/>
  <c r="V8" i="80" s="1"/>
  <c r="AC47" i="79"/>
  <c r="AD47" i="79"/>
  <c r="AD27" i="79"/>
  <c r="AC27" i="79"/>
  <c r="AD36" i="79"/>
  <c r="AC36" i="79"/>
  <c r="AE36" i="79"/>
  <c r="S20" i="79"/>
  <c r="O98" i="79"/>
  <c r="O96" i="79" s="1"/>
  <c r="AC30" i="79"/>
  <c r="AD30" i="79"/>
  <c r="AD26" i="79"/>
  <c r="I25" i="79"/>
  <c r="AC26" i="79"/>
  <c r="AC45" i="79"/>
  <c r="AD45" i="79"/>
  <c r="I76" i="79"/>
  <c r="J75" i="79"/>
  <c r="J59" i="79" s="1"/>
  <c r="J99" i="79" s="1"/>
  <c r="AH88" i="79"/>
  <c r="Y85" i="79"/>
  <c r="K128" i="79"/>
  <c r="K106" i="79"/>
  <c r="K109" i="79" s="1"/>
  <c r="I124" i="79"/>
  <c r="K127" i="79"/>
  <c r="AD43" i="79"/>
  <c r="AC43" i="79"/>
  <c r="I41" i="79"/>
  <c r="AC49" i="79"/>
  <c r="AD49" i="79"/>
  <c r="V7" i="79"/>
  <c r="W7" i="79"/>
  <c r="X7" i="79"/>
  <c r="AD58" i="79"/>
  <c r="AC58" i="79"/>
  <c r="AG79" i="79"/>
  <c r="AH79" i="79"/>
  <c r="L41" i="79"/>
  <c r="D106" i="79"/>
  <c r="D109" i="79" s="1"/>
  <c r="D127" i="79"/>
  <c r="D128" i="79"/>
  <c r="D131" i="79"/>
  <c r="Q70" i="79"/>
  <c r="T63" i="79"/>
  <c r="T108" i="79"/>
  <c r="AD108" i="79"/>
  <c r="AC108" i="79"/>
  <c r="Y74" i="79"/>
  <c r="AH74" i="79" s="1"/>
  <c r="AC104" i="79"/>
  <c r="AD104" i="79"/>
  <c r="AE108" i="79"/>
  <c r="G128" i="79"/>
  <c r="D123" i="79"/>
  <c r="G106" i="79"/>
  <c r="G109" i="79" s="1"/>
  <c r="G127" i="79"/>
  <c r="AG104" i="79"/>
  <c r="AC55" i="79"/>
  <c r="I54" i="79"/>
  <c r="AD55" i="79"/>
  <c r="E122" i="79"/>
  <c r="D122" i="79" s="1"/>
  <c r="D120" i="79" s="1"/>
  <c r="D121" i="79" s="1"/>
  <c r="E106" i="79"/>
  <c r="E109" i="79" s="1"/>
  <c r="E127" i="79"/>
  <c r="E128" i="79"/>
  <c r="AE104" i="79"/>
  <c r="AD83" i="79"/>
  <c r="AC83" i="79"/>
  <c r="I107" i="79"/>
  <c r="I101" i="79"/>
  <c r="U107" i="79"/>
  <c r="AG83" i="79"/>
  <c r="U101" i="79"/>
  <c r="AG101" i="79" s="1"/>
  <c r="AF83" i="79"/>
  <c r="Q107" i="79"/>
  <c r="AF107" i="79" s="1"/>
  <c r="Q101" i="79"/>
  <c r="AF101" i="79" s="1"/>
  <c r="AD51" i="79"/>
  <c r="AC51" i="79"/>
  <c r="AG14" i="79"/>
  <c r="U100" i="79"/>
  <c r="AG100" i="79" s="1"/>
  <c r="J37" i="79"/>
  <c r="AB70" i="79"/>
  <c r="AB101" i="79"/>
  <c r="AB107" i="79"/>
  <c r="I32" i="79"/>
  <c r="AD44" i="79"/>
  <c r="AC44" i="79"/>
  <c r="AD34" i="79"/>
  <c r="I33" i="79"/>
  <c r="AE34" i="79"/>
  <c r="AC34" i="79"/>
  <c r="AE101" i="79"/>
  <c r="AH14" i="79"/>
  <c r="L25" i="79"/>
  <c r="Y12" i="79"/>
  <c r="Y10" i="79"/>
  <c r="Y7" i="79" s="1"/>
  <c r="AD46" i="79"/>
  <c r="AC46" i="79"/>
  <c r="AC78" i="79"/>
  <c r="AD78" i="79"/>
  <c r="AC48" i="79"/>
  <c r="AD48" i="79"/>
  <c r="AH100" i="79"/>
  <c r="L28" i="79"/>
  <c r="L37" i="79" s="1"/>
  <c r="L76" i="79"/>
  <c r="L75" i="79" s="1"/>
  <c r="L59" i="79" s="1"/>
  <c r="L99" i="79" s="1"/>
  <c r="J20" i="79"/>
  <c r="Z130" i="41"/>
  <c r="V130" i="41"/>
  <c r="N130" i="41"/>
  <c r="J130" i="41"/>
  <c r="K9" i="81" l="1"/>
  <c r="L10" i="81" s="1"/>
  <c r="M7" i="81"/>
  <c r="H42" i="81"/>
  <c r="H43" i="81" s="1"/>
  <c r="I68" i="81"/>
  <c r="H12" i="81"/>
  <c r="P29" i="81"/>
  <c r="P30" i="81" s="1"/>
  <c r="T29" i="81"/>
  <c r="S29" i="81"/>
  <c r="S26" i="81" s="1"/>
  <c r="S25" i="81" s="1"/>
  <c r="O12" i="81"/>
  <c r="P22" i="81"/>
  <c r="S21" i="81"/>
  <c r="P19" i="81"/>
  <c r="L42" i="81"/>
  <c r="L43" i="81" s="1"/>
  <c r="L48" i="81"/>
  <c r="M46" i="81"/>
  <c r="L37" i="81"/>
  <c r="Q25" i="81"/>
  <c r="J46" i="80"/>
  <c r="I40" i="80"/>
  <c r="W54" i="80"/>
  <c r="W52" i="80" s="1"/>
  <c r="X52" i="80" s="1"/>
  <c r="X54" i="80" s="1"/>
  <c r="X55" i="80" s="1"/>
  <c r="Z54" i="80"/>
  <c r="Q19" i="80"/>
  <c r="O12" i="80"/>
  <c r="S71" i="80"/>
  <c r="W70" i="80"/>
  <c r="W71" i="80" s="1"/>
  <c r="K34" i="80"/>
  <c r="M25" i="80"/>
  <c r="K14" i="80"/>
  <c r="U27" i="80"/>
  <c r="V27" i="80" s="1"/>
  <c r="J7" i="80"/>
  <c r="I9" i="80"/>
  <c r="J9" i="80" s="1"/>
  <c r="W20" i="80"/>
  <c r="U20" i="80"/>
  <c r="V20" i="80" s="1"/>
  <c r="S19" i="80"/>
  <c r="L29" i="80"/>
  <c r="N19" i="80"/>
  <c r="M21" i="80"/>
  <c r="N21" i="80" s="1"/>
  <c r="Y28" i="80"/>
  <c r="Z28" i="80" s="1"/>
  <c r="W27" i="80"/>
  <c r="Y36" i="80"/>
  <c r="Z36" i="80" s="1"/>
  <c r="Z35" i="80"/>
  <c r="Y8" i="80"/>
  <c r="Z8" i="80" s="1"/>
  <c r="Z7" i="79"/>
  <c r="AA7" i="79"/>
  <c r="AB7" i="79"/>
  <c r="AC107" i="79"/>
  <c r="AD107" i="79"/>
  <c r="I20" i="79"/>
  <c r="AD25" i="79"/>
  <c r="AC25" i="79"/>
  <c r="AC54" i="79"/>
  <c r="AD54" i="79"/>
  <c r="Y83" i="79"/>
  <c r="AH85" i="79"/>
  <c r="M124" i="79"/>
  <c r="AE124" i="79" s="1"/>
  <c r="O128" i="79"/>
  <c r="O106" i="79"/>
  <c r="O109" i="79" s="1"/>
  <c r="O127" i="79"/>
  <c r="L20" i="79"/>
  <c r="AD33" i="79"/>
  <c r="AC33" i="79"/>
  <c r="AE33" i="79"/>
  <c r="Y70" i="79"/>
  <c r="AB63" i="79"/>
  <c r="AB108" i="79"/>
  <c r="AD101" i="79"/>
  <c r="AC101" i="79"/>
  <c r="AD76" i="79"/>
  <c r="I75" i="79"/>
  <c r="AC76" i="79"/>
  <c r="AF70" i="79"/>
  <c r="Q108" i="79"/>
  <c r="Q63" i="79"/>
  <c r="AG70" i="79"/>
  <c r="AC32" i="79"/>
  <c r="AD32" i="79"/>
  <c r="I28" i="79"/>
  <c r="N20" i="79"/>
  <c r="J89" i="79"/>
  <c r="J98" i="79"/>
  <c r="AG107" i="79"/>
  <c r="AE107" i="79"/>
  <c r="AC41" i="79"/>
  <c r="AD41" i="79"/>
  <c r="AC124" i="79"/>
  <c r="AD124" i="79"/>
  <c r="W20" i="79"/>
  <c r="S98" i="79"/>
  <c r="S96" i="79" s="1"/>
  <c r="E17" i="78"/>
  <c r="N67" i="78"/>
  <c r="O67" i="78"/>
  <c r="P67" i="78"/>
  <c r="Q67" i="78"/>
  <c r="S67" i="78"/>
  <c r="T67" i="78"/>
  <c r="U67" i="78"/>
  <c r="X67" i="78"/>
  <c r="Y67" i="78"/>
  <c r="Z67" i="78"/>
  <c r="AA67" i="78"/>
  <c r="AB67" i="78"/>
  <c r="AC67" i="78"/>
  <c r="N46" i="78"/>
  <c r="O46" i="78"/>
  <c r="P46" i="78"/>
  <c r="Q46" i="78"/>
  <c r="R46" i="78"/>
  <c r="S46" i="78"/>
  <c r="T46" i="78"/>
  <c r="U46" i="78"/>
  <c r="X46" i="78"/>
  <c r="Y46" i="78"/>
  <c r="Z46" i="78"/>
  <c r="AA46" i="78"/>
  <c r="AB46" i="78"/>
  <c r="AC46" i="78"/>
  <c r="AD46" i="78"/>
  <c r="AE46" i="78"/>
  <c r="M46" i="78"/>
  <c r="F46" i="78"/>
  <c r="F50" i="78"/>
  <c r="E46" i="78"/>
  <c r="J65" i="78"/>
  <c r="J64" i="78"/>
  <c r="O59" i="78"/>
  <c r="Q59" i="78"/>
  <c r="T59" i="78"/>
  <c r="X59" i="78"/>
  <c r="Y59" i="78"/>
  <c r="Z59" i="78"/>
  <c r="AA59" i="78"/>
  <c r="AB59" i="78"/>
  <c r="AC59" i="78"/>
  <c r="Q50" i="78"/>
  <c r="X50" i="78"/>
  <c r="Y50" i="78"/>
  <c r="Z50" i="78"/>
  <c r="AA50" i="78"/>
  <c r="AB50" i="78"/>
  <c r="AC50" i="78"/>
  <c r="AD50" i="78"/>
  <c r="AE50" i="78"/>
  <c r="J52" i="78"/>
  <c r="P30" i="78"/>
  <c r="R30" i="78"/>
  <c r="U30" i="78"/>
  <c r="X30" i="78"/>
  <c r="Y30" i="78"/>
  <c r="Z30" i="78"/>
  <c r="AA30" i="78"/>
  <c r="AB30" i="78"/>
  <c r="AC30" i="78"/>
  <c r="AD30" i="78"/>
  <c r="AE30" i="78"/>
  <c r="M30" i="78"/>
  <c r="X41" i="78"/>
  <c r="Y41" i="78"/>
  <c r="Z41" i="78"/>
  <c r="AA41" i="78"/>
  <c r="AB41" i="78"/>
  <c r="AC41" i="78"/>
  <c r="AC23" i="78" s="1"/>
  <c r="AD41" i="78"/>
  <c r="AE41" i="78"/>
  <c r="E41" i="78"/>
  <c r="F30" i="78"/>
  <c r="E30" i="78"/>
  <c r="W37" i="78"/>
  <c r="V37" i="78"/>
  <c r="J37" i="78"/>
  <c r="W35" i="78"/>
  <c r="V35" i="78"/>
  <c r="J35" i="78"/>
  <c r="P28" i="78"/>
  <c r="U28" i="78"/>
  <c r="X28" i="78"/>
  <c r="Y28" i="78"/>
  <c r="Z28" i="78"/>
  <c r="AA28" i="78"/>
  <c r="AB28" i="78"/>
  <c r="AC28" i="78"/>
  <c r="AD28" i="78"/>
  <c r="AE28" i="78"/>
  <c r="E28" i="78"/>
  <c r="J44" i="78"/>
  <c r="J32" i="78"/>
  <c r="I48" i="75"/>
  <c r="M14" i="75"/>
  <c r="Q17" i="78"/>
  <c r="X17" i="78"/>
  <c r="Y17" i="78"/>
  <c r="Z17" i="78"/>
  <c r="AA17" i="78"/>
  <c r="AB17" i="78"/>
  <c r="AC17" i="78"/>
  <c r="AD17" i="78"/>
  <c r="AE17" i="78"/>
  <c r="T30" i="81" l="1"/>
  <c r="W29" i="81"/>
  <c r="T26" i="81"/>
  <c r="T25" i="81" s="1"/>
  <c r="Q19" i="81"/>
  <c r="Q31" i="81" s="1"/>
  <c r="H68" i="81"/>
  <c r="H66" i="81" s="1"/>
  <c r="I66" i="81"/>
  <c r="I71" i="81" s="1"/>
  <c r="J71" i="81" s="1"/>
  <c r="J66" i="81" s="1"/>
  <c r="N46" i="81"/>
  <c r="M48" i="81"/>
  <c r="N48" i="81" s="1"/>
  <c r="M40" i="81"/>
  <c r="T21" i="81"/>
  <c r="S19" i="81"/>
  <c r="O48" i="81"/>
  <c r="O46" i="81" s="1"/>
  <c r="O34" i="81" s="1"/>
  <c r="P34" i="81" s="1"/>
  <c r="P36" i="81" s="1"/>
  <c r="L49" i="81"/>
  <c r="N7" i="81"/>
  <c r="M9" i="81"/>
  <c r="N9" i="81" s="1"/>
  <c r="Q29" i="81"/>
  <c r="R25" i="81"/>
  <c r="V25" i="81"/>
  <c r="O14" i="81"/>
  <c r="H14" i="81"/>
  <c r="H15" i="81" s="1"/>
  <c r="I12" i="81"/>
  <c r="L30" i="80"/>
  <c r="O29" i="80"/>
  <c r="O26" i="80" s="1"/>
  <c r="U19" i="80"/>
  <c r="S12" i="80"/>
  <c r="M29" i="80"/>
  <c r="N29" i="80" s="1"/>
  <c r="N25" i="80"/>
  <c r="M31" i="80"/>
  <c r="K36" i="80"/>
  <c r="L34" i="80"/>
  <c r="Y27" i="80"/>
  <c r="Z27" i="80" s="1"/>
  <c r="Y20" i="80"/>
  <c r="Z20" i="80" s="1"/>
  <c r="W19" i="80"/>
  <c r="O14" i="80"/>
  <c r="I42" i="80"/>
  <c r="J42" i="80" s="1"/>
  <c r="J40" i="80"/>
  <c r="H40" i="80"/>
  <c r="K7" i="80"/>
  <c r="R19" i="80"/>
  <c r="Q21" i="80"/>
  <c r="R21" i="80" s="1"/>
  <c r="AH83" i="79"/>
  <c r="Y107" i="79"/>
  <c r="AH107" i="79" s="1"/>
  <c r="Y101" i="79"/>
  <c r="AH101" i="79" s="1"/>
  <c r="AA20" i="79"/>
  <c r="AA98" i="79" s="1"/>
  <c r="AA96" i="79" s="1"/>
  <c r="W98" i="79"/>
  <c r="W96" i="79" s="1"/>
  <c r="N26" i="79"/>
  <c r="N27" i="79"/>
  <c r="R20" i="79"/>
  <c r="N30" i="79"/>
  <c r="N32" i="79"/>
  <c r="N43" i="79"/>
  <c r="N48" i="79"/>
  <c r="N51" i="79"/>
  <c r="N45" i="79"/>
  <c r="N55" i="79"/>
  <c r="N44" i="79"/>
  <c r="N47" i="79"/>
  <c r="N53" i="79"/>
  <c r="N58" i="79"/>
  <c r="N46" i="79"/>
  <c r="N98" i="79"/>
  <c r="AH70" i="79"/>
  <c r="Y108" i="79"/>
  <c r="AH108" i="79" s="1"/>
  <c r="Y63" i="79"/>
  <c r="AC28" i="79"/>
  <c r="AD28" i="79"/>
  <c r="I37" i="79"/>
  <c r="AF63" i="79"/>
  <c r="AG63" i="79"/>
  <c r="AC75" i="79"/>
  <c r="AD75" i="79"/>
  <c r="I59" i="79"/>
  <c r="S106" i="79"/>
  <c r="S109" i="79" s="1"/>
  <c r="S128" i="79"/>
  <c r="Q124" i="79"/>
  <c r="AF124" i="79" s="1"/>
  <c r="S127" i="79"/>
  <c r="I89" i="79"/>
  <c r="J102" i="79"/>
  <c r="AC20" i="79"/>
  <c r="AD20" i="79"/>
  <c r="I98" i="79"/>
  <c r="J96" i="79"/>
  <c r="AF108" i="79"/>
  <c r="AG108" i="79"/>
  <c r="P20" i="79"/>
  <c r="L89" i="79"/>
  <c r="L102" i="79" s="1"/>
  <c r="L98" i="79"/>
  <c r="Y23" i="78"/>
  <c r="Z23" i="78"/>
  <c r="AE23" i="78"/>
  <c r="AE67" i="78" s="1"/>
  <c r="AB23" i="78"/>
  <c r="X23" i="78"/>
  <c r="AA23" i="78"/>
  <c r="E23" i="78"/>
  <c r="P46" i="81" l="1"/>
  <c r="R29" i="81"/>
  <c r="V29" i="81"/>
  <c r="I14" i="81"/>
  <c r="J14" i="81" s="1"/>
  <c r="J12" i="81"/>
  <c r="T22" i="81"/>
  <c r="W21" i="81"/>
  <c r="T19" i="81"/>
  <c r="U19" i="81" s="1"/>
  <c r="O36" i="81"/>
  <c r="P37" i="81" s="1"/>
  <c r="O7" i="81"/>
  <c r="M42" i="81"/>
  <c r="N42" i="81" s="1"/>
  <c r="L40" i="81"/>
  <c r="N40" i="81"/>
  <c r="Q21" i="81"/>
  <c r="R21" i="81" s="1"/>
  <c r="R19" i="81"/>
  <c r="X26" i="81"/>
  <c r="X25" i="81" s="1"/>
  <c r="S12" i="81"/>
  <c r="H42" i="80"/>
  <c r="H43" i="80" s="1"/>
  <c r="I68" i="80"/>
  <c r="H12" i="80"/>
  <c r="Y19" i="80"/>
  <c r="W12" i="80"/>
  <c r="L36" i="80"/>
  <c r="L7" i="80"/>
  <c r="L9" i="80" s="1"/>
  <c r="L10" i="80" s="1"/>
  <c r="S14" i="80"/>
  <c r="K9" i="80"/>
  <c r="M7" i="80"/>
  <c r="V19" i="80"/>
  <c r="U21" i="80"/>
  <c r="V21" i="80" s="1"/>
  <c r="P26" i="80"/>
  <c r="P25" i="80" s="1"/>
  <c r="O25" i="80"/>
  <c r="AD89" i="79"/>
  <c r="AC89" i="79"/>
  <c r="I102" i="79"/>
  <c r="N54" i="79"/>
  <c r="M27" i="79"/>
  <c r="AE27" i="79" s="1"/>
  <c r="J122" i="79"/>
  <c r="I122" i="79" s="1"/>
  <c r="J128" i="79"/>
  <c r="J106" i="79"/>
  <c r="J109" i="79" s="1"/>
  <c r="J127" i="79"/>
  <c r="AH63" i="79"/>
  <c r="N28" i="79"/>
  <c r="N37" i="79" s="1"/>
  <c r="N76" i="79"/>
  <c r="W128" i="79"/>
  <c r="U124" i="79"/>
  <c r="AG124" i="79" s="1"/>
  <c r="W106" i="79"/>
  <c r="W109" i="79" s="1"/>
  <c r="W127" i="79"/>
  <c r="T20" i="79"/>
  <c r="P32" i="79"/>
  <c r="P78" i="79" s="1"/>
  <c r="P30" i="79"/>
  <c r="P27" i="79"/>
  <c r="P26" i="79"/>
  <c r="P25" i="79" s="1"/>
  <c r="P46" i="79"/>
  <c r="P48" i="79"/>
  <c r="P44" i="79"/>
  <c r="M44" i="79" s="1"/>
  <c r="AE44" i="79" s="1"/>
  <c r="P47" i="79"/>
  <c r="M47" i="79" s="1"/>
  <c r="AE47" i="79" s="1"/>
  <c r="P50" i="79"/>
  <c r="M50" i="79" s="1"/>
  <c r="AE50" i="79" s="1"/>
  <c r="P53" i="79"/>
  <c r="P58" i="79"/>
  <c r="M58" i="79" s="1"/>
  <c r="AE58" i="79" s="1"/>
  <c r="P51" i="79"/>
  <c r="M51" i="79" s="1"/>
  <c r="AE51" i="79" s="1"/>
  <c r="P43" i="79"/>
  <c r="P45" i="79"/>
  <c r="P49" i="79"/>
  <c r="M49" i="79" s="1"/>
  <c r="AE49" i="79" s="1"/>
  <c r="P55" i="79"/>
  <c r="P54" i="79" s="1"/>
  <c r="P98" i="79"/>
  <c r="AC98" i="79"/>
  <c r="AD98" i="79"/>
  <c r="AC37" i="79"/>
  <c r="AD37" i="79"/>
  <c r="M46" i="79"/>
  <c r="AE46" i="79" s="1"/>
  <c r="M48" i="79"/>
  <c r="AE48" i="79" s="1"/>
  <c r="R30" i="79"/>
  <c r="R32" i="79"/>
  <c r="R26" i="79"/>
  <c r="V20" i="79"/>
  <c r="R27" i="79"/>
  <c r="R45" i="79"/>
  <c r="R47" i="79"/>
  <c r="R49" i="79"/>
  <c r="R46" i="79"/>
  <c r="R55" i="79"/>
  <c r="R43" i="79"/>
  <c r="R44" i="79"/>
  <c r="R52" i="79"/>
  <c r="R51" i="79"/>
  <c r="R50" i="79"/>
  <c r="R48" i="79"/>
  <c r="R58" i="79"/>
  <c r="R53" i="79"/>
  <c r="R98" i="79"/>
  <c r="AA128" i="79"/>
  <c r="Y124" i="79"/>
  <c r="AH124" i="79" s="1"/>
  <c r="AA127" i="79"/>
  <c r="AA106" i="79"/>
  <c r="AA109" i="79" s="1"/>
  <c r="M43" i="79"/>
  <c r="N41" i="79"/>
  <c r="L96" i="79"/>
  <c r="AC59" i="79"/>
  <c r="AD59" i="79"/>
  <c r="I99" i="79"/>
  <c r="M53" i="79"/>
  <c r="AE53" i="79" s="1"/>
  <c r="M45" i="79"/>
  <c r="AE45" i="79" s="1"/>
  <c r="M32" i="79"/>
  <c r="AE32" i="79" s="1"/>
  <c r="N78" i="79"/>
  <c r="M78" i="79" s="1"/>
  <c r="AE78" i="79" s="1"/>
  <c r="N25" i="79"/>
  <c r="T52" i="75"/>
  <c r="S52" i="75"/>
  <c r="T54" i="75"/>
  <c r="S54" i="75"/>
  <c r="S53" i="75"/>
  <c r="O52" i="75"/>
  <c r="K52" i="75"/>
  <c r="H52" i="75"/>
  <c r="G52" i="75"/>
  <c r="G54" i="75"/>
  <c r="W26" i="75"/>
  <c r="S26" i="75"/>
  <c r="T26" i="75"/>
  <c r="S29" i="75"/>
  <c r="U29" i="75"/>
  <c r="L26" i="75"/>
  <c r="L28" i="75"/>
  <c r="K26" i="75"/>
  <c r="K25" i="75"/>
  <c r="K29" i="75"/>
  <c r="M29" i="75"/>
  <c r="M26" i="75"/>
  <c r="H19" i="76"/>
  <c r="G19" i="76"/>
  <c r="F19" i="76"/>
  <c r="E19" i="76"/>
  <c r="G16" i="76"/>
  <c r="H16" i="76" s="1"/>
  <c r="H15" i="76"/>
  <c r="G15" i="76"/>
  <c r="G14" i="76"/>
  <c r="H14" i="76" s="1"/>
  <c r="H13" i="76"/>
  <c r="G13" i="76"/>
  <c r="G11" i="76"/>
  <c r="H11" i="76" s="1"/>
  <c r="U21" i="81" l="1"/>
  <c r="V21" i="81" s="1"/>
  <c r="V19" i="81"/>
  <c r="U31" i="81"/>
  <c r="S14" i="81"/>
  <c r="P7" i="81"/>
  <c r="P9" i="81" s="1"/>
  <c r="L12" i="81"/>
  <c r="M68" i="81"/>
  <c r="Y25" i="81"/>
  <c r="O9" i="81"/>
  <c r="X21" i="81"/>
  <c r="W19" i="81"/>
  <c r="X29" i="81"/>
  <c r="X30" i="81" s="1"/>
  <c r="P29" i="80"/>
  <c r="L42" i="80"/>
  <c r="L43" i="80" s="1"/>
  <c r="L48" i="80"/>
  <c r="L46" i="80"/>
  <c r="M46" i="80" s="1"/>
  <c r="L37" i="80"/>
  <c r="W14" i="80"/>
  <c r="Z19" i="80"/>
  <c r="Y21" i="80"/>
  <c r="Z21" i="80" s="1"/>
  <c r="Q25" i="80"/>
  <c r="N7" i="80"/>
  <c r="M9" i="80"/>
  <c r="N9" i="80" s="1"/>
  <c r="H14" i="80"/>
  <c r="H15" i="80" s="1"/>
  <c r="I12" i="80"/>
  <c r="H68" i="80"/>
  <c r="H66" i="80" s="1"/>
  <c r="I66" i="80"/>
  <c r="I71" i="80" s="1"/>
  <c r="J71" i="80" s="1"/>
  <c r="J66" i="80" s="1"/>
  <c r="AD99" i="79"/>
  <c r="AC99" i="79"/>
  <c r="Q53" i="79"/>
  <c r="AF53" i="79" s="1"/>
  <c r="AC102" i="79"/>
  <c r="AD102" i="79"/>
  <c r="Q52" i="79"/>
  <c r="AF52" i="79" s="1"/>
  <c r="Q48" i="79"/>
  <c r="AF48" i="79" s="1"/>
  <c r="Q49" i="79"/>
  <c r="AF49" i="79" s="1"/>
  <c r="P28" i="79"/>
  <c r="P37" i="79" s="1"/>
  <c r="P76" i="79"/>
  <c r="P75" i="79" s="1"/>
  <c r="P59" i="79" s="1"/>
  <c r="M55" i="79"/>
  <c r="L106" i="79"/>
  <c r="L109" i="79" s="1"/>
  <c r="L127" i="79"/>
  <c r="I123" i="79"/>
  <c r="L128" i="79"/>
  <c r="Q50" i="79"/>
  <c r="AF50" i="79" s="1"/>
  <c r="R41" i="79"/>
  <c r="R25" i="79"/>
  <c r="Q26" i="79"/>
  <c r="P41" i="79"/>
  <c r="M30" i="79"/>
  <c r="AC122" i="79"/>
  <c r="AD122" i="79"/>
  <c r="I120" i="79"/>
  <c r="R54" i="79"/>
  <c r="I96" i="79"/>
  <c r="X20" i="79"/>
  <c r="T26" i="79"/>
  <c r="T27" i="79"/>
  <c r="Q27" i="79" s="1"/>
  <c r="AF27" i="79" s="1"/>
  <c r="T30" i="79"/>
  <c r="T43" i="79"/>
  <c r="Q43" i="79" s="1"/>
  <c r="AF43" i="79" s="1"/>
  <c r="T50" i="79"/>
  <c r="T45" i="79"/>
  <c r="Q45" i="79" s="1"/>
  <c r="AF45" i="79" s="1"/>
  <c r="T49" i="79"/>
  <c r="T51" i="79"/>
  <c r="Q51" i="79" s="1"/>
  <c r="AF51" i="79" s="1"/>
  <c r="T32" i="79"/>
  <c r="T78" i="79" s="1"/>
  <c r="T42" i="79"/>
  <c r="T46" i="79"/>
  <c r="Q46" i="79" s="1"/>
  <c r="AF46" i="79" s="1"/>
  <c r="T55" i="79"/>
  <c r="T54" i="79" s="1"/>
  <c r="T48" i="79"/>
  <c r="T53" i="79"/>
  <c r="T58" i="79"/>
  <c r="Q58" i="79" s="1"/>
  <c r="AF58" i="79" s="1"/>
  <c r="T47" i="79"/>
  <c r="Q47" i="79" s="1"/>
  <c r="AF47" i="79" s="1"/>
  <c r="T52" i="79"/>
  <c r="T98" i="79"/>
  <c r="T44" i="79"/>
  <c r="Q44" i="79" s="1"/>
  <c r="AF44" i="79" s="1"/>
  <c r="R28" i="79"/>
  <c r="R37" i="79" s="1"/>
  <c r="Q30" i="79"/>
  <c r="R76" i="79"/>
  <c r="N75" i="79"/>
  <c r="N59" i="79" s="1"/>
  <c r="Q32" i="79"/>
  <c r="AF32" i="79" s="1"/>
  <c r="R78" i="79"/>
  <c r="Q78" i="79" s="1"/>
  <c r="AF78" i="79" s="1"/>
  <c r="M26" i="79"/>
  <c r="AE43" i="79"/>
  <c r="M41" i="79"/>
  <c r="AE41" i="79" s="1"/>
  <c r="V27" i="79"/>
  <c r="V26" i="79"/>
  <c r="V30" i="79"/>
  <c r="Z20" i="79"/>
  <c r="V32" i="79"/>
  <c r="V42" i="79"/>
  <c r="V44" i="79"/>
  <c r="V47" i="79"/>
  <c r="V48" i="79"/>
  <c r="V50" i="79"/>
  <c r="V52" i="79"/>
  <c r="V53" i="79"/>
  <c r="V58" i="79"/>
  <c r="V43" i="79"/>
  <c r="V55" i="79"/>
  <c r="V51" i="79"/>
  <c r="V45" i="79"/>
  <c r="V46" i="79"/>
  <c r="V49" i="79"/>
  <c r="V98" i="79"/>
  <c r="S25" i="75"/>
  <c r="L25" i="75"/>
  <c r="L29" i="75" s="1"/>
  <c r="H10" i="76"/>
  <c r="G10" i="76"/>
  <c r="F10" i="76"/>
  <c r="E10" i="76"/>
  <c r="H9" i="76"/>
  <c r="G9" i="76"/>
  <c r="F9" i="76"/>
  <c r="E9" i="76"/>
  <c r="H8" i="76"/>
  <c r="G8" i="76"/>
  <c r="F8" i="76"/>
  <c r="E8" i="76"/>
  <c r="H7" i="76"/>
  <c r="G7" i="76"/>
  <c r="F7" i="76"/>
  <c r="E7" i="76"/>
  <c r="I96" i="78"/>
  <c r="H96" i="78"/>
  <c r="G96" i="78"/>
  <c r="F96" i="78"/>
  <c r="T92" i="78"/>
  <c r="E92" i="78"/>
  <c r="D92" i="78"/>
  <c r="E91" i="78"/>
  <c r="D91" i="78"/>
  <c r="D90" i="78"/>
  <c r="I89" i="78"/>
  <c r="E89" i="78"/>
  <c r="D89" i="78"/>
  <c r="E87" i="78"/>
  <c r="E88" i="78" s="1"/>
  <c r="D87" i="78"/>
  <c r="D88" i="78" s="1"/>
  <c r="F86" i="78"/>
  <c r="M86" i="78" s="1"/>
  <c r="E86" i="78"/>
  <c r="Q86" i="78" s="1"/>
  <c r="D86" i="78"/>
  <c r="F85" i="78"/>
  <c r="M85" i="78" s="1"/>
  <c r="E85" i="78"/>
  <c r="L85" i="78" s="1"/>
  <c r="L87" i="78" s="1"/>
  <c r="L88" i="78" s="1"/>
  <c r="D85" i="78"/>
  <c r="F84" i="78"/>
  <c r="M84" i="78" s="1"/>
  <c r="R84" i="78" s="1"/>
  <c r="D84" i="78"/>
  <c r="Q83" i="78"/>
  <c r="F83" i="78"/>
  <c r="M83" i="78" s="1"/>
  <c r="M81" i="78" s="1"/>
  <c r="E83" i="78"/>
  <c r="E81" i="78" s="1"/>
  <c r="D83" i="78"/>
  <c r="D81" i="78" s="1"/>
  <c r="W82" i="78"/>
  <c r="V82" i="78"/>
  <c r="L82" i="78"/>
  <c r="I82" i="78"/>
  <c r="R77" i="78"/>
  <c r="M77" i="78"/>
  <c r="F77" i="78"/>
  <c r="D77" i="78"/>
  <c r="R76" i="78"/>
  <c r="M76" i="78"/>
  <c r="F76" i="78"/>
  <c r="W73" i="78"/>
  <c r="V73" i="78"/>
  <c r="G72" i="78"/>
  <c r="N72" i="78" s="1"/>
  <c r="D72" i="78"/>
  <c r="W66" i="78"/>
  <c r="V66" i="78"/>
  <c r="J66" i="78"/>
  <c r="W65" i="78"/>
  <c r="V65" i="78"/>
  <c r="I65" i="78"/>
  <c r="I72" i="78" s="1"/>
  <c r="H65" i="78"/>
  <c r="G65" i="78"/>
  <c r="E72" i="78"/>
  <c r="D65" i="78"/>
  <c r="O63" i="78"/>
  <c r="W63" i="78"/>
  <c r="V63" i="78"/>
  <c r="U63" i="78"/>
  <c r="U71" i="78" s="1"/>
  <c r="S63" i="78"/>
  <c r="S71" i="78" s="1"/>
  <c r="Q63" i="78"/>
  <c r="Q71" i="78" s="1"/>
  <c r="P63" i="78"/>
  <c r="P71" i="78" s="1"/>
  <c r="N63" i="78"/>
  <c r="N71" i="78" s="1"/>
  <c r="L63" i="78"/>
  <c r="L71" i="78" s="1"/>
  <c r="I63" i="78"/>
  <c r="I71" i="78" s="1"/>
  <c r="H63" i="78"/>
  <c r="H76" i="78" s="1"/>
  <c r="G63" i="78"/>
  <c r="G76" i="78" s="1"/>
  <c r="E71" i="78"/>
  <c r="D63" i="78"/>
  <c r="D71" i="78" s="1"/>
  <c r="R62" i="78"/>
  <c r="M62" i="78"/>
  <c r="F62" i="78"/>
  <c r="R61" i="78"/>
  <c r="M61" i="78"/>
  <c r="F61" i="78"/>
  <c r="J61" i="78" s="1"/>
  <c r="I60" i="78"/>
  <c r="I59" i="78" s="1"/>
  <c r="H60" i="78"/>
  <c r="H59" i="78" s="1"/>
  <c r="G60" i="78"/>
  <c r="N60" i="78" s="1"/>
  <c r="N59" i="78" s="1"/>
  <c r="E59" i="78"/>
  <c r="D60" i="78"/>
  <c r="D59" i="78" s="1"/>
  <c r="L59" i="78"/>
  <c r="I58" i="78"/>
  <c r="H58" i="78"/>
  <c r="G58" i="78"/>
  <c r="D58" i="78"/>
  <c r="R57" i="78"/>
  <c r="M57" i="78"/>
  <c r="F57" i="78"/>
  <c r="P56" i="78"/>
  <c r="U56" i="78" s="1"/>
  <c r="O56" i="78"/>
  <c r="T56" i="78" s="1"/>
  <c r="N56" i="78"/>
  <c r="F56" i="78"/>
  <c r="J56" i="78" s="1"/>
  <c r="R55" i="78"/>
  <c r="M55" i="78"/>
  <c r="F55" i="78"/>
  <c r="J55" i="78" s="1"/>
  <c r="W54" i="78"/>
  <c r="V54" i="78"/>
  <c r="H54" i="78"/>
  <c r="H77" i="78" s="1"/>
  <c r="G54" i="78"/>
  <c r="G77" i="78" s="1"/>
  <c r="E77" i="78"/>
  <c r="H53" i="78"/>
  <c r="O53" i="78" s="1"/>
  <c r="T53" i="78" s="1"/>
  <c r="G53" i="78"/>
  <c r="N53" i="78" s="1"/>
  <c r="D53" i="78"/>
  <c r="I52" i="78"/>
  <c r="P52" i="78" s="1"/>
  <c r="P50" i="78" s="1"/>
  <c r="H52" i="78"/>
  <c r="O52" i="78" s="1"/>
  <c r="G52" i="78"/>
  <c r="N52" i="78" s="1"/>
  <c r="D52" i="78"/>
  <c r="H51" i="78"/>
  <c r="O51" i="78" s="1"/>
  <c r="T51" i="78" s="1"/>
  <c r="G51" i="78"/>
  <c r="N51" i="78" s="1"/>
  <c r="E51" i="78"/>
  <c r="E50" i="78" s="1"/>
  <c r="D51" i="78"/>
  <c r="Q69" i="78"/>
  <c r="L50" i="78"/>
  <c r="R49" i="78"/>
  <c r="M49" i="78"/>
  <c r="H49" i="78"/>
  <c r="G49" i="78"/>
  <c r="R48" i="78"/>
  <c r="M48" i="78"/>
  <c r="H48" i="78"/>
  <c r="F48" i="78" s="1"/>
  <c r="E48" i="78"/>
  <c r="E47" i="78" s="1"/>
  <c r="D48" i="78"/>
  <c r="D47" i="78" s="1"/>
  <c r="U47" i="78"/>
  <c r="T47" i="78"/>
  <c r="S47" i="78"/>
  <c r="Q47" i="78"/>
  <c r="P47" i="78"/>
  <c r="O47" i="78"/>
  <c r="N47" i="78"/>
  <c r="L47" i="78"/>
  <c r="L45" i="78"/>
  <c r="Q45" i="78" s="1"/>
  <c r="F45" i="78"/>
  <c r="J45" i="78" s="1"/>
  <c r="Q44" i="78"/>
  <c r="I44" i="78"/>
  <c r="I41" i="78" s="1"/>
  <c r="H44" i="78"/>
  <c r="G44" i="78"/>
  <c r="D44" i="78"/>
  <c r="D41" i="78" s="1"/>
  <c r="H43" i="78"/>
  <c r="G43" i="78"/>
  <c r="L43" i="78"/>
  <c r="I40" i="78"/>
  <c r="H40" i="78"/>
  <c r="G40" i="78"/>
  <c r="L40" i="78"/>
  <c r="Q40" i="78" s="1"/>
  <c r="D40" i="78"/>
  <c r="F39" i="78"/>
  <c r="J39" i="78" s="1"/>
  <c r="Q38" i="78"/>
  <c r="I38" i="78"/>
  <c r="H38" i="78"/>
  <c r="G38" i="78"/>
  <c r="D38" i="78"/>
  <c r="W36" i="78"/>
  <c r="I36" i="78"/>
  <c r="H36" i="78"/>
  <c r="G36" i="78"/>
  <c r="D36" i="78"/>
  <c r="L34" i="78"/>
  <c r="Q34" i="78" s="1"/>
  <c r="J34" i="78"/>
  <c r="L33" i="78"/>
  <c r="Q33" i="78" s="1"/>
  <c r="J33" i="78"/>
  <c r="Q32" i="78"/>
  <c r="L31" i="78"/>
  <c r="Q31" i="78" s="1"/>
  <c r="J31" i="78"/>
  <c r="H29" i="78"/>
  <c r="G29" i="78"/>
  <c r="G28" i="78" s="1"/>
  <c r="D29" i="78"/>
  <c r="Q27" i="78"/>
  <c r="I27" i="78"/>
  <c r="H27" i="78"/>
  <c r="G27" i="78"/>
  <c r="D27" i="78"/>
  <c r="Q26" i="78"/>
  <c r="I26" i="78"/>
  <c r="H26" i="78"/>
  <c r="G26" i="78"/>
  <c r="D26" i="78"/>
  <c r="H25" i="78"/>
  <c r="G25" i="78"/>
  <c r="E25" i="78"/>
  <c r="L25" i="78" s="1"/>
  <c r="D25" i="78"/>
  <c r="H24" i="78"/>
  <c r="U22" i="78"/>
  <c r="T22" i="78"/>
  <c r="T17" i="78" s="1"/>
  <c r="T70" i="78" s="1"/>
  <c r="S22" i="78"/>
  <c r="P22" i="78"/>
  <c r="O22" i="78"/>
  <c r="O17" i="78" s="1"/>
  <c r="N22" i="78"/>
  <c r="I22" i="78"/>
  <c r="H22" i="78"/>
  <c r="J22" i="78" s="1"/>
  <c r="G22" i="78"/>
  <c r="D22" i="78"/>
  <c r="S21" i="78"/>
  <c r="R21" i="78" s="1"/>
  <c r="M21" i="78"/>
  <c r="M17" i="78" s="1"/>
  <c r="I21" i="78"/>
  <c r="G21" i="78"/>
  <c r="E21" i="78"/>
  <c r="D21" i="78"/>
  <c r="U20" i="78"/>
  <c r="U17" i="78" s="1"/>
  <c r="S20" i="78"/>
  <c r="P20" i="78"/>
  <c r="N20" i="78"/>
  <c r="I20" i="78"/>
  <c r="H20" i="78"/>
  <c r="G20" i="78"/>
  <c r="D20" i="78"/>
  <c r="R19" i="78"/>
  <c r="M19" i="78"/>
  <c r="F19" i="78"/>
  <c r="R18" i="78"/>
  <c r="M18" i="78"/>
  <c r="G18" i="78"/>
  <c r="E18" i="78"/>
  <c r="D18" i="78"/>
  <c r="L17" i="78"/>
  <c r="L70" i="78" s="1"/>
  <c r="W15" i="78"/>
  <c r="V15" i="78"/>
  <c r="R14" i="78"/>
  <c r="M14" i="78"/>
  <c r="V14" i="78" s="1"/>
  <c r="R13" i="78"/>
  <c r="M13" i="78"/>
  <c r="V13" i="78" s="1"/>
  <c r="W11" i="78"/>
  <c r="V11" i="78"/>
  <c r="R10" i="78"/>
  <c r="M10" i="78"/>
  <c r="F10" i="78"/>
  <c r="F12" i="77"/>
  <c r="F17" i="77" s="1"/>
  <c r="F9" i="77"/>
  <c r="F14" i="77" s="1"/>
  <c r="F8" i="77"/>
  <c r="F13" i="77" s="1"/>
  <c r="E8" i="77"/>
  <c r="Q7" i="81" l="1"/>
  <c r="R7" i="81" s="1"/>
  <c r="P10" i="81"/>
  <c r="Q9" i="81"/>
  <c r="R9" i="81" s="1"/>
  <c r="W12" i="81"/>
  <c r="L68" i="81"/>
  <c r="L66" i="81" s="1"/>
  <c r="M66" i="81"/>
  <c r="M71" i="81" s="1"/>
  <c r="N71" i="81" s="1"/>
  <c r="N66" i="81" s="1"/>
  <c r="X22" i="81"/>
  <c r="X19" i="81"/>
  <c r="Y19" i="81" s="1"/>
  <c r="Y29" i="81"/>
  <c r="Z29" i="81" s="1"/>
  <c r="Z25" i="81"/>
  <c r="L14" i="81"/>
  <c r="L15" i="81" s="1"/>
  <c r="M12" i="81"/>
  <c r="J12" i="80"/>
  <c r="I14" i="80"/>
  <c r="J14" i="80" s="1"/>
  <c r="O48" i="80"/>
  <c r="O46" i="80" s="1"/>
  <c r="O34" i="80" s="1"/>
  <c r="L49" i="80"/>
  <c r="Q29" i="80"/>
  <c r="R29" i="80" s="1"/>
  <c r="Q31" i="80"/>
  <c r="R25" i="80"/>
  <c r="N46" i="80"/>
  <c r="M48" i="80"/>
  <c r="N48" i="80" s="1"/>
  <c r="M40" i="80"/>
  <c r="P30" i="80"/>
  <c r="S29" i="80"/>
  <c r="S26" i="80" s="1"/>
  <c r="V54" i="79"/>
  <c r="V28" i="79"/>
  <c r="V37" i="79" s="1"/>
  <c r="V76" i="79"/>
  <c r="R75" i="79"/>
  <c r="R59" i="79" s="1"/>
  <c r="M54" i="79"/>
  <c r="AE54" i="79" s="1"/>
  <c r="AE55" i="79"/>
  <c r="V78" i="79"/>
  <c r="U78" i="79" s="1"/>
  <c r="AG78" i="79" s="1"/>
  <c r="AE26" i="79"/>
  <c r="M25" i="79"/>
  <c r="Q42" i="79"/>
  <c r="T41" i="79"/>
  <c r="U53" i="79"/>
  <c r="AG53" i="79" s="1"/>
  <c r="Z32" i="79"/>
  <c r="Z30" i="79"/>
  <c r="Z27" i="79"/>
  <c r="Z26" i="79"/>
  <c r="Z46" i="79"/>
  <c r="Z48" i="79"/>
  <c r="Z45" i="79"/>
  <c r="Z49" i="79"/>
  <c r="Z53" i="79"/>
  <c r="Z58" i="79"/>
  <c r="Z42" i="79"/>
  <c r="Z43" i="79"/>
  <c r="Z51" i="79"/>
  <c r="Z52" i="79"/>
  <c r="Z44" i="79"/>
  <c r="Z47" i="79"/>
  <c r="Z50" i="79"/>
  <c r="Z55" i="79"/>
  <c r="Z98" i="79"/>
  <c r="M76" i="79"/>
  <c r="T25" i="79"/>
  <c r="Q55" i="79"/>
  <c r="M28" i="79"/>
  <c r="AE30" i="79"/>
  <c r="U52" i="79"/>
  <c r="AG52" i="79" s="1"/>
  <c r="AB20" i="79"/>
  <c r="X30" i="79"/>
  <c r="X32" i="79"/>
  <c r="X78" i="79" s="1"/>
  <c r="X27" i="79"/>
  <c r="U27" i="79" s="1"/>
  <c r="AG27" i="79" s="1"/>
  <c r="X26" i="79"/>
  <c r="X25" i="79" s="1"/>
  <c r="X45" i="79"/>
  <c r="U45" i="79" s="1"/>
  <c r="AG45" i="79" s="1"/>
  <c r="X47" i="79"/>
  <c r="U47" i="79" s="1"/>
  <c r="AG47" i="79" s="1"/>
  <c r="X49" i="79"/>
  <c r="U49" i="79" s="1"/>
  <c r="AG49" i="79" s="1"/>
  <c r="X43" i="79"/>
  <c r="U43" i="79" s="1"/>
  <c r="AG43" i="79" s="1"/>
  <c r="X44" i="79"/>
  <c r="X55" i="79"/>
  <c r="X48" i="79"/>
  <c r="U48" i="79" s="1"/>
  <c r="AG48" i="79" s="1"/>
  <c r="X50" i="79"/>
  <c r="U50" i="79" s="1"/>
  <c r="AG50" i="79" s="1"/>
  <c r="X52" i="79"/>
  <c r="X42" i="79"/>
  <c r="X46" i="79"/>
  <c r="U46" i="79" s="1"/>
  <c r="AG46" i="79" s="1"/>
  <c r="X51" i="79"/>
  <c r="U51" i="79" s="1"/>
  <c r="AG51" i="79" s="1"/>
  <c r="X53" i="79"/>
  <c r="X58" i="79"/>
  <c r="X98" i="79"/>
  <c r="V41" i="79"/>
  <c r="U42" i="79"/>
  <c r="V25" i="79"/>
  <c r="Q28" i="79"/>
  <c r="AF30" i="79"/>
  <c r="T28" i="79"/>
  <c r="T37" i="79" s="1"/>
  <c r="T76" i="79"/>
  <c r="T75" i="79" s="1"/>
  <c r="T59" i="79" s="1"/>
  <c r="AD96" i="79"/>
  <c r="I106" i="79"/>
  <c r="I131" i="79"/>
  <c r="I133" i="79" s="1"/>
  <c r="I127" i="79"/>
  <c r="I128" i="79"/>
  <c r="I129" i="79" s="1"/>
  <c r="AC96" i="79"/>
  <c r="AF26" i="79"/>
  <c r="Q25" i="79"/>
  <c r="AC123" i="79"/>
  <c r="AD123" i="79"/>
  <c r="P99" i="79"/>
  <c r="P89" i="79"/>
  <c r="P102" i="79" s="1"/>
  <c r="U44" i="79"/>
  <c r="AG44" i="79" s="1"/>
  <c r="I121" i="79"/>
  <c r="AC120" i="79"/>
  <c r="AD120" i="79"/>
  <c r="U58" i="79"/>
  <c r="AG58" i="79" s="1"/>
  <c r="N99" i="79"/>
  <c r="N89" i="79"/>
  <c r="G59" i="78"/>
  <c r="H41" i="78"/>
  <c r="Q30" i="78"/>
  <c r="G41" i="78"/>
  <c r="W77" i="78"/>
  <c r="S54" i="78"/>
  <c r="I17" i="78"/>
  <c r="I70" i="78" s="1"/>
  <c r="W13" i="78"/>
  <c r="S17" i="78"/>
  <c r="S70" i="78" s="1"/>
  <c r="W76" i="78"/>
  <c r="V62" i="78"/>
  <c r="D17" i="78"/>
  <c r="D70" i="78" s="1"/>
  <c r="N17" i="78"/>
  <c r="N70" i="78" s="1"/>
  <c r="W62" i="78"/>
  <c r="W19" i="78"/>
  <c r="W48" i="78"/>
  <c r="W18" i="78"/>
  <c r="W14" i="78"/>
  <c r="V19" i="78"/>
  <c r="W61" i="78"/>
  <c r="T63" i="78"/>
  <c r="T76" i="78" s="1"/>
  <c r="F72" i="78"/>
  <c r="F25" i="78"/>
  <c r="J25" i="78" s="1"/>
  <c r="W49" i="78"/>
  <c r="V57" i="78"/>
  <c r="D76" i="78"/>
  <c r="N12" i="78"/>
  <c r="P12" i="78" s="1"/>
  <c r="J62" i="78"/>
  <c r="S12" i="78"/>
  <c r="U12" i="78" s="1"/>
  <c r="U9" i="78" s="1"/>
  <c r="T12" i="78"/>
  <c r="T9" i="78" s="1"/>
  <c r="J36" i="78"/>
  <c r="V77" i="78"/>
  <c r="O76" i="78"/>
  <c r="O71" i="78"/>
  <c r="M71" i="78" s="1"/>
  <c r="O54" i="78"/>
  <c r="H30" i="78"/>
  <c r="J38" i="78"/>
  <c r="F43" i="78"/>
  <c r="M47" i="78"/>
  <c r="R47" i="78"/>
  <c r="H71" i="78"/>
  <c r="N76" i="78"/>
  <c r="V76" i="78"/>
  <c r="S76" i="78"/>
  <c r="V10" i="78"/>
  <c r="O12" i="78"/>
  <c r="O9" i="78" s="1"/>
  <c r="N54" i="78"/>
  <c r="V55" i="78"/>
  <c r="G71" i="78"/>
  <c r="P17" i="78"/>
  <c r="W21" i="78"/>
  <c r="R17" i="78"/>
  <c r="D30" i="78"/>
  <c r="F21" i="78"/>
  <c r="V21" i="78" s="1"/>
  <c r="I30" i="78"/>
  <c r="I23" i="78" s="1"/>
  <c r="I68" i="78" s="1"/>
  <c r="J40" i="78"/>
  <c r="M56" i="78"/>
  <c r="V56" i="78" s="1"/>
  <c r="G17" i="78"/>
  <c r="G70" i="78" s="1"/>
  <c r="F29" i="78"/>
  <c r="L46" i="78"/>
  <c r="L69" i="78" s="1"/>
  <c r="M72" i="78"/>
  <c r="S72" i="78"/>
  <c r="R72" i="78" s="1"/>
  <c r="V86" i="78"/>
  <c r="R86" i="78"/>
  <c r="W86" i="78" s="1"/>
  <c r="R85" i="78"/>
  <c r="W85" i="78" s="1"/>
  <c r="V85" i="78"/>
  <c r="V20" i="78"/>
  <c r="F49" i="78"/>
  <c r="V49" i="78" s="1"/>
  <c r="J57" i="78"/>
  <c r="F81" i="78"/>
  <c r="V81" i="78" s="1"/>
  <c r="W10" i="78"/>
  <c r="F18" i="78"/>
  <c r="J59" i="78"/>
  <c r="E76" i="78"/>
  <c r="L86" i="78"/>
  <c r="J20" i="78"/>
  <c r="U70" i="78"/>
  <c r="D50" i="78"/>
  <c r="J63" i="78"/>
  <c r="M25" i="75"/>
  <c r="W20" i="78"/>
  <c r="Q25" i="78"/>
  <c r="O70" i="78"/>
  <c r="H17" i="78"/>
  <c r="H70" i="78" s="1"/>
  <c r="Q70" i="78"/>
  <c r="V22" i="78"/>
  <c r="D28" i="78"/>
  <c r="D23" i="78" s="1"/>
  <c r="D68" i="78" s="1"/>
  <c r="H28" i="78"/>
  <c r="H23" i="78" s="1"/>
  <c r="H68" i="78" s="1"/>
  <c r="G30" i="78"/>
  <c r="U52" i="78"/>
  <c r="U50" i="78" s="1"/>
  <c r="L41" i="78"/>
  <c r="Q43" i="78"/>
  <c r="Q41" i="78" s="1"/>
  <c r="L29" i="78"/>
  <c r="V48" i="78"/>
  <c r="J48" i="78"/>
  <c r="S51" i="78"/>
  <c r="M51" i="78"/>
  <c r="S52" i="78"/>
  <c r="E70" i="78"/>
  <c r="L30" i="78"/>
  <c r="T52" i="78"/>
  <c r="S53" i="78"/>
  <c r="R53" i="78" s="1"/>
  <c r="R50" i="78" s="1"/>
  <c r="M53" i="78"/>
  <c r="M50" i="78" s="1"/>
  <c r="V36" i="78"/>
  <c r="G50" i="78"/>
  <c r="F53" i="78"/>
  <c r="J53" i="78" s="1"/>
  <c r="W57" i="78"/>
  <c r="J58" i="78"/>
  <c r="P60" i="78"/>
  <c r="P59" i="78" s="1"/>
  <c r="G47" i="78"/>
  <c r="H50" i="78"/>
  <c r="W55" i="78"/>
  <c r="J60" i="78"/>
  <c r="H47" i="78"/>
  <c r="I50" i="78"/>
  <c r="F51" i="78"/>
  <c r="J54" i="78"/>
  <c r="S56" i="78"/>
  <c r="R56" i="78" s="1"/>
  <c r="S60" i="78"/>
  <c r="S59" i="78" s="1"/>
  <c r="V61" i="78"/>
  <c r="R83" i="78"/>
  <c r="Q85" i="78"/>
  <c r="Q87" i="78" s="1"/>
  <c r="Q88" i="78" s="1"/>
  <c r="V83" i="78"/>
  <c r="Z19" i="81" l="1"/>
  <c r="Y21" i="81"/>
  <c r="Z21" i="81" s="1"/>
  <c r="Y31" i="81"/>
  <c r="N12" i="81"/>
  <c r="M14" i="81"/>
  <c r="N14" i="81" s="1"/>
  <c r="P48" i="81"/>
  <c r="P40" i="81"/>
  <c r="W14" i="81"/>
  <c r="T26" i="80"/>
  <c r="T25" i="80" s="1"/>
  <c r="S25" i="80"/>
  <c r="O36" i="80"/>
  <c r="P34" i="80"/>
  <c r="O7" i="80"/>
  <c r="M42" i="80"/>
  <c r="N42" i="80" s="1"/>
  <c r="L40" i="80"/>
  <c r="N40" i="80"/>
  <c r="AB27" i="79"/>
  <c r="AB26" i="79"/>
  <c r="AB32" i="79"/>
  <c r="AB78" i="79" s="1"/>
  <c r="AB30" i="79"/>
  <c r="AB42" i="79"/>
  <c r="AB44" i="79"/>
  <c r="AB52" i="79"/>
  <c r="Y52" i="79" s="1"/>
  <c r="AH52" i="79" s="1"/>
  <c r="AB45" i="79"/>
  <c r="AB46" i="79"/>
  <c r="AB49" i="79"/>
  <c r="AB53" i="79"/>
  <c r="Y53" i="79" s="1"/>
  <c r="AH53" i="79" s="1"/>
  <c r="AB58" i="79"/>
  <c r="AB47" i="79"/>
  <c r="AB48" i="79"/>
  <c r="AB50" i="79"/>
  <c r="Y50" i="79" s="1"/>
  <c r="AH50" i="79" s="1"/>
  <c r="AB55" i="79"/>
  <c r="AB54" i="79" s="1"/>
  <c r="AB51" i="79"/>
  <c r="Y51" i="79" s="1"/>
  <c r="AH51" i="79" s="1"/>
  <c r="AB43" i="79"/>
  <c r="Y43" i="79" s="1"/>
  <c r="AH43" i="79" s="1"/>
  <c r="AB98" i="79"/>
  <c r="Q54" i="79"/>
  <c r="AF54" i="79" s="1"/>
  <c r="AF55" i="79"/>
  <c r="Y45" i="79"/>
  <c r="AH45" i="79" s="1"/>
  <c r="Q41" i="79"/>
  <c r="AF41" i="79" s="1"/>
  <c r="AF42" i="79"/>
  <c r="AF28" i="79"/>
  <c r="Q37" i="79"/>
  <c r="M89" i="79"/>
  <c r="N102" i="79"/>
  <c r="N96" i="79" s="1"/>
  <c r="P96" i="79"/>
  <c r="U26" i="79"/>
  <c r="X41" i="79"/>
  <c r="X54" i="79"/>
  <c r="M75" i="79"/>
  <c r="AE76" i="79"/>
  <c r="Y46" i="79"/>
  <c r="AH46" i="79" s="1"/>
  <c r="AC121" i="79"/>
  <c r="AD121" i="79"/>
  <c r="AD106" i="79"/>
  <c r="I109" i="79"/>
  <c r="AC106" i="79"/>
  <c r="X28" i="79"/>
  <c r="X37" i="79" s="1"/>
  <c r="X76" i="79"/>
  <c r="X75" i="79" s="1"/>
  <c r="X59" i="79" s="1"/>
  <c r="AE28" i="79"/>
  <c r="M37" i="79"/>
  <c r="AE37" i="79" s="1"/>
  <c r="Y44" i="79"/>
  <c r="AH44" i="79" s="1"/>
  <c r="Y49" i="79"/>
  <c r="AH49" i="79" s="1"/>
  <c r="Y26" i="79"/>
  <c r="Z25" i="79"/>
  <c r="Q76" i="79"/>
  <c r="U30" i="79"/>
  <c r="U41" i="79"/>
  <c r="AG41" i="79" s="1"/>
  <c r="AG42" i="79"/>
  <c r="T99" i="79"/>
  <c r="T89" i="79"/>
  <c r="T102" i="79" s="1"/>
  <c r="Y58" i="79"/>
  <c r="AH58" i="79" s="1"/>
  <c r="Y48" i="79"/>
  <c r="AH48" i="79" s="1"/>
  <c r="Y30" i="79"/>
  <c r="Z28" i="79"/>
  <c r="Z37" i="79" s="1"/>
  <c r="Z76" i="79"/>
  <c r="AE25" i="79"/>
  <c r="M20" i="79"/>
  <c r="U32" i="79"/>
  <c r="AG32" i="79" s="1"/>
  <c r="V75" i="79"/>
  <c r="V59" i="79" s="1"/>
  <c r="U76" i="79"/>
  <c r="U55" i="79"/>
  <c r="Y55" i="79"/>
  <c r="Z54" i="79"/>
  <c r="Y42" i="79"/>
  <c r="Z41" i="79"/>
  <c r="Y27" i="79"/>
  <c r="AH27" i="79" s="1"/>
  <c r="R99" i="79"/>
  <c r="R89" i="79"/>
  <c r="Q20" i="79"/>
  <c r="AF25" i="79"/>
  <c r="Y47" i="79"/>
  <c r="AH47" i="79" s="1"/>
  <c r="Z78" i="79"/>
  <c r="J51" i="78"/>
  <c r="J50" i="78"/>
  <c r="N77" i="78"/>
  <c r="N50" i="78"/>
  <c r="S77" i="78"/>
  <c r="S50" i="78"/>
  <c r="O77" i="78"/>
  <c r="O50" i="78"/>
  <c r="R70" i="78"/>
  <c r="F71" i="78"/>
  <c r="V71" i="78" s="1"/>
  <c r="J43" i="78"/>
  <c r="F41" i="78"/>
  <c r="J41" i="78" s="1"/>
  <c r="J29" i="78"/>
  <c r="F28" i="78"/>
  <c r="F23" i="78" s="1"/>
  <c r="F67" i="78" s="1"/>
  <c r="I46" i="78"/>
  <c r="I69" i="78" s="1"/>
  <c r="I67" i="78" s="1"/>
  <c r="F90" i="78" s="1"/>
  <c r="W56" i="78"/>
  <c r="J49" i="78"/>
  <c r="N9" i="78"/>
  <c r="N26" i="78" s="1"/>
  <c r="W47" i="78"/>
  <c r="M12" i="78"/>
  <c r="V12" i="78" s="1"/>
  <c r="E68" i="78"/>
  <c r="S9" i="78"/>
  <c r="R12" i="78"/>
  <c r="O38" i="78"/>
  <c r="T38" i="78" s="1"/>
  <c r="O43" i="78"/>
  <c r="V72" i="78"/>
  <c r="T71" i="78"/>
  <c r="R71" i="78" s="1"/>
  <c r="W71" i="78" s="1"/>
  <c r="T54" i="78"/>
  <c r="P9" i="78"/>
  <c r="P27" i="78" s="1"/>
  <c r="U27" i="78" s="1"/>
  <c r="O26" i="78"/>
  <c r="D46" i="78"/>
  <c r="D69" i="78" s="1"/>
  <c r="D67" i="78" s="1"/>
  <c r="H46" i="78"/>
  <c r="H69" i="78" s="1"/>
  <c r="H67" i="78" s="1"/>
  <c r="V53" i="78"/>
  <c r="O58" i="78"/>
  <c r="O40" i="78"/>
  <c r="T40" i="78" s="1"/>
  <c r="O29" i="78"/>
  <c r="O28" i="78" s="1"/>
  <c r="O27" i="78"/>
  <c r="T27" i="78" s="1"/>
  <c r="O44" i="78"/>
  <c r="O45" i="78"/>
  <c r="T45" i="78" s="1"/>
  <c r="J21" i="78"/>
  <c r="V60" i="78"/>
  <c r="V59" i="78" s="1"/>
  <c r="V17" i="78"/>
  <c r="W72" i="78"/>
  <c r="F70" i="78"/>
  <c r="V18" i="78"/>
  <c r="F17" i="78"/>
  <c r="E69" i="78"/>
  <c r="W22" i="78"/>
  <c r="W17" i="78" s="1"/>
  <c r="W83" i="78"/>
  <c r="R81" i="78"/>
  <c r="W81" i="78" s="1"/>
  <c r="V52" i="78"/>
  <c r="V51" i="78"/>
  <c r="G46" i="78"/>
  <c r="G69" i="78" s="1"/>
  <c r="F47" i="78"/>
  <c r="U60" i="78"/>
  <c r="U59" i="78" s="1"/>
  <c r="W53" i="78"/>
  <c r="L28" i="78"/>
  <c r="L23" i="78" s="1"/>
  <c r="L68" i="78" s="1"/>
  <c r="L67" i="78" s="1"/>
  <c r="Q29" i="78"/>
  <c r="Q28" i="78" s="1"/>
  <c r="Q23" i="78" s="1"/>
  <c r="J30" i="78"/>
  <c r="G23" i="78"/>
  <c r="R51" i="78"/>
  <c r="W51" i="78" s="1"/>
  <c r="N40" i="78"/>
  <c r="P70" i="78"/>
  <c r="M70" i="78" s="1"/>
  <c r="Q40" i="81" l="1"/>
  <c r="P43" i="81"/>
  <c r="P12" i="81"/>
  <c r="Q68" i="81"/>
  <c r="S48" i="81"/>
  <c r="S46" i="81" s="1"/>
  <c r="S34" i="81" s="1"/>
  <c r="P49" i="81"/>
  <c r="O9" i="80"/>
  <c r="Q7" i="80"/>
  <c r="P36" i="80"/>
  <c r="P7" i="80"/>
  <c r="P9" i="80" s="1"/>
  <c r="P10" i="80" s="1"/>
  <c r="M68" i="80"/>
  <c r="L12" i="80"/>
  <c r="U25" i="80"/>
  <c r="T29" i="80"/>
  <c r="N106" i="79"/>
  <c r="N109" i="79" s="1"/>
  <c r="N122" i="79"/>
  <c r="M122" i="79" s="1"/>
  <c r="N128" i="79"/>
  <c r="N127" i="79"/>
  <c r="AG76" i="79"/>
  <c r="U75" i="79"/>
  <c r="U25" i="79"/>
  <c r="AG26" i="79"/>
  <c r="AF20" i="79"/>
  <c r="Q98" i="79"/>
  <c r="Q89" i="79"/>
  <c r="R102" i="79"/>
  <c r="Y41" i="79"/>
  <c r="AH41" i="79" s="1"/>
  <c r="AH42" i="79"/>
  <c r="AG55" i="79"/>
  <c r="U54" i="79"/>
  <c r="AG54" i="79" s="1"/>
  <c r="AE20" i="79"/>
  <c r="M98" i="79"/>
  <c r="AH30" i="79"/>
  <c r="AH26" i="79"/>
  <c r="Y25" i="79"/>
  <c r="AE89" i="79"/>
  <c r="M102" i="79"/>
  <c r="AE102" i="79" s="1"/>
  <c r="AB28" i="79"/>
  <c r="AB37" i="79" s="1"/>
  <c r="AB76" i="79"/>
  <c r="AB75" i="79" s="1"/>
  <c r="AB59" i="79" s="1"/>
  <c r="R96" i="79"/>
  <c r="AF37" i="79"/>
  <c r="Y78" i="79"/>
  <c r="AH78" i="79" s="1"/>
  <c r="Y54" i="79"/>
  <c r="AH54" i="79" s="1"/>
  <c r="AH55" i="79"/>
  <c r="V99" i="79"/>
  <c r="V89" i="79"/>
  <c r="Y76" i="79"/>
  <c r="Z75" i="79"/>
  <c r="Z59" i="79" s="1"/>
  <c r="T96" i="79"/>
  <c r="Q75" i="79"/>
  <c r="AF76" i="79"/>
  <c r="AC109" i="79"/>
  <c r="AD109" i="79"/>
  <c r="AE75" i="79"/>
  <c r="M59" i="79"/>
  <c r="P106" i="79"/>
  <c r="P109" i="79" s="1"/>
  <c r="M123" i="79"/>
  <c r="AE123" i="79" s="1"/>
  <c r="P127" i="79"/>
  <c r="P128" i="79"/>
  <c r="AB25" i="79"/>
  <c r="U28" i="79"/>
  <c r="AG30" i="79"/>
  <c r="Y32" i="79"/>
  <c r="AH32" i="79" s="1"/>
  <c r="X99" i="79"/>
  <c r="X89" i="79"/>
  <c r="X102" i="79" s="1"/>
  <c r="AB41" i="79"/>
  <c r="O33" i="78"/>
  <c r="N32" i="78"/>
  <c r="S32" i="78" s="1"/>
  <c r="V50" i="78"/>
  <c r="N43" i="78"/>
  <c r="N34" i="78"/>
  <c r="S34" i="78" s="1"/>
  <c r="N31" i="78"/>
  <c r="S31" i="78" s="1"/>
  <c r="N25" i="78"/>
  <c r="O25" i="78"/>
  <c r="N29" i="78"/>
  <c r="N28" i="78" s="1"/>
  <c r="N58" i="78"/>
  <c r="N69" i="78" s="1"/>
  <c r="N44" i="78"/>
  <c r="N33" i="78"/>
  <c r="N27" i="78"/>
  <c r="S27" i="78" s="1"/>
  <c r="W27" i="78" s="1"/>
  <c r="J28" i="78"/>
  <c r="N41" i="78"/>
  <c r="T77" i="78"/>
  <c r="T50" i="78"/>
  <c r="T69" i="78" s="1"/>
  <c r="J46" i="78"/>
  <c r="T43" i="78"/>
  <c r="O41" i="78"/>
  <c r="T29" i="78"/>
  <c r="T28" i="78" s="1"/>
  <c r="T44" i="78"/>
  <c r="T26" i="78"/>
  <c r="O69" i="78"/>
  <c r="O32" i="78"/>
  <c r="T32" i="78" s="1"/>
  <c r="O34" i="78"/>
  <c r="T34" i="78" s="1"/>
  <c r="O31" i="78"/>
  <c r="N45" i="78"/>
  <c r="S45" i="78" s="1"/>
  <c r="R45" i="78" s="1"/>
  <c r="P39" i="78"/>
  <c r="U39" i="78" s="1"/>
  <c r="R39" i="78" s="1"/>
  <c r="N38" i="78"/>
  <c r="S38" i="78" s="1"/>
  <c r="P38" i="78"/>
  <c r="U38" i="78" s="1"/>
  <c r="P58" i="78"/>
  <c r="U58" i="78" s="1"/>
  <c r="T33" i="78"/>
  <c r="P40" i="78"/>
  <c r="U40" i="78" s="1"/>
  <c r="P26" i="78"/>
  <c r="M9" i="78"/>
  <c r="V9" i="78" s="1"/>
  <c r="W12" i="78"/>
  <c r="S26" i="78"/>
  <c r="R9" i="78"/>
  <c r="E79" i="78"/>
  <c r="F69" i="78"/>
  <c r="T58" i="78"/>
  <c r="D96" i="78"/>
  <c r="D75" i="78"/>
  <c r="D78" i="78" s="1"/>
  <c r="D79" i="78"/>
  <c r="P44" i="78"/>
  <c r="P41" i="78" s="1"/>
  <c r="W60" i="78"/>
  <c r="W59" i="78" s="1"/>
  <c r="V70" i="78"/>
  <c r="W70" i="78"/>
  <c r="V32" i="78"/>
  <c r="S43" i="78"/>
  <c r="M43" i="78"/>
  <c r="W52" i="78"/>
  <c r="W50" i="78" s="1"/>
  <c r="S25" i="78"/>
  <c r="M25" i="78"/>
  <c r="V25" i="78" s="1"/>
  <c r="J47" i="78"/>
  <c r="V47" i="78"/>
  <c r="J17" i="78"/>
  <c r="S44" i="78"/>
  <c r="Q68" i="78"/>
  <c r="T25" i="78"/>
  <c r="V34" i="78"/>
  <c r="V40" i="78"/>
  <c r="S40" i="78"/>
  <c r="G68" i="78"/>
  <c r="V33" i="78"/>
  <c r="S33" i="78"/>
  <c r="V31" i="78"/>
  <c r="M45" i="78"/>
  <c r="V45" i="78" s="1"/>
  <c r="L79" i="78"/>
  <c r="L75" i="78"/>
  <c r="L78" i="78" s="1"/>
  <c r="H75" i="78"/>
  <c r="H78" i="78" s="1"/>
  <c r="F91" i="78"/>
  <c r="V27" i="78"/>
  <c r="V26" i="78"/>
  <c r="S36" i="81" l="1"/>
  <c r="T34" i="81"/>
  <c r="S7" i="81"/>
  <c r="Q66" i="81"/>
  <c r="Q71" i="81" s="1"/>
  <c r="R71" i="81" s="1"/>
  <c r="R66" i="81" s="1"/>
  <c r="P68" i="81"/>
  <c r="P66" i="81" s="1"/>
  <c r="P14" i="81"/>
  <c r="P15" i="81" s="1"/>
  <c r="Q12" i="81"/>
  <c r="Q42" i="81"/>
  <c r="R42" i="81" s="1"/>
  <c r="R40" i="81"/>
  <c r="Q46" i="81"/>
  <c r="L68" i="80"/>
  <c r="L66" i="80" s="1"/>
  <c r="M66" i="80"/>
  <c r="M71" i="80" s="1"/>
  <c r="N71" i="80" s="1"/>
  <c r="N66" i="80" s="1"/>
  <c r="U31" i="80"/>
  <c r="U29" i="80"/>
  <c r="V29" i="80" s="1"/>
  <c r="V25" i="80"/>
  <c r="L14" i="80"/>
  <c r="L15" i="80" s="1"/>
  <c r="M12" i="80"/>
  <c r="P37" i="80"/>
  <c r="P46" i="80"/>
  <c r="T30" i="80"/>
  <c r="W29" i="80"/>
  <c r="W26" i="80" s="1"/>
  <c r="R7" i="80"/>
  <c r="Q9" i="80"/>
  <c r="R9" i="80" s="1"/>
  <c r="AE59" i="79"/>
  <c r="M99" i="79"/>
  <c r="AE99" i="79" s="1"/>
  <c r="AG28" i="79"/>
  <c r="U37" i="79"/>
  <c r="AG37" i="79" s="1"/>
  <c r="T106" i="79"/>
  <c r="T109" i="79" s="1"/>
  <c r="T127" i="79"/>
  <c r="Q123" i="79"/>
  <c r="AF123" i="79" s="1"/>
  <c r="T128" i="79"/>
  <c r="X96" i="79"/>
  <c r="Z99" i="79"/>
  <c r="Z89" i="79"/>
  <c r="R106" i="79"/>
  <c r="R109" i="79" s="1"/>
  <c r="R122" i="79"/>
  <c r="Q122" i="79" s="1"/>
  <c r="R128" i="79"/>
  <c r="R127" i="79"/>
  <c r="AB99" i="79"/>
  <c r="AB89" i="79"/>
  <c r="AB102" i="79" s="1"/>
  <c r="Y28" i="79"/>
  <c r="AF89" i="79"/>
  <c r="Q102" i="79"/>
  <c r="AF102" i="79" s="1"/>
  <c r="U20" i="79"/>
  <c r="AG25" i="79"/>
  <c r="AF75" i="79"/>
  <c r="Q59" i="79"/>
  <c r="U89" i="79"/>
  <c r="V102" i="79"/>
  <c r="Y20" i="79"/>
  <c r="AH25" i="79"/>
  <c r="AE98" i="79"/>
  <c r="M96" i="79"/>
  <c r="AF98" i="79"/>
  <c r="AG75" i="79"/>
  <c r="U59" i="79"/>
  <c r="M120" i="79"/>
  <c r="AE122" i="79"/>
  <c r="AH76" i="79"/>
  <c r="Y75" i="79"/>
  <c r="V96" i="79"/>
  <c r="F75" i="78"/>
  <c r="F78" i="78" s="1"/>
  <c r="S29" i="78"/>
  <c r="S28" i="78" s="1"/>
  <c r="N30" i="78"/>
  <c r="M29" i="78"/>
  <c r="S58" i="78"/>
  <c r="V30" i="78"/>
  <c r="O30" i="78"/>
  <c r="O23" i="78" s="1"/>
  <c r="O68" i="78" s="1"/>
  <c r="T41" i="78"/>
  <c r="V43" i="78"/>
  <c r="M41" i="78"/>
  <c r="S41" i="78"/>
  <c r="S30" i="78"/>
  <c r="M39" i="78"/>
  <c r="V39" i="78" s="1"/>
  <c r="N23" i="78"/>
  <c r="T31" i="78"/>
  <c r="T30" i="78" s="1"/>
  <c r="V29" i="78"/>
  <c r="V28" i="78" s="1"/>
  <c r="M28" i="78"/>
  <c r="V44" i="78"/>
  <c r="P23" i="78"/>
  <c r="P68" i="78" s="1"/>
  <c r="U26" i="78"/>
  <c r="W40" i="78"/>
  <c r="V38" i="78"/>
  <c r="V58" i="78"/>
  <c r="V46" i="78" s="1"/>
  <c r="W9" i="78"/>
  <c r="E75" i="78"/>
  <c r="E78" i="78" s="1"/>
  <c r="U44" i="78"/>
  <c r="U41" i="78" s="1"/>
  <c r="W31" i="78"/>
  <c r="W33" i="78"/>
  <c r="W45" i="78"/>
  <c r="Q79" i="78"/>
  <c r="Q75" i="78"/>
  <c r="Q78" i="78" s="1"/>
  <c r="R43" i="78"/>
  <c r="S69" i="78"/>
  <c r="W34" i="78"/>
  <c r="J23" i="78"/>
  <c r="F24" i="78"/>
  <c r="J24" i="78" s="1"/>
  <c r="W32" i="78"/>
  <c r="R29" i="78"/>
  <c r="G67" i="78"/>
  <c r="F68" i="78"/>
  <c r="R25" i="78"/>
  <c r="W25" i="78" s="1"/>
  <c r="W26" i="78"/>
  <c r="Q14" i="81" l="1"/>
  <c r="R14" i="81" s="1"/>
  <c r="R12" i="81"/>
  <c r="S9" i="81"/>
  <c r="R46" i="81"/>
  <c r="Q48" i="81"/>
  <c r="R48" i="81" s="1"/>
  <c r="T36" i="81"/>
  <c r="T7" i="81"/>
  <c r="T9" i="81" s="1"/>
  <c r="P48" i="80"/>
  <c r="P40" i="80"/>
  <c r="X26" i="80"/>
  <c r="X25" i="80" s="1"/>
  <c r="W25" i="80"/>
  <c r="N12" i="80"/>
  <c r="M14" i="80"/>
  <c r="N14" i="80" s="1"/>
  <c r="V127" i="79"/>
  <c r="V106" i="79"/>
  <c r="V109" i="79" s="1"/>
  <c r="V128" i="79"/>
  <c r="V122" i="79"/>
  <c r="U122" i="79" s="1"/>
  <c r="U102" i="79"/>
  <c r="AG102" i="79" s="1"/>
  <c r="AG89" i="79"/>
  <c r="X106" i="79"/>
  <c r="X109" i="79" s="1"/>
  <c r="X127" i="79"/>
  <c r="X128" i="79"/>
  <c r="U123" i="79"/>
  <c r="AG123" i="79" s="1"/>
  <c r="AF59" i="79"/>
  <c r="Q99" i="79"/>
  <c r="AB96" i="79"/>
  <c r="M121" i="79"/>
  <c r="AE121" i="79" s="1"/>
  <c r="AE120" i="79"/>
  <c r="AH20" i="79"/>
  <c r="Y98" i="79"/>
  <c r="Y89" i="79"/>
  <c r="Z102" i="79"/>
  <c r="Z96" i="79" s="1"/>
  <c r="AH75" i="79"/>
  <c r="Y59" i="79"/>
  <c r="AG59" i="79"/>
  <c r="U99" i="79"/>
  <c r="AG99" i="79" s="1"/>
  <c r="M128" i="79"/>
  <c r="AE96" i="79"/>
  <c r="M106" i="79"/>
  <c r="M127" i="79"/>
  <c r="AH28" i="79"/>
  <c r="Y37" i="79"/>
  <c r="AH37" i="79" s="1"/>
  <c r="AG20" i="79"/>
  <c r="U98" i="79"/>
  <c r="AF122" i="79"/>
  <c r="Q120" i="79"/>
  <c r="F79" i="78"/>
  <c r="J67" i="78"/>
  <c r="S23" i="78"/>
  <c r="T23" i="78"/>
  <c r="T68" i="78" s="1"/>
  <c r="T75" i="78" s="1"/>
  <c r="T78" i="78" s="1"/>
  <c r="W30" i="78"/>
  <c r="W39" i="78"/>
  <c r="W43" i="78"/>
  <c r="R41" i="78"/>
  <c r="V41" i="78"/>
  <c r="V23" i="78" s="1"/>
  <c r="V67" i="78" s="1"/>
  <c r="M91" i="78"/>
  <c r="V91" i="78" s="1"/>
  <c r="W58" i="78"/>
  <c r="W46" i="78" s="1"/>
  <c r="U23" i="78"/>
  <c r="U68" i="78" s="1"/>
  <c r="W29" i="78"/>
  <c r="W28" i="78" s="1"/>
  <c r="R28" i="78"/>
  <c r="W38" i="78"/>
  <c r="W44" i="78"/>
  <c r="F92" i="78"/>
  <c r="S92" i="78" s="1"/>
  <c r="G93" i="78"/>
  <c r="G89" i="78"/>
  <c r="G75" i="78"/>
  <c r="G78" i="78" s="1"/>
  <c r="N68" i="78"/>
  <c r="M68" i="78" s="1"/>
  <c r="V68" i="78" s="1"/>
  <c r="U69" i="78"/>
  <c r="P69" i="78"/>
  <c r="M69" i="78" s="1"/>
  <c r="V69" i="78" s="1"/>
  <c r="M90" i="78"/>
  <c r="T10" i="81" l="1"/>
  <c r="U7" i="81"/>
  <c r="T42" i="81"/>
  <c r="T43" i="81" s="1"/>
  <c r="T37" i="81"/>
  <c r="T46" i="81"/>
  <c r="Q40" i="80"/>
  <c r="P42" i="80"/>
  <c r="P43" i="80" s="1"/>
  <c r="P12" i="80"/>
  <c r="Q68" i="80"/>
  <c r="S48" i="80"/>
  <c r="S46" i="80" s="1"/>
  <c r="S34" i="80" s="1"/>
  <c r="P49" i="80"/>
  <c r="Y25" i="80"/>
  <c r="X29" i="80"/>
  <c r="X30" i="80" s="1"/>
  <c r="Z122" i="79"/>
  <c r="Y122" i="79" s="1"/>
  <c r="Z128" i="79"/>
  <c r="Z106" i="79"/>
  <c r="Z109" i="79" s="1"/>
  <c r="Z127" i="79"/>
  <c r="AH59" i="79"/>
  <c r="Y99" i="79"/>
  <c r="AH99" i="79" s="1"/>
  <c r="AB106" i="79"/>
  <c r="AB109" i="79" s="1"/>
  <c r="AB127" i="79"/>
  <c r="AB128" i="79"/>
  <c r="Y123" i="79"/>
  <c r="AH123" i="79" s="1"/>
  <c r="AG98" i="79"/>
  <c r="U96" i="79"/>
  <c r="AF99" i="79"/>
  <c r="Q96" i="79"/>
  <c r="AG122" i="79"/>
  <c r="U120" i="79"/>
  <c r="AF120" i="79"/>
  <c r="Q121" i="79"/>
  <c r="AF121" i="79" s="1"/>
  <c r="M109" i="79"/>
  <c r="AE109" i="79" s="1"/>
  <c r="AE106" i="79"/>
  <c r="AH89" i="79"/>
  <c r="Y102" i="79"/>
  <c r="AH102" i="79" s="1"/>
  <c r="Y96" i="79"/>
  <c r="AH98" i="79"/>
  <c r="R67" i="78"/>
  <c r="R91" i="78"/>
  <c r="O75" i="78"/>
  <c r="O78" i="78" s="1"/>
  <c r="W41" i="78"/>
  <c r="W23" i="78" s="1"/>
  <c r="W67" i="78" s="1"/>
  <c r="R90" i="78"/>
  <c r="S68" i="78"/>
  <c r="R69" i="78"/>
  <c r="W69" i="78" s="1"/>
  <c r="N93" i="78"/>
  <c r="N75" i="78"/>
  <c r="N78" i="78" s="1"/>
  <c r="N89" i="78"/>
  <c r="M92" i="78"/>
  <c r="V92" i="78" s="1"/>
  <c r="F87" i="78"/>
  <c r="F89" i="78"/>
  <c r="W91" i="78"/>
  <c r="V7" i="81" l="1"/>
  <c r="U9" i="81"/>
  <c r="V9" i="81" s="1"/>
  <c r="T48" i="81"/>
  <c r="T40" i="81"/>
  <c r="S36" i="80"/>
  <c r="T34" i="80"/>
  <c r="S7" i="80"/>
  <c r="Q66" i="80"/>
  <c r="Q71" i="80" s="1"/>
  <c r="R71" i="80" s="1"/>
  <c r="R66" i="80" s="1"/>
  <c r="P68" i="80"/>
  <c r="P66" i="80" s="1"/>
  <c r="Y29" i="80"/>
  <c r="Z29" i="80" s="1"/>
  <c r="Y31" i="80"/>
  <c r="Z25" i="80"/>
  <c r="P14" i="80"/>
  <c r="P15" i="80" s="1"/>
  <c r="Q12" i="80"/>
  <c r="Q42" i="80"/>
  <c r="R42" i="80" s="1"/>
  <c r="Q46" i="80"/>
  <c r="R40" i="80"/>
  <c r="AH96" i="79"/>
  <c r="Y106" i="79"/>
  <c r="Y127" i="79"/>
  <c r="Y128" i="79"/>
  <c r="AH122" i="79"/>
  <c r="Y120" i="79"/>
  <c r="U121" i="79"/>
  <c r="AG121" i="79" s="1"/>
  <c r="AG120" i="79"/>
  <c r="AG96" i="79"/>
  <c r="U106" i="79"/>
  <c r="U127" i="79"/>
  <c r="U128" i="79"/>
  <c r="AF96" i="79"/>
  <c r="Q127" i="79"/>
  <c r="Q106" i="79"/>
  <c r="Q128" i="79"/>
  <c r="M87" i="78"/>
  <c r="M89" i="78"/>
  <c r="V89" i="78" s="1"/>
  <c r="R68" i="78"/>
  <c r="W68" i="78" s="1"/>
  <c r="G94" i="78"/>
  <c r="G95" i="78" s="1"/>
  <c r="F88" i="78"/>
  <c r="M79" i="78"/>
  <c r="V79" i="78" s="1"/>
  <c r="M75" i="78"/>
  <c r="U40" i="81" l="1"/>
  <c r="U68" i="81"/>
  <c r="T12" i="81"/>
  <c r="T49" i="81"/>
  <c r="W48" i="81"/>
  <c r="W46" i="81" s="1"/>
  <c r="W34" i="81" s="1"/>
  <c r="R12" i="80"/>
  <c r="Q14" i="80"/>
  <c r="R14" i="80" s="1"/>
  <c r="R46" i="80"/>
  <c r="Q48" i="80"/>
  <c r="R48" i="80" s="1"/>
  <c r="S9" i="80"/>
  <c r="T36" i="80"/>
  <c r="T7" i="80"/>
  <c r="T9" i="80" s="1"/>
  <c r="T10" i="80" s="1"/>
  <c r="Y121" i="79"/>
  <c r="AH121" i="79" s="1"/>
  <c r="AH120" i="79"/>
  <c r="Y109" i="79"/>
  <c r="AH109" i="79" s="1"/>
  <c r="AH106" i="79"/>
  <c r="AF106" i="79"/>
  <c r="Q109" i="79"/>
  <c r="AF109" i="79" s="1"/>
  <c r="AG106" i="79"/>
  <c r="U109" i="79"/>
  <c r="AG109" i="79" s="1"/>
  <c r="M78" i="78"/>
  <c r="V78" i="78" s="1"/>
  <c r="V75" i="78"/>
  <c r="N94" i="78"/>
  <c r="N95" i="78" s="1"/>
  <c r="M88" i="78"/>
  <c r="V88" i="78" s="1"/>
  <c r="V87" i="78"/>
  <c r="R79" i="78"/>
  <c r="W79" i="78" s="1"/>
  <c r="R75" i="78"/>
  <c r="S89" i="78"/>
  <c r="S75" i="78"/>
  <c r="S78" i="78" s="1"/>
  <c r="R92" i="78"/>
  <c r="W92" i="78" s="1"/>
  <c r="S93" i="78"/>
  <c r="U66" i="81" l="1"/>
  <c r="U71" i="81" s="1"/>
  <c r="V71" i="81" s="1"/>
  <c r="V66" i="81" s="1"/>
  <c r="T68" i="81"/>
  <c r="T66" i="81" s="1"/>
  <c r="T14" i="81"/>
  <c r="T15" i="81" s="1"/>
  <c r="U12" i="81"/>
  <c r="W36" i="81"/>
  <c r="X34" i="81"/>
  <c r="X36" i="81" s="1"/>
  <c r="X42" i="81" s="1"/>
  <c r="W7" i="81"/>
  <c r="W9" i="81" s="1"/>
  <c r="U42" i="81"/>
  <c r="V42" i="81" s="1"/>
  <c r="V40" i="81"/>
  <c r="U46" i="81"/>
  <c r="T42" i="80"/>
  <c r="T43" i="80" s="1"/>
  <c r="T37" i="80"/>
  <c r="T46" i="80"/>
  <c r="U7" i="80"/>
  <c r="R78" i="78"/>
  <c r="W78" i="78" s="1"/>
  <c r="W75" i="78"/>
  <c r="R87" i="78"/>
  <c r="R89" i="78"/>
  <c r="W89" i="78" s="1"/>
  <c r="V12" i="81" l="1"/>
  <c r="U14" i="81"/>
  <c r="V14" i="81" s="1"/>
  <c r="V46" i="81"/>
  <c r="U48" i="81"/>
  <c r="V48" i="81" s="1"/>
  <c r="X7" i="81"/>
  <c r="X9" i="81" s="1"/>
  <c r="V7" i="80"/>
  <c r="U9" i="80"/>
  <c r="V9" i="80" s="1"/>
  <c r="T48" i="80"/>
  <c r="T40" i="80"/>
  <c r="S94" i="78"/>
  <c r="S95" i="78" s="1"/>
  <c r="W87" i="78"/>
  <c r="R88" i="78"/>
  <c r="W88" i="78" s="1"/>
  <c r="Y7" i="81" l="1"/>
  <c r="Y9" i="81"/>
  <c r="Z9" i="81" s="1"/>
  <c r="Z7" i="81"/>
  <c r="X37" i="81"/>
  <c r="X43" i="81"/>
  <c r="X46" i="81"/>
  <c r="X10" i="81"/>
  <c r="U40" i="80"/>
  <c r="U68" i="80"/>
  <c r="T12" i="80"/>
  <c r="T49" i="80"/>
  <c r="W48" i="80"/>
  <c r="W46" i="80" s="1"/>
  <c r="W34" i="80" s="1"/>
  <c r="L19" i="75"/>
  <c r="L12" i="75"/>
  <c r="L14" i="75"/>
  <c r="K14" i="75"/>
  <c r="L13" i="75"/>
  <c r="X48" i="81" l="1"/>
  <c r="X49" i="81" s="1"/>
  <c r="X40" i="81"/>
  <c r="U66" i="80"/>
  <c r="U71" i="80" s="1"/>
  <c r="V71" i="80" s="1"/>
  <c r="V66" i="80" s="1"/>
  <c r="T68" i="80"/>
  <c r="T66" i="80" s="1"/>
  <c r="T14" i="80"/>
  <c r="T15" i="80" s="1"/>
  <c r="U12" i="80"/>
  <c r="W36" i="80"/>
  <c r="X34" i="80"/>
  <c r="W7" i="80"/>
  <c r="U42" i="80"/>
  <c r="V42" i="80" s="1"/>
  <c r="V40" i="80"/>
  <c r="U46" i="80"/>
  <c r="AB128" i="41"/>
  <c r="AA128" i="41"/>
  <c r="Z128" i="41"/>
  <c r="Y128" i="41"/>
  <c r="X128" i="41"/>
  <c r="W128" i="41"/>
  <c r="V128" i="41"/>
  <c r="U128" i="41"/>
  <c r="T128" i="41"/>
  <c r="S128" i="41"/>
  <c r="R128" i="41"/>
  <c r="Q128" i="41"/>
  <c r="P128" i="41"/>
  <c r="O128" i="41"/>
  <c r="N128" i="41"/>
  <c r="M128" i="41"/>
  <c r="J128" i="41"/>
  <c r="K128" i="41"/>
  <c r="L128" i="41"/>
  <c r="I129" i="41"/>
  <c r="H128" i="41"/>
  <c r="G128" i="41"/>
  <c r="F128" i="41"/>
  <c r="E128" i="41"/>
  <c r="D128" i="41"/>
  <c r="K42" i="75"/>
  <c r="D66" i="75"/>
  <c r="L49" i="41"/>
  <c r="J49" i="41"/>
  <c r="G47" i="75"/>
  <c r="G46" i="75"/>
  <c r="G71" i="75"/>
  <c r="Y40" i="81" l="1"/>
  <c r="Y42" i="81" s="1"/>
  <c r="X12" i="81"/>
  <c r="V12" i="80"/>
  <c r="U14" i="80"/>
  <c r="V14" i="80" s="1"/>
  <c r="V46" i="80"/>
  <c r="U48" i="80"/>
  <c r="V48" i="80" s="1"/>
  <c r="W9" i="80"/>
  <c r="Y7" i="80"/>
  <c r="X36" i="80"/>
  <c r="X7" i="80"/>
  <c r="X9" i="80" s="1"/>
  <c r="X10" i="80" s="1"/>
  <c r="I49" i="41"/>
  <c r="N95" i="41"/>
  <c r="J24" i="66"/>
  <c r="H127" i="41"/>
  <c r="E127" i="41"/>
  <c r="F127" i="41"/>
  <c r="G127" i="41"/>
  <c r="D127" i="41"/>
  <c r="X14" i="81" l="1"/>
  <c r="X15" i="81" s="1"/>
  <c r="Y12" i="81"/>
  <c r="Z42" i="81"/>
  <c r="Z40" i="81"/>
  <c r="Y46" i="81"/>
  <c r="Z7" i="80"/>
  <c r="Y9" i="80"/>
  <c r="Z9" i="80" s="1"/>
  <c r="X37" i="80"/>
  <c r="X42" i="80"/>
  <c r="X43" i="80" s="1"/>
  <c r="X46" i="80"/>
  <c r="U7" i="73"/>
  <c r="T7" i="73"/>
  <c r="R7" i="73"/>
  <c r="Q7" i="73"/>
  <c r="O7" i="73"/>
  <c r="N7" i="73"/>
  <c r="L7" i="73"/>
  <c r="K7" i="73"/>
  <c r="Y14" i="81" l="1"/>
  <c r="Z14" i="81" s="1"/>
  <c r="Z12" i="81"/>
  <c r="Z46" i="81"/>
  <c r="Y48" i="81"/>
  <c r="Z48" i="81" s="1"/>
  <c r="X48" i="80"/>
  <c r="X49" i="80" s="1"/>
  <c r="X40" i="80"/>
  <c r="O42" i="75"/>
  <c r="O41" i="75"/>
  <c r="J47" i="41"/>
  <c r="I47" i="41" s="1"/>
  <c r="L47" i="41"/>
  <c r="J92" i="41"/>
  <c r="I9" i="66"/>
  <c r="J95" i="41"/>
  <c r="I21" i="66"/>
  <c r="F9" i="66"/>
  <c r="Y40" i="80" l="1"/>
  <c r="X12" i="80"/>
  <c r="J91" i="41"/>
  <c r="I18" i="66"/>
  <c r="I15" i="66"/>
  <c r="J65" i="41"/>
  <c r="J55" i="41"/>
  <c r="L53" i="41"/>
  <c r="L34" i="41"/>
  <c r="J34" i="41"/>
  <c r="L36" i="41"/>
  <c r="J36" i="41"/>
  <c r="J26" i="41"/>
  <c r="X14" i="80" l="1"/>
  <c r="X15" i="80" s="1"/>
  <c r="Y12" i="80"/>
  <c r="Y42" i="80"/>
  <c r="Z42" i="80" s="1"/>
  <c r="Z40" i="80"/>
  <c r="Y46" i="80"/>
  <c r="I55" i="41"/>
  <c r="L55" i="41"/>
  <c r="J7" i="73"/>
  <c r="Z12" i="80" l="1"/>
  <c r="Y14" i="80"/>
  <c r="Z14" i="80" s="1"/>
  <c r="Z46" i="80"/>
  <c r="Y48" i="80"/>
  <c r="Z48" i="80" s="1"/>
  <c r="L67" i="75"/>
  <c r="K67" i="75"/>
  <c r="H67" i="75" s="1"/>
  <c r="T67" i="75" l="1"/>
  <c r="X21" i="75"/>
  <c r="T21" i="75"/>
  <c r="P21" i="75"/>
  <c r="P67" i="75"/>
  <c r="J48" i="41" l="1"/>
  <c r="L48" i="41" s="1"/>
  <c r="D131" i="41"/>
  <c r="J58" i="41"/>
  <c r="L58" i="41" s="1"/>
  <c r="J51" i="41"/>
  <c r="L51" i="41" s="1"/>
  <c r="L46" i="41"/>
  <c r="J46" i="41"/>
  <c r="J45" i="41"/>
  <c r="L45" i="41"/>
  <c r="J44" i="41"/>
  <c r="L44" i="41" s="1"/>
  <c r="J43" i="41"/>
  <c r="J27" i="41" l="1"/>
  <c r="L137" i="41"/>
  <c r="J137" i="41"/>
  <c r="X53" i="75" l="1"/>
  <c r="W53" i="75"/>
  <c r="O35" i="75"/>
  <c r="O8" i="75" s="1"/>
  <c r="P53" i="75"/>
  <c r="Q53" i="75"/>
  <c r="R53" i="75" s="1"/>
  <c r="I41" i="75"/>
  <c r="I47" i="75" s="1"/>
  <c r="M35" i="75"/>
  <c r="N35" i="75" s="1"/>
  <c r="L35" i="75"/>
  <c r="P35" i="75" s="1"/>
  <c r="K35" i="75"/>
  <c r="L41" i="75"/>
  <c r="P41" i="75" s="1"/>
  <c r="K41" i="75"/>
  <c r="K13" i="75" s="1"/>
  <c r="M53" i="75"/>
  <c r="T53" i="75" s="1"/>
  <c r="P8" i="75" l="1"/>
  <c r="T35" i="75"/>
  <c r="P13" i="75"/>
  <c r="T41" i="75"/>
  <c r="U53" i="75"/>
  <c r="S35" i="75"/>
  <c r="O53" i="75"/>
  <c r="N53" i="75"/>
  <c r="P47" i="75"/>
  <c r="Q35" i="75"/>
  <c r="U35" i="75" l="1"/>
  <c r="W35" i="75"/>
  <c r="T8" i="75"/>
  <c r="T47" i="75"/>
  <c r="X35" i="75"/>
  <c r="V53" i="75"/>
  <c r="Y53" i="75"/>
  <c r="Z53" i="75" s="1"/>
  <c r="O13" i="75"/>
  <c r="Q13" i="75" s="1"/>
  <c r="N69" i="75"/>
  <c r="M69" i="75" s="1"/>
  <c r="S41" i="75"/>
  <c r="X41" i="75"/>
  <c r="X13" i="75" s="1"/>
  <c r="T13" i="75"/>
  <c r="Q41" i="75"/>
  <c r="S8" i="75"/>
  <c r="O47" i="75"/>
  <c r="Q47" i="75" s="1"/>
  <c r="R35" i="75"/>
  <c r="Q8" i="75"/>
  <c r="S42" i="75" l="1"/>
  <c r="R69" i="75"/>
  <c r="Q69" i="75" s="1"/>
  <c r="U41" i="75"/>
  <c r="V41" i="75" s="1"/>
  <c r="W41" i="75"/>
  <c r="V69" i="75" s="1"/>
  <c r="U69" i="75" s="1"/>
  <c r="S13" i="75"/>
  <c r="U13" i="75" s="1"/>
  <c r="V13" i="75" s="1"/>
  <c r="X47" i="75"/>
  <c r="X8" i="75"/>
  <c r="U8" i="75"/>
  <c r="V8" i="75" s="1"/>
  <c r="V35" i="75"/>
  <c r="S47" i="75"/>
  <c r="U47" i="75" s="1"/>
  <c r="V47" i="75" s="1"/>
  <c r="Y35" i="75"/>
  <c r="W47" i="75"/>
  <c r="Y47" i="75" s="1"/>
  <c r="W8" i="75"/>
  <c r="Y41" i="75" l="1"/>
  <c r="Z41" i="75" s="1"/>
  <c r="W13" i="75"/>
  <c r="Y13" i="75" s="1"/>
  <c r="Z13" i="75" s="1"/>
  <c r="W42" i="75"/>
  <c r="Y8" i="75"/>
  <c r="Z8" i="75" s="1"/>
  <c r="Z35" i="75"/>
  <c r="Z47" i="75"/>
  <c r="F31" i="75" l="1"/>
  <c r="G53" i="73"/>
  <c r="F53" i="73"/>
  <c r="E53" i="73"/>
  <c r="I8" i="75" l="1"/>
  <c r="H8" i="75"/>
  <c r="G8" i="75"/>
  <c r="H13" i="75"/>
  <c r="G13" i="75"/>
  <c r="I13" i="75" s="1"/>
  <c r="Y95" i="41"/>
  <c r="Y94" i="41"/>
  <c r="Y93" i="41"/>
  <c r="Y91" i="41" s="1"/>
  <c r="Y92" i="41"/>
  <c r="AB91" i="41"/>
  <c r="AA91" i="41"/>
  <c r="Z91" i="41"/>
  <c r="U95" i="41"/>
  <c r="U94" i="41"/>
  <c r="U93" i="41"/>
  <c r="U92" i="41"/>
  <c r="X91" i="41"/>
  <c r="W91" i="41"/>
  <c r="V91" i="41"/>
  <c r="Q95" i="41"/>
  <c r="Q94" i="41"/>
  <c r="Q93" i="41"/>
  <c r="Q92" i="41"/>
  <c r="T91" i="41"/>
  <c r="S91" i="41"/>
  <c r="R91" i="41"/>
  <c r="M95" i="41"/>
  <c r="M94" i="41"/>
  <c r="M93" i="41"/>
  <c r="M92" i="41"/>
  <c r="P91" i="41"/>
  <c r="O91" i="41"/>
  <c r="N91" i="41"/>
  <c r="K91" i="41"/>
  <c r="L91" i="41"/>
  <c r="I93" i="41"/>
  <c r="I94" i="41"/>
  <c r="I95" i="41"/>
  <c r="J69" i="75"/>
  <c r="I69" i="75" s="1"/>
  <c r="H53" i="75"/>
  <c r="E66" i="75"/>
  <c r="F69" i="75"/>
  <c r="E69" i="75" s="1"/>
  <c r="H47" i="75"/>
  <c r="G48" i="75"/>
  <c r="G34" i="75" s="1"/>
  <c r="G36" i="75" s="1"/>
  <c r="G29" i="75"/>
  <c r="G21" i="75"/>
  <c r="H21" i="75" s="1"/>
  <c r="E71" i="75" l="1"/>
  <c r="E68" i="75"/>
  <c r="M91" i="41"/>
  <c r="I92" i="41"/>
  <c r="K21" i="75"/>
  <c r="L21" i="75" s="1"/>
  <c r="O21" i="75" s="1"/>
  <c r="U91" i="41"/>
  <c r="Q91" i="41"/>
  <c r="P22" i="75" l="1"/>
  <c r="S21" i="75"/>
  <c r="E55" i="75"/>
  <c r="L53" i="75"/>
  <c r="J53" i="75"/>
  <c r="E49" i="75"/>
  <c r="K47" i="75"/>
  <c r="J47" i="75"/>
  <c r="E43" i="75"/>
  <c r="M41" i="75"/>
  <c r="J41" i="75"/>
  <c r="E37" i="75"/>
  <c r="J35" i="75"/>
  <c r="E30" i="75"/>
  <c r="H22" i="75"/>
  <c r="E22" i="75"/>
  <c r="J20" i="75"/>
  <c r="E15" i="75"/>
  <c r="M13" i="75"/>
  <c r="J13" i="75"/>
  <c r="E10" i="75"/>
  <c r="K8" i="75"/>
  <c r="J8" i="75"/>
  <c r="AC21" i="41"/>
  <c r="AD21" i="41"/>
  <c r="AE21" i="41"/>
  <c r="AF21" i="41"/>
  <c r="AG21" i="41"/>
  <c r="AH21" i="41"/>
  <c r="AC29" i="41"/>
  <c r="AD29" i="41"/>
  <c r="AE29" i="41"/>
  <c r="AF29" i="41"/>
  <c r="AG29" i="41"/>
  <c r="AH29" i="41"/>
  <c r="AC84" i="41"/>
  <c r="AD84" i="41"/>
  <c r="AE84" i="41"/>
  <c r="AF84" i="41"/>
  <c r="AG84" i="41"/>
  <c r="AH84" i="41"/>
  <c r="AF91" i="41"/>
  <c r="AG91" i="41"/>
  <c r="AH91" i="41"/>
  <c r="AC92" i="41"/>
  <c r="AD92" i="41"/>
  <c r="AE92" i="41"/>
  <c r="AF92" i="41"/>
  <c r="AG92" i="41"/>
  <c r="AH92" i="41"/>
  <c r="AC93" i="41"/>
  <c r="AD93" i="41"/>
  <c r="AE93" i="41"/>
  <c r="AF93" i="41"/>
  <c r="AG93" i="41"/>
  <c r="AH93" i="41"/>
  <c r="AC94" i="41"/>
  <c r="AD94" i="41"/>
  <c r="AE94" i="41"/>
  <c r="AF94" i="41"/>
  <c r="AG94" i="41"/>
  <c r="AH94" i="41"/>
  <c r="AC95" i="41"/>
  <c r="AD95" i="41"/>
  <c r="AE95" i="41"/>
  <c r="AF95" i="41"/>
  <c r="AG95" i="41"/>
  <c r="AH95" i="41"/>
  <c r="AC97" i="41"/>
  <c r="AD97" i="41"/>
  <c r="AE97" i="41"/>
  <c r="AF97" i="41"/>
  <c r="AG97" i="41"/>
  <c r="AH97" i="41"/>
  <c r="AC105" i="41"/>
  <c r="AD105" i="41"/>
  <c r="AE105" i="41"/>
  <c r="AF105" i="41"/>
  <c r="AG105" i="41"/>
  <c r="AH105" i="41"/>
  <c r="AC110" i="41"/>
  <c r="AD110" i="41"/>
  <c r="AE110" i="41"/>
  <c r="AF110" i="41"/>
  <c r="AG110" i="41"/>
  <c r="AH110" i="41"/>
  <c r="AC111" i="41"/>
  <c r="AD111" i="41"/>
  <c r="AE111" i="41"/>
  <c r="AF111" i="41"/>
  <c r="AG111" i="41"/>
  <c r="AH111" i="41"/>
  <c r="AC112" i="41"/>
  <c r="AD112" i="41"/>
  <c r="AE112" i="41"/>
  <c r="AF112" i="41"/>
  <c r="AG112" i="41"/>
  <c r="AH112" i="41"/>
  <c r="AC113" i="41"/>
  <c r="AD113" i="41"/>
  <c r="AE113" i="41"/>
  <c r="AF113" i="41"/>
  <c r="AG113" i="41"/>
  <c r="AH113" i="41"/>
  <c r="AC115" i="41"/>
  <c r="AD115" i="41"/>
  <c r="AE115" i="41"/>
  <c r="AF115" i="41"/>
  <c r="AG115" i="41"/>
  <c r="AH115" i="41"/>
  <c r="AC116" i="41"/>
  <c r="AD116" i="41"/>
  <c r="AE116" i="41"/>
  <c r="AF116" i="41"/>
  <c r="AG116" i="41"/>
  <c r="AH116" i="41"/>
  <c r="AC117" i="41"/>
  <c r="AD117" i="41"/>
  <c r="AE117" i="41"/>
  <c r="AF117" i="41"/>
  <c r="AG117" i="41"/>
  <c r="AH117" i="41"/>
  <c r="AC119" i="41"/>
  <c r="AD119" i="41"/>
  <c r="AE119" i="41"/>
  <c r="AF119" i="41"/>
  <c r="AG119" i="41"/>
  <c r="AH119" i="41"/>
  <c r="Z118" i="41"/>
  <c r="Y118" i="41" s="1"/>
  <c r="AH118" i="41" s="1"/>
  <c r="Z114" i="41"/>
  <c r="Y114" i="41"/>
  <c r="AA108" i="41"/>
  <c r="Z108" i="41"/>
  <c r="AB104" i="41"/>
  <c r="AA104" i="41"/>
  <c r="Z104" i="41"/>
  <c r="AB103" i="41"/>
  <c r="AA103" i="41"/>
  <c r="Z103" i="41"/>
  <c r="AA102" i="41"/>
  <c r="Y104" i="41"/>
  <c r="Y90" i="41"/>
  <c r="Y87" i="41"/>
  <c r="Y86" i="41"/>
  <c r="AA85" i="41"/>
  <c r="AA83" i="41" s="1"/>
  <c r="AA107" i="41" s="1"/>
  <c r="Z85" i="41"/>
  <c r="Z83" i="41"/>
  <c r="Z107" i="41" s="1"/>
  <c r="Y82" i="41"/>
  <c r="Y81" i="41"/>
  <c r="Y77" i="41"/>
  <c r="AA75" i="41"/>
  <c r="Y73" i="41"/>
  <c r="Y72" i="41"/>
  <c r="Y71" i="41"/>
  <c r="Y69" i="41"/>
  <c r="Y68" i="41"/>
  <c r="Y67" i="41"/>
  <c r="Y66" i="41"/>
  <c r="Y64" i="41"/>
  <c r="AA63" i="41"/>
  <c r="Y62" i="41"/>
  <c r="Y60" i="41" s="1"/>
  <c r="AH60" i="41" s="1"/>
  <c r="Y61" i="41"/>
  <c r="AB60" i="41"/>
  <c r="AA60" i="41"/>
  <c r="Z60" i="41"/>
  <c r="AA59" i="41"/>
  <c r="AA99" i="41" s="1"/>
  <c r="Y57" i="41"/>
  <c r="Y56" i="41"/>
  <c r="AA54" i="41"/>
  <c r="AA41" i="41"/>
  <c r="Y39" i="41"/>
  <c r="AB38" i="41"/>
  <c r="AA38" i="41"/>
  <c r="Y36" i="41"/>
  <c r="Y35" i="41"/>
  <c r="Y33" i="41" s="1"/>
  <c r="Y34" i="41"/>
  <c r="AB33" i="41"/>
  <c r="AA33" i="41"/>
  <c r="Z33" i="41"/>
  <c r="Y31" i="41"/>
  <c r="AH31" i="41" s="1"/>
  <c r="AA28" i="41"/>
  <c r="AA25" i="41"/>
  <c r="Y24" i="41"/>
  <c r="Y23" i="41"/>
  <c r="AH23" i="41" s="1"/>
  <c r="Y22" i="41"/>
  <c r="Y18" i="41"/>
  <c r="AH18" i="41" s="1"/>
  <c r="Y16" i="41"/>
  <c r="Y15" i="41"/>
  <c r="V118" i="41"/>
  <c r="U118" i="41" s="1"/>
  <c r="AG118" i="41" s="1"/>
  <c r="V114" i="41"/>
  <c r="U114" i="41"/>
  <c r="W108" i="41"/>
  <c r="V108" i="41"/>
  <c r="X104" i="41"/>
  <c r="W104" i="41"/>
  <c r="V104" i="41"/>
  <c r="X103" i="41"/>
  <c r="W103" i="41"/>
  <c r="V103" i="41"/>
  <c r="W102" i="41"/>
  <c r="U104" i="41"/>
  <c r="AH104" i="41" s="1"/>
  <c r="U90" i="41"/>
  <c r="U87" i="41"/>
  <c r="AG87" i="41" s="1"/>
  <c r="U86" i="41"/>
  <c r="W85" i="41"/>
  <c r="V85" i="41"/>
  <c r="V83" i="41" s="1"/>
  <c r="V107" i="41" s="1"/>
  <c r="W83" i="41"/>
  <c r="W107" i="41" s="1"/>
  <c r="U82" i="41"/>
  <c r="AG82" i="41" s="1"/>
  <c r="U81" i="41"/>
  <c r="U77" i="41"/>
  <c r="W75" i="41"/>
  <c r="U73" i="41"/>
  <c r="AG73" i="41" s="1"/>
  <c r="U72" i="41"/>
  <c r="U71" i="41"/>
  <c r="U69" i="41"/>
  <c r="AG69" i="41" s="1"/>
  <c r="U68" i="41"/>
  <c r="U67" i="41"/>
  <c r="U66" i="41"/>
  <c r="U64" i="41"/>
  <c r="W63" i="41"/>
  <c r="W59" i="41" s="1"/>
  <c r="W99" i="41" s="1"/>
  <c r="U62" i="41"/>
  <c r="U61" i="41"/>
  <c r="AG61" i="41" s="1"/>
  <c r="X60" i="41"/>
  <c r="W60" i="41"/>
  <c r="V60" i="41"/>
  <c r="U60" i="41"/>
  <c r="U57" i="41"/>
  <c r="U56" i="41"/>
  <c r="W54" i="41"/>
  <c r="W41" i="41"/>
  <c r="U39" i="41"/>
  <c r="X38" i="41"/>
  <c r="W38" i="41"/>
  <c r="U36" i="41"/>
  <c r="U35" i="41"/>
  <c r="U34" i="41"/>
  <c r="X33" i="41"/>
  <c r="W33" i="41"/>
  <c r="V33" i="41"/>
  <c r="U31" i="41"/>
  <c r="W28" i="41"/>
  <c r="W25" i="41"/>
  <c r="U24" i="41"/>
  <c r="U23" i="41"/>
  <c r="U22" i="41"/>
  <c r="AG22" i="41" s="1"/>
  <c r="U18" i="41"/>
  <c r="U16" i="41"/>
  <c r="AG16" i="41" s="1"/>
  <c r="U15" i="41"/>
  <c r="R118" i="41"/>
  <c r="Q118" i="41" s="1"/>
  <c r="R114" i="41"/>
  <c r="Q114" i="41"/>
  <c r="S108" i="41"/>
  <c r="R108" i="41"/>
  <c r="T104" i="41"/>
  <c r="S104" i="41"/>
  <c r="R104" i="41"/>
  <c r="T103" i="41"/>
  <c r="S103" i="41"/>
  <c r="R103" i="41"/>
  <c r="S102" i="41"/>
  <c r="Q104" i="41"/>
  <c r="AG104" i="41" s="1"/>
  <c r="Q90" i="41"/>
  <c r="Q87" i="41"/>
  <c r="Q86" i="41"/>
  <c r="S85" i="41"/>
  <c r="S83" i="41" s="1"/>
  <c r="S107" i="41" s="1"/>
  <c r="R85" i="41"/>
  <c r="R83" i="41" s="1"/>
  <c r="R107" i="41" s="1"/>
  <c r="Q82" i="41"/>
  <c r="Q81" i="41"/>
  <c r="Q77" i="41"/>
  <c r="S75" i="41"/>
  <c r="Q73" i="41"/>
  <c r="Q72" i="41"/>
  <c r="Q71" i="41"/>
  <c r="Q69" i="41"/>
  <c r="Q68" i="41"/>
  <c r="Q67" i="41"/>
  <c r="Q66" i="41"/>
  <c r="Q64" i="41"/>
  <c r="S63" i="41"/>
  <c r="Q62" i="41"/>
  <c r="Q60" i="41" s="1"/>
  <c r="Q61" i="41"/>
  <c r="T60" i="41"/>
  <c r="S60" i="41"/>
  <c r="R60" i="41"/>
  <c r="Q57" i="41"/>
  <c r="Q56" i="41"/>
  <c r="S54" i="41"/>
  <c r="S41" i="41"/>
  <c r="Q39" i="41"/>
  <c r="T38" i="41"/>
  <c r="S38" i="41"/>
  <c r="Q36" i="41"/>
  <c r="Q35" i="41"/>
  <c r="Q34" i="41"/>
  <c r="T33" i="41"/>
  <c r="S33" i="41"/>
  <c r="R33" i="41"/>
  <c r="Q31" i="41"/>
  <c r="S28" i="41"/>
  <c r="S25" i="41"/>
  <c r="Q24" i="41"/>
  <c r="Q23" i="41"/>
  <c r="Q22" i="41"/>
  <c r="Q18" i="41"/>
  <c r="Q16" i="41"/>
  <c r="Q15" i="41"/>
  <c r="N80" i="41"/>
  <c r="R80" i="41" s="1"/>
  <c r="Q80" i="41" s="1"/>
  <c r="N74" i="41"/>
  <c r="R74" i="41" s="1"/>
  <c r="Q74" i="41" s="1"/>
  <c r="AG24" i="41" l="1"/>
  <c r="AG35" i="41"/>
  <c r="AG39" i="41"/>
  <c r="AG56" i="41"/>
  <c r="Q103" i="41"/>
  <c r="AG15" i="41"/>
  <c r="AG18" i="41"/>
  <c r="U33" i="41"/>
  <c r="AG36" i="41"/>
  <c r="AG57" i="41"/>
  <c r="AG64" i="41"/>
  <c r="AG68" i="41"/>
  <c r="AG72" i="41"/>
  <c r="AG81" i="41"/>
  <c r="AG86" i="41"/>
  <c r="AH22" i="41"/>
  <c r="AH36" i="41"/>
  <c r="AH57" i="41"/>
  <c r="AH67" i="41"/>
  <c r="AH71" i="41"/>
  <c r="AH77" i="41"/>
  <c r="Y103" i="41"/>
  <c r="AH90" i="41"/>
  <c r="AG60" i="41"/>
  <c r="AH64" i="41"/>
  <c r="AH68" i="41"/>
  <c r="AH72" i="41"/>
  <c r="AH81" i="41"/>
  <c r="AH86" i="41"/>
  <c r="S59" i="41"/>
  <c r="S99" i="41" s="1"/>
  <c r="AG23" i="41"/>
  <c r="AG31" i="41"/>
  <c r="AG34" i="41"/>
  <c r="AG62" i="41"/>
  <c r="AG66" i="41"/>
  <c r="AG114" i="41"/>
  <c r="AH15" i="41"/>
  <c r="AH24" i="41"/>
  <c r="AH34" i="41"/>
  <c r="AH61" i="41"/>
  <c r="AH69" i="41"/>
  <c r="AH73" i="41"/>
  <c r="AH82" i="41"/>
  <c r="AH87" i="41"/>
  <c r="AG67" i="41"/>
  <c r="AG71" i="41"/>
  <c r="AG77" i="41"/>
  <c r="U103" i="41"/>
  <c r="AG103" i="41" s="1"/>
  <c r="AG90" i="41"/>
  <c r="AH16" i="41"/>
  <c r="AH35" i="41"/>
  <c r="AH39" i="41"/>
  <c r="AH56" i="41"/>
  <c r="AH62" i="41"/>
  <c r="AH66" i="41"/>
  <c r="AH114" i="41"/>
  <c r="N13" i="75"/>
  <c r="R13" i="75"/>
  <c r="T22" i="75"/>
  <c r="W21" i="75"/>
  <c r="X22" i="75" s="1"/>
  <c r="N41" i="75"/>
  <c r="R41" i="75"/>
  <c r="M47" i="75"/>
  <c r="R47" i="75" s="1"/>
  <c r="V74" i="41"/>
  <c r="V80" i="41"/>
  <c r="L47" i="75"/>
  <c r="L8" i="75"/>
  <c r="K53" i="75"/>
  <c r="M8" i="75"/>
  <c r="AA101" i="41"/>
  <c r="Z101" i="41"/>
  <c r="W101" i="41"/>
  <c r="V101" i="41"/>
  <c r="Q33" i="41"/>
  <c r="S101" i="41"/>
  <c r="R101" i="41"/>
  <c r="AG33" i="41" l="1"/>
  <c r="AH103" i="41"/>
  <c r="AH33" i="41"/>
  <c r="N8" i="75"/>
  <c r="R8" i="75"/>
  <c r="N47" i="75"/>
  <c r="U74" i="41"/>
  <c r="AG74" i="41" s="1"/>
  <c r="Z74" i="41"/>
  <c r="Y74" i="41" s="1"/>
  <c r="U80" i="41"/>
  <c r="AG80" i="41" s="1"/>
  <c r="Z80" i="41"/>
  <c r="Y80" i="41" s="1"/>
  <c r="AH80" i="41" s="1"/>
  <c r="AH74" i="41" l="1"/>
  <c r="L22" i="75" l="1"/>
  <c r="N118" i="41" l="1"/>
  <c r="M118" i="41" s="1"/>
  <c r="N114" i="41"/>
  <c r="M114" i="41"/>
  <c r="O108" i="41"/>
  <c r="N108" i="41"/>
  <c r="P104" i="41"/>
  <c r="O104" i="41"/>
  <c r="N104" i="41"/>
  <c r="P103" i="41"/>
  <c r="O103" i="41"/>
  <c r="N103" i="41"/>
  <c r="O102" i="41"/>
  <c r="M104" i="41"/>
  <c r="AF104" i="41" s="1"/>
  <c r="M90" i="41"/>
  <c r="M87" i="41"/>
  <c r="M86" i="41"/>
  <c r="O85" i="41"/>
  <c r="O83" i="41" s="1"/>
  <c r="O107" i="41" s="1"/>
  <c r="N85" i="41"/>
  <c r="N83" i="41" s="1"/>
  <c r="N107" i="41" s="1"/>
  <c r="M82" i="41"/>
  <c r="M81" i="41"/>
  <c r="M80" i="41"/>
  <c r="M77" i="41"/>
  <c r="O75" i="41"/>
  <c r="M74" i="41"/>
  <c r="M73" i="41"/>
  <c r="M72" i="41"/>
  <c r="M71" i="41"/>
  <c r="M69" i="41"/>
  <c r="M68" i="41"/>
  <c r="M67" i="41"/>
  <c r="M66" i="41"/>
  <c r="M64" i="41"/>
  <c r="O63" i="41"/>
  <c r="M62" i="41"/>
  <c r="M61" i="41"/>
  <c r="P60" i="41"/>
  <c r="O60" i="41"/>
  <c r="O59" i="41" s="1"/>
  <c r="O99" i="41" s="1"/>
  <c r="N60" i="41"/>
  <c r="M57" i="41"/>
  <c r="M56" i="41"/>
  <c r="O54" i="41"/>
  <c r="M52" i="41"/>
  <c r="M42" i="41"/>
  <c r="O41" i="41"/>
  <c r="M39" i="41"/>
  <c r="P38" i="41"/>
  <c r="O38" i="41"/>
  <c r="M36" i="41"/>
  <c r="M35" i="41"/>
  <c r="M34" i="41"/>
  <c r="P33" i="41"/>
  <c r="O33" i="41"/>
  <c r="N33" i="41"/>
  <c r="M31" i="41"/>
  <c r="O28" i="41"/>
  <c r="O25" i="41"/>
  <c r="M24" i="41"/>
  <c r="M23" i="41"/>
  <c r="M22" i="41"/>
  <c r="M18" i="41"/>
  <c r="M16" i="41"/>
  <c r="M15" i="41"/>
  <c r="P28" i="73"/>
  <c r="S28" i="73" s="1"/>
  <c r="V28" i="73" s="1"/>
  <c r="M28" i="73"/>
  <c r="J28" i="73"/>
  <c r="AF36" i="41" l="1"/>
  <c r="AF24" i="41"/>
  <c r="AF35" i="41"/>
  <c r="AF39" i="41"/>
  <c r="AF62" i="41"/>
  <c r="AF67" i="41"/>
  <c r="AF72" i="41"/>
  <c r="AF77" i="41"/>
  <c r="AF82" i="41"/>
  <c r="AF87" i="41"/>
  <c r="AF114" i="41"/>
  <c r="AF68" i="41"/>
  <c r="AF73" i="41"/>
  <c r="M103" i="41"/>
  <c r="AF90" i="41"/>
  <c r="AF18" i="41"/>
  <c r="AF15" i="41"/>
  <c r="AF56" i="41"/>
  <c r="AF64" i="41"/>
  <c r="AF69" i="41"/>
  <c r="AF118" i="41"/>
  <c r="AF22" i="41"/>
  <c r="AF16" i="41"/>
  <c r="AF23" i="41"/>
  <c r="AF31" i="41"/>
  <c r="AF34" i="41"/>
  <c r="AF57" i="41"/>
  <c r="AF61" i="41"/>
  <c r="AF66" i="41"/>
  <c r="AF71" i="41"/>
  <c r="AF81" i="41"/>
  <c r="AF86" i="41"/>
  <c r="AF74" i="41"/>
  <c r="AF80" i="41"/>
  <c r="M60" i="41"/>
  <c r="M33" i="41"/>
  <c r="O101" i="41"/>
  <c r="N101" i="41"/>
  <c r="AF33" i="41" l="1"/>
  <c r="AF60" i="41"/>
  <c r="AF103" i="41"/>
  <c r="J118" i="41" l="1"/>
  <c r="L88" i="41" l="1"/>
  <c r="P88" i="41" s="1"/>
  <c r="T88" i="41" s="1"/>
  <c r="X88" i="41" s="1"/>
  <c r="U88" i="41" l="1"/>
  <c r="AB88" i="41"/>
  <c r="X85" i="41"/>
  <c r="X83" i="41" s="1"/>
  <c r="Q88" i="41"/>
  <c r="T85" i="41"/>
  <c r="T83" i="41" s="1"/>
  <c r="M88" i="41"/>
  <c r="P85" i="41"/>
  <c r="P83" i="41" s="1"/>
  <c r="Q13" i="74"/>
  <c r="S13" i="74" s="1"/>
  <c r="U13" i="74" s="1"/>
  <c r="Q14" i="74"/>
  <c r="S14" i="74" s="1"/>
  <c r="U14" i="74" s="1"/>
  <c r="W14" i="74" s="1"/>
  <c r="E28" i="74"/>
  <c r="D28" i="74"/>
  <c r="C28" i="74"/>
  <c r="M27" i="74"/>
  <c r="H27" i="74"/>
  <c r="F27" i="74"/>
  <c r="M26" i="74"/>
  <c r="J26" i="74"/>
  <c r="O26" i="74" s="1"/>
  <c r="Q26" i="74" s="1"/>
  <c r="S26" i="74" s="1"/>
  <c r="U26" i="74" s="1"/>
  <c r="W26" i="74" s="1"/>
  <c r="H26" i="74"/>
  <c r="F26" i="74"/>
  <c r="I26" i="74" s="1"/>
  <c r="M25" i="74"/>
  <c r="H25" i="74"/>
  <c r="I25" i="74" s="1"/>
  <c r="F25" i="74"/>
  <c r="M24" i="74"/>
  <c r="J24" i="74"/>
  <c r="O24" i="74" s="1"/>
  <c r="Q24" i="74" s="1"/>
  <c r="S24" i="74" s="1"/>
  <c r="U24" i="74" s="1"/>
  <c r="W24" i="74" s="1"/>
  <c r="H24" i="74"/>
  <c r="F24" i="74"/>
  <c r="M23" i="74"/>
  <c r="H23" i="74"/>
  <c r="I23" i="74" s="1"/>
  <c r="F23" i="74"/>
  <c r="M22" i="74"/>
  <c r="J22" i="74"/>
  <c r="O22" i="74" s="1"/>
  <c r="Q22" i="74" s="1"/>
  <c r="S22" i="74" s="1"/>
  <c r="U22" i="74" s="1"/>
  <c r="W22" i="74" s="1"/>
  <c r="H22" i="74"/>
  <c r="F22" i="74"/>
  <c r="M21" i="74"/>
  <c r="H21" i="74"/>
  <c r="I21" i="74" s="1"/>
  <c r="F21" i="74"/>
  <c r="M20" i="74"/>
  <c r="H20" i="74"/>
  <c r="J20" i="74" s="1"/>
  <c r="O20" i="74" s="1"/>
  <c r="Q20" i="74" s="1"/>
  <c r="S20" i="74" s="1"/>
  <c r="U20" i="74" s="1"/>
  <c r="W20" i="74" s="1"/>
  <c r="F20" i="74"/>
  <c r="M19" i="74"/>
  <c r="H19" i="74"/>
  <c r="F19" i="74"/>
  <c r="M18" i="74"/>
  <c r="J18" i="74"/>
  <c r="O18" i="74" s="1"/>
  <c r="Q18" i="74" s="1"/>
  <c r="S18" i="74" s="1"/>
  <c r="U18" i="74" s="1"/>
  <c r="H18" i="74"/>
  <c r="F18" i="74"/>
  <c r="I18" i="74" s="1"/>
  <c r="K18" i="74" s="1"/>
  <c r="M17" i="74"/>
  <c r="H17" i="74"/>
  <c r="I17" i="74" s="1"/>
  <c r="F17" i="74"/>
  <c r="M16" i="74"/>
  <c r="J16" i="74"/>
  <c r="O16" i="74" s="1"/>
  <c r="Q16" i="74" s="1"/>
  <c r="S16" i="74" s="1"/>
  <c r="U16" i="74" s="1"/>
  <c r="W16" i="74" s="1"/>
  <c r="H16" i="74"/>
  <c r="F16" i="74"/>
  <c r="M15" i="74"/>
  <c r="H15" i="74"/>
  <c r="I15" i="74" s="1"/>
  <c r="F15" i="74"/>
  <c r="M14" i="74"/>
  <c r="H14" i="74"/>
  <c r="F14" i="74"/>
  <c r="M13" i="74"/>
  <c r="H13" i="74"/>
  <c r="F13" i="74"/>
  <c r="M12" i="74"/>
  <c r="J12" i="74"/>
  <c r="O12" i="74" s="1"/>
  <c r="Q12" i="74" s="1"/>
  <c r="S12" i="74" s="1"/>
  <c r="U12" i="74" s="1"/>
  <c r="H12" i="74"/>
  <c r="F12" i="74"/>
  <c r="I12" i="74" s="1"/>
  <c r="K12" i="74" s="1"/>
  <c r="P12" i="74" s="1"/>
  <c r="R12" i="74" s="1"/>
  <c r="T12" i="74" s="1"/>
  <c r="V12" i="74" s="1"/>
  <c r="M11" i="74"/>
  <c r="H11" i="74"/>
  <c r="I11" i="74" s="1"/>
  <c r="F11" i="74"/>
  <c r="M10" i="74"/>
  <c r="J10" i="74"/>
  <c r="O10" i="74" s="1"/>
  <c r="Q10" i="74" s="1"/>
  <c r="S10" i="74" s="1"/>
  <c r="U10" i="74" s="1"/>
  <c r="W10" i="74" s="1"/>
  <c r="H10" i="74"/>
  <c r="F10" i="74"/>
  <c r="M9" i="74"/>
  <c r="H9" i="74"/>
  <c r="I9" i="74" s="1"/>
  <c r="F9" i="74"/>
  <c r="M8" i="74"/>
  <c r="J8" i="74"/>
  <c r="O8" i="74" s="1"/>
  <c r="Q8" i="74" s="1"/>
  <c r="S8" i="74" s="1"/>
  <c r="U8" i="74" s="1"/>
  <c r="W8" i="74" s="1"/>
  <c r="H8" i="74"/>
  <c r="F8" i="74"/>
  <c r="M7" i="74"/>
  <c r="H7" i="74"/>
  <c r="I7" i="74" s="1"/>
  <c r="F7" i="74"/>
  <c r="M6" i="74"/>
  <c r="H6" i="74"/>
  <c r="J6" i="74" s="1"/>
  <c r="O6" i="74" s="1"/>
  <c r="Q6" i="74" s="1"/>
  <c r="S6" i="74" s="1"/>
  <c r="U6" i="74" s="1"/>
  <c r="W6" i="74" s="1"/>
  <c r="F6" i="74"/>
  <c r="M5" i="74"/>
  <c r="J5" i="74"/>
  <c r="O5" i="74" s="1"/>
  <c r="Q5" i="74" s="1"/>
  <c r="S5" i="74" s="1"/>
  <c r="U5" i="74" s="1"/>
  <c r="F5" i="74"/>
  <c r="I5" i="74" s="1"/>
  <c r="K5" i="74" s="1"/>
  <c r="M4" i="74"/>
  <c r="H4" i="74"/>
  <c r="J4" i="74" s="1"/>
  <c r="O4" i="74" s="1"/>
  <c r="Q4" i="74" s="1"/>
  <c r="S4" i="74" s="1"/>
  <c r="U4" i="74" s="1"/>
  <c r="W4" i="74" s="1"/>
  <c r="F4" i="74"/>
  <c r="I4" i="74" s="1"/>
  <c r="M3" i="74"/>
  <c r="J3" i="74"/>
  <c r="O3" i="74" s="1"/>
  <c r="Q3" i="74" s="1"/>
  <c r="S3" i="74" s="1"/>
  <c r="U3" i="74" s="1"/>
  <c r="H3" i="74"/>
  <c r="F3" i="74"/>
  <c r="I3" i="74" s="1"/>
  <c r="K3" i="74" s="1"/>
  <c r="M2" i="74"/>
  <c r="H2" i="74"/>
  <c r="F2" i="74"/>
  <c r="S35" i="73"/>
  <c r="P37" i="73"/>
  <c r="S37" i="73" s="1"/>
  <c r="V37" i="73" s="1"/>
  <c r="P35" i="73"/>
  <c r="M40" i="73"/>
  <c r="P40" i="73" s="1"/>
  <c r="M38" i="73"/>
  <c r="P38" i="73" s="1"/>
  <c r="S38" i="73" s="1"/>
  <c r="V38" i="73" s="1"/>
  <c r="M37" i="73"/>
  <c r="M35" i="73"/>
  <c r="V23" i="73"/>
  <c r="P23" i="73"/>
  <c r="S23" i="73" s="1"/>
  <c r="M23" i="73"/>
  <c r="I50" i="73"/>
  <c r="K50" i="73" s="1"/>
  <c r="P3" i="74" l="1"/>
  <c r="R3" i="74" s="1"/>
  <c r="T3" i="74" s="1"/>
  <c r="V3" i="74" s="1"/>
  <c r="W5" i="74"/>
  <c r="W13" i="74"/>
  <c r="P39" i="73"/>
  <c r="S40" i="73"/>
  <c r="M39" i="73"/>
  <c r="F28" i="74"/>
  <c r="I2" i="74"/>
  <c r="W12" i="74"/>
  <c r="X12" i="74" s="1"/>
  <c r="P18" i="74"/>
  <c r="R18" i="74" s="1"/>
  <c r="T18" i="74" s="1"/>
  <c r="V18" i="74" s="1"/>
  <c r="L50" i="73"/>
  <c r="N50" i="73" s="1"/>
  <c r="O50" i="73" s="1"/>
  <c r="Q50" i="73" s="1"/>
  <c r="R50" i="73" s="1"/>
  <c r="T50" i="73" s="1"/>
  <c r="U50" i="73" s="1"/>
  <c r="P5" i="74"/>
  <c r="R5" i="74" s="1"/>
  <c r="T5" i="74" s="1"/>
  <c r="V5" i="74" s="1"/>
  <c r="I8" i="74"/>
  <c r="K8" i="74" s="1"/>
  <c r="P8" i="74" s="1"/>
  <c r="R8" i="74" s="1"/>
  <c r="T8" i="74" s="1"/>
  <c r="V8" i="74" s="1"/>
  <c r="X8" i="74" s="1"/>
  <c r="I22" i="74"/>
  <c r="K22" i="74" s="1"/>
  <c r="P22" i="74" s="1"/>
  <c r="R22" i="74" s="1"/>
  <c r="T22" i="74" s="1"/>
  <c r="V22" i="74" s="1"/>
  <c r="X22" i="74" s="1"/>
  <c r="Q85" i="41"/>
  <c r="AF88" i="41"/>
  <c r="V35" i="73"/>
  <c r="I6" i="74"/>
  <c r="K6" i="74" s="1"/>
  <c r="P6" i="74" s="1"/>
  <c r="R6" i="74" s="1"/>
  <c r="T6" i="74" s="1"/>
  <c r="V6" i="74" s="1"/>
  <c r="X6" i="74" s="1"/>
  <c r="I14" i="74"/>
  <c r="I20" i="74"/>
  <c r="K20" i="74" s="1"/>
  <c r="P20" i="74" s="1"/>
  <c r="R20" i="74" s="1"/>
  <c r="T20" i="74" s="1"/>
  <c r="V20" i="74" s="1"/>
  <c r="X20" i="74" s="1"/>
  <c r="X107" i="41"/>
  <c r="X70" i="41"/>
  <c r="X101" i="41"/>
  <c r="K26" i="74"/>
  <c r="P26" i="74" s="1"/>
  <c r="R26" i="74" s="1"/>
  <c r="T26" i="74" s="1"/>
  <c r="V26" i="74" s="1"/>
  <c r="X26" i="74" s="1"/>
  <c r="M85" i="41"/>
  <c r="Y88" i="41"/>
  <c r="AB85" i="41"/>
  <c r="AB83" i="41" s="1"/>
  <c r="H28" i="74"/>
  <c r="I10" i="74"/>
  <c r="K10" i="74" s="1"/>
  <c r="P10" i="74" s="1"/>
  <c r="R10" i="74" s="1"/>
  <c r="T10" i="74" s="1"/>
  <c r="V10" i="74" s="1"/>
  <c r="X10" i="74" s="1"/>
  <c r="I13" i="74"/>
  <c r="I16" i="74"/>
  <c r="K16" i="74" s="1"/>
  <c r="P16" i="74" s="1"/>
  <c r="R16" i="74" s="1"/>
  <c r="T16" i="74" s="1"/>
  <c r="V16" i="74" s="1"/>
  <c r="X16" i="74" s="1"/>
  <c r="I19" i="74"/>
  <c r="I24" i="74"/>
  <c r="K24" i="74" s="1"/>
  <c r="P24" i="74" s="1"/>
  <c r="R24" i="74" s="1"/>
  <c r="T24" i="74" s="1"/>
  <c r="V24" i="74" s="1"/>
  <c r="X24" i="74" s="1"/>
  <c r="I27" i="74"/>
  <c r="U85" i="41"/>
  <c r="AG88" i="41"/>
  <c r="T70" i="41"/>
  <c r="T101" i="41"/>
  <c r="T107" i="41"/>
  <c r="P107" i="41"/>
  <c r="P70" i="41"/>
  <c r="P101" i="41"/>
  <c r="K27" i="74"/>
  <c r="P27" i="74" s="1"/>
  <c r="R27" i="74" s="1"/>
  <c r="T27" i="74" s="1"/>
  <c r="V27" i="74" s="1"/>
  <c r="X27" i="74" s="1"/>
  <c r="J13" i="74"/>
  <c r="K13" i="74" s="1"/>
  <c r="P13" i="74" s="1"/>
  <c r="R13" i="74" s="1"/>
  <c r="T13" i="74" s="1"/>
  <c r="V13" i="74" s="1"/>
  <c r="K4" i="74"/>
  <c r="P4" i="74" s="1"/>
  <c r="R4" i="74" s="1"/>
  <c r="T4" i="74" s="1"/>
  <c r="V4" i="74" s="1"/>
  <c r="X4" i="74" s="1"/>
  <c r="J14" i="74"/>
  <c r="K14" i="74" s="1"/>
  <c r="P14" i="74" s="1"/>
  <c r="R14" i="74" s="1"/>
  <c r="T14" i="74" s="1"/>
  <c r="V14" i="74" s="1"/>
  <c r="X14" i="74" s="1"/>
  <c r="J2" i="74"/>
  <c r="O2" i="74" s="1"/>
  <c r="J7" i="74"/>
  <c r="O7" i="74" s="1"/>
  <c r="Q7" i="74" s="1"/>
  <c r="S7" i="74" s="1"/>
  <c r="U7" i="74" s="1"/>
  <c r="W7" i="74" s="1"/>
  <c r="J9" i="74"/>
  <c r="J11" i="74"/>
  <c r="J15" i="74"/>
  <c r="J17" i="74"/>
  <c r="J19" i="74"/>
  <c r="J21" i="74"/>
  <c r="J23" i="74"/>
  <c r="J25" i="74"/>
  <c r="J27" i="74"/>
  <c r="O27" i="74" s="1"/>
  <c r="Q27" i="74" s="1"/>
  <c r="S27" i="74" s="1"/>
  <c r="U27" i="74" s="1"/>
  <c r="W27" i="74" s="1"/>
  <c r="S36" i="73"/>
  <c r="S39" i="73"/>
  <c r="P36" i="73"/>
  <c r="M36" i="73"/>
  <c r="K25" i="74" l="1"/>
  <c r="O25" i="74"/>
  <c r="Q25" i="74" s="1"/>
  <c r="S25" i="74" s="1"/>
  <c r="U25" i="74" s="1"/>
  <c r="K17" i="74"/>
  <c r="P17" i="74" s="1"/>
  <c r="R17" i="74" s="1"/>
  <c r="T17" i="74" s="1"/>
  <c r="O17" i="74"/>
  <c r="Q17" i="74" s="1"/>
  <c r="S17" i="74" s="1"/>
  <c r="U17" i="74" s="1"/>
  <c r="AB107" i="41"/>
  <c r="AB70" i="41"/>
  <c r="AB101" i="41"/>
  <c r="X18" i="74"/>
  <c r="W18" i="74"/>
  <c r="X5" i="74"/>
  <c r="U83" i="41"/>
  <c r="AG85" i="41"/>
  <c r="K23" i="74"/>
  <c r="O23" i="74"/>
  <c r="Q23" i="74" s="1"/>
  <c r="S23" i="74" s="1"/>
  <c r="U23" i="74" s="1"/>
  <c r="W23" i="74" s="1"/>
  <c r="K15" i="74"/>
  <c r="P15" i="74" s="1"/>
  <c r="R15" i="74" s="1"/>
  <c r="T15" i="74" s="1"/>
  <c r="V15" i="74" s="1"/>
  <c r="X15" i="74" s="1"/>
  <c r="O15" i="74"/>
  <c r="Q15" i="74" s="1"/>
  <c r="S15" i="74" s="1"/>
  <c r="U15" i="74" s="1"/>
  <c r="W15" i="74" s="1"/>
  <c r="K2" i="74"/>
  <c r="P2" i="74" s="1"/>
  <c r="I28" i="74"/>
  <c r="K7" i="74"/>
  <c r="P7" i="74" s="1"/>
  <c r="R7" i="74" s="1"/>
  <c r="T7" i="74" s="1"/>
  <c r="V7" i="74" s="1"/>
  <c r="X7" i="74" s="1"/>
  <c r="Y85" i="41"/>
  <c r="AH88" i="41"/>
  <c r="Q83" i="41"/>
  <c r="AF85" i="41"/>
  <c r="K21" i="74"/>
  <c r="P21" i="74" s="1"/>
  <c r="R21" i="74" s="1"/>
  <c r="T21" i="74" s="1"/>
  <c r="O21" i="74"/>
  <c r="Q21" i="74" s="1"/>
  <c r="S21" i="74" s="1"/>
  <c r="U21" i="74" s="1"/>
  <c r="K11" i="74"/>
  <c r="O11" i="74"/>
  <c r="Q11" i="74" s="1"/>
  <c r="S11" i="74" s="1"/>
  <c r="U11" i="74" s="1"/>
  <c r="W11" i="74" s="1"/>
  <c r="X108" i="41"/>
  <c r="X63" i="41"/>
  <c r="U70" i="41"/>
  <c r="X13" i="74"/>
  <c r="W3" i="74"/>
  <c r="X3" i="74" s="1"/>
  <c r="Q2" i="74"/>
  <c r="O28" i="74"/>
  <c r="J79" i="41" s="1"/>
  <c r="K19" i="74"/>
  <c r="P19" i="74" s="1"/>
  <c r="R19" i="74" s="1"/>
  <c r="T19" i="74" s="1"/>
  <c r="V19" i="74" s="1"/>
  <c r="O19" i="74"/>
  <c r="Q19" i="74" s="1"/>
  <c r="S19" i="74" s="1"/>
  <c r="U19" i="74" s="1"/>
  <c r="K9" i="74"/>
  <c r="O9" i="74"/>
  <c r="Q9" i="74" s="1"/>
  <c r="S9" i="74" s="1"/>
  <c r="U9" i="74" s="1"/>
  <c r="M83" i="41"/>
  <c r="V40" i="73"/>
  <c r="T108" i="41"/>
  <c r="T63" i="41"/>
  <c r="Q70" i="41"/>
  <c r="M70" i="41"/>
  <c r="P63" i="41"/>
  <c r="P108" i="41"/>
  <c r="K28" i="74"/>
  <c r="I31" i="74" s="1"/>
  <c r="J28" i="74"/>
  <c r="V39" i="73" l="1"/>
  <c r="M101" i="41"/>
  <c r="M107" i="41"/>
  <c r="W19" i="74"/>
  <c r="X19" i="74" s="1"/>
  <c r="Y83" i="41"/>
  <c r="AH85" i="41"/>
  <c r="V17" i="74"/>
  <c r="W17" i="74"/>
  <c r="W9" i="74"/>
  <c r="AG83" i="41"/>
  <c r="U107" i="41"/>
  <c r="U101" i="41"/>
  <c r="P9" i="74"/>
  <c r="R9" i="74" s="1"/>
  <c r="T9" i="74" s="1"/>
  <c r="V9" i="74" s="1"/>
  <c r="S2" i="74"/>
  <c r="Q28" i="74"/>
  <c r="N79" i="41" s="1"/>
  <c r="M79" i="41" s="1"/>
  <c r="U108" i="41"/>
  <c r="AG70" i="41"/>
  <c r="P11" i="74"/>
  <c r="R11" i="74" s="1"/>
  <c r="T11" i="74" s="1"/>
  <c r="V11" i="74" s="1"/>
  <c r="X11" i="74" s="1"/>
  <c r="AF83" i="41"/>
  <c r="Q101" i="41"/>
  <c r="AF101" i="41" s="1"/>
  <c r="Q107" i="41"/>
  <c r="AF107" i="41" s="1"/>
  <c r="AB108" i="41"/>
  <c r="AB63" i="41"/>
  <c r="Y70" i="41"/>
  <c r="W25" i="74"/>
  <c r="Q108" i="41"/>
  <c r="AF70" i="41"/>
  <c r="V21" i="74"/>
  <c r="W21" i="74"/>
  <c r="X21" i="74" s="1"/>
  <c r="P28" i="74"/>
  <c r="R2" i="74"/>
  <c r="P23" i="74"/>
  <c r="R23" i="74" s="1"/>
  <c r="T23" i="74" s="1"/>
  <c r="V23" i="74" s="1"/>
  <c r="X23" i="74" s="1"/>
  <c r="P25" i="74"/>
  <c r="R25" i="74" s="1"/>
  <c r="T25" i="74" s="1"/>
  <c r="V25" i="74" s="1"/>
  <c r="M108" i="41"/>
  <c r="AF108" i="41" l="1"/>
  <c r="AG107" i="41"/>
  <c r="X17" i="74"/>
  <c r="U2" i="74"/>
  <c r="U28" i="74" s="1"/>
  <c r="V79" i="41" s="1"/>
  <c r="U79" i="41" s="1"/>
  <c r="S28" i="74"/>
  <c r="R79" i="41" s="1"/>
  <c r="Q79" i="41" s="1"/>
  <c r="AF79" i="41" s="1"/>
  <c r="V36" i="73"/>
  <c r="X9" i="74"/>
  <c r="X25" i="74"/>
  <c r="R28" i="74"/>
  <c r="T2" i="74"/>
  <c r="Y108" i="41"/>
  <c r="AH108" i="41" s="1"/>
  <c r="AH70" i="41"/>
  <c r="AG108" i="41"/>
  <c r="AG101" i="41"/>
  <c r="AH83" i="41"/>
  <c r="Y101" i="41"/>
  <c r="AH101" i="41" s="1"/>
  <c r="Y107" i="41"/>
  <c r="AH107" i="41" s="1"/>
  <c r="V2" i="74" l="1"/>
  <c r="T28" i="74"/>
  <c r="AG79" i="41"/>
  <c r="W2" i="74" l="1"/>
  <c r="W28" i="74" s="1"/>
  <c r="Z79" i="41" s="1"/>
  <c r="Y79" i="41" s="1"/>
  <c r="AH79" i="41" s="1"/>
  <c r="V28" i="74"/>
  <c r="K29" i="73"/>
  <c r="L29" i="73"/>
  <c r="N29" i="73"/>
  <c r="O29" i="73"/>
  <c r="Q29" i="73"/>
  <c r="R29" i="73"/>
  <c r="T29" i="73"/>
  <c r="U29" i="73"/>
  <c r="I29" i="73"/>
  <c r="H29" i="73"/>
  <c r="V7" i="73"/>
  <c r="T8" i="73" s="1"/>
  <c r="U8" i="73" s="1"/>
  <c r="S7" i="73"/>
  <c r="Q8" i="73" s="1"/>
  <c r="R8" i="73" s="1"/>
  <c r="P7" i="73"/>
  <c r="N8" i="73" s="1"/>
  <c r="O8" i="73" s="1"/>
  <c r="M7" i="73"/>
  <c r="K8" i="73" s="1"/>
  <c r="L8" i="73" s="1"/>
  <c r="J39" i="73"/>
  <c r="I28" i="75" s="1"/>
  <c r="N65" i="41"/>
  <c r="R65" i="41" s="1"/>
  <c r="V65" i="41" s="1"/>
  <c r="I118" i="41"/>
  <c r="I114" i="41"/>
  <c r="K108" i="41"/>
  <c r="J108" i="41"/>
  <c r="L104" i="41"/>
  <c r="K104" i="41"/>
  <c r="J104" i="41"/>
  <c r="L103" i="41"/>
  <c r="K103" i="41"/>
  <c r="J103" i="41"/>
  <c r="K102" i="41"/>
  <c r="I91" i="41"/>
  <c r="I90" i="41"/>
  <c r="I88" i="41"/>
  <c r="I87" i="41"/>
  <c r="I86" i="41"/>
  <c r="L85" i="41"/>
  <c r="L83" i="41" s="1"/>
  <c r="K85" i="41"/>
  <c r="K83" i="41" s="1"/>
  <c r="K107" i="41" s="1"/>
  <c r="J85" i="41"/>
  <c r="J83" i="41" s="1"/>
  <c r="J107" i="41" s="1"/>
  <c r="I82" i="41"/>
  <c r="I81" i="41"/>
  <c r="I80" i="41"/>
  <c r="I79" i="41"/>
  <c r="I77" i="41"/>
  <c r="K75" i="41"/>
  <c r="I74" i="41"/>
  <c r="I73" i="41"/>
  <c r="I72" i="41"/>
  <c r="I71" i="41"/>
  <c r="I69" i="41"/>
  <c r="I68" i="41"/>
  <c r="I67" i="41"/>
  <c r="I66" i="41"/>
  <c r="I65" i="41"/>
  <c r="I64" i="41"/>
  <c r="K63" i="41"/>
  <c r="J63" i="41"/>
  <c r="I62" i="41"/>
  <c r="I61" i="41"/>
  <c r="L60" i="41"/>
  <c r="K60" i="41"/>
  <c r="K59" i="41" s="1"/>
  <c r="K99" i="41" s="1"/>
  <c r="J60" i="41"/>
  <c r="I57" i="41"/>
  <c r="I56" i="41"/>
  <c r="K54" i="41"/>
  <c r="I53" i="41"/>
  <c r="I52" i="41"/>
  <c r="I50" i="41"/>
  <c r="I44" i="41"/>
  <c r="I42" i="41"/>
  <c r="K41" i="41"/>
  <c r="I40" i="41"/>
  <c r="I39" i="41"/>
  <c r="L38" i="41"/>
  <c r="K38" i="41"/>
  <c r="J38" i="41"/>
  <c r="I36" i="41"/>
  <c r="I35" i="41"/>
  <c r="I34" i="41"/>
  <c r="L33" i="41"/>
  <c r="K33" i="41"/>
  <c r="J33" i="41"/>
  <c r="I31" i="41"/>
  <c r="K28" i="41"/>
  <c r="K25" i="41"/>
  <c r="I24" i="41"/>
  <c r="I23" i="41"/>
  <c r="I22" i="41"/>
  <c r="I18" i="41"/>
  <c r="I16" i="41"/>
  <c r="I15" i="41"/>
  <c r="H49" i="41"/>
  <c r="H55" i="41"/>
  <c r="H54" i="41" s="1"/>
  <c r="H45" i="41"/>
  <c r="H114" i="41"/>
  <c r="H108" i="41"/>
  <c r="H104" i="41"/>
  <c r="H103" i="41"/>
  <c r="H102" i="41"/>
  <c r="H85" i="41"/>
  <c r="H83" i="41" s="1"/>
  <c r="H107" i="41" s="1"/>
  <c r="H75" i="41"/>
  <c r="H63" i="41"/>
  <c r="H60" i="41"/>
  <c r="H38" i="41"/>
  <c r="H33" i="41"/>
  <c r="H28" i="41"/>
  <c r="H37" i="41" s="1"/>
  <c r="H25" i="41"/>
  <c r="H14" i="41"/>
  <c r="H100" i="41" s="1"/>
  <c r="D118" i="41"/>
  <c r="E114" i="41"/>
  <c r="G108" i="41"/>
  <c r="F108" i="41"/>
  <c r="E108" i="41"/>
  <c r="E75" i="41"/>
  <c r="F75" i="41"/>
  <c r="G75" i="41"/>
  <c r="G63" i="41"/>
  <c r="E63" i="41"/>
  <c r="D90" i="41"/>
  <c r="G104" i="41"/>
  <c r="G103" i="41"/>
  <c r="G102" i="41"/>
  <c r="F104" i="41"/>
  <c r="F103" i="41"/>
  <c r="F102" i="41"/>
  <c r="E104" i="41"/>
  <c r="E103" i="41"/>
  <c r="E102" i="41"/>
  <c r="D89" i="41"/>
  <c r="E85" i="41"/>
  <c r="E83" i="41" s="1"/>
  <c r="F85" i="41"/>
  <c r="F83" i="41" s="1"/>
  <c r="F107" i="41" s="1"/>
  <c r="G85" i="41"/>
  <c r="G83" i="41" s="1"/>
  <c r="G101" i="41" s="1"/>
  <c r="D88" i="41"/>
  <c r="D87" i="41"/>
  <c r="D86" i="41"/>
  <c r="E38" i="41"/>
  <c r="F38" i="41"/>
  <c r="G38" i="41"/>
  <c r="D40" i="41"/>
  <c r="D39" i="41"/>
  <c r="D82" i="41"/>
  <c r="D81" i="41"/>
  <c r="D80" i="41"/>
  <c r="D79" i="41"/>
  <c r="D78" i="41"/>
  <c r="D77" i="41"/>
  <c r="D76" i="41"/>
  <c r="E60" i="41"/>
  <c r="F60" i="41"/>
  <c r="G60" i="41"/>
  <c r="F63" i="41"/>
  <c r="D74" i="41"/>
  <c r="D73" i="41"/>
  <c r="D72" i="41"/>
  <c r="D71" i="41"/>
  <c r="D70" i="41"/>
  <c r="D69" i="41"/>
  <c r="D68" i="41"/>
  <c r="D67" i="41"/>
  <c r="D66" i="41"/>
  <c r="D65" i="41"/>
  <c r="D64" i="41"/>
  <c r="D62" i="41"/>
  <c r="D61" i="41"/>
  <c r="E41" i="41"/>
  <c r="F41" i="41"/>
  <c r="G41" i="41"/>
  <c r="E54" i="41"/>
  <c r="F54" i="41"/>
  <c r="G54" i="41"/>
  <c r="D58" i="41"/>
  <c r="D57" i="41"/>
  <c r="D56" i="41"/>
  <c r="D55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36" i="41"/>
  <c r="D35" i="41"/>
  <c r="D34" i="41"/>
  <c r="E33" i="41"/>
  <c r="F33" i="41"/>
  <c r="G33" i="41"/>
  <c r="E28" i="41"/>
  <c r="F28" i="41"/>
  <c r="G28" i="41"/>
  <c r="D32" i="41"/>
  <c r="D31" i="41"/>
  <c r="D30" i="41"/>
  <c r="D24" i="41"/>
  <c r="D23" i="41"/>
  <c r="D22" i="41"/>
  <c r="D27" i="41"/>
  <c r="D26" i="41"/>
  <c r="E25" i="41"/>
  <c r="F25" i="41"/>
  <c r="G25" i="41"/>
  <c r="D16" i="41"/>
  <c r="D17" i="41"/>
  <c r="D18" i="41"/>
  <c r="D19" i="41"/>
  <c r="D15" i="41"/>
  <c r="E14" i="41"/>
  <c r="F14" i="41"/>
  <c r="F100" i="41" s="1"/>
  <c r="G14" i="41"/>
  <c r="G100" i="41" s="1"/>
  <c r="J32" i="41" l="1"/>
  <c r="AD15" i="41"/>
  <c r="AC15" i="41"/>
  <c r="AE15" i="41"/>
  <c r="AD36" i="41"/>
  <c r="AC36" i="41"/>
  <c r="AE36" i="41"/>
  <c r="AC39" i="41"/>
  <c r="AD39" i="41"/>
  <c r="AE39" i="41"/>
  <c r="AC44" i="41"/>
  <c r="AD44" i="41"/>
  <c r="AC52" i="41"/>
  <c r="AD52" i="41"/>
  <c r="AE52" i="41"/>
  <c r="AD56" i="41"/>
  <c r="AC56" i="41"/>
  <c r="AE56" i="41"/>
  <c r="AD67" i="41"/>
  <c r="AC67" i="41"/>
  <c r="AE67" i="41"/>
  <c r="AC72" i="41"/>
  <c r="AD72" i="41"/>
  <c r="AE72" i="41"/>
  <c r="AC77" i="41"/>
  <c r="AD77" i="41"/>
  <c r="AE77" i="41"/>
  <c r="AD82" i="41"/>
  <c r="AC82" i="41"/>
  <c r="AE82" i="41"/>
  <c r="AD86" i="41"/>
  <c r="AC86" i="41"/>
  <c r="AE86" i="41"/>
  <c r="AC118" i="41"/>
  <c r="AD118" i="41"/>
  <c r="AE118" i="41"/>
  <c r="AC16" i="41"/>
  <c r="AD16" i="41"/>
  <c r="AE16" i="41"/>
  <c r="AD22" i="41"/>
  <c r="AC22" i="41"/>
  <c r="AE22" i="41"/>
  <c r="AC47" i="41"/>
  <c r="AD47" i="41"/>
  <c r="AC53" i="41"/>
  <c r="AD53" i="41"/>
  <c r="AC57" i="41"/>
  <c r="AD57" i="41"/>
  <c r="AE57" i="41"/>
  <c r="AD61" i="41"/>
  <c r="AC61" i="41"/>
  <c r="AE61" i="41"/>
  <c r="AC64" i="41"/>
  <c r="AD64" i="41"/>
  <c r="AE64" i="41"/>
  <c r="AC68" i="41"/>
  <c r="AD68" i="41"/>
  <c r="AE68" i="41"/>
  <c r="AD73" i="41"/>
  <c r="AC73" i="41"/>
  <c r="AE73" i="41"/>
  <c r="AD79" i="41"/>
  <c r="AC79" i="41"/>
  <c r="AE79" i="41"/>
  <c r="AC87" i="41"/>
  <c r="AD87" i="41"/>
  <c r="AE87" i="41"/>
  <c r="I27" i="75"/>
  <c r="J27" i="75" s="1"/>
  <c r="J28" i="75"/>
  <c r="J30" i="41"/>
  <c r="J76" i="41" s="1"/>
  <c r="AC23" i="41"/>
  <c r="AD23" i="41"/>
  <c r="AE23" i="41"/>
  <c r="AD31" i="41"/>
  <c r="AC31" i="41"/>
  <c r="AE31" i="41"/>
  <c r="AD34" i="41"/>
  <c r="AC34" i="41"/>
  <c r="AE34" i="41"/>
  <c r="AC49" i="41"/>
  <c r="AD49" i="41"/>
  <c r="I60" i="41"/>
  <c r="AC62" i="41"/>
  <c r="AD62" i="41"/>
  <c r="AE62" i="41"/>
  <c r="AD65" i="41"/>
  <c r="AC65" i="41"/>
  <c r="AD69" i="41"/>
  <c r="AC69" i="41"/>
  <c r="AE69" i="41"/>
  <c r="AD88" i="41"/>
  <c r="AC88" i="41"/>
  <c r="AE88" i="41"/>
  <c r="AC114" i="41"/>
  <c r="AE114" i="41"/>
  <c r="AC18" i="41"/>
  <c r="AD18" i="41"/>
  <c r="AE18" i="41"/>
  <c r="AD24" i="41"/>
  <c r="AC24" i="41"/>
  <c r="AE24" i="41"/>
  <c r="AC35" i="41"/>
  <c r="AD35" i="41"/>
  <c r="AE35" i="41"/>
  <c r="AD42" i="41"/>
  <c r="AC42" i="41"/>
  <c r="AE42" i="41"/>
  <c r="AC50" i="41"/>
  <c r="AD50" i="41"/>
  <c r="AC55" i="41"/>
  <c r="AD55" i="41"/>
  <c r="AC66" i="41"/>
  <c r="AD66" i="41"/>
  <c r="AE66" i="41"/>
  <c r="AD71" i="41"/>
  <c r="AC71" i="41"/>
  <c r="AE71" i="41"/>
  <c r="AC81" i="41"/>
  <c r="AD81" i="41"/>
  <c r="AE81" i="41"/>
  <c r="L107" i="41"/>
  <c r="L70" i="41"/>
  <c r="I103" i="41"/>
  <c r="AC90" i="41"/>
  <c r="AD90" i="41"/>
  <c r="AE90" i="41"/>
  <c r="U65" i="41"/>
  <c r="Z65" i="41"/>
  <c r="V63" i="41"/>
  <c r="X2" i="74"/>
  <c r="X28" i="74" s="1"/>
  <c r="I38" i="41"/>
  <c r="AC40" i="41"/>
  <c r="AD40" i="41"/>
  <c r="AC74" i="41"/>
  <c r="AD74" i="41"/>
  <c r="AE74" i="41"/>
  <c r="AC80" i="41"/>
  <c r="AD80" i="41"/>
  <c r="AE80" i="41"/>
  <c r="I104" i="41"/>
  <c r="AC91" i="41"/>
  <c r="AE91" i="41"/>
  <c r="Q65" i="41"/>
  <c r="R63" i="41"/>
  <c r="I45" i="41"/>
  <c r="J28" i="41"/>
  <c r="J37" i="41" s="1"/>
  <c r="D25" i="41"/>
  <c r="N63" i="41"/>
  <c r="M65" i="41"/>
  <c r="D38" i="41"/>
  <c r="J54" i="41"/>
  <c r="L54" i="41"/>
  <c r="I58" i="41"/>
  <c r="L27" i="41"/>
  <c r="I27" i="41" s="1"/>
  <c r="K20" i="41"/>
  <c r="K98" i="41" s="1"/>
  <c r="I33" i="41"/>
  <c r="I48" i="41"/>
  <c r="I85" i="41"/>
  <c r="I70" i="41"/>
  <c r="J36" i="73"/>
  <c r="I51" i="41"/>
  <c r="I46" i="41"/>
  <c r="J41" i="41"/>
  <c r="J101" i="41"/>
  <c r="K101" i="41"/>
  <c r="L101" i="41"/>
  <c r="H41" i="41"/>
  <c r="H20" i="41" s="1"/>
  <c r="H98" i="41" s="1"/>
  <c r="H59" i="41"/>
  <c r="H99" i="41" s="1"/>
  <c r="E37" i="41"/>
  <c r="D63" i="41"/>
  <c r="D33" i="41"/>
  <c r="G37" i="41"/>
  <c r="E20" i="41"/>
  <c r="E98" i="41" s="1"/>
  <c r="D28" i="41"/>
  <c r="D41" i="41"/>
  <c r="D54" i="41"/>
  <c r="F20" i="41"/>
  <c r="F98" i="41" s="1"/>
  <c r="H101" i="41"/>
  <c r="F59" i="41"/>
  <c r="F99" i="41" s="1"/>
  <c r="D14" i="41"/>
  <c r="G59" i="41"/>
  <c r="G99" i="41" s="1"/>
  <c r="E100" i="41"/>
  <c r="F101" i="41"/>
  <c r="E59" i="41"/>
  <c r="E99" i="41" s="1"/>
  <c r="E101" i="41"/>
  <c r="E107" i="41"/>
  <c r="G107" i="41"/>
  <c r="G20" i="41"/>
  <c r="G98" i="41" s="1"/>
  <c r="AC51" i="41" l="1"/>
  <c r="AD51" i="41"/>
  <c r="AC48" i="41"/>
  <c r="AD48" i="41"/>
  <c r="I54" i="41"/>
  <c r="AD58" i="41"/>
  <c r="AC58" i="41"/>
  <c r="M63" i="41"/>
  <c r="AE65" i="41"/>
  <c r="AC45" i="41"/>
  <c r="AD45" i="41"/>
  <c r="AC60" i="41"/>
  <c r="AE60" i="41"/>
  <c r="AC33" i="41"/>
  <c r="AD33" i="41"/>
  <c r="AE33" i="41"/>
  <c r="L43" i="41"/>
  <c r="L41" i="41" s="1"/>
  <c r="L30" i="41"/>
  <c r="AC46" i="41"/>
  <c r="AD46" i="41"/>
  <c r="I108" i="41"/>
  <c r="AC70" i="41"/>
  <c r="AD70" i="41"/>
  <c r="AE70" i="41"/>
  <c r="Q63" i="41"/>
  <c r="AF63" i="41" s="1"/>
  <c r="AF65" i="41"/>
  <c r="Y65" i="41"/>
  <c r="Z63" i="41"/>
  <c r="J78" i="41"/>
  <c r="J75" i="41" s="1"/>
  <c r="J59" i="41" s="1"/>
  <c r="J99" i="41" s="1"/>
  <c r="I83" i="41"/>
  <c r="AC85" i="41"/>
  <c r="AE85" i="41"/>
  <c r="AG65" i="41"/>
  <c r="U63" i="41"/>
  <c r="AG63" i="41" s="1"/>
  <c r="AC103" i="41"/>
  <c r="AE103" i="41"/>
  <c r="L32" i="41"/>
  <c r="L78" i="41" s="1"/>
  <c r="I78" i="41" s="1"/>
  <c r="AC78" i="41" s="1"/>
  <c r="AC27" i="41"/>
  <c r="AD27" i="41"/>
  <c r="AC38" i="41"/>
  <c r="AD38" i="41"/>
  <c r="AE104" i="41"/>
  <c r="AC104" i="41"/>
  <c r="I101" i="41"/>
  <c r="L63" i="41"/>
  <c r="D37" i="41"/>
  <c r="L26" i="41"/>
  <c r="L25" i="41" s="1"/>
  <c r="J25" i="41"/>
  <c r="J20" i="41" s="1"/>
  <c r="J98" i="41" s="1"/>
  <c r="I63" i="41"/>
  <c r="L108" i="41"/>
  <c r="H96" i="41"/>
  <c r="H122" i="41" s="1"/>
  <c r="F96" i="41"/>
  <c r="D124" i="41" s="1"/>
  <c r="D20" i="41"/>
  <c r="G96" i="41"/>
  <c r="G106" i="41" s="1"/>
  <c r="G109" i="41" s="1"/>
  <c r="E96" i="41"/>
  <c r="E106" i="41" s="1"/>
  <c r="E109" i="41" s="1"/>
  <c r="AD78" i="41" l="1"/>
  <c r="I32" i="41"/>
  <c r="AC108" i="41"/>
  <c r="AE108" i="41"/>
  <c r="L76" i="41"/>
  <c r="L28" i="41"/>
  <c r="L37" i="41" s="1"/>
  <c r="I30" i="41"/>
  <c r="I43" i="41"/>
  <c r="AE63" i="41"/>
  <c r="AD63" i="41"/>
  <c r="AC63" i="41"/>
  <c r="I107" i="41"/>
  <c r="AC83" i="41"/>
  <c r="AE83" i="41"/>
  <c r="AH65" i="41"/>
  <c r="Y63" i="41"/>
  <c r="AH63" i="41" s="1"/>
  <c r="AC101" i="41"/>
  <c r="AE101" i="41"/>
  <c r="AD54" i="41"/>
  <c r="AC54" i="41"/>
  <c r="I26" i="41"/>
  <c r="H106" i="41"/>
  <c r="H109" i="41" s="1"/>
  <c r="D123" i="41"/>
  <c r="F106" i="41"/>
  <c r="F109" i="41" s="1"/>
  <c r="I28" i="41" l="1"/>
  <c r="AC30" i="41"/>
  <c r="AD30" i="41"/>
  <c r="I76" i="41"/>
  <c r="L75" i="41"/>
  <c r="L59" i="41" s="1"/>
  <c r="L99" i="41" s="1"/>
  <c r="AC32" i="41"/>
  <c r="AD32" i="41"/>
  <c r="AC107" i="41"/>
  <c r="AE107" i="41"/>
  <c r="AC43" i="41"/>
  <c r="AD43" i="41"/>
  <c r="I41" i="41"/>
  <c r="L20" i="41"/>
  <c r="L98" i="41" s="1"/>
  <c r="I25" i="41"/>
  <c r="AC26" i="41"/>
  <c r="AD26" i="41"/>
  <c r="F15" i="66"/>
  <c r="AD76" i="41" l="1"/>
  <c r="I75" i="41"/>
  <c r="AC76" i="41"/>
  <c r="AD41" i="41"/>
  <c r="AC41" i="41"/>
  <c r="AD28" i="41"/>
  <c r="AC28" i="41"/>
  <c r="I37" i="41"/>
  <c r="I20" i="41"/>
  <c r="AC25" i="41"/>
  <c r="AD25" i="41"/>
  <c r="AC37" i="41" l="1"/>
  <c r="AD37" i="41"/>
  <c r="I59" i="41"/>
  <c r="AC75" i="41"/>
  <c r="AC20" i="41"/>
  <c r="AD20" i="41"/>
  <c r="I98" i="41"/>
  <c r="AD7" i="41"/>
  <c r="AC7" i="41"/>
  <c r="I99" i="41" l="1"/>
  <c r="AC59" i="41"/>
  <c r="AC98" i="41"/>
  <c r="L43" i="66"/>
  <c r="L44" i="66" s="1"/>
  <c r="K46" i="66"/>
  <c r="K45" i="66"/>
  <c r="K43" i="66"/>
  <c r="AC99" i="41" l="1"/>
  <c r="M12" i="41"/>
  <c r="Q12" i="41" s="1"/>
  <c r="U12" i="41" s="1"/>
  <c r="Y12" i="41" s="1"/>
  <c r="M10" i="41" l="1"/>
  <c r="J29" i="66"/>
  <c r="I29" i="66"/>
  <c r="H29" i="66"/>
  <c r="G29" i="66"/>
  <c r="K31" i="66"/>
  <c r="J31" i="66"/>
  <c r="I31" i="66"/>
  <c r="H31" i="66"/>
  <c r="G31" i="66"/>
  <c r="K30" i="66"/>
  <c r="J30" i="66"/>
  <c r="I30" i="66"/>
  <c r="H30" i="66"/>
  <c r="G30" i="66"/>
  <c r="K29" i="66"/>
  <c r="K28" i="66"/>
  <c r="J28" i="66"/>
  <c r="H28" i="66"/>
  <c r="G28" i="66"/>
  <c r="K26" i="66"/>
  <c r="J26" i="66"/>
  <c r="I26" i="66"/>
  <c r="H26" i="66"/>
  <c r="G26" i="66"/>
  <c r="F21" i="66"/>
  <c r="I28" i="66" s="1"/>
  <c r="K19" i="66"/>
  <c r="J19" i="66"/>
  <c r="J13" i="66"/>
  <c r="I13" i="66"/>
  <c r="H13" i="66"/>
  <c r="C7" i="66"/>
  <c r="I6" i="66"/>
  <c r="H6" i="66"/>
  <c r="G6" i="66"/>
  <c r="G27" i="66" l="1"/>
  <c r="G25" i="66" s="1"/>
  <c r="I19" i="66"/>
  <c r="H27" i="66"/>
  <c r="H25" i="66" s="1"/>
  <c r="I27" i="66"/>
  <c r="I25" i="66" s="1"/>
  <c r="J27" i="66"/>
  <c r="J25" i="66" s="1"/>
  <c r="K27" i="66"/>
  <c r="K25" i="66" s="1"/>
  <c r="AH125" i="41" l="1"/>
  <c r="AF125" i="41"/>
  <c r="AG125" i="41"/>
  <c r="AE125" i="41"/>
  <c r="AD125" i="41"/>
  <c r="AC125" i="41"/>
  <c r="AC9" i="41"/>
  <c r="AC10" i="41"/>
  <c r="AC11" i="41"/>
  <c r="AC12" i="41"/>
  <c r="AC13" i="41"/>
  <c r="D91" i="41" l="1"/>
  <c r="AD91" i="41" s="1"/>
  <c r="D114" i="41" l="1"/>
  <c r="AD114" i="41" s="1"/>
  <c r="E122" i="41" l="1"/>
  <c r="D122" i="41" s="1"/>
  <c r="D120" i="41" s="1"/>
  <c r="Y10" i="41"/>
  <c r="U10" i="41"/>
  <c r="Q10" i="41"/>
  <c r="D121" i="41" l="1"/>
  <c r="Y8" i="41"/>
  <c r="U8" i="41"/>
  <c r="Q8" i="41"/>
  <c r="M8" i="41"/>
  <c r="M7" i="41" s="1"/>
  <c r="AC8" i="41" l="1"/>
  <c r="Q7" i="41"/>
  <c r="U7" i="41"/>
  <c r="Y7" i="41"/>
  <c r="AA7" i="41" l="1"/>
  <c r="Z7" i="41"/>
  <c r="AB7" i="41"/>
  <c r="X7" i="41"/>
  <c r="W7" i="41"/>
  <c r="V7" i="41"/>
  <c r="R7" i="41"/>
  <c r="T7" i="41"/>
  <c r="S7" i="41"/>
  <c r="P7" i="41"/>
  <c r="P20" i="41" s="1"/>
  <c r="P55" i="41" s="1"/>
  <c r="O7" i="41"/>
  <c r="O20" i="41" s="1"/>
  <c r="N7" i="41"/>
  <c r="N20" i="41" s="1"/>
  <c r="N26" i="41" l="1"/>
  <c r="N55" i="41"/>
  <c r="M55" i="41" s="1"/>
  <c r="AE55" i="41" s="1"/>
  <c r="R20" i="41"/>
  <c r="O98" i="41"/>
  <c r="S20" i="41"/>
  <c r="S98" i="41" s="1"/>
  <c r="T20" i="41"/>
  <c r="N43" i="41"/>
  <c r="N58" i="41"/>
  <c r="N46" i="41"/>
  <c r="N30" i="41"/>
  <c r="N27" i="41"/>
  <c r="N47" i="41"/>
  <c r="N53" i="41"/>
  <c r="N45" i="41"/>
  <c r="N51" i="41"/>
  <c r="N44" i="41"/>
  <c r="N48" i="41"/>
  <c r="N32" i="41"/>
  <c r="P58" i="41"/>
  <c r="P54" i="41" s="1"/>
  <c r="P50" i="41"/>
  <c r="M50" i="41" s="1"/>
  <c r="AE50" i="41" s="1"/>
  <c r="P46" i="41"/>
  <c r="P26" i="41"/>
  <c r="P49" i="41"/>
  <c r="M49" i="41" s="1"/>
  <c r="AE49" i="41" s="1"/>
  <c r="P45" i="41"/>
  <c r="P32" i="41"/>
  <c r="P78" i="41" s="1"/>
  <c r="P53" i="41"/>
  <c r="P48" i="41"/>
  <c r="P44" i="41"/>
  <c r="P30" i="41"/>
  <c r="P51" i="41"/>
  <c r="P47" i="41"/>
  <c r="P43" i="41"/>
  <c r="P27" i="41"/>
  <c r="D102" i="41"/>
  <c r="D75" i="41"/>
  <c r="AD75" i="41" s="1"/>
  <c r="D108" i="41"/>
  <c r="AD108" i="41" s="1"/>
  <c r="V20" i="41" l="1"/>
  <c r="R55" i="41"/>
  <c r="X20" i="41"/>
  <c r="X98" i="41" s="1"/>
  <c r="T55" i="41"/>
  <c r="V42" i="41"/>
  <c r="V98" i="41"/>
  <c r="W20" i="41"/>
  <c r="P41" i="41"/>
  <c r="T58" i="41"/>
  <c r="T50" i="41"/>
  <c r="T46" i="41"/>
  <c r="T42" i="41"/>
  <c r="T26" i="41"/>
  <c r="T53" i="41"/>
  <c r="T49" i="41"/>
  <c r="X49" i="41" s="1"/>
  <c r="T45" i="41"/>
  <c r="X45" i="41" s="1"/>
  <c r="T32" i="41"/>
  <c r="T52" i="41"/>
  <c r="T48" i="41"/>
  <c r="X48" i="41" s="1"/>
  <c r="T44" i="41"/>
  <c r="X44" i="41" s="1"/>
  <c r="T30" i="41"/>
  <c r="T76" i="41" s="1"/>
  <c r="T51" i="41"/>
  <c r="X51" i="41" s="1"/>
  <c r="T47" i="41"/>
  <c r="T43" i="41"/>
  <c r="X43" i="41" s="1"/>
  <c r="T27" i="41"/>
  <c r="T25" i="41" s="1"/>
  <c r="R26" i="41"/>
  <c r="V26" i="41" s="1"/>
  <c r="Q42" i="41"/>
  <c r="AF42" i="41" s="1"/>
  <c r="T98" i="41"/>
  <c r="R51" i="41"/>
  <c r="Q51" i="41" s="1"/>
  <c r="R47" i="41"/>
  <c r="R43" i="41"/>
  <c r="V43" i="41" s="1"/>
  <c r="R27" i="41"/>
  <c r="R58" i="41"/>
  <c r="V58" i="41" s="1"/>
  <c r="R50" i="41"/>
  <c r="Q50" i="41" s="1"/>
  <c r="AF50" i="41" s="1"/>
  <c r="R46" i="41"/>
  <c r="Q46" i="41" s="1"/>
  <c r="R30" i="41"/>
  <c r="V30" i="41" s="1"/>
  <c r="R98" i="41"/>
  <c r="R53" i="41"/>
  <c r="R49" i="41"/>
  <c r="Q49" i="41" s="1"/>
  <c r="AF49" i="41" s="1"/>
  <c r="R45" i="41"/>
  <c r="Q45" i="41" s="1"/>
  <c r="R52" i="41"/>
  <c r="Q52" i="41" s="1"/>
  <c r="AF52" i="41" s="1"/>
  <c r="R48" i="41"/>
  <c r="Q48" i="41" s="1"/>
  <c r="R44" i="41"/>
  <c r="Q44" i="41" s="1"/>
  <c r="R32" i="41"/>
  <c r="V32" i="41" s="1"/>
  <c r="M26" i="41"/>
  <c r="AE26" i="41" s="1"/>
  <c r="M53" i="41"/>
  <c r="AE53" i="41" s="1"/>
  <c r="M40" i="41"/>
  <c r="N38" i="41"/>
  <c r="M44" i="41"/>
  <c r="AE44" i="41" s="1"/>
  <c r="M47" i="41"/>
  <c r="AE47" i="41" s="1"/>
  <c r="M46" i="41"/>
  <c r="AE46" i="41" s="1"/>
  <c r="P76" i="41"/>
  <c r="P75" i="41" s="1"/>
  <c r="P59" i="41" s="1"/>
  <c r="P99" i="41" s="1"/>
  <c r="P28" i="41"/>
  <c r="P37" i="41" s="1"/>
  <c r="N78" i="41"/>
  <c r="M78" i="41" s="1"/>
  <c r="AE78" i="41" s="1"/>
  <c r="M32" i="41"/>
  <c r="AE32" i="41" s="1"/>
  <c r="M51" i="41"/>
  <c r="AE51" i="41" s="1"/>
  <c r="N54" i="41"/>
  <c r="M58" i="41"/>
  <c r="M48" i="41"/>
  <c r="AE48" i="41" s="1"/>
  <c r="M45" i="41"/>
  <c r="AE45" i="41" s="1"/>
  <c r="N28" i="41"/>
  <c r="N37" i="41" s="1"/>
  <c r="N76" i="41"/>
  <c r="M30" i="41"/>
  <c r="M43" i="41"/>
  <c r="AE43" i="41" s="1"/>
  <c r="N41" i="41"/>
  <c r="D104" i="41"/>
  <c r="AD104" i="41" s="1"/>
  <c r="D60" i="41"/>
  <c r="D85" i="41"/>
  <c r="AD85" i="41" s="1"/>
  <c r="D103" i="41"/>
  <c r="AD103" i="41" s="1"/>
  <c r="X52" i="41" l="1"/>
  <c r="X53" i="41"/>
  <c r="X32" i="41"/>
  <c r="X78" i="41" s="1"/>
  <c r="X46" i="41"/>
  <c r="X26" i="41"/>
  <c r="X58" i="41"/>
  <c r="X42" i="41"/>
  <c r="AB20" i="41"/>
  <c r="AB44" i="41" s="1"/>
  <c r="X55" i="41"/>
  <c r="Q55" i="41"/>
  <c r="AF55" i="41" s="1"/>
  <c r="AB52" i="41"/>
  <c r="X50" i="41"/>
  <c r="Z20" i="41"/>
  <c r="Z42" i="41" s="1"/>
  <c r="V55" i="41"/>
  <c r="U55" i="41" s="1"/>
  <c r="Q47" i="41"/>
  <c r="U43" i="41"/>
  <c r="W98" i="41"/>
  <c r="AA20" i="41"/>
  <c r="AA98" i="41" s="1"/>
  <c r="D59" i="41"/>
  <c r="AD59" i="41" s="1"/>
  <c r="AD60" i="41"/>
  <c r="Q53" i="41"/>
  <c r="T41" i="41"/>
  <c r="T54" i="41"/>
  <c r="T78" i="41"/>
  <c r="AB58" i="41"/>
  <c r="J133" i="41"/>
  <c r="Y40" i="41"/>
  <c r="Z38" i="41"/>
  <c r="AF45" i="41"/>
  <c r="AF51" i="41"/>
  <c r="M28" i="41"/>
  <c r="AE30" i="41"/>
  <c r="M38" i="41"/>
  <c r="AE38" i="41" s="1"/>
  <c r="AE40" i="41"/>
  <c r="AF44" i="41"/>
  <c r="Z43" i="41"/>
  <c r="M54" i="41"/>
  <c r="AE54" i="41" s="1"/>
  <c r="AE58" i="41"/>
  <c r="AF48" i="41"/>
  <c r="AF53" i="41"/>
  <c r="AF46" i="41"/>
  <c r="AF47" i="41"/>
  <c r="Q27" i="41"/>
  <c r="U26" i="41"/>
  <c r="V76" i="41"/>
  <c r="V28" i="41"/>
  <c r="V37" i="41" s="1"/>
  <c r="U32" i="41"/>
  <c r="V78" i="41"/>
  <c r="U78" i="41" s="1"/>
  <c r="V54" i="41"/>
  <c r="U58" i="41"/>
  <c r="U40" i="41"/>
  <c r="V38" i="41"/>
  <c r="V53" i="41"/>
  <c r="V47" i="41"/>
  <c r="Z47" i="41" s="1"/>
  <c r="V52" i="41"/>
  <c r="U42" i="41"/>
  <c r="AG42" i="41" s="1"/>
  <c r="V27" i="41"/>
  <c r="Z27" i="41" s="1"/>
  <c r="V51" i="41"/>
  <c r="X47" i="41"/>
  <c r="V45" i="41"/>
  <c r="V46" i="41"/>
  <c r="V44" i="41"/>
  <c r="X30" i="41"/>
  <c r="X27" i="41"/>
  <c r="M41" i="41"/>
  <c r="AE41" i="41" s="1"/>
  <c r="V49" i="41"/>
  <c r="V50" i="41"/>
  <c r="V48" i="41"/>
  <c r="R28" i="41"/>
  <c r="R37" i="41" s="1"/>
  <c r="R76" i="41"/>
  <c r="Q30" i="41"/>
  <c r="AF30" i="41" s="1"/>
  <c r="R54" i="41"/>
  <c r="Q58" i="41"/>
  <c r="Q40" i="41"/>
  <c r="R38" i="41"/>
  <c r="T75" i="41"/>
  <c r="T59" i="41" s="1"/>
  <c r="Q43" i="41"/>
  <c r="AF43" i="41" s="1"/>
  <c r="R41" i="41"/>
  <c r="T28" i="41"/>
  <c r="T37" i="41" s="1"/>
  <c r="R78" i="41"/>
  <c r="Q78" i="41" s="1"/>
  <c r="AF78" i="41" s="1"/>
  <c r="Q32" i="41"/>
  <c r="AF32" i="41" s="1"/>
  <c r="R25" i="41"/>
  <c r="Q26" i="41"/>
  <c r="N75" i="41"/>
  <c r="N59" i="41" s="1"/>
  <c r="N99" i="41" s="1"/>
  <c r="M76" i="41"/>
  <c r="AE76" i="41" s="1"/>
  <c r="D83" i="41"/>
  <c r="D100" i="41"/>
  <c r="AB32" i="41" l="1"/>
  <c r="AB78" i="41" s="1"/>
  <c r="AG55" i="41"/>
  <c r="AB46" i="41"/>
  <c r="AB53" i="41"/>
  <c r="X54" i="41"/>
  <c r="AB55" i="41"/>
  <c r="AB54" i="41" s="1"/>
  <c r="AB98" i="41"/>
  <c r="AB43" i="41"/>
  <c r="Y43" i="41" s="1"/>
  <c r="AH43" i="41" s="1"/>
  <c r="Z55" i="41"/>
  <c r="Z98" i="41"/>
  <c r="AB51" i="41"/>
  <c r="AB49" i="41"/>
  <c r="AB42" i="41"/>
  <c r="Y42" i="41" s="1"/>
  <c r="AH42" i="41" s="1"/>
  <c r="Z30" i="41"/>
  <c r="AB26" i="41"/>
  <c r="AB50" i="41"/>
  <c r="Z26" i="41"/>
  <c r="Y26" i="41" s="1"/>
  <c r="AH26" i="41" s="1"/>
  <c r="AB48" i="41"/>
  <c r="AB45" i="41"/>
  <c r="Z32" i="41"/>
  <c r="Z78" i="41" s="1"/>
  <c r="Y78" i="41" s="1"/>
  <c r="AH78" i="41" s="1"/>
  <c r="Z58" i="41"/>
  <c r="Y58" i="41" s="1"/>
  <c r="AH58" i="41" s="1"/>
  <c r="D107" i="41"/>
  <c r="AD107" i="41" s="1"/>
  <c r="AD83" i="41"/>
  <c r="X25" i="41"/>
  <c r="AB27" i="41"/>
  <c r="AB25" i="41" s="1"/>
  <c r="U30" i="41"/>
  <c r="AB30" i="41"/>
  <c r="X41" i="41"/>
  <c r="AB47" i="41"/>
  <c r="AB41" i="41" s="1"/>
  <c r="Q38" i="41"/>
  <c r="AF38" i="41" s="1"/>
  <c r="AF40" i="41"/>
  <c r="U49" i="41"/>
  <c r="AG49" i="41" s="1"/>
  <c r="Z49" i="41"/>
  <c r="Y49" i="41" s="1"/>
  <c r="U44" i="41"/>
  <c r="AG44" i="41" s="1"/>
  <c r="Z44" i="41"/>
  <c r="Y44" i="41" s="1"/>
  <c r="U51" i="41"/>
  <c r="AG51" i="41" s="1"/>
  <c r="Z51" i="41"/>
  <c r="Y51" i="41" s="1"/>
  <c r="AG78" i="41"/>
  <c r="AG26" i="41"/>
  <c r="AG43" i="41"/>
  <c r="M37" i="41"/>
  <c r="AE37" i="41" s="1"/>
  <c r="AE28" i="41"/>
  <c r="Q54" i="41"/>
  <c r="AF54" i="41" s="1"/>
  <c r="AF58" i="41"/>
  <c r="U46" i="41"/>
  <c r="AG46" i="41" s="1"/>
  <c r="Z46" i="41"/>
  <c r="Y46" i="41" s="1"/>
  <c r="U53" i="41"/>
  <c r="AG53" i="41" s="1"/>
  <c r="Z53" i="41"/>
  <c r="Y53" i="41" s="1"/>
  <c r="U38" i="41"/>
  <c r="AG38" i="41" s="1"/>
  <c r="AG40" i="41"/>
  <c r="AG32" i="41"/>
  <c r="Z25" i="41"/>
  <c r="Q41" i="41"/>
  <c r="AF41" i="41" s="1"/>
  <c r="U48" i="41"/>
  <c r="AG48" i="41" s="1"/>
  <c r="Z48" i="41"/>
  <c r="Y48" i="41" s="1"/>
  <c r="U45" i="41"/>
  <c r="AG45" i="41" s="1"/>
  <c r="Z45" i="41"/>
  <c r="Y45" i="41" s="1"/>
  <c r="U54" i="41"/>
  <c r="AG58" i="41"/>
  <c r="Q25" i="41"/>
  <c r="AF26" i="41"/>
  <c r="U50" i="41"/>
  <c r="AG50" i="41" s="1"/>
  <c r="Z50" i="41"/>
  <c r="Y50" i="41" s="1"/>
  <c r="U28" i="41"/>
  <c r="AG30" i="41"/>
  <c r="U52" i="41"/>
  <c r="AG52" i="41" s="1"/>
  <c r="Z52" i="41"/>
  <c r="Y52" i="41" s="1"/>
  <c r="Y38" i="41"/>
  <c r="AH38" i="41" s="1"/>
  <c r="AH40" i="41"/>
  <c r="V75" i="41"/>
  <c r="V59" i="41" s="1"/>
  <c r="U27" i="41"/>
  <c r="AG27" i="41" s="1"/>
  <c r="V25" i="41"/>
  <c r="X76" i="41"/>
  <c r="X75" i="41" s="1"/>
  <c r="X59" i="41" s="1"/>
  <c r="X28" i="41"/>
  <c r="X37" i="41" s="1"/>
  <c r="V41" i="41"/>
  <c r="U47" i="41"/>
  <c r="Q28" i="41"/>
  <c r="T99" i="41"/>
  <c r="R75" i="41"/>
  <c r="R59" i="41" s="1"/>
  <c r="Q76" i="41"/>
  <c r="AF76" i="41" s="1"/>
  <c r="M75" i="41"/>
  <c r="D101" i="41"/>
  <c r="AD101" i="41" s="1"/>
  <c r="D99" i="41"/>
  <c r="AD99" i="41" s="1"/>
  <c r="D98" i="41"/>
  <c r="AD98" i="41" s="1"/>
  <c r="AH45" i="41" l="1"/>
  <c r="Y32" i="41"/>
  <c r="AH32" i="41" s="1"/>
  <c r="Z28" i="41"/>
  <c r="Z37" i="41" s="1"/>
  <c r="Z76" i="41"/>
  <c r="Z75" i="41" s="1"/>
  <c r="Z59" i="41" s="1"/>
  <c r="Z99" i="41" s="1"/>
  <c r="Y55" i="41"/>
  <c r="Z54" i="41"/>
  <c r="AG54" i="41"/>
  <c r="AH44" i="41"/>
  <c r="Y47" i="41"/>
  <c r="Y41" i="41" s="1"/>
  <c r="AH48" i="41"/>
  <c r="AH51" i="41"/>
  <c r="AH49" i="41"/>
  <c r="AB76" i="41"/>
  <c r="AB28" i="41"/>
  <c r="AB37" i="41" s="1"/>
  <c r="Y30" i="41"/>
  <c r="Y27" i="41"/>
  <c r="Y25" i="41" s="1"/>
  <c r="AH53" i="41"/>
  <c r="Z41" i="41"/>
  <c r="U41" i="41"/>
  <c r="AG41" i="41" s="1"/>
  <c r="AG47" i="41"/>
  <c r="U37" i="41"/>
  <c r="AG28" i="41"/>
  <c r="M59" i="41"/>
  <c r="AE59" i="41" s="1"/>
  <c r="AE75" i="41"/>
  <c r="Q37" i="41"/>
  <c r="AF37" i="41" s="1"/>
  <c r="AF28" i="41"/>
  <c r="U25" i="41"/>
  <c r="AG25" i="41" s="1"/>
  <c r="AH52" i="41"/>
  <c r="AH50" i="41"/>
  <c r="AH46" i="41"/>
  <c r="AH47" i="41"/>
  <c r="Q20" i="41"/>
  <c r="U76" i="41"/>
  <c r="AG76" i="41" s="1"/>
  <c r="X99" i="41"/>
  <c r="V99" i="41"/>
  <c r="D96" i="41"/>
  <c r="D106" i="41" s="1"/>
  <c r="Q75" i="41"/>
  <c r="R99" i="41"/>
  <c r="AH55" i="41" l="1"/>
  <c r="Y54" i="41"/>
  <c r="AH54" i="41" s="1"/>
  <c r="U20" i="41"/>
  <c r="U98" i="41" s="1"/>
  <c r="M99" i="41"/>
  <c r="AE99" i="41" s="1"/>
  <c r="AH27" i="41"/>
  <c r="AB75" i="41"/>
  <c r="AB59" i="41" s="1"/>
  <c r="Y76" i="41"/>
  <c r="Y75" i="41" s="1"/>
  <c r="Y59" i="41" s="1"/>
  <c r="Y99" i="41" s="1"/>
  <c r="AH30" i="41"/>
  <c r="Y28" i="41"/>
  <c r="Q59" i="41"/>
  <c r="AF59" i="41" s="1"/>
  <c r="AF75" i="41"/>
  <c r="AH41" i="41"/>
  <c r="AG37" i="41"/>
  <c r="Q98" i="41"/>
  <c r="AH25" i="41"/>
  <c r="U75" i="41"/>
  <c r="D109" i="41"/>
  <c r="AH75" i="41" l="1"/>
  <c r="AH76" i="41"/>
  <c r="AG20" i="41"/>
  <c r="Q99" i="41"/>
  <c r="AF99" i="41" s="1"/>
  <c r="AH28" i="41"/>
  <c r="Y20" i="41"/>
  <c r="Y37" i="41"/>
  <c r="AH37" i="41" s="1"/>
  <c r="AB99" i="41"/>
  <c r="U59" i="41"/>
  <c r="U99" i="41" s="1"/>
  <c r="AG75" i="41"/>
  <c r="AG98" i="41"/>
  <c r="H88" i="4"/>
  <c r="I88" i="4" s="1"/>
  <c r="K88" i="4"/>
  <c r="L88" i="4" s="1"/>
  <c r="N88" i="4"/>
  <c r="O88" i="4" s="1"/>
  <c r="Q88" i="4"/>
  <c r="R88" i="4" s="1"/>
  <c r="H89" i="4"/>
  <c r="I89" i="4" s="1"/>
  <c r="K89" i="4"/>
  <c r="L89" i="4" s="1"/>
  <c r="N89" i="4"/>
  <c r="O89" i="4" s="1"/>
  <c r="Q89" i="4"/>
  <c r="R89" i="4" s="1"/>
  <c r="E89" i="4"/>
  <c r="F89" i="4" s="1"/>
  <c r="E88" i="4"/>
  <c r="F88" i="4" s="1"/>
  <c r="E86" i="4"/>
  <c r="E167" i="4" s="1"/>
  <c r="E168" i="4" s="1"/>
  <c r="E82" i="4"/>
  <c r="G132" i="4"/>
  <c r="H86" i="4"/>
  <c r="I86" i="4" s="1"/>
  <c r="K86" i="4"/>
  <c r="L86" i="4" s="1"/>
  <c r="N86" i="4"/>
  <c r="O86" i="4" s="1"/>
  <c r="Q86" i="4"/>
  <c r="R86" i="4" s="1"/>
  <c r="F86" i="4"/>
  <c r="Y98" i="41" l="1"/>
  <c r="AH20" i="41"/>
  <c r="AG59" i="41"/>
  <c r="AH59" i="41"/>
  <c r="AG99" i="41"/>
  <c r="AH99" i="41"/>
  <c r="H167" i="4"/>
  <c r="H169" i="4" s="1"/>
  <c r="K167" i="4"/>
  <c r="L167" i="4" s="1"/>
  <c r="N167" i="4"/>
  <c r="O167" i="4" s="1"/>
  <c r="Q167" i="4"/>
  <c r="R167" i="4" s="1"/>
  <c r="E175" i="4"/>
  <c r="E174" i="4"/>
  <c r="E169" i="4"/>
  <c r="AH98" i="41" l="1"/>
  <c r="F174" i="4"/>
  <c r="F175" i="4"/>
  <c r="I169" i="4"/>
  <c r="F169" i="4"/>
  <c r="K175" i="4"/>
  <c r="K168" i="4"/>
  <c r="N172" i="4"/>
  <c r="K172" i="4"/>
  <c r="N175" i="4"/>
  <c r="K171" i="4"/>
  <c r="E172" i="4"/>
  <c r="F167" i="4"/>
  <c r="E171" i="4"/>
  <c r="F168" i="4"/>
  <c r="H172" i="4"/>
  <c r="H175" i="4"/>
  <c r="Q175" i="4"/>
  <c r="H168" i="4"/>
  <c r="H171" i="4"/>
  <c r="Q168" i="4"/>
  <c r="E170" i="4"/>
  <c r="H174" i="4"/>
  <c r="H170" i="4"/>
  <c r="K174" i="4"/>
  <c r="K170" i="4"/>
  <c r="N174" i="4"/>
  <c r="N170" i="4"/>
  <c r="Q174" i="4"/>
  <c r="Q170" i="4"/>
  <c r="Q172" i="4"/>
  <c r="N168" i="4"/>
  <c r="N171" i="4"/>
  <c r="Q171" i="4"/>
  <c r="E173" i="4"/>
  <c r="I167" i="4"/>
  <c r="H173" i="4"/>
  <c r="K173" i="4"/>
  <c r="K169" i="4"/>
  <c r="N173" i="4"/>
  <c r="N169" i="4"/>
  <c r="Q173" i="4"/>
  <c r="Q169" i="4"/>
  <c r="F24" i="4"/>
  <c r="G24" i="4"/>
  <c r="H24" i="4"/>
  <c r="I24" i="4"/>
  <c r="J24" i="4"/>
  <c r="K24" i="4"/>
  <c r="E24" i="4"/>
  <c r="E25" i="4" s="1"/>
  <c r="E26" i="4" s="1"/>
  <c r="O170" i="4" l="1"/>
  <c r="I171" i="4"/>
  <c r="I172" i="4"/>
  <c r="F171" i="4"/>
  <c r="L175" i="4"/>
  <c r="R169" i="4"/>
  <c r="L169" i="4"/>
  <c r="F173" i="4"/>
  <c r="R172" i="4"/>
  <c r="O174" i="4"/>
  <c r="I174" i="4"/>
  <c r="I168" i="4"/>
  <c r="L172" i="4"/>
  <c r="L173" i="4"/>
  <c r="R170" i="4"/>
  <c r="R175" i="4"/>
  <c r="F172" i="4"/>
  <c r="R173" i="4"/>
  <c r="R171" i="4"/>
  <c r="L170" i="4"/>
  <c r="F170" i="4"/>
  <c r="O172" i="4"/>
  <c r="O169" i="4"/>
  <c r="I173" i="4"/>
  <c r="O171" i="4"/>
  <c r="R174" i="4"/>
  <c r="L174" i="4"/>
  <c r="R168" i="4"/>
  <c r="I175" i="4"/>
  <c r="L171" i="4"/>
  <c r="L168" i="4"/>
  <c r="O173" i="4"/>
  <c r="O168" i="4"/>
  <c r="I170" i="4"/>
  <c r="O175" i="4"/>
  <c r="C175" i="4"/>
  <c r="C174" i="4"/>
  <c r="C173" i="4"/>
  <c r="C172" i="4"/>
  <c r="C171" i="4"/>
  <c r="C170" i="4"/>
  <c r="C169" i="4"/>
  <c r="C168" i="4"/>
  <c r="C153" i="4"/>
  <c r="C162" i="4" s="1"/>
  <c r="C152" i="4"/>
  <c r="C161" i="4" s="1"/>
  <c r="C151" i="4"/>
  <c r="C160" i="4" s="1"/>
  <c r="C150" i="4"/>
  <c r="C159" i="4" s="1"/>
  <c r="C149" i="4"/>
  <c r="C158" i="4" s="1"/>
  <c r="C148" i="4"/>
  <c r="C157" i="4" s="1"/>
  <c r="C147" i="4"/>
  <c r="C156" i="4" s="1"/>
  <c r="C146" i="4"/>
  <c r="C155" i="4" s="1"/>
  <c r="J131" i="4"/>
  <c r="M131" i="4"/>
  <c r="P131" i="4"/>
  <c r="S131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J133" i="4"/>
  <c r="M133" i="4"/>
  <c r="P133" i="4"/>
  <c r="S133" i="4"/>
  <c r="E87" i="4"/>
  <c r="F87" i="4" l="1"/>
  <c r="E129" i="4"/>
  <c r="E132" i="4" s="1"/>
  <c r="E85" i="4"/>
  <c r="F129" i="4" l="1"/>
  <c r="F132" i="4" l="1"/>
  <c r="G123" i="4"/>
  <c r="S118" i="4"/>
  <c r="S111" i="4"/>
  <c r="S107" i="4"/>
  <c r="S105" i="4"/>
  <c r="S102" i="4"/>
  <c r="S103" i="4"/>
  <c r="S104" i="4"/>
  <c r="S101" i="4"/>
  <c r="P111" i="4"/>
  <c r="P107" i="4"/>
  <c r="P105" i="4"/>
  <c r="P102" i="4"/>
  <c r="P103" i="4"/>
  <c r="P104" i="4"/>
  <c r="P101" i="4"/>
  <c r="M118" i="4"/>
  <c r="M111" i="4"/>
  <c r="M107" i="4"/>
  <c r="M105" i="4"/>
  <c r="M102" i="4"/>
  <c r="M103" i="4"/>
  <c r="M104" i="4"/>
  <c r="M101" i="4"/>
  <c r="J118" i="4"/>
  <c r="J111" i="4"/>
  <c r="J107" i="4"/>
  <c r="J105" i="4"/>
  <c r="J101" i="4"/>
  <c r="J102" i="4"/>
  <c r="J103" i="4"/>
  <c r="J104" i="4"/>
  <c r="G107" i="4"/>
  <c r="J108" i="4"/>
  <c r="M108" i="4"/>
  <c r="P108" i="4"/>
  <c r="S108" i="4"/>
  <c r="J109" i="4"/>
  <c r="M109" i="4"/>
  <c r="P109" i="4"/>
  <c r="S109" i="4"/>
  <c r="J110" i="4"/>
  <c r="M110" i="4"/>
  <c r="P110" i="4"/>
  <c r="S110" i="4"/>
  <c r="P118" i="4"/>
  <c r="G118" i="4"/>
  <c r="G111" i="4"/>
  <c r="G108" i="4"/>
  <c r="G109" i="4"/>
  <c r="G110" i="4"/>
  <c r="G102" i="4"/>
  <c r="G103" i="4"/>
  <c r="G104" i="4"/>
  <c r="G105" i="4"/>
  <c r="G101" i="4"/>
  <c r="H82" i="4"/>
  <c r="I82" i="4"/>
  <c r="K82" i="4"/>
  <c r="L82" i="4"/>
  <c r="N82" i="4"/>
  <c r="O82" i="4"/>
  <c r="Q82" i="4"/>
  <c r="R82" i="4"/>
  <c r="J83" i="4"/>
  <c r="M83" i="4"/>
  <c r="P83" i="4"/>
  <c r="S83" i="4"/>
  <c r="J84" i="4"/>
  <c r="M84" i="4"/>
  <c r="P84" i="4"/>
  <c r="S84" i="4"/>
  <c r="H87" i="4"/>
  <c r="H85" i="4" s="1"/>
  <c r="H128" i="4" s="1"/>
  <c r="K87" i="4"/>
  <c r="K85" i="4" s="1"/>
  <c r="N87" i="4"/>
  <c r="N85" i="4" s="1"/>
  <c r="Q87" i="4"/>
  <c r="Q85" i="4" s="1"/>
  <c r="G133" i="4"/>
  <c r="F130" i="4" s="1"/>
  <c r="G131" i="4"/>
  <c r="S123" i="4"/>
  <c r="P123" i="4"/>
  <c r="M123" i="4"/>
  <c r="J123" i="4"/>
  <c r="G84" i="4"/>
  <c r="G83" i="4"/>
  <c r="F82" i="4"/>
  <c r="E81" i="4"/>
  <c r="E80" i="4" s="1"/>
  <c r="E144" i="4" s="1"/>
  <c r="F25" i="4"/>
  <c r="G25" i="4"/>
  <c r="H25" i="4"/>
  <c r="I25" i="4"/>
  <c r="J25" i="4"/>
  <c r="K25" i="4"/>
  <c r="J100" i="4" l="1"/>
  <c r="Q81" i="4"/>
  <c r="K81" i="4"/>
  <c r="O81" i="4"/>
  <c r="I81" i="4"/>
  <c r="N81" i="4"/>
  <c r="H81" i="4"/>
  <c r="R81" i="4"/>
  <c r="L81" i="4"/>
  <c r="F85" i="4"/>
  <c r="F133" i="4"/>
  <c r="H131" i="4"/>
  <c r="G100" i="4"/>
  <c r="E122" i="4"/>
  <c r="E154" i="4"/>
  <c r="F144" i="4"/>
  <c r="E145" i="4"/>
  <c r="E134" i="4"/>
  <c r="F81" i="4"/>
  <c r="E130" i="4"/>
  <c r="E93" i="4"/>
  <c r="E128" i="4"/>
  <c r="M100" i="4"/>
  <c r="S100" i="4"/>
  <c r="P100" i="4"/>
  <c r="Q80" i="4"/>
  <c r="Q144" i="4" s="1"/>
  <c r="S81" i="4"/>
  <c r="M81" i="4"/>
  <c r="K80" i="4"/>
  <c r="K144" i="4" s="1"/>
  <c r="N80" i="4"/>
  <c r="P81" i="4"/>
  <c r="H80" i="4"/>
  <c r="H144" i="4" s="1"/>
  <c r="J81" i="4"/>
  <c r="R87" i="4"/>
  <c r="R85" i="4" s="1"/>
  <c r="L87" i="4"/>
  <c r="L85" i="4" s="1"/>
  <c r="O87" i="4"/>
  <c r="O85" i="4" s="1"/>
  <c r="I87" i="4"/>
  <c r="I85" i="4" s="1"/>
  <c r="N128" i="4"/>
  <c r="K128" i="4"/>
  <c r="F93" i="4"/>
  <c r="K134" i="4"/>
  <c r="K122" i="4"/>
  <c r="H134" i="4"/>
  <c r="H130" i="4"/>
  <c r="Q128" i="4"/>
  <c r="K130" i="4"/>
  <c r="L130" i="4"/>
  <c r="F80" i="4"/>
  <c r="L128" i="4"/>
  <c r="Q130" i="4"/>
  <c r="R130" i="4"/>
  <c r="G81" i="4"/>
  <c r="O130" i="4"/>
  <c r="N130" i="4"/>
  <c r="I130" i="4" l="1"/>
  <c r="Q134" i="4"/>
  <c r="H133" i="4"/>
  <c r="L133" i="4"/>
  <c r="I133" i="4"/>
  <c r="L134" i="4"/>
  <c r="Q133" i="4"/>
  <c r="I134" i="4"/>
  <c r="E133" i="4"/>
  <c r="R133" i="4"/>
  <c r="N133" i="4"/>
  <c r="K133" i="4"/>
  <c r="O133" i="4"/>
  <c r="L131" i="4"/>
  <c r="Q131" i="4"/>
  <c r="R134" i="4"/>
  <c r="K131" i="4"/>
  <c r="F134" i="4"/>
  <c r="O80" i="4"/>
  <c r="N144" i="4"/>
  <c r="R144" i="4"/>
  <c r="Q154" i="4"/>
  <c r="Q145" i="4"/>
  <c r="E157" i="4"/>
  <c r="E161" i="4"/>
  <c r="E162" i="4"/>
  <c r="E156" i="4"/>
  <c r="E158" i="4"/>
  <c r="E155" i="4"/>
  <c r="E159" i="4"/>
  <c r="F154" i="4"/>
  <c r="E160" i="4"/>
  <c r="K154" i="4"/>
  <c r="L144" i="4"/>
  <c r="K145" i="4"/>
  <c r="H154" i="4"/>
  <c r="H145" i="4"/>
  <c r="I144" i="4"/>
  <c r="F145" i="4"/>
  <c r="E147" i="4"/>
  <c r="E151" i="4"/>
  <c r="E149" i="4"/>
  <c r="F149" i="4" s="1"/>
  <c r="E153" i="4"/>
  <c r="F153" i="4" s="1"/>
  <c r="E148" i="4"/>
  <c r="E152" i="4"/>
  <c r="F152" i="4" s="1"/>
  <c r="E146" i="4"/>
  <c r="E150" i="4"/>
  <c r="F150" i="4" s="1"/>
  <c r="E131" i="4"/>
  <c r="F128" i="4"/>
  <c r="R80" i="4"/>
  <c r="Q93" i="4"/>
  <c r="E98" i="4"/>
  <c r="E117" i="4" s="1"/>
  <c r="E118" i="4"/>
  <c r="E96" i="4"/>
  <c r="E115" i="4" s="1"/>
  <c r="E95" i="4"/>
  <c r="E114" i="4" s="1"/>
  <c r="E97" i="4"/>
  <c r="E116" i="4" s="1"/>
  <c r="E94" i="4"/>
  <c r="E113" i="4" s="1"/>
  <c r="E123" i="4"/>
  <c r="F122" i="4"/>
  <c r="L80" i="4"/>
  <c r="K93" i="4"/>
  <c r="F98" i="4"/>
  <c r="F117" i="4" s="1"/>
  <c r="F96" i="4"/>
  <c r="F115" i="4" s="1"/>
  <c r="F94" i="4"/>
  <c r="F113" i="4" s="1"/>
  <c r="F118" i="4"/>
  <c r="F95" i="4"/>
  <c r="F114" i="4" s="1"/>
  <c r="F97" i="4"/>
  <c r="F116" i="4" s="1"/>
  <c r="I80" i="4"/>
  <c r="H93" i="4"/>
  <c r="N93" i="4"/>
  <c r="H122" i="4"/>
  <c r="Q122" i="4"/>
  <c r="Q123" i="4" s="1"/>
  <c r="O128" i="4"/>
  <c r="N131" i="4"/>
  <c r="I128" i="4"/>
  <c r="N122" i="4"/>
  <c r="N134" i="4"/>
  <c r="R128" i="4"/>
  <c r="I122" i="4"/>
  <c r="K123" i="4"/>
  <c r="L122" i="4"/>
  <c r="H123" i="4" l="1"/>
  <c r="O131" i="4"/>
  <c r="R131" i="4"/>
  <c r="O134" i="4"/>
  <c r="R122" i="4"/>
  <c r="L123" i="4"/>
  <c r="I123" i="4"/>
  <c r="I131" i="4"/>
  <c r="F148" i="4"/>
  <c r="F147" i="4"/>
  <c r="F160" i="4"/>
  <c r="F158" i="4"/>
  <c r="F157" i="4"/>
  <c r="F123" i="4"/>
  <c r="F156" i="4"/>
  <c r="F146" i="4"/>
  <c r="F159" i="4"/>
  <c r="F162" i="4"/>
  <c r="F131" i="4"/>
  <c r="F151" i="4"/>
  <c r="F155" i="4"/>
  <c r="F161" i="4"/>
  <c r="Q156" i="4"/>
  <c r="Q160" i="4"/>
  <c r="Q155" i="4"/>
  <c r="Q157" i="4"/>
  <c r="Q161" i="4"/>
  <c r="Q162" i="4"/>
  <c r="R154" i="4"/>
  <c r="Q158" i="4"/>
  <c r="Q159" i="4"/>
  <c r="H148" i="4"/>
  <c r="H152" i="4"/>
  <c r="I152" i="4" s="1"/>
  <c r="H149" i="4"/>
  <c r="I149" i="4" s="1"/>
  <c r="H153" i="4"/>
  <c r="I153" i="4" s="1"/>
  <c r="H150" i="4"/>
  <c r="I150" i="4" s="1"/>
  <c r="H146" i="4"/>
  <c r="I145" i="4"/>
  <c r="H147" i="4"/>
  <c r="H151" i="4"/>
  <c r="K156" i="4"/>
  <c r="K160" i="4"/>
  <c r="K157" i="4"/>
  <c r="K161" i="4"/>
  <c r="K159" i="4"/>
  <c r="K155" i="4"/>
  <c r="K158" i="4"/>
  <c r="L154" i="4"/>
  <c r="K162" i="4"/>
  <c r="H162" i="4"/>
  <c r="H159" i="4"/>
  <c r="H155" i="4"/>
  <c r="H156" i="4"/>
  <c r="H160" i="4"/>
  <c r="I154" i="4"/>
  <c r="H157" i="4"/>
  <c r="H161" i="4"/>
  <c r="H158" i="4"/>
  <c r="O144" i="4"/>
  <c r="N154" i="4"/>
  <c r="N145" i="4"/>
  <c r="K149" i="4"/>
  <c r="L149" i="4" s="1"/>
  <c r="K153" i="4"/>
  <c r="L153" i="4" s="1"/>
  <c r="K150" i="4"/>
  <c r="L150" i="4" s="1"/>
  <c r="K146" i="4"/>
  <c r="K147" i="4"/>
  <c r="K151" i="4"/>
  <c r="K148" i="4"/>
  <c r="K152" i="4"/>
  <c r="L152" i="4" s="1"/>
  <c r="L145" i="4"/>
  <c r="Q149" i="4"/>
  <c r="R149" i="4" s="1"/>
  <c r="Q150" i="4"/>
  <c r="R150" i="4" s="1"/>
  <c r="Q146" i="4"/>
  <c r="R145" i="4"/>
  <c r="Q148" i="4"/>
  <c r="Q147" i="4"/>
  <c r="Q151" i="4"/>
  <c r="Q153" i="4"/>
  <c r="R153" i="4" s="1"/>
  <c r="Q152" i="4"/>
  <c r="R152" i="4" s="1"/>
  <c r="Q98" i="4"/>
  <c r="Q117" i="4" s="1"/>
  <c r="Q118" i="4"/>
  <c r="Q95" i="4"/>
  <c r="Q114" i="4" s="1"/>
  <c r="Q96" i="4"/>
  <c r="Q115" i="4" s="1"/>
  <c r="Q97" i="4"/>
  <c r="Q116" i="4" s="1"/>
  <c r="Q94" i="4"/>
  <c r="Q113" i="4" s="1"/>
  <c r="R93" i="4"/>
  <c r="N118" i="4"/>
  <c r="N98" i="4"/>
  <c r="N117" i="4" s="1"/>
  <c r="N95" i="4"/>
  <c r="N114" i="4" s="1"/>
  <c r="O93" i="4"/>
  <c r="N97" i="4"/>
  <c r="N116" i="4" s="1"/>
  <c r="N94" i="4"/>
  <c r="N113" i="4" s="1"/>
  <c r="N96" i="4"/>
  <c r="N115" i="4" s="1"/>
  <c r="H96" i="4"/>
  <c r="H115" i="4" s="1"/>
  <c r="H98" i="4"/>
  <c r="H117" i="4" s="1"/>
  <c r="H118" i="4"/>
  <c r="I93" i="4"/>
  <c r="H95" i="4"/>
  <c r="H114" i="4" s="1"/>
  <c r="H97" i="4"/>
  <c r="H116" i="4" s="1"/>
  <c r="H94" i="4"/>
  <c r="H113" i="4" s="1"/>
  <c r="L93" i="4"/>
  <c r="K118" i="4"/>
  <c r="K96" i="4"/>
  <c r="K115" i="4" s="1"/>
  <c r="K98" i="4"/>
  <c r="K117" i="4" s="1"/>
  <c r="K95" i="4"/>
  <c r="K114" i="4" s="1"/>
  <c r="K97" i="4"/>
  <c r="K116" i="4" s="1"/>
  <c r="K94" i="4"/>
  <c r="K113" i="4" s="1"/>
  <c r="O122" i="4"/>
  <c r="N123" i="4"/>
  <c r="O123" i="4" l="1"/>
  <c r="R147" i="4"/>
  <c r="L148" i="4"/>
  <c r="I157" i="4"/>
  <c r="I155" i="4"/>
  <c r="L161" i="4"/>
  <c r="I151" i="4"/>
  <c r="I148" i="4"/>
  <c r="R162" i="4"/>
  <c r="R160" i="4"/>
  <c r="R148" i="4"/>
  <c r="L151" i="4"/>
  <c r="I159" i="4"/>
  <c r="L158" i="4"/>
  <c r="L157" i="4"/>
  <c r="I147" i="4"/>
  <c r="R159" i="4"/>
  <c r="R161" i="4"/>
  <c r="R156" i="4"/>
  <c r="R123" i="4"/>
  <c r="L147" i="4"/>
  <c r="I158" i="4"/>
  <c r="I160" i="4"/>
  <c r="I162" i="4"/>
  <c r="L155" i="4"/>
  <c r="L160" i="4"/>
  <c r="R158" i="4"/>
  <c r="R157" i="4"/>
  <c r="R151" i="4"/>
  <c r="R146" i="4"/>
  <c r="L146" i="4"/>
  <c r="I161" i="4"/>
  <c r="I156" i="4"/>
  <c r="L162" i="4"/>
  <c r="L159" i="4"/>
  <c r="L156" i="4"/>
  <c r="I146" i="4"/>
  <c r="R155" i="4"/>
  <c r="N152" i="4"/>
  <c r="O152" i="4" s="1"/>
  <c r="N149" i="4"/>
  <c r="O149" i="4" s="1"/>
  <c r="N153" i="4"/>
  <c r="O153" i="4" s="1"/>
  <c r="N150" i="4"/>
  <c r="O150" i="4" s="1"/>
  <c r="N146" i="4"/>
  <c r="N148" i="4"/>
  <c r="O145" i="4"/>
  <c r="N147" i="4"/>
  <c r="N151" i="4"/>
  <c r="N156" i="4"/>
  <c r="N160" i="4"/>
  <c r="N157" i="4"/>
  <c r="N161" i="4"/>
  <c r="N162" i="4"/>
  <c r="N158" i="4"/>
  <c r="N159" i="4"/>
  <c r="N155" i="4"/>
  <c r="O154" i="4"/>
  <c r="O95" i="4"/>
  <c r="O114" i="4" s="1"/>
  <c r="O94" i="4"/>
  <c r="O113" i="4" s="1"/>
  <c r="O96" i="4"/>
  <c r="O115" i="4" s="1"/>
  <c r="O97" i="4"/>
  <c r="O116" i="4" s="1"/>
  <c r="O118" i="4"/>
  <c r="O98" i="4"/>
  <c r="O117" i="4" s="1"/>
  <c r="R118" i="4"/>
  <c r="R98" i="4"/>
  <c r="R117" i="4" s="1"/>
  <c r="R95" i="4"/>
  <c r="R114" i="4" s="1"/>
  <c r="R96" i="4"/>
  <c r="R115" i="4" s="1"/>
  <c r="R97" i="4"/>
  <c r="R116" i="4" s="1"/>
  <c r="R94" i="4"/>
  <c r="R113" i="4" s="1"/>
  <c r="L98" i="4"/>
  <c r="L117" i="4" s="1"/>
  <c r="L96" i="4"/>
  <c r="L115" i="4" s="1"/>
  <c r="L118" i="4"/>
  <c r="L97" i="4"/>
  <c r="L116" i="4" s="1"/>
  <c r="L95" i="4"/>
  <c r="L114" i="4" s="1"/>
  <c r="L94" i="4"/>
  <c r="L113" i="4" s="1"/>
  <c r="I97" i="4"/>
  <c r="I116" i="4" s="1"/>
  <c r="I98" i="4"/>
  <c r="I117" i="4" s="1"/>
  <c r="I118" i="4"/>
  <c r="I95" i="4"/>
  <c r="I114" i="4" s="1"/>
  <c r="I96" i="4"/>
  <c r="I115" i="4" s="1"/>
  <c r="I94" i="4"/>
  <c r="I113" i="4" s="1"/>
  <c r="O162" i="4" l="1"/>
  <c r="O156" i="4"/>
  <c r="O148" i="4"/>
  <c r="O155" i="4"/>
  <c r="O161" i="4"/>
  <c r="O151" i="4"/>
  <c r="O146" i="4"/>
  <c r="O159" i="4"/>
  <c r="O157" i="4"/>
  <c r="O147" i="4"/>
  <c r="O158" i="4"/>
  <c r="O160" i="4"/>
  <c r="F26" i="4" l="1"/>
  <c r="G26" i="4"/>
  <c r="H26" i="4"/>
  <c r="I26" i="4"/>
  <c r="J26" i="4"/>
  <c r="K26" i="4"/>
  <c r="K28" i="4" l="1"/>
  <c r="J28" i="4"/>
  <c r="I28" i="4"/>
  <c r="H28" i="4"/>
  <c r="G28" i="4"/>
  <c r="F28" i="4"/>
  <c r="E28" i="4"/>
  <c r="K27" i="4"/>
  <c r="J27" i="4"/>
  <c r="I27" i="4"/>
  <c r="H27" i="4"/>
  <c r="G27" i="4"/>
  <c r="F27" i="4"/>
  <c r="E27" i="4"/>
  <c r="H6" i="44" l="1"/>
  <c r="G13" i="44"/>
  <c r="H5" i="44" l="1"/>
  <c r="D33" i="44" l="1"/>
  <c r="H18" i="44"/>
  <c r="G18" i="44"/>
  <c r="G14" i="44"/>
  <c r="H14" i="44"/>
  <c r="G15" i="44"/>
  <c r="H15" i="44"/>
  <c r="G16" i="44"/>
  <c r="H16" i="44"/>
  <c r="G17" i="44"/>
  <c r="H17" i="44"/>
  <c r="H13" i="44"/>
  <c r="F13" i="44" s="1"/>
  <c r="H22" i="44"/>
  <c r="G22" i="44"/>
  <c r="D22" i="44"/>
  <c r="F16" i="44" l="1"/>
  <c r="F14" i="44"/>
  <c r="F17" i="44"/>
  <c r="F15" i="44"/>
  <c r="I12" i="44"/>
  <c r="H12" i="44"/>
  <c r="G12" i="44"/>
  <c r="G28" i="44"/>
  <c r="K28" i="44" s="1"/>
  <c r="H28" i="44"/>
  <c r="L28" i="44" s="1"/>
  <c r="G29" i="44"/>
  <c r="K29" i="44" s="1"/>
  <c r="H29" i="44"/>
  <c r="L29" i="44" s="1"/>
  <c r="H27" i="44"/>
  <c r="L27" i="44" s="1"/>
  <c r="G27" i="44"/>
  <c r="K27" i="44" s="1"/>
  <c r="M3" i="44"/>
  <c r="I23" i="44"/>
  <c r="C24" i="44"/>
  <c r="H23" i="44"/>
  <c r="G23" i="44"/>
  <c r="E23" i="44"/>
  <c r="D23" i="44"/>
  <c r="F22" i="44"/>
  <c r="F21" i="44"/>
  <c r="F19" i="44"/>
  <c r="F11" i="44"/>
  <c r="C10" i="44"/>
  <c r="C9" i="44"/>
  <c r="C8" i="44"/>
  <c r="F6" i="44"/>
  <c r="I4" i="44" l="1"/>
  <c r="L30" i="44"/>
  <c r="G30" i="44"/>
  <c r="H30" i="44"/>
  <c r="F23" i="44"/>
  <c r="F12" i="44"/>
  <c r="J28" i="44"/>
  <c r="J29" i="44"/>
  <c r="F20" i="44"/>
  <c r="F24" i="44"/>
  <c r="F18" i="44"/>
  <c r="F27" i="44"/>
  <c r="F28" i="44"/>
  <c r="F29" i="44"/>
  <c r="F30" i="44" l="1"/>
  <c r="K30" i="44"/>
  <c r="J30" i="44" s="1"/>
  <c r="J27" i="44"/>
  <c r="F15" i="4" l="1"/>
  <c r="E15" i="4"/>
  <c r="E22" i="44" l="1"/>
  <c r="E18" i="44"/>
  <c r="D18" i="44"/>
  <c r="E28" i="44"/>
  <c r="E29" i="44"/>
  <c r="E9" i="44"/>
  <c r="E10" i="44"/>
  <c r="E14" i="44"/>
  <c r="E15" i="44"/>
  <c r="E16" i="44"/>
  <c r="E17" i="44"/>
  <c r="E13" i="44"/>
  <c r="D14" i="44"/>
  <c r="D15" i="44"/>
  <c r="D16" i="44"/>
  <c r="D17" i="44"/>
  <c r="D13" i="44"/>
  <c r="D28" i="44"/>
  <c r="D29" i="44"/>
  <c r="D27" i="44"/>
  <c r="D9" i="44"/>
  <c r="D10" i="44"/>
  <c r="D6" i="44"/>
  <c r="D5" i="44" l="1"/>
  <c r="D8" i="44"/>
  <c r="D7" i="44" s="1"/>
  <c r="E27" i="44"/>
  <c r="E30" i="44" s="1"/>
  <c r="E8" i="44"/>
  <c r="E7" i="44" s="1"/>
  <c r="E5" i="44"/>
  <c r="E6" i="44"/>
  <c r="D12" i="44"/>
  <c r="D30" i="44"/>
  <c r="E12" i="44"/>
  <c r="A113" i="41"/>
  <c r="D11" i="44"/>
  <c r="D1" i="44" l="1"/>
  <c r="D31" i="44"/>
  <c r="G31" i="44" s="1"/>
  <c r="H31" i="44" s="1"/>
  <c r="E31" i="44"/>
  <c r="D4" i="44"/>
  <c r="D35" i="44" s="1"/>
  <c r="G10" i="44" l="1"/>
  <c r="G8" i="44"/>
  <c r="G9" i="44"/>
  <c r="H8" i="44"/>
  <c r="H9" i="44"/>
  <c r="H10" i="44"/>
  <c r="F10" i="44" l="1"/>
  <c r="G7" i="44"/>
  <c r="G4" i="44" s="1"/>
  <c r="F9" i="44"/>
  <c r="H7" i="44"/>
  <c r="F8" i="44"/>
  <c r="F7" i="44" l="1"/>
  <c r="F31" i="44" s="1"/>
  <c r="F5" i="44" l="1"/>
  <c r="F4" i="44" s="1"/>
  <c r="H4" i="44"/>
  <c r="D36" i="44" l="1"/>
  <c r="L5" i="44" s="1"/>
  <c r="M24" i="44" l="1"/>
  <c r="M5" i="44"/>
  <c r="L24" i="44"/>
  <c r="L23" i="44" s="1"/>
  <c r="L18" i="44"/>
  <c r="K13" i="44"/>
  <c r="M6" i="44"/>
  <c r="K16" i="44"/>
  <c r="L20" i="44"/>
  <c r="M14" i="44"/>
  <c r="K19" i="44"/>
  <c r="K21" i="44"/>
  <c r="K11" i="44"/>
  <c r="L16" i="44"/>
  <c r="K17" i="44"/>
  <c r="K6" i="44"/>
  <c r="L11" i="44"/>
  <c r="K8" i="44"/>
  <c r="M16" i="44"/>
  <c r="L21" i="44"/>
  <c r="L15" i="44"/>
  <c r="K20" i="44"/>
  <c r="L10" i="44"/>
  <c r="K9" i="44"/>
  <c r="L17" i="44"/>
  <c r="M21" i="44"/>
  <c r="L22" i="44"/>
  <c r="L13" i="44"/>
  <c r="M17" i="44"/>
  <c r="L14" i="44"/>
  <c r="K22" i="44"/>
  <c r="M8" i="44"/>
  <c r="M20" i="44"/>
  <c r="L6" i="44"/>
  <c r="L9" i="44"/>
  <c r="K18" i="44"/>
  <c r="M22" i="44"/>
  <c r="K14" i="44"/>
  <c r="J14" i="44" s="1"/>
  <c r="M11" i="44"/>
  <c r="M18" i="44"/>
  <c r="M19" i="44"/>
  <c r="M9" i="44"/>
  <c r="K15" i="44"/>
  <c r="L8" i="44"/>
  <c r="M13" i="44"/>
  <c r="M15" i="44"/>
  <c r="K24" i="44"/>
  <c r="K23" i="44" s="1"/>
  <c r="K10" i="44"/>
  <c r="M10" i="44"/>
  <c r="L19" i="44"/>
  <c r="K5" i="44"/>
  <c r="J23" i="44" l="1"/>
  <c r="J18" i="44"/>
  <c r="J17" i="44"/>
  <c r="J22" i="44"/>
  <c r="J24" i="44"/>
  <c r="J19" i="44"/>
  <c r="J15" i="44"/>
  <c r="J10" i="44"/>
  <c r="J21" i="44"/>
  <c r="J13" i="44"/>
  <c r="J20" i="44"/>
  <c r="L12" i="44"/>
  <c r="J16" i="44"/>
  <c r="J5" i="44"/>
  <c r="O14" i="44"/>
  <c r="J6" i="44"/>
  <c r="M7" i="44"/>
  <c r="K12" i="44"/>
  <c r="M12" i="44"/>
  <c r="J11" i="44"/>
  <c r="J9" i="44"/>
  <c r="K7" i="44"/>
  <c r="K31" i="44" s="1"/>
  <c r="J8" i="44"/>
  <c r="L7" i="44"/>
  <c r="O15" i="44"/>
  <c r="O16" i="44"/>
  <c r="O5" i="44"/>
  <c r="O13" i="44"/>
  <c r="O18" i="44"/>
  <c r="O17" i="44"/>
  <c r="M4" i="44" l="1"/>
  <c r="J12" i="44"/>
  <c r="K4" i="44"/>
  <c r="L4" i="44"/>
  <c r="L31" i="44"/>
  <c r="O6" i="44"/>
  <c r="J7" i="44"/>
  <c r="J31" i="44" s="1"/>
  <c r="J4" i="44" l="1"/>
  <c r="Q5" i="44" s="1"/>
  <c r="E11" i="44" l="1"/>
  <c r="E4" i="44" s="1"/>
  <c r="O7" i="44" l="1"/>
  <c r="H1" i="44"/>
  <c r="L1" i="44" s="1"/>
  <c r="G1" i="44" l="1"/>
  <c r="Q11" i="44" l="1"/>
  <c r="K1" i="44"/>
  <c r="H8" i="73" l="1"/>
  <c r="N98" i="41"/>
  <c r="I8" i="73" l="1"/>
  <c r="Q37" i="73"/>
  <c r="K35" i="73"/>
  <c r="L35" i="73" s="1"/>
  <c r="K40" i="73"/>
  <c r="T40" i="73"/>
  <c r="N37" i="73"/>
  <c r="N40" i="73"/>
  <c r="N35" i="73"/>
  <c r="O35" i="73" s="1"/>
  <c r="K37" i="73"/>
  <c r="T37" i="73"/>
  <c r="N38" i="73"/>
  <c r="K38" i="73"/>
  <c r="Q35" i="73"/>
  <c r="R35" i="73" s="1"/>
  <c r="N39" i="73"/>
  <c r="T38" i="73"/>
  <c r="K39" i="73"/>
  <c r="Q38" i="73"/>
  <c r="Q39" i="73"/>
  <c r="T35" i="73"/>
  <c r="U35" i="73" s="1"/>
  <c r="Q40" i="73"/>
  <c r="T39" i="73"/>
  <c r="H38" i="73"/>
  <c r="N23" i="73"/>
  <c r="K28" i="73"/>
  <c r="H23" i="73"/>
  <c r="Q14" i="73"/>
  <c r="H14" i="73"/>
  <c r="H37" i="73"/>
  <c r="Q23" i="73"/>
  <c r="N28" i="73"/>
  <c r="H40" i="73"/>
  <c r="H35" i="73"/>
  <c r="I35" i="73" s="1"/>
  <c r="T23" i="73"/>
  <c r="Q28" i="73"/>
  <c r="T14" i="73"/>
  <c r="K14" i="73"/>
  <c r="H39" i="73"/>
  <c r="K23" i="73"/>
  <c r="T28" i="73"/>
  <c r="H28" i="73"/>
  <c r="N14" i="73"/>
  <c r="H30" i="73" l="1"/>
  <c r="I28" i="73"/>
  <c r="I30" i="73" s="1"/>
  <c r="J30" i="73" s="1"/>
  <c r="J29" i="73" s="1"/>
  <c r="L14" i="73"/>
  <c r="L16" i="73" s="1"/>
  <c r="K16" i="73"/>
  <c r="H44" i="73"/>
  <c r="I37" i="73"/>
  <c r="H36" i="73"/>
  <c r="L28" i="73"/>
  <c r="L30" i="73" s="1"/>
  <c r="K30" i="73"/>
  <c r="R40" i="73"/>
  <c r="R47" i="73" s="1"/>
  <c r="Q47" i="73"/>
  <c r="K46" i="73"/>
  <c r="M46" i="73" s="1"/>
  <c r="L39" i="73"/>
  <c r="L46" i="73" s="1"/>
  <c r="K45" i="73"/>
  <c r="L38" i="73"/>
  <c r="K51" i="73"/>
  <c r="K47" i="73"/>
  <c r="L40" i="73"/>
  <c r="L47" i="73" s="1"/>
  <c r="U14" i="73"/>
  <c r="U16" i="73" s="1"/>
  <c r="T16" i="73"/>
  <c r="H47" i="73"/>
  <c r="I40" i="73"/>
  <c r="I47" i="73" s="1"/>
  <c r="H16" i="73"/>
  <c r="I14" i="73"/>
  <c r="I16" i="73" s="1"/>
  <c r="O23" i="73"/>
  <c r="O25" i="73" s="1"/>
  <c r="N25" i="73"/>
  <c r="P25" i="73" s="1"/>
  <c r="T45" i="73"/>
  <c r="U38" i="73"/>
  <c r="T51" i="73"/>
  <c r="O38" i="73"/>
  <c r="N45" i="73"/>
  <c r="N51" i="73"/>
  <c r="N47" i="73"/>
  <c r="O40" i="73"/>
  <c r="O47" i="73" s="1"/>
  <c r="L23" i="73"/>
  <c r="L25" i="73" s="1"/>
  <c r="K25" i="73"/>
  <c r="R28" i="73"/>
  <c r="R30" i="73" s="1"/>
  <c r="Q30" i="73"/>
  <c r="S30" i="73" s="1"/>
  <c r="S29" i="73" s="1"/>
  <c r="O28" i="73"/>
  <c r="O30" i="73" s="1"/>
  <c r="N30" i="73"/>
  <c r="Q16" i="73"/>
  <c r="R14" i="73"/>
  <c r="R16" i="73" s="1"/>
  <c r="S16" i="73" s="1"/>
  <c r="G20" i="75"/>
  <c r="H45" i="73"/>
  <c r="H51" i="73"/>
  <c r="I38" i="73"/>
  <c r="Q46" i="73"/>
  <c r="R39" i="73"/>
  <c r="R46" i="73" s="1"/>
  <c r="N46" i="73"/>
  <c r="O39" i="73"/>
  <c r="O46" i="73" s="1"/>
  <c r="T44" i="73"/>
  <c r="U37" i="73"/>
  <c r="T36" i="73"/>
  <c r="O37" i="73"/>
  <c r="N44" i="73"/>
  <c r="N36" i="73"/>
  <c r="Q44" i="73"/>
  <c r="R37" i="73"/>
  <c r="Q36" i="73"/>
  <c r="U28" i="73"/>
  <c r="U30" i="73" s="1"/>
  <c r="V30" i="73" s="1"/>
  <c r="V29" i="73" s="1"/>
  <c r="T30" i="73"/>
  <c r="O14" i="73"/>
  <c r="O16" i="73" s="1"/>
  <c r="N16" i="73"/>
  <c r="G28" i="75"/>
  <c r="H46" i="73"/>
  <c r="I39" i="73"/>
  <c r="T25" i="73"/>
  <c r="U23" i="73"/>
  <c r="U25" i="73" s="1"/>
  <c r="R23" i="73"/>
  <c r="R25" i="73" s="1"/>
  <c r="Q25" i="73"/>
  <c r="H25" i="73"/>
  <c r="I23" i="73"/>
  <c r="I25" i="73" s="1"/>
  <c r="T46" i="73"/>
  <c r="U39" i="73"/>
  <c r="U46" i="73" s="1"/>
  <c r="Q45" i="73"/>
  <c r="Q51" i="73"/>
  <c r="R38" i="73"/>
  <c r="K44" i="73"/>
  <c r="L37" i="73"/>
  <c r="K36" i="73"/>
  <c r="T47" i="73"/>
  <c r="U40" i="73"/>
  <c r="U47" i="73" s="1"/>
  <c r="K53" i="73" l="1"/>
  <c r="J25" i="73"/>
  <c r="S25" i="73"/>
  <c r="V25" i="73"/>
  <c r="V24" i="73" s="1"/>
  <c r="P30" i="73"/>
  <c r="P29" i="73" s="1"/>
  <c r="M25" i="73"/>
  <c r="J16" i="73"/>
  <c r="J17" i="41" s="1"/>
  <c r="V16" i="73"/>
  <c r="Z17" i="41" s="1"/>
  <c r="G27" i="75"/>
  <c r="G26" i="75" s="1"/>
  <c r="G25" i="75" s="1"/>
  <c r="K28" i="75"/>
  <c r="U44" i="73"/>
  <c r="U36" i="73"/>
  <c r="M24" i="73"/>
  <c r="P17" i="41"/>
  <c r="U45" i="73"/>
  <c r="V45" i="73" s="1"/>
  <c r="U51" i="73"/>
  <c r="V51" i="73" s="1"/>
  <c r="V50" i="73" s="1"/>
  <c r="M16" i="73"/>
  <c r="J24" i="73"/>
  <c r="L17" i="41"/>
  <c r="L44" i="73"/>
  <c r="M44" i="73" s="1"/>
  <c r="L36" i="73"/>
  <c r="Q53" i="73"/>
  <c r="P16" i="73"/>
  <c r="N43" i="73"/>
  <c r="N42" i="73" s="1"/>
  <c r="V44" i="73"/>
  <c r="T43" i="73"/>
  <c r="T42" i="73" s="1"/>
  <c r="S46" i="73"/>
  <c r="U26" i="75" s="1"/>
  <c r="K20" i="75"/>
  <c r="G70" i="75"/>
  <c r="G19" i="75"/>
  <c r="N53" i="73"/>
  <c r="T53" i="73"/>
  <c r="L45" i="73"/>
  <c r="L51" i="73"/>
  <c r="M51" i="73" s="1"/>
  <c r="M50" i="73" s="1"/>
  <c r="S47" i="73"/>
  <c r="X19" i="41" s="1"/>
  <c r="K43" i="73"/>
  <c r="K42" i="73" s="1"/>
  <c r="S24" i="73"/>
  <c r="X17" i="41"/>
  <c r="H28" i="75"/>
  <c r="I46" i="73"/>
  <c r="R44" i="73"/>
  <c r="S44" i="73" s="1"/>
  <c r="R36" i="73"/>
  <c r="O44" i="73"/>
  <c r="O36" i="73"/>
  <c r="H20" i="75"/>
  <c r="I45" i="73"/>
  <c r="J45" i="73" s="1"/>
  <c r="I51" i="73"/>
  <c r="S15" i="73"/>
  <c r="V17" i="41"/>
  <c r="O45" i="73"/>
  <c r="P45" i="73" s="1"/>
  <c r="O51" i="73"/>
  <c r="P24" i="73"/>
  <c r="T17" i="41"/>
  <c r="I44" i="73"/>
  <c r="J44" i="73" s="1"/>
  <c r="I36" i="73"/>
  <c r="V47" i="73"/>
  <c r="AB19" i="41" s="1"/>
  <c r="R45" i="73"/>
  <c r="R51" i="73"/>
  <c r="S51" i="73" s="1"/>
  <c r="S50" i="73" s="1"/>
  <c r="V46" i="73"/>
  <c r="Y26" i="75" s="1"/>
  <c r="J46" i="73"/>
  <c r="Q43" i="73"/>
  <c r="Q42" i="73" s="1"/>
  <c r="P46" i="73"/>
  <c r="H53" i="73"/>
  <c r="P47" i="73"/>
  <c r="T19" i="41" s="1"/>
  <c r="J47" i="73"/>
  <c r="L19" i="41" s="1"/>
  <c r="M47" i="73"/>
  <c r="P19" i="41" s="1"/>
  <c r="M30" i="73"/>
  <c r="M29" i="73" s="1"/>
  <c r="H43" i="73"/>
  <c r="H42" i="73" s="1"/>
  <c r="J15" i="73" l="1"/>
  <c r="O43" i="73"/>
  <c r="O42" i="73" s="1"/>
  <c r="V15" i="73"/>
  <c r="AB17" i="41"/>
  <c r="X14" i="41"/>
  <c r="X100" i="41" s="1"/>
  <c r="O53" i="73"/>
  <c r="I53" i="73"/>
  <c r="U53" i="73"/>
  <c r="J43" i="73"/>
  <c r="I26" i="75"/>
  <c r="N26" i="75" s="1"/>
  <c r="O20" i="75"/>
  <c r="K19" i="75"/>
  <c r="Y17" i="41"/>
  <c r="O28" i="75"/>
  <c r="K27" i="75"/>
  <c r="H27" i="75"/>
  <c r="M45" i="73"/>
  <c r="L53" i="73"/>
  <c r="P44" i="73"/>
  <c r="M15" i="73"/>
  <c r="N17" i="41"/>
  <c r="G7" i="75"/>
  <c r="P43" i="73"/>
  <c r="Q26" i="75"/>
  <c r="V26" i="75" s="1"/>
  <c r="I43" i="73"/>
  <c r="I42" i="73" s="1"/>
  <c r="G12" i="75"/>
  <c r="P15" i="73"/>
  <c r="R17" i="41"/>
  <c r="L43" i="73"/>
  <c r="L42" i="73" s="1"/>
  <c r="I17" i="41"/>
  <c r="P51" i="73"/>
  <c r="P50" i="73" s="1"/>
  <c r="AB14" i="41"/>
  <c r="Z26" i="75"/>
  <c r="J51" i="73"/>
  <c r="J50" i="73" s="1"/>
  <c r="R53" i="73"/>
  <c r="T14" i="41"/>
  <c r="U17" i="41"/>
  <c r="L20" i="75"/>
  <c r="M20" i="75" s="1"/>
  <c r="N20" i="75" s="1"/>
  <c r="H19" i="75"/>
  <c r="R43" i="73"/>
  <c r="R42" i="73" s="1"/>
  <c r="V53" i="73"/>
  <c r="AA19" i="41" s="1"/>
  <c r="AA14" i="41" s="1"/>
  <c r="AA100" i="41" s="1"/>
  <c r="AA96" i="41" s="1"/>
  <c r="AA127" i="41" s="1"/>
  <c r="F71" i="75"/>
  <c r="F66" i="75" s="1"/>
  <c r="K70" i="75"/>
  <c r="K71" i="75" s="1"/>
  <c r="V43" i="73"/>
  <c r="S45" i="73"/>
  <c r="L14" i="41"/>
  <c r="M43" i="73"/>
  <c r="P14" i="41"/>
  <c r="P100" i="41" s="1"/>
  <c r="U43" i="73"/>
  <c r="U42" i="73" s="1"/>
  <c r="N25" i="41"/>
  <c r="M27" i="41"/>
  <c r="P25" i="41"/>
  <c r="X89" i="41" l="1"/>
  <c r="X102" i="41" s="1"/>
  <c r="X96" i="41" s="1"/>
  <c r="AA106" i="41"/>
  <c r="AA109" i="41" s="1"/>
  <c r="Y124" i="41"/>
  <c r="M42" i="73"/>
  <c r="M41" i="73"/>
  <c r="Z19" i="41"/>
  <c r="M17" i="41"/>
  <c r="AE17" i="41" s="1"/>
  <c r="P28" i="75"/>
  <c r="Q28" i="75" s="1"/>
  <c r="L27" i="75"/>
  <c r="M27" i="75" s="1"/>
  <c r="N27" i="75" s="1"/>
  <c r="M28" i="75"/>
  <c r="N28" i="75" s="1"/>
  <c r="J53" i="73"/>
  <c r="L100" i="41"/>
  <c r="L89" i="41"/>
  <c r="L102" i="41" s="1"/>
  <c r="O70" i="75"/>
  <c r="G14" i="75"/>
  <c r="R26" i="75"/>
  <c r="AH17" i="41"/>
  <c r="S20" i="75"/>
  <c r="O19" i="75"/>
  <c r="S53" i="73"/>
  <c r="V19" i="41" s="1"/>
  <c r="T100" i="41"/>
  <c r="T89" i="41"/>
  <c r="T102" i="41" s="1"/>
  <c r="AD17" i="41"/>
  <c r="AC17" i="41"/>
  <c r="I19" i="75"/>
  <c r="S43" i="73"/>
  <c r="P41" i="73"/>
  <c r="P42" i="73"/>
  <c r="M53" i="73"/>
  <c r="N19" i="41" s="1"/>
  <c r="I25" i="75"/>
  <c r="H26" i="75"/>
  <c r="H25" i="75" s="1"/>
  <c r="J26" i="75"/>
  <c r="V41" i="73"/>
  <c r="V42" i="73"/>
  <c r="P20" i="75"/>
  <c r="AB100" i="41"/>
  <c r="AB89" i="41"/>
  <c r="AB102" i="41" s="1"/>
  <c r="Q17" i="41"/>
  <c r="AF17" i="41" s="1"/>
  <c r="G9" i="75"/>
  <c r="O27" i="75"/>
  <c r="S28" i="75"/>
  <c r="J42" i="73"/>
  <c r="J41" i="73"/>
  <c r="P53" i="73"/>
  <c r="S19" i="41" s="1"/>
  <c r="S14" i="41" s="1"/>
  <c r="S100" i="41" s="1"/>
  <c r="S96" i="41" s="1"/>
  <c r="S127" i="41" s="1"/>
  <c r="AE27" i="41"/>
  <c r="AF27" i="41"/>
  <c r="M25" i="41"/>
  <c r="P98" i="41"/>
  <c r="P89" i="41"/>
  <c r="U52" i="75" l="1"/>
  <c r="X127" i="41"/>
  <c r="AB96" i="41"/>
  <c r="R28" i="75"/>
  <c r="P56" i="73"/>
  <c r="W19" i="41"/>
  <c r="W14" i="41" s="1"/>
  <c r="W100" i="41" s="1"/>
  <c r="W96" i="41" s="1"/>
  <c r="M19" i="75"/>
  <c r="N19" i="75" s="1"/>
  <c r="U123" i="41"/>
  <c r="X106" i="41"/>
  <c r="X109" i="41" s="1"/>
  <c r="O71" i="75"/>
  <c r="S70" i="75"/>
  <c r="P55" i="73"/>
  <c r="U54" i="75"/>
  <c r="T96" i="41"/>
  <c r="T127" i="41" s="1"/>
  <c r="AG17" i="41"/>
  <c r="L96" i="41"/>
  <c r="P27" i="75"/>
  <c r="Q27" i="75" s="1"/>
  <c r="R27" i="75" s="1"/>
  <c r="T28" i="75"/>
  <c r="M56" i="73"/>
  <c r="T20" i="75"/>
  <c r="P19" i="75"/>
  <c r="W20" i="75"/>
  <c r="S19" i="75"/>
  <c r="K19" i="41"/>
  <c r="K14" i="41" s="1"/>
  <c r="K100" i="41" s="1"/>
  <c r="K96" i="41" s="1"/>
  <c r="J19" i="41"/>
  <c r="M55" i="73"/>
  <c r="Q124" i="41"/>
  <c r="S106" i="41"/>
  <c r="S109" i="41" s="1"/>
  <c r="W28" i="75"/>
  <c r="S27" i="75"/>
  <c r="H29" i="75"/>
  <c r="O19" i="41"/>
  <c r="O14" i="41" s="1"/>
  <c r="O100" i="41" s="1"/>
  <c r="O96" i="41" s="1"/>
  <c r="O127" i="41" s="1"/>
  <c r="S42" i="73"/>
  <c r="S55" i="73" s="1"/>
  <c r="S41" i="73"/>
  <c r="S56" i="73" s="1"/>
  <c r="V14" i="41"/>
  <c r="Q20" i="75"/>
  <c r="R20" i="75" s="1"/>
  <c r="N14" i="41"/>
  <c r="Y123" i="41"/>
  <c r="I31" i="75"/>
  <c r="I29" i="75"/>
  <c r="J29" i="75" s="1"/>
  <c r="J25" i="75"/>
  <c r="R19" i="41"/>
  <c r="I21" i="75"/>
  <c r="J21" i="75" s="1"/>
  <c r="J19" i="75"/>
  <c r="Y19" i="41"/>
  <c r="Z14" i="41"/>
  <c r="AE25" i="41"/>
  <c r="AF25" i="41"/>
  <c r="M20" i="41"/>
  <c r="P102" i="41"/>
  <c r="P96" i="41" s="1"/>
  <c r="K127" i="41" l="1"/>
  <c r="L127" i="41"/>
  <c r="Y52" i="75"/>
  <c r="Y54" i="75" s="1"/>
  <c r="AB127" i="41"/>
  <c r="M52" i="75"/>
  <c r="P127" i="41"/>
  <c r="W106" i="41"/>
  <c r="W109" i="41" s="1"/>
  <c r="W127" i="41"/>
  <c r="AH123" i="41"/>
  <c r="AB106" i="41"/>
  <c r="AB109" i="41" s="1"/>
  <c r="U19" i="41"/>
  <c r="AH19" i="41" s="1"/>
  <c r="V55" i="73"/>
  <c r="M21" i="75"/>
  <c r="N21" i="75" s="1"/>
  <c r="U124" i="41"/>
  <c r="AH124" i="41" s="1"/>
  <c r="M19" i="41"/>
  <c r="S71" i="75"/>
  <c r="W70" i="75"/>
  <c r="W71" i="75" s="1"/>
  <c r="Q19" i="75"/>
  <c r="R19" i="75" s="1"/>
  <c r="Z52" i="75"/>
  <c r="I124" i="41"/>
  <c r="K106" i="41"/>
  <c r="K109" i="41" s="1"/>
  <c r="X28" i="75"/>
  <c r="X27" i="75" s="1"/>
  <c r="T27" i="75"/>
  <c r="Q19" i="41"/>
  <c r="R14" i="41"/>
  <c r="N100" i="41"/>
  <c r="M14" i="41"/>
  <c r="N89" i="41"/>
  <c r="H30" i="75"/>
  <c r="U27" i="75"/>
  <c r="V27" i="75" s="1"/>
  <c r="S12" i="75"/>
  <c r="S14" i="75" s="1"/>
  <c r="Y28" i="75"/>
  <c r="W27" i="75"/>
  <c r="W19" i="75"/>
  <c r="X20" i="75"/>
  <c r="X19" i="75" s="1"/>
  <c r="T19" i="75"/>
  <c r="U19" i="75" s="1"/>
  <c r="I52" i="75"/>
  <c r="I54" i="75" s="1"/>
  <c r="I123" i="41"/>
  <c r="L106" i="41"/>
  <c r="L109" i="41" s="1"/>
  <c r="Q52" i="75"/>
  <c r="R52" i="75" s="1"/>
  <c r="Q123" i="41"/>
  <c r="AG123" i="41" s="1"/>
  <c r="T106" i="41"/>
  <c r="T109" i="41" s="1"/>
  <c r="AG124" i="41"/>
  <c r="Z100" i="41"/>
  <c r="Y14" i="41"/>
  <c r="Z89" i="41"/>
  <c r="V100" i="41"/>
  <c r="U14" i="41"/>
  <c r="V89" i="41"/>
  <c r="M124" i="41"/>
  <c r="O106" i="41"/>
  <c r="O109" i="41" s="1"/>
  <c r="U28" i="75"/>
  <c r="V28" i="75" s="1"/>
  <c r="I19" i="41"/>
  <c r="AE19" i="41" s="1"/>
  <c r="J14" i="41"/>
  <c r="U20" i="75"/>
  <c r="V20" i="75" s="1"/>
  <c r="V56" i="73"/>
  <c r="N52" i="75"/>
  <c r="M54" i="75"/>
  <c r="AE20" i="41"/>
  <c r="AF20" i="41"/>
  <c r="P106" i="41"/>
  <c r="P109" i="41" s="1"/>
  <c r="M123" i="41"/>
  <c r="M98" i="41"/>
  <c r="AF19" i="41" l="1"/>
  <c r="Q21" i="75"/>
  <c r="R21" i="75" s="1"/>
  <c r="Y27" i="75"/>
  <c r="Z27" i="75" s="1"/>
  <c r="AE124" i="41"/>
  <c r="Z54" i="75"/>
  <c r="W54" i="75"/>
  <c r="W52" i="75" s="1"/>
  <c r="V19" i="75"/>
  <c r="U21" i="75"/>
  <c r="V21" i="75" s="1"/>
  <c r="Q54" i="75"/>
  <c r="V54" i="75" s="1"/>
  <c r="V52" i="75"/>
  <c r="AF124" i="41"/>
  <c r="N102" i="41"/>
  <c r="N96" i="41" s="1"/>
  <c r="M89" i="41"/>
  <c r="Z102" i="41"/>
  <c r="Z96" i="41" s="1"/>
  <c r="Z127" i="41" s="1"/>
  <c r="Y89" i="41"/>
  <c r="Z28" i="75"/>
  <c r="M100" i="41"/>
  <c r="AD19" i="41"/>
  <c r="AC19" i="41"/>
  <c r="U89" i="41"/>
  <c r="V102" i="41"/>
  <c r="V96" i="41" s="1"/>
  <c r="V127" i="41" s="1"/>
  <c r="Y100" i="41"/>
  <c r="AH14" i="41"/>
  <c r="AC123" i="41"/>
  <c r="AD123" i="41"/>
  <c r="Y20" i="75"/>
  <c r="Z20" i="75" s="1"/>
  <c r="AC124" i="41"/>
  <c r="AD124" i="41"/>
  <c r="J100" i="41"/>
  <c r="I14" i="41"/>
  <c r="J89" i="41"/>
  <c r="U100" i="41"/>
  <c r="J52" i="75"/>
  <c r="W12" i="75"/>
  <c r="Y19" i="75"/>
  <c r="R100" i="41"/>
  <c r="Q14" i="41"/>
  <c r="R89" i="41"/>
  <c r="AG19" i="41"/>
  <c r="AE98" i="41"/>
  <c r="AF98" i="41"/>
  <c r="AF123" i="41"/>
  <c r="AE123" i="41"/>
  <c r="M34" i="75" l="1"/>
  <c r="N127" i="41"/>
  <c r="M36" i="75"/>
  <c r="R54" i="75"/>
  <c r="W14" i="75"/>
  <c r="U102" i="41"/>
  <c r="U96" i="41" s="1"/>
  <c r="U127" i="41" s="1"/>
  <c r="Y34" i="75"/>
  <c r="Z106" i="41"/>
  <c r="Z109" i="41" s="1"/>
  <c r="Z122" i="41"/>
  <c r="Y122" i="41" s="1"/>
  <c r="J102" i="41"/>
  <c r="J96" i="41" s="1"/>
  <c r="I89" i="41"/>
  <c r="AE89" i="41" s="1"/>
  <c r="M102" i="41"/>
  <c r="J54" i="75"/>
  <c r="H54" i="75"/>
  <c r="I100" i="41"/>
  <c r="AD14" i="41"/>
  <c r="AC14" i="41"/>
  <c r="AH100" i="41"/>
  <c r="N122" i="41"/>
  <c r="M122" i="41" s="1"/>
  <c r="N106" i="41"/>
  <c r="N109" i="41" s="1"/>
  <c r="Q89" i="41"/>
  <c r="R102" i="41"/>
  <c r="R96" i="41" s="1"/>
  <c r="N54" i="75"/>
  <c r="Q100" i="41"/>
  <c r="AG100" i="41" s="1"/>
  <c r="AF14" i="41"/>
  <c r="Z19" i="75"/>
  <c r="Y21" i="75"/>
  <c r="Z21" i="75" s="1"/>
  <c r="AG14" i="41"/>
  <c r="U34" i="75"/>
  <c r="V106" i="41"/>
  <c r="V109" i="41" s="1"/>
  <c r="V122" i="41"/>
  <c r="U122" i="41" s="1"/>
  <c r="AE14" i="41"/>
  <c r="Y102" i="41"/>
  <c r="AH89" i="41"/>
  <c r="Q34" i="75" l="1"/>
  <c r="J127" i="41"/>
  <c r="I34" i="75"/>
  <c r="I36" i="75" s="1"/>
  <c r="AH102" i="41"/>
  <c r="U106" i="41"/>
  <c r="U120" i="41"/>
  <c r="V34" i="75"/>
  <c r="R122" i="41"/>
  <c r="Q122" i="41" s="1"/>
  <c r="AG122" i="41" s="1"/>
  <c r="R106" i="41"/>
  <c r="R109" i="41" s="1"/>
  <c r="Y96" i="41"/>
  <c r="Y127" i="41" s="1"/>
  <c r="AC89" i="41"/>
  <c r="AD89" i="41"/>
  <c r="I102" i="41"/>
  <c r="I96" i="41" s="1"/>
  <c r="I128" i="41" s="1"/>
  <c r="Y36" i="75"/>
  <c r="Z34" i="75"/>
  <c r="U36" i="75"/>
  <c r="Q102" i="41"/>
  <c r="AF102" i="41" s="1"/>
  <c r="AF89" i="41"/>
  <c r="AC100" i="41"/>
  <c r="AD100" i="41"/>
  <c r="J106" i="41"/>
  <c r="J109" i="41" s="1"/>
  <c r="J122" i="41"/>
  <c r="I122" i="41" s="1"/>
  <c r="AE122" i="41" s="1"/>
  <c r="AE100" i="41"/>
  <c r="AF100" i="41"/>
  <c r="M120" i="41"/>
  <c r="H55" i="75"/>
  <c r="K54" i="75"/>
  <c r="L52" i="75" s="1"/>
  <c r="L54" i="75" s="1"/>
  <c r="Y120" i="41"/>
  <c r="Y121" i="41" s="1"/>
  <c r="AH122" i="41"/>
  <c r="AG89" i="41"/>
  <c r="M96" i="41"/>
  <c r="M127" i="41" s="1"/>
  <c r="I131" i="41" l="1"/>
  <c r="I133" i="41" s="1"/>
  <c r="I127" i="41"/>
  <c r="AE102" i="41"/>
  <c r="K12" i="75"/>
  <c r="AG102" i="41"/>
  <c r="Q96" i="41"/>
  <c r="Q127" i="41" s="1"/>
  <c r="M121" i="41"/>
  <c r="AD122" i="41"/>
  <c r="I120" i="41"/>
  <c r="AE120" i="41" s="1"/>
  <c r="AC122" i="41"/>
  <c r="AH120" i="41"/>
  <c r="U121" i="41"/>
  <c r="O54" i="75"/>
  <c r="P52" i="75" s="1"/>
  <c r="P54" i="75" s="1"/>
  <c r="L55" i="75"/>
  <c r="H34" i="75"/>
  <c r="N36" i="75"/>
  <c r="J34" i="75"/>
  <c r="Z36" i="75"/>
  <c r="Y106" i="41"/>
  <c r="AH96" i="41"/>
  <c r="AD102" i="41"/>
  <c r="AC102" i="41"/>
  <c r="Q120" i="41"/>
  <c r="AF122" i="41"/>
  <c r="AG96" i="41"/>
  <c r="M106" i="41"/>
  <c r="AE96" i="41"/>
  <c r="N34" i="75"/>
  <c r="AD96" i="41"/>
  <c r="I106" i="41"/>
  <c r="AC96" i="41"/>
  <c r="Q36" i="75"/>
  <c r="R36" i="75" s="1"/>
  <c r="R34" i="75"/>
  <c r="U109" i="41"/>
  <c r="AF96" i="41" l="1"/>
  <c r="Q106" i="41"/>
  <c r="AG106" i="41" s="1"/>
  <c r="V36" i="75"/>
  <c r="Q121" i="41"/>
  <c r="AF121" i="41" s="1"/>
  <c r="AF120" i="41"/>
  <c r="J36" i="75"/>
  <c r="H36" i="75"/>
  <c r="H7" i="75"/>
  <c r="P55" i="75"/>
  <c r="AG120" i="41"/>
  <c r="AD120" i="41"/>
  <c r="I121" i="41"/>
  <c r="AC120" i="41"/>
  <c r="I109" i="41"/>
  <c r="AD106" i="41"/>
  <c r="AC106" i="41"/>
  <c r="AE106" i="41"/>
  <c r="M109" i="41"/>
  <c r="Y109" i="41"/>
  <c r="AH109" i="41" s="1"/>
  <c r="AH106" i="41"/>
  <c r="AH121" i="41"/>
  <c r="AE109" i="41" l="1"/>
  <c r="AG121" i="41"/>
  <c r="AF106" i="41"/>
  <c r="Q109" i="41"/>
  <c r="AF109" i="41" s="1"/>
  <c r="AD121" i="41"/>
  <c r="AC121" i="41"/>
  <c r="T55" i="75"/>
  <c r="X52" i="75"/>
  <c r="X54" i="75" s="1"/>
  <c r="X55" i="75" s="1"/>
  <c r="J48" i="75"/>
  <c r="AD109" i="41"/>
  <c r="AC109" i="41"/>
  <c r="H9" i="75"/>
  <c r="H10" i="75" s="1"/>
  <c r="I7" i="75"/>
  <c r="AE121" i="41"/>
  <c r="H48" i="75"/>
  <c r="H46" i="75" s="1"/>
  <c r="H37" i="75"/>
  <c r="K48" i="75" l="1"/>
  <c r="K46" i="75" s="1"/>
  <c r="AG109" i="41"/>
  <c r="I9" i="75"/>
  <c r="J9" i="75" s="1"/>
  <c r="J7" i="75"/>
  <c r="I46" i="75"/>
  <c r="H49" i="75"/>
  <c r="K34" i="75" l="1"/>
  <c r="K36" i="75" s="1"/>
  <c r="L34" i="75"/>
  <c r="L36" i="75" s="1"/>
  <c r="J46" i="75"/>
  <c r="L46" i="75" l="1"/>
  <c r="M46" i="75" s="1"/>
  <c r="L48" i="75"/>
  <c r="L42" i="75"/>
  <c r="L43" i="75" s="1"/>
  <c r="L37" i="75"/>
  <c r="H40" i="75"/>
  <c r="I68" i="75" s="1"/>
  <c r="J40" i="75"/>
  <c r="I42" i="75"/>
  <c r="J42" i="75" s="1"/>
  <c r="I66" i="75" l="1"/>
  <c r="I71" i="75" s="1"/>
  <c r="H68" i="75"/>
  <c r="H66" i="75" s="1"/>
  <c r="H42" i="75"/>
  <c r="H43" i="75" s="1"/>
  <c r="H12" i="75"/>
  <c r="O48" i="75" l="1"/>
  <c r="O46" i="75" s="1"/>
  <c r="L49" i="75"/>
  <c r="J71" i="75"/>
  <c r="J66" i="75" s="1"/>
  <c r="H14" i="75"/>
  <c r="H15" i="75" s="1"/>
  <c r="I12" i="75"/>
  <c r="I14" i="75" l="1"/>
  <c r="J12" i="75"/>
  <c r="J14" i="75" l="1"/>
  <c r="O12" i="75" l="1"/>
  <c r="O14" i="75" s="1"/>
  <c r="O34" i="75"/>
  <c r="O36" i="75" s="1"/>
  <c r="P34" i="75" l="1"/>
  <c r="P36" i="75"/>
  <c r="P37" i="75" l="1"/>
  <c r="P46" i="75"/>
  <c r="P48" i="75" l="1"/>
  <c r="P40" i="75"/>
  <c r="P42" i="75" s="1"/>
  <c r="P49" i="75"/>
  <c r="S48" i="75"/>
  <c r="S46" i="75" s="1"/>
  <c r="S34" i="75" s="1"/>
  <c r="T34" i="75" l="1"/>
  <c r="S36" i="75"/>
  <c r="T36" i="75" l="1"/>
  <c r="T42" i="75" l="1"/>
  <c r="T43" i="75" s="1"/>
  <c r="T37" i="75"/>
  <c r="T46" i="75"/>
  <c r="T48" i="75" l="1"/>
  <c r="W48" i="75" s="1"/>
  <c r="T40" i="75"/>
  <c r="T12" i="75" l="1"/>
  <c r="U68" i="75"/>
  <c r="U40" i="75"/>
  <c r="W46" i="75"/>
  <c r="W34" i="75" s="1"/>
  <c r="T49" i="75"/>
  <c r="U42" i="75" l="1"/>
  <c r="U46" i="75"/>
  <c r="X34" i="75"/>
  <c r="W36" i="75"/>
  <c r="T68" i="75"/>
  <c r="T66" i="75" s="1"/>
  <c r="U66" i="75"/>
  <c r="U71" i="75" s="1"/>
  <c r="V71" i="75" s="1"/>
  <c r="V66" i="75" s="1"/>
  <c r="T14" i="75"/>
  <c r="T15" i="75" s="1"/>
  <c r="U12" i="75"/>
  <c r="X36" i="75" l="1"/>
  <c r="U48" i="75"/>
  <c r="U14" i="75"/>
  <c r="X42" i="75" l="1"/>
  <c r="X43" i="75" s="1"/>
  <c r="X46" i="75"/>
  <c r="X37" i="75"/>
  <c r="X48" i="75" l="1"/>
  <c r="X49" i="75" s="1"/>
  <c r="X40" i="75"/>
  <c r="Y40" i="75" l="1"/>
  <c r="X12" i="75"/>
  <c r="Y12" i="75" l="1"/>
  <c r="X14" i="75"/>
  <c r="X15" i="75" s="1"/>
  <c r="Y42" i="75"/>
  <c r="Z42" i="75" s="1"/>
  <c r="Z40" i="75"/>
  <c r="Y46" i="75"/>
  <c r="Z46" i="75" l="1"/>
  <c r="Y48" i="75"/>
  <c r="Z48" i="75" s="1"/>
  <c r="Z12" i="75"/>
  <c r="Y14" i="75"/>
  <c r="Z14" i="75" s="1"/>
  <c r="Q68" i="75"/>
  <c r="Q66" i="75" s="1"/>
  <c r="Q71" i="75" s="1"/>
  <c r="R71" i="75" s="1"/>
  <c r="R66" i="75" s="1"/>
  <c r="Q40" i="75"/>
  <c r="P12" i="75"/>
  <c r="Q12" i="75" s="1"/>
  <c r="P14" i="75" l="1"/>
  <c r="P15" i="75" s="1"/>
  <c r="Q46" i="75"/>
  <c r="V46" i="75" s="1"/>
  <c r="Q42" i="75"/>
  <c r="V42" i="75" s="1"/>
  <c r="V40" i="75"/>
  <c r="V12" i="75"/>
  <c r="Q14" i="75"/>
  <c r="P68" i="75"/>
  <c r="P66" i="75" s="1"/>
  <c r="P43" i="75"/>
  <c r="Q48" i="75"/>
  <c r="V14" i="75" l="1"/>
  <c r="V48" i="75"/>
  <c r="N46" i="75" l="1"/>
  <c r="M48" i="75"/>
  <c r="N48" i="75" s="1"/>
  <c r="R46" i="75"/>
  <c r="M40" i="75"/>
  <c r="N40" i="75" s="1"/>
  <c r="L40" i="75"/>
  <c r="M68" i="75" s="1"/>
  <c r="M42" i="75" l="1"/>
  <c r="R42" i="75" s="1"/>
  <c r="L68" i="75"/>
  <c r="L66" i="75" s="1"/>
  <c r="M66" i="75"/>
  <c r="M71" i="75" s="1"/>
  <c r="N71" i="75" s="1"/>
  <c r="N66" i="75" s="1"/>
  <c r="N42" i="75"/>
  <c r="R40" i="75"/>
  <c r="R48" i="75"/>
  <c r="L15" i="75" l="1"/>
  <c r="M12" i="75"/>
  <c r="N12" i="75" l="1"/>
  <c r="R12" i="75"/>
  <c r="N14" i="75" l="1"/>
  <c r="R14" i="75"/>
  <c r="K7" i="75" l="1"/>
  <c r="L7" i="75" l="1"/>
  <c r="L9" i="75" s="1"/>
  <c r="K9" i="75"/>
  <c r="L10" i="75" l="1"/>
  <c r="M7" i="75"/>
  <c r="N25" i="75"/>
  <c r="M31" i="75"/>
  <c r="N29" i="75"/>
  <c r="O29" i="75"/>
  <c r="O26" i="75" s="1"/>
  <c r="L30" i="75"/>
  <c r="O25" i="75" l="1"/>
  <c r="P26" i="75"/>
  <c r="P25" i="75" s="1"/>
  <c r="M9" i="75"/>
  <c r="N9" i="75" s="1"/>
  <c r="N7" i="75"/>
  <c r="P7" i="75" l="1"/>
  <c r="P9" i="75" s="1"/>
  <c r="P29" i="75"/>
  <c r="O7" i="75"/>
  <c r="Q25" i="75"/>
  <c r="Q31" i="75" l="1"/>
  <c r="Q29" i="75"/>
  <c r="R29" i="75" s="1"/>
  <c r="R25" i="75"/>
  <c r="P30" i="75"/>
  <c r="O9" i="75"/>
  <c r="P10" i="75" s="1"/>
  <c r="Q7" i="75"/>
  <c r="R7" i="75" l="1"/>
  <c r="Q9" i="75"/>
  <c r="R9" i="75" s="1"/>
  <c r="S7" i="75" l="1"/>
  <c r="T25" i="75"/>
  <c r="T7" i="75" l="1"/>
  <c r="T9" i="75" s="1"/>
  <c r="T29" i="75"/>
  <c r="S9" i="75"/>
  <c r="U25" i="75"/>
  <c r="U7" i="75" l="1"/>
  <c r="V7" i="75" s="1"/>
  <c r="W29" i="75"/>
  <c r="T30" i="75"/>
  <c r="V25" i="75"/>
  <c r="U31" i="75"/>
  <c r="V29" i="75"/>
  <c r="T10" i="75"/>
  <c r="U9" i="75" l="1"/>
  <c r="V9" i="75" s="1"/>
  <c r="W25" i="75"/>
  <c r="X26" i="75"/>
  <c r="X25" i="75" s="1"/>
  <c r="X29" i="75" l="1"/>
  <c r="X30" i="75" s="1"/>
  <c r="X7" i="75"/>
  <c r="X9" i="75" s="1"/>
  <c r="Y25" i="75"/>
  <c r="W7" i="75"/>
  <c r="W9" i="75" l="1"/>
  <c r="X10" i="75" s="1"/>
  <c r="Y7" i="75"/>
  <c r="Y31" i="75"/>
  <c r="Z25" i="75"/>
  <c r="Y29" i="75"/>
  <c r="Z29" i="75" s="1"/>
  <c r="Y9" i="75" l="1"/>
  <c r="Z9" i="75" s="1"/>
  <c r="Z7" i="75"/>
</calcChain>
</file>

<file path=xl/comments1.xml><?xml version="1.0" encoding="utf-8"?>
<comments xmlns="http://schemas.openxmlformats.org/spreadsheetml/2006/main">
  <authors>
    <author>Ivanovskaya</author>
  </authors>
  <commentList>
    <comment ref="E49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379-р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363-р</t>
        </r>
      </text>
    </comment>
    <comment ref="F60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364-р</t>
        </r>
      </text>
    </comment>
    <comment ref="G60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371-р</t>
        </r>
      </text>
    </comment>
    <comment ref="G68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тыс. руб./Гкал/ч в мес.
</t>
        </r>
      </text>
    </comment>
  </commentList>
</comments>
</file>

<file path=xl/comments2.xml><?xml version="1.0" encoding="utf-8"?>
<comments xmlns="http://schemas.openxmlformats.org/spreadsheetml/2006/main">
  <authors>
    <author>Носова Ангелина Павловна</author>
  </authors>
  <commentList>
    <comment ref="F14" authorId="0">
      <text>
        <r>
          <rPr>
            <b/>
            <sz val="9"/>
            <color indexed="81"/>
            <rFont val="Tahoma"/>
            <family val="2"/>
            <charset val="204"/>
          </rPr>
          <t>нет данных</t>
        </r>
      </text>
    </comment>
  </commentList>
</comments>
</file>

<file path=xl/sharedStrings.xml><?xml version="1.0" encoding="utf-8"?>
<sst xmlns="http://schemas.openxmlformats.org/spreadsheetml/2006/main" count="2500" uniqueCount="669">
  <si>
    <t>тыс. руб.</t>
  </si>
  <si>
    <t>%</t>
  </si>
  <si>
    <t xml:space="preserve"> руб./Гкал</t>
  </si>
  <si>
    <t>Численность ППП</t>
  </si>
  <si>
    <t>Общая численность</t>
  </si>
  <si>
    <t>Средняя заработная плата</t>
  </si>
  <si>
    <t>руб./чел. в мес.</t>
  </si>
  <si>
    <t>Показатель</t>
  </si>
  <si>
    <t>Ед.изм.</t>
  </si>
  <si>
    <t>руб./Гкал</t>
  </si>
  <si>
    <t>Гкал</t>
  </si>
  <si>
    <t>Индексы</t>
  </si>
  <si>
    <t>Индекс потребительских цен</t>
  </si>
  <si>
    <t>Газ</t>
  </si>
  <si>
    <t>Электрическая энергия</t>
  </si>
  <si>
    <t>Тепловая энергия</t>
  </si>
  <si>
    <t>руб./куб.м</t>
  </si>
  <si>
    <t>руб./кВтч</t>
  </si>
  <si>
    <t>куб.м</t>
  </si>
  <si>
    <t>Справочно:</t>
  </si>
  <si>
    <t>Полезный отпуск</t>
  </si>
  <si>
    <t>Структура полезного отпуска</t>
  </si>
  <si>
    <t xml:space="preserve">Всего </t>
  </si>
  <si>
    <t>7</t>
  </si>
  <si>
    <t>Мазут</t>
  </si>
  <si>
    <t>6</t>
  </si>
  <si>
    <t>Численность цехового персонала</t>
  </si>
  <si>
    <t>Передача</t>
  </si>
  <si>
    <t>1</t>
  </si>
  <si>
    <t>1.1</t>
  </si>
  <si>
    <t>1.2</t>
  </si>
  <si>
    <t>2</t>
  </si>
  <si>
    <t>3</t>
  </si>
  <si>
    <t>5</t>
  </si>
  <si>
    <t>4</t>
  </si>
  <si>
    <t>Расходы на топливо</t>
  </si>
  <si>
    <t>Расходы на холодную воду</t>
  </si>
  <si>
    <t>Расходы на теплоноситель</t>
  </si>
  <si>
    <t>Уголь</t>
  </si>
  <si>
    <t>руб./куб.м.</t>
  </si>
  <si>
    <t>Оптовая цена</t>
  </si>
  <si>
    <t>Снабженческо-сбытовые услуги</t>
  </si>
  <si>
    <t>Спец.надбавка</t>
  </si>
  <si>
    <t>тыс.куб.м</t>
  </si>
  <si>
    <t>Численность АУП</t>
  </si>
  <si>
    <t>8</t>
  </si>
  <si>
    <t>Рост к предложению Организации</t>
  </si>
  <si>
    <t>Передача тепловой энергии</t>
  </si>
  <si>
    <t>административно-управленческий персонал</t>
  </si>
  <si>
    <t xml:space="preserve">расходы на реализацию мероприятий по энергосбережению и повышению энергетической эффективности </t>
  </si>
  <si>
    <t>расходы на подписку на официальные издания (источники официального опубликования правовых актов органов государственной власти Санкт-Петербурга)</t>
  </si>
  <si>
    <t>расходы на публикацию материалов в официальных изданиях (источниках официального опубликования правовых актов органов государственной власти Санкт-Петербурга)</t>
  </si>
  <si>
    <t>9</t>
  </si>
  <si>
    <t>10</t>
  </si>
  <si>
    <t>Объем теплоносителя</t>
  </si>
  <si>
    <t>куб.м.</t>
  </si>
  <si>
    <t>Амортизация основных средств и нематериальных активов</t>
  </si>
  <si>
    <t>Расходы на служебные командировки</t>
  </si>
  <si>
    <t>Расходы на обучение персонала</t>
  </si>
  <si>
    <t>Расходы на капитальные вложения (инвестиции)</t>
  </si>
  <si>
    <t>расходы на услуги банков (подконтрольные расходы)</t>
  </si>
  <si>
    <t>Наименование</t>
  </si>
  <si>
    <t>№ п/п</t>
  </si>
  <si>
    <t>Теплоноситель</t>
  </si>
  <si>
    <t>охрана труда и проф.безопасность</t>
  </si>
  <si>
    <t>расходы на приобретение прав</t>
  </si>
  <si>
    <t>расходы на обеспечение связи</t>
  </si>
  <si>
    <t>консультационные и информационные услуги</t>
  </si>
  <si>
    <t>прочие расходы</t>
  </si>
  <si>
    <t>Производство</t>
  </si>
  <si>
    <t>1.</t>
  </si>
  <si>
    <t>2.</t>
  </si>
  <si>
    <t>3.</t>
  </si>
  <si>
    <t>4.</t>
  </si>
  <si>
    <t>чел.</t>
  </si>
  <si>
    <t>Гкал/ч</t>
  </si>
  <si>
    <t>№ п.п.</t>
  </si>
  <si>
    <t>Наименование статьи</t>
  </si>
  <si>
    <t>Ед. измерения</t>
  </si>
  <si>
    <t>Всего</t>
  </si>
  <si>
    <t>Коэффициент индексации
К инд = (1-ИР)*(1+ИПЦ)*(1+ИКА*Кэл)</t>
  </si>
  <si>
    <t>Индекс потребительских цен на расчетный период регулирования (ИПЦ)</t>
  </si>
  <si>
    <t>Индекс эффективности операционных расходов (ИР)</t>
  </si>
  <si>
    <t>Индекс изменения количества активов (ИКА)</t>
  </si>
  <si>
    <t>установленная тепловая мощность источника тепловой энергии</t>
  </si>
  <si>
    <t>количество условных единиц, относящихся к активам, необходимым для осуществления регулируемой деятельности (передача т/э)</t>
  </si>
  <si>
    <t>у.е.</t>
  </si>
  <si>
    <r>
      <t>Коэффициент эластичности затрат по росту активов (К</t>
    </r>
    <r>
      <rPr>
        <vertAlign val="subscript"/>
        <sz val="12"/>
        <rFont val="Times New Roman"/>
        <family val="1"/>
        <charset val="204"/>
      </rPr>
      <t>эл</t>
    </r>
    <r>
      <rPr>
        <sz val="12"/>
        <rFont val="Times New Roman"/>
        <family val="1"/>
        <charset val="204"/>
      </rPr>
      <t>)</t>
    </r>
  </si>
  <si>
    <t>1.  Расходы на приобретение энергетических ресурсов, холодной воды и теплоносителя</t>
  </si>
  <si>
    <t>Расходы на электрическую энергию</t>
  </si>
  <si>
    <t>Расходы на тепловую энергию</t>
  </si>
  <si>
    <t>Сырье и материалы</t>
  </si>
  <si>
    <t>Ремонт основных средств</t>
  </si>
  <si>
    <t>Оплата труда</t>
  </si>
  <si>
    <t>в т.ч. основной производственный персонал</t>
  </si>
  <si>
    <t>в т.ч.  цеховой персонал</t>
  </si>
  <si>
    <t>ВСЕГО численность</t>
  </si>
  <si>
    <t>численность основного производственного персонала</t>
  </si>
  <si>
    <t>численность цехового персонала</t>
  </si>
  <si>
    <t>численность административно-управленческого персонала</t>
  </si>
  <si>
    <t>Работы и услуги производственного характера, выполняемые по договорам со сторонними организациями</t>
  </si>
  <si>
    <t>проверка</t>
  </si>
  <si>
    <t>Служебные командировки</t>
  </si>
  <si>
    <t>Обучение персонала</t>
  </si>
  <si>
    <t>Лизинговые платежи</t>
  </si>
  <si>
    <t>Арендная плата</t>
  </si>
  <si>
    <t>3.  Расчет неподконтрольных расходов</t>
  </si>
  <si>
    <t>Расходы на оплату услуг, оказываемых организациями, осуществляющими регулируемые виды деятельности, в том числе:</t>
  </si>
  <si>
    <t>Услуги по водоотведению</t>
  </si>
  <si>
    <t>Расходы на уплату налогов, сборов и других обязательных платежей, в том числе:</t>
  </si>
  <si>
    <t>расходы на обязательное страхование</t>
  </si>
  <si>
    <t>налог на имущество</t>
  </si>
  <si>
    <t>транспортный налог</t>
  </si>
  <si>
    <t>налог на прибыль</t>
  </si>
  <si>
    <t>водный налог</t>
  </si>
  <si>
    <t>земельный налог</t>
  </si>
  <si>
    <t>иные расходы</t>
  </si>
  <si>
    <t>Концессионная плата</t>
  </si>
  <si>
    <t>Расходы по сомнительным долгам</t>
  </si>
  <si>
    <t>Отчисления на социальные нужды, в том числе:</t>
  </si>
  <si>
    <t>основной производственный персонал</t>
  </si>
  <si>
    <t>цеховой персонал</t>
  </si>
  <si>
    <t>Выплаты по договорам займа и кредитным договорам, включая проценты по ним</t>
  </si>
  <si>
    <t>Операционные расходы</t>
  </si>
  <si>
    <t>Неподконтрольные расходы</t>
  </si>
  <si>
    <t>Расходы на покупку энергетических ресурсов</t>
  </si>
  <si>
    <t>Прибыль</t>
  </si>
  <si>
    <t>Величина, учитывающая результаты деятельности</t>
  </si>
  <si>
    <t>Корректировка НВВ</t>
  </si>
  <si>
    <t>Итого НВВ (сумма 1 + 2 + 3)</t>
  </si>
  <si>
    <t xml:space="preserve"> - с коллекторов</t>
  </si>
  <si>
    <t>Стоимость потерь (по тарифу производства без теплоносителя)</t>
  </si>
  <si>
    <t>НВВ передачи (со стоимостью потерь)</t>
  </si>
  <si>
    <t>Ед. изм.</t>
  </si>
  <si>
    <t>рост 2 полугодие / 1 полугодию</t>
  </si>
  <si>
    <t>Необходимая валовая выручка</t>
  </si>
  <si>
    <t>Петростат</t>
  </si>
  <si>
    <t>Расчет уровня операционных расходов (ОР)
(2014 год - базовый)</t>
  </si>
  <si>
    <t>Иные работы и услуги, выполняемые по договорам с организациями</t>
  </si>
  <si>
    <t>Другие расходы, не относящиеся к неподконтрольным расходам, в том числе:</t>
  </si>
  <si>
    <t>Коэффициент изменения объема полезного отпуска</t>
  </si>
  <si>
    <t>Индекс роста потребительских цен</t>
  </si>
  <si>
    <t>Коэффициент снижения расходов</t>
  </si>
  <si>
    <t>Установлено на 2015 год - всего</t>
  </si>
  <si>
    <t>Предложение ТСО на 2016 год</t>
  </si>
  <si>
    <t>Экономически обоснованные расходы по расчетам специалистов на 2016 год</t>
  </si>
  <si>
    <t>Расчет специалистов на 2016 год (с учетом предельного роста подконтрольных расходов)</t>
  </si>
  <si>
    <t>Расчет предельного уровня подконтрольных расходов на 2015 год</t>
  </si>
  <si>
    <t>Предложение специалистов на 2019 год</t>
  </si>
  <si>
    <t>Предложение специалистов на 2020 год</t>
  </si>
  <si>
    <t>Предложение специалистов на 2021 год</t>
  </si>
  <si>
    <t>Рост 2019/2018</t>
  </si>
  <si>
    <t>Рост 2020/2019</t>
  </si>
  <si>
    <t>Рост 2021/2020</t>
  </si>
  <si>
    <t>01.01.2018-30.06.2018</t>
  </si>
  <si>
    <t>01.07.2018-31.12.2018</t>
  </si>
  <si>
    <t>Всего 2018</t>
  </si>
  <si>
    <t>01.01.2019-30.06.2019</t>
  </si>
  <si>
    <t>01.07.2019-31.12.2019</t>
  </si>
  <si>
    <t>Всего 2019</t>
  </si>
  <si>
    <t>01.01.2020-30.06.2020</t>
  </si>
  <si>
    <t>01.07.2020-31.12.2020</t>
  </si>
  <si>
    <t>Всего 2020</t>
  </si>
  <si>
    <t>01.01.2021-30.06.2021</t>
  </si>
  <si>
    <t>01.07.2021-31.12.2021</t>
  </si>
  <si>
    <t>Всего 2021</t>
  </si>
  <si>
    <t>На 2019 год</t>
  </si>
  <si>
    <t>с 01.01.2019 по 30.06.2019</t>
  </si>
  <si>
    <t>с 01.07.2019 по 31.12.2019</t>
  </si>
  <si>
    <t>На 2020 год</t>
  </si>
  <si>
    <t>с 01.01.2020 по 30.06.2020</t>
  </si>
  <si>
    <t>с 01.07.2020 по 31.12.2020</t>
  </si>
  <si>
    <t>На 2021 год</t>
  </si>
  <si>
    <t>с 01.01.2021 по 30.06.2021</t>
  </si>
  <si>
    <t>с 01.07.2021 по 31.12.2021</t>
  </si>
  <si>
    <t>работы и услуги производственного характера</t>
  </si>
  <si>
    <t>Расчетная предпринимательская прибыль</t>
  </si>
  <si>
    <t>текущий ремонт</t>
  </si>
  <si>
    <t>Тариф на питьевую воду</t>
  </si>
  <si>
    <t>Тариф на водоотведение</t>
  </si>
  <si>
    <t>Плановая объемная теплота сгорания, ккал/куб. м.</t>
  </si>
  <si>
    <t>5. Расчетная предпринимательская прибыль</t>
  </si>
  <si>
    <t>6.  Величина, учитывающая результаты деятельности до перехода к регулированию на основе долгосрочных параметров регулирования</t>
  </si>
  <si>
    <t>7.   Корректировка НВВ</t>
  </si>
  <si>
    <t>8.  Расчет НВВ</t>
  </si>
  <si>
    <t>Процент расчетной предпринимательской прибыли от текущих расходов (за исключением расходов на топливо, расходов на приобретение тепловой энергии (теплоносителя) и услуг по передаче тепловой энергии (теплоносителя), расходов на выплаты по договорам займа и кредитным договорам, включая возврат сумм основного долга и процентов по ним) и расходов на амортизацию основных средств и нематериальных активов</t>
  </si>
  <si>
    <t>Средний тариф на тепловую энергию</t>
  </si>
  <si>
    <t>НВВ без нормативной прибыли и налога на прибыль с нормативной прибыли</t>
  </si>
  <si>
    <t>Налог на прибыль с нормативной прибыли</t>
  </si>
  <si>
    <t>Нормативная прибыль = нормативный уровень прибыли * НВВ без прибыли и налога на прибыль/(100%-нормативный уровень прибыли/(1-20%))</t>
  </si>
  <si>
    <t>уровень нормативной прибыли =
Норматиная прибыль/НВВ</t>
  </si>
  <si>
    <t>ЭОР НВВ</t>
  </si>
  <si>
    <t>Тарифная выручка</t>
  </si>
  <si>
    <t>Учет итогов</t>
  </si>
  <si>
    <t>Расходы концессионера на осуществление государственного кадастрового учета, государственной регистрации права собственности концедента</t>
  </si>
  <si>
    <t>Предложение специалистов на 2022 год</t>
  </si>
  <si>
    <t>Рост 2022/2021</t>
  </si>
  <si>
    <t>01.01.2022-30.06.2022</t>
  </si>
  <si>
    <t>01.07.2022-31.12.2022</t>
  </si>
  <si>
    <t>Всего 2022</t>
  </si>
  <si>
    <t>На 2022 год</t>
  </si>
  <si>
    <t>с 01.01.2022 по 30.06.2022</t>
  </si>
  <si>
    <t>с 01.07.2022 по 31.12.2022</t>
  </si>
  <si>
    <t>4. Нормативная прибыль</t>
  </si>
  <si>
    <t>Корректировка с целью учета отклонения фактических значений параметров расчета тарифов от значений, учтенных при установлении тарифов</t>
  </si>
  <si>
    <t>Корректировка необходимой валовой выручки с учетом степени исполнения регулируемой организацией обязательств по созданию и (или)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</t>
  </si>
  <si>
    <t>Корректировка НВВ в связи с изменением (неисполнением) инвестиционной программы</t>
  </si>
  <si>
    <t>Корректировка,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(расчетных)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</t>
  </si>
  <si>
    <t>Расходы на погашение и обслуживание заемных средств, привлекаемых на реализацию мероприятий инвестиционной программы</t>
  </si>
  <si>
    <t>Выплаты, предусмотренные коллективными договорами</t>
  </si>
  <si>
    <t>4.1</t>
  </si>
  <si>
    <t>Установлено Комитетом по тарифам Санкт-Петербурга на 2018 год</t>
  </si>
  <si>
    <t>Предложение специалистов на 2023 год</t>
  </si>
  <si>
    <t>Рост 2023/2022</t>
  </si>
  <si>
    <t>01.01.2023-30.06.2023</t>
  </si>
  <si>
    <t>01.07.2023-31.12.2023</t>
  </si>
  <si>
    <t>Всего 2023</t>
  </si>
  <si>
    <t>Итого средний одноставочный тариф на теплоноситель</t>
  </si>
  <si>
    <t>Тариф на теплоноситель</t>
  </si>
  <si>
    <t>На 2023 год</t>
  </si>
  <si>
    <t>с 01.01.2023 по 30.06.2023</t>
  </si>
  <si>
    <t>с 01.07.2023 по 31.12.2023</t>
  </si>
  <si>
    <t>Итоги 2015 года</t>
  </si>
  <si>
    <t>ГВС в закрытой системе</t>
  </si>
  <si>
    <t>пар</t>
  </si>
  <si>
    <t>капитальный ремонт</t>
  </si>
  <si>
    <t>химреагенты</t>
  </si>
  <si>
    <t>материалы на ремонт</t>
  </si>
  <si>
    <t>прочие материалы</t>
  </si>
  <si>
    <t>расходы на оплату услуг связи</t>
  </si>
  <si>
    <t>расходы на оплату вневедомственной охраны</t>
  </si>
  <si>
    <t>расходы на оплату коммунальных услуг</t>
  </si>
  <si>
    <t>расходы на оплату юридических, информационных, аудиторских и консультационных услуг</t>
  </si>
  <si>
    <t>расходы на оплату других работ и услуг</t>
  </si>
  <si>
    <t>расходы на оформление и сопровождение ЭЦП</t>
  </si>
  <si>
    <t>расходы по охране труда и технике безопасности</t>
  </si>
  <si>
    <t>расходы на канцелярские товары</t>
  </si>
  <si>
    <t>Расходы на приобретение сырья и материалов</t>
  </si>
  <si>
    <t>Расходы на ремонт основных средств</t>
  </si>
  <si>
    <t>Расходы на оплату труда</t>
  </si>
  <si>
    <t>Расходы на оплату работ и услуг производственного характера, выполняемых по договорам со сторонними организациями</t>
  </si>
  <si>
    <t>Расходы на оплату иных работ и услуг, выполняемых по договорам с организациями, включая:</t>
  </si>
  <si>
    <t>Лизинговый платеж</t>
  </si>
  <si>
    <t>Нормативная прибыль в отношении объектов, находящихся в государственной или муниципальной собственности и эксплуатируемых регулируемой организацией на основании концессионного соглашения или договора аренды, заключенных в соответствии с законодательством Российской Федерации не ранее 1 января 2014 г.</t>
  </si>
  <si>
    <t>4.2</t>
  </si>
  <si>
    <t>Прочая нормативная прибыль</t>
  </si>
  <si>
    <t>2.  Расчет уровня операционных расходов (ОР)
(2019 год - базовый)</t>
  </si>
  <si>
    <t>в т.ч. административно-управленческий персонал</t>
  </si>
  <si>
    <t>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</si>
  <si>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Арендная плата в части имущества, используемого для осуществления регулируемой деятельности</t>
  </si>
  <si>
    <t>услуги банка</t>
  </si>
  <si>
    <t>Суммарная экономия от снижения ОР и от снижения потребления энергоресурсов, холодной воды и теплоносителя, достигнутая регулируемой организацией в предыдущих долгосрочных периодах регулирования</t>
  </si>
  <si>
    <t>свыше 500</t>
  </si>
  <si>
    <t>от 100 до 500 включительно</t>
  </si>
  <si>
    <t>от 10 до 100 включительно</t>
  </si>
  <si>
    <t>от 1 до 10 включительно</t>
  </si>
  <si>
    <t>от 0,1 до 1 включительно</t>
  </si>
  <si>
    <t>от 0,01 до 0,1 включительно</t>
  </si>
  <si>
    <t>до 0,01 включительно</t>
  </si>
  <si>
    <t>Приказ ФАС России от 15.03.2016 N 246/16</t>
  </si>
  <si>
    <t>Приказ ФСТ России от 28.04.2015 N 108-э/1</t>
  </si>
  <si>
    <t>Распоряжение Комитета по тарифам Санкт-Петербурга от 27.12.2017 N 267-р</t>
  </si>
  <si>
    <t>ВН</t>
  </si>
  <si>
    <t>СН1</t>
  </si>
  <si>
    <t>СН2</t>
  </si>
  <si>
    <t>НН</t>
  </si>
  <si>
    <t>Водоснабжение/водоотведение</t>
  </si>
  <si>
    <t>население</t>
  </si>
  <si>
    <t>прочие</t>
  </si>
  <si>
    <t>ГУП "Водоканал СПб"</t>
  </si>
  <si>
    <t>Иные</t>
  </si>
  <si>
    <t>Тариф на покупку тепловой энергии</t>
  </si>
  <si>
    <t>ГУП "ТЭК СПб"</t>
  </si>
  <si>
    <t>ПАО "ТГК-1"</t>
  </si>
  <si>
    <t>ООО "Петербургтеплоэнерго"</t>
  </si>
  <si>
    <t>с коллекторов</t>
  </si>
  <si>
    <t xml:space="preserve">вода </t>
  </si>
  <si>
    <t>по сетям</t>
  </si>
  <si>
    <t>Тариф на услуги по передаче тепловой энергии</t>
  </si>
  <si>
    <t>АО «ЭКОПРОМ»</t>
  </si>
  <si>
    <t>АО "АТЭК"</t>
  </si>
  <si>
    <t>ООО "Эксплуатационная компания "Арго-Сервис"</t>
  </si>
  <si>
    <t>ООО "ДОЗ № 1"</t>
  </si>
  <si>
    <t>НАО "Энергетический Альянс" (в)</t>
  </si>
  <si>
    <t>ООО "ЭКОЛ"</t>
  </si>
  <si>
    <t>Филиал "Невский водопровод" АО "ЛОКС"</t>
  </si>
  <si>
    <t>ООО "Коммунальное хозяйство"</t>
  </si>
  <si>
    <t>ООО "СК-СИГМА"</t>
  </si>
  <si>
    <t>ООО "Энергоснаб-Красные Зори"</t>
  </si>
  <si>
    <t>ООО "Софийский бульвар" (в)</t>
  </si>
  <si>
    <t>АО "Особые экономические зоны" (АО "ОЭЗ") (в)</t>
  </si>
  <si>
    <t>ООО "Воздушные ворота северной столицы» (ООО "ВВСС") (в)</t>
  </si>
  <si>
    <t>АО "Морской порт Санкт-Петербург" (в)</t>
  </si>
  <si>
    <t>ЗАО "Агентство по реконструкции и застройке нежилой зоны "Шушары"</t>
  </si>
  <si>
    <t>АО "Пролетарский завод"</t>
  </si>
  <si>
    <t>АО «Аэропорт «Пулково» (в)</t>
  </si>
  <si>
    <t>ПАО СЗ "Северная верфь"</t>
  </si>
  <si>
    <t>Октябрьская Дирекция по тепловодоснабжению – структурное подразделение Центральной Дирекции по тепловодоснабжению - филиала  ОАО «РЖД»</t>
  </si>
  <si>
    <t>АО "Водтрансприбор" (в)</t>
  </si>
  <si>
    <t>АО "КировТЭК"</t>
  </si>
  <si>
    <t>АО "ЛОМО"</t>
  </si>
  <si>
    <t>СПб ГБСУ СО "Психоневрологический интернат №6" (СПб ГБСУ СО ПНИ-6)</t>
  </si>
  <si>
    <t>СПб ГУП "Петербургский метрополитен"</t>
  </si>
  <si>
    <t>АО "ГСР Водоканал"</t>
  </si>
  <si>
    <t>ФГБУ "ЦЖКУ" Минобороны России</t>
  </si>
  <si>
    <t>ООО "ГАЗКОМПЛЕКТ"</t>
  </si>
  <si>
    <t>ООО "Адамант"</t>
  </si>
  <si>
    <t>ООО "Северо-Западная управляющая компания" (вместо ООО"Цветочная 6")</t>
  </si>
  <si>
    <t>АО "Компрессор"</t>
  </si>
  <si>
    <t>ОАО "Аккумуляторная компания "Ригель"</t>
  </si>
  <si>
    <t>ООО "Теплоснабжающая сетевая компания" (ООО "ТСК")</t>
  </si>
  <si>
    <t>С/х производственный кооператив "Племзавод "Детскосельский"</t>
  </si>
  <si>
    <t>АО "Особые экономические зоны" (АО "ОЭЗ") (т)</t>
  </si>
  <si>
    <t>ООО "Газпром трансгаз Санкт-Петербург"</t>
  </si>
  <si>
    <t>Федеральное государственное бюджетное образовательное учреждение высшего образования «Петербургский государственный университет путей сообщения Императора Александра I» 
(ФГБОУ ВО ПГУПС)</t>
  </si>
  <si>
    <t>АО "Морской порт С-Петербург" (т)</t>
  </si>
  <si>
    <t>АО "КИНОСТУДИЯ "ЛЕНФИЛЬМ"</t>
  </si>
  <si>
    <t xml:space="preserve">ООО «Энергосервис» </t>
  </si>
  <si>
    <t>АО "Редэс Лтд"</t>
  </si>
  <si>
    <t>ОАО "НПО ЦКТИ" им. И. И. Ползунова</t>
  </si>
  <si>
    <t>ООО "ЭнергоИнвест"</t>
  </si>
  <si>
    <t>ООО " Энергогазмонтаж" (ЭГМ)</t>
  </si>
  <si>
    <t>ООО "Теплоэнерго"(т)</t>
  </si>
  <si>
    <t>НАО "СВЕЗА Усть-Ижора"</t>
  </si>
  <si>
    <t>ООО "Пром Импульс"</t>
  </si>
  <si>
    <t>ООО "Энергопромсервис"</t>
  </si>
  <si>
    <t>АО "Водтрансприбор" (т)</t>
  </si>
  <si>
    <t>ООО «ЭНЕРГИЯ»</t>
  </si>
  <si>
    <t>ФГБОУ ВО "ГУМРФ имени адмирала С.О.Макарова"</t>
  </si>
  <si>
    <t>ЗАО "Пансионат "Буревестник"</t>
  </si>
  <si>
    <t>ЗАО "ЭЭУК "Авангард-Энерго"</t>
  </si>
  <si>
    <t>АО «ЛОМО» (т)</t>
  </si>
  <si>
    <t>ООО "Фирма "РОСС"</t>
  </si>
  <si>
    <t>ООО "Квартальная котельная"</t>
  </si>
  <si>
    <t>ЗАО "ГСР ТЭЦ"</t>
  </si>
  <si>
    <t>ООО "ЭнергоРесурс 2005"</t>
  </si>
  <si>
    <t>ФГБУ науки Ордена Трудового Красного Знамени Иститут химии силикатов им. И.В.Гребенщикова РАН (ИХС РАН)</t>
  </si>
  <si>
    <t>АО " Компонент"</t>
  </si>
  <si>
    <t>ФБОУ ВПО "СПбГПУ"</t>
  </si>
  <si>
    <t>ООО "Генерирующая компания "Обуховоэнерго"</t>
  </si>
  <si>
    <t>АО "Интер РАО - Электрогенерация" (филиал "Северо-Западная ТЭЦ")</t>
  </si>
  <si>
    <t>АО "Юго-Западная ТЭЦ"</t>
  </si>
  <si>
    <t>АО "Теплосеть Санкт-Петербурга"</t>
  </si>
  <si>
    <t>ЗАО "Тепломагистраль"</t>
  </si>
  <si>
    <t>Отпуск с коллекторов</t>
  </si>
  <si>
    <t>Приказ ФАС России от 03.08.2018 N 1088/18</t>
  </si>
  <si>
    <t>Тариф на транспортировку (услуги ГРО) (ООО "ПетербургГаз")</t>
  </si>
  <si>
    <t>Тариф на транспортировку (услуги ГРО) (ОАО "Газпром газораспределение Ленинградская область")</t>
  </si>
  <si>
    <r>
      <t>Q</t>
    </r>
    <r>
      <rPr>
        <i/>
        <sz val="7"/>
        <color theme="1"/>
        <rFont val="Times New Roman"/>
        <family val="1"/>
        <charset val="204"/>
      </rPr>
      <t>план.</t>
    </r>
    <r>
      <rPr>
        <i/>
        <sz val="10"/>
        <color theme="1"/>
        <rFont val="Times New Roman"/>
        <family val="1"/>
        <charset val="204"/>
      </rPr>
      <t>/Q</t>
    </r>
    <r>
      <rPr>
        <i/>
        <sz val="7"/>
        <color theme="1"/>
        <rFont val="Times New Roman"/>
        <family val="1"/>
        <charset val="204"/>
      </rPr>
      <t>расчет</t>
    </r>
  </si>
  <si>
    <t>ккал/куб. м.</t>
  </si>
  <si>
    <t>Пересчет оптовой цены с учетом плановой объемной теплоты сгорания</t>
  </si>
  <si>
    <t>тариф 1 полугодие 2019</t>
  </si>
  <si>
    <t>тариф 2 полугодие 2019</t>
  </si>
  <si>
    <t>руб./т</t>
  </si>
  <si>
    <t>Диз.топливо</t>
  </si>
  <si>
    <t>Древесно-топливная смесь</t>
  </si>
  <si>
    <t>руб./1000 куб.м</t>
  </si>
  <si>
    <t>БАЛАНСОВЫЕ ПОКАЗАТЕЛИ ПО ПОЛУГОДИЯМ</t>
  </si>
  <si>
    <t>Производственные и хозяйственные нужды, прочие</t>
  </si>
  <si>
    <t>ИКУ</t>
  </si>
  <si>
    <t xml:space="preserve">Отопление </t>
  </si>
  <si>
    <t>Расход условного топлива всего, в том числе:</t>
  </si>
  <si>
    <t>тут</t>
  </si>
  <si>
    <t>газ</t>
  </si>
  <si>
    <t>уголь</t>
  </si>
  <si>
    <t>Доля</t>
  </si>
  <si>
    <t>Переводной коэффициент</t>
  </si>
  <si>
    <t>Расход натурального топлива всего, 
в том числе:</t>
  </si>
  <si>
    <t>тонн</t>
  </si>
  <si>
    <t>Удельный расход условного топлива на отпуск тэ с коллекторов</t>
  </si>
  <si>
    <t>кг ут/Гкал</t>
  </si>
  <si>
    <t>Расход электрической энергии</t>
  </si>
  <si>
    <t>тыс.кВт*ч</t>
  </si>
  <si>
    <t>Удельный расход электрической энергии на отпуск тепловой энергии с коллекторов</t>
  </si>
  <si>
    <t>кВт*ч/Гкал</t>
  </si>
  <si>
    <t xml:space="preserve">Покупка холодной питьевой воды на закрытый ГВС
 у ГУП "Водоканал СПб" </t>
  </si>
  <si>
    <t>Удельный расход воды</t>
  </si>
  <si>
    <t>куб.м/Гкал</t>
  </si>
  <si>
    <t>Удельный расход воды на закрытый ГВС</t>
  </si>
  <si>
    <t xml:space="preserve">Водоотведение 
ГУП "Водоканал СПб" </t>
  </si>
  <si>
    <t>мазут</t>
  </si>
  <si>
    <t>диз.топливо</t>
  </si>
  <si>
    <t>древесно-топливная смесь</t>
  </si>
  <si>
    <t xml:space="preserve">Покупка холодной питьевой воды на открытый ГВС
 у ГУП "Водоканал СПб" </t>
  </si>
  <si>
    <t>Удельный расход воды на открытый ГВС</t>
  </si>
  <si>
    <t>ГВС в открытой системе</t>
  </si>
  <si>
    <t>куб. м</t>
  </si>
  <si>
    <t>Покупка тепловой энергии (вода)</t>
  </si>
  <si>
    <t>Покупка тепловой энергии (пар)</t>
  </si>
  <si>
    <t xml:space="preserve">Покупка тепловой энергии </t>
  </si>
  <si>
    <t xml:space="preserve">Покупка теплоносителя </t>
  </si>
  <si>
    <r>
      <t xml:space="preserve">Полезный отпуск тепловой энергии, передаваемой по сетям ТСО и </t>
    </r>
    <r>
      <rPr>
        <b/>
        <sz val="12"/>
        <color rgb="FFFF0000"/>
        <rFont val="Times New Roman"/>
        <family val="1"/>
        <charset val="204"/>
      </rPr>
      <t>ГУП "ТЭК СПб"</t>
    </r>
    <r>
      <rPr>
        <b/>
        <sz val="12"/>
        <rFont val="Times New Roman"/>
        <family val="1"/>
        <charset val="204"/>
      </rPr>
      <t xml:space="preserve"> (с учетом компенсации потерь)</t>
    </r>
  </si>
  <si>
    <t>Полезный отпуск на открытый ГВС</t>
  </si>
  <si>
    <t>Полезный отпуск на закрытый ГВС</t>
  </si>
  <si>
    <t xml:space="preserve">Электрическая энергия </t>
  </si>
  <si>
    <r>
      <t xml:space="preserve">Водоснабжение, водоотведение  
(ГУП "Водоканал СПб"(прочие)) </t>
    </r>
    <r>
      <rPr>
        <i/>
        <sz val="10"/>
        <color theme="1"/>
        <rFont val="Times New Roman"/>
        <family val="1"/>
        <charset val="204"/>
      </rPr>
      <t>(с июля)</t>
    </r>
  </si>
  <si>
    <r>
      <t xml:space="preserve">Водоснабжение, водоотведение  
(ГУП "Водоканал СПб"(население)) </t>
    </r>
    <r>
      <rPr>
        <i/>
        <sz val="10"/>
        <color theme="1"/>
        <rFont val="Times New Roman"/>
        <family val="1"/>
        <charset val="204"/>
      </rPr>
      <t>(с июля)</t>
    </r>
  </si>
  <si>
    <r>
      <t xml:space="preserve">оптовая цена </t>
    </r>
    <r>
      <rPr>
        <i/>
        <sz val="10"/>
        <color theme="1"/>
        <rFont val="Times New Roman"/>
        <family val="1"/>
        <charset val="204"/>
      </rPr>
      <t>(с июля)</t>
    </r>
  </si>
  <si>
    <r>
      <t xml:space="preserve">услуги ГРО и ССУ </t>
    </r>
    <r>
      <rPr>
        <i/>
        <sz val="10"/>
        <color theme="1"/>
        <rFont val="Times New Roman"/>
        <family val="1"/>
        <charset val="204"/>
      </rPr>
      <t>(с июля)</t>
    </r>
  </si>
  <si>
    <t>Природный газ (1 полугодие 2019)</t>
  </si>
  <si>
    <t>на 2019 год</t>
  </si>
  <si>
    <t>1 полугодие 2019</t>
  </si>
  <si>
    <t xml:space="preserve">Покупка холодной питьевой воды
 у ГУП "Водоканал СПб" на отопление </t>
  </si>
  <si>
    <t>Справочно: Потери тепловой энергии в сети</t>
  </si>
  <si>
    <t>другие расходы (списание стоимости ПП)</t>
  </si>
  <si>
    <t>Ставка за содержание тепловой мощности</t>
  </si>
  <si>
    <t>тыс.руб./Гкал/ч в мес.</t>
  </si>
  <si>
    <t>Тепловая нагрузка потребителей</t>
  </si>
  <si>
    <t>Итого</t>
  </si>
  <si>
    <t>Результирующая/Корректировка</t>
  </si>
  <si>
    <t>Комментарии</t>
  </si>
  <si>
    <t>в тарифе на 2017 г.</t>
  </si>
  <si>
    <t>в тарифе на 2018 г.</t>
  </si>
  <si>
    <t>в тарифе на 2019 г.</t>
  </si>
  <si>
    <t>в тарифе на 2020 г.</t>
  </si>
  <si>
    <t>в тарифе на 2021 г.</t>
  </si>
  <si>
    <t>Корректировка НВВ, в том числе:</t>
  </si>
  <si>
    <r>
      <t xml:space="preserve">Итоги 2016 года 
</t>
    </r>
    <r>
      <rPr>
        <sz val="12"/>
        <color rgb="FFFF0000"/>
        <rFont val="Times New Roman"/>
        <family val="1"/>
        <charset val="204"/>
      </rPr>
      <t>(Первый год долгосрока)</t>
    </r>
  </si>
  <si>
    <r>
      <t xml:space="preserve">Итоги 2017 года 
</t>
    </r>
    <r>
      <rPr>
        <sz val="12"/>
        <color rgb="FFFF0000"/>
        <rFont val="Times New Roman"/>
        <family val="1"/>
        <charset val="204"/>
      </rPr>
      <t>(Второй год долгосрока)</t>
    </r>
  </si>
  <si>
    <t>Итого подлежит учету в, в том числе:</t>
  </si>
  <si>
    <t>Недополученный доход / расходы прошлых периодов</t>
  </si>
  <si>
    <t>2019 год</t>
  </si>
  <si>
    <t>Учет результатов деятельности ООО "ТСК" в рамках тарифного регулирования, тыс. руб.</t>
  </si>
  <si>
    <t>Сводная калькуляция производства и передачи тепловой энергии ООО "Фирма "РОСС" на 2019-2023 гг.</t>
  </si>
  <si>
    <t>Передача собственной тепловой энергии</t>
  </si>
  <si>
    <t>Передача теплоносителя</t>
  </si>
  <si>
    <t>Передача тепловой энергии потребителям ПАО "ТГК-1"</t>
  </si>
  <si>
    <t>ВСЕГО</t>
  </si>
  <si>
    <t xml:space="preserve">Предложение Организации 
на 2019 год 
</t>
  </si>
  <si>
    <t>Полезный отпуск тепловой энергии</t>
  </si>
  <si>
    <t xml:space="preserve"> - через тепловую сеть</t>
  </si>
  <si>
    <t>Итого средний одноставочный тариф на тепловую энергию</t>
  </si>
  <si>
    <t>2018 год</t>
  </si>
  <si>
    <t>Покупка тепловой энергии ПАО "ТГК-1" (филиал "Невский")</t>
  </si>
  <si>
    <t>01.01.2018-01.06.2018</t>
  </si>
  <si>
    <t>Всего 2018 год</t>
  </si>
  <si>
    <t>Покупка тепловой энергии</t>
  </si>
  <si>
    <t>Тариф на тепловую энергию (отпуск с коллекторов)</t>
  </si>
  <si>
    <t>Итого расходы на покупку тепловой энергии</t>
  </si>
  <si>
    <t>Покупка тепловой энергии ПАО "ТГК-1" (филиал "Невский") с целью компенсации потерь</t>
  </si>
  <si>
    <t>ПАО "ТГК-1" (филиал "Невский")</t>
  </si>
  <si>
    <t>Отпуск теплоносителя, всего, в том числе:</t>
  </si>
  <si>
    <t>ООО "Фирма РОСС"</t>
  </si>
  <si>
    <t>потери теплоносителя в сети</t>
  </si>
  <si>
    <t>прочие потребители</t>
  </si>
  <si>
    <t>Тариф ПАО "ТГК-1" (филиал "Невский")</t>
  </si>
  <si>
    <t>руб./куб. м</t>
  </si>
  <si>
    <t>Итого расходы на покупку теплоносителя, всего, в том числе:</t>
  </si>
  <si>
    <t>Тариф ГУП "Водоканал СПб" - учтено в тарифе</t>
  </si>
  <si>
    <t>Расходы на покупку теплоносителя - учтено в тарифе</t>
  </si>
  <si>
    <t>2020 год</t>
  </si>
  <si>
    <t>2021 год</t>
  </si>
  <si>
    <t>01.01.2019-01.06.2019</t>
  </si>
  <si>
    <t>Всего 2019 год</t>
  </si>
  <si>
    <t>2022 год</t>
  </si>
  <si>
    <t>2023 год</t>
  </si>
  <si>
    <t>01.01.2020-01.06.2020</t>
  </si>
  <si>
    <t>Всего 2020 год</t>
  </si>
  <si>
    <t>01.01.2021-01.06.2021</t>
  </si>
  <si>
    <t>Всего 2021 год</t>
  </si>
  <si>
    <t>01.01.2022-01.06.2022</t>
  </si>
  <si>
    <t>Всего 2022 год</t>
  </si>
  <si>
    <t>01.01.2023-01.06.2023</t>
  </si>
  <si>
    <t>Всего 2023 год</t>
  </si>
  <si>
    <t>Состав объектов ОС на 01.01.2017г.</t>
  </si>
  <si>
    <t>Первоначальна я стоимость ОС на 01.01.2017г.</t>
  </si>
  <si>
    <t>Сумма начисленной амортизации за 2016 год</t>
  </si>
  <si>
    <t>Сумма начисленной амортизации на 01.01.2017г.</t>
  </si>
  <si>
    <t>Остаточная стоимость ОС на 01.01.2017г.</t>
  </si>
  <si>
    <t>Сумма начисленной амортизации за 2017 год</t>
  </si>
  <si>
    <t>Остаточная стоимость ОС на 01.01.2018г.</t>
  </si>
  <si>
    <t>Сумма начисленной амортизации за 2018 год</t>
  </si>
  <si>
    <t>Остаточная стоимость ОС на 01.01.2019г.</t>
  </si>
  <si>
    <t>Ворота промышлен. подъемносекционные 3660х3700(Н), инв.№: 00000183</t>
  </si>
  <si>
    <t>Ворота промышлен. подъемносекционные 3660х3700(Н), инв.№: 00000184</t>
  </si>
  <si>
    <t>Ворота секционные , инв.№: 00000118</t>
  </si>
  <si>
    <t>Загрождение , инв.№: 00000111</t>
  </si>
  <si>
    <t>Задвижка стальная 30с964нж/927/нж/999нж/ (Н)В-ВЗОО, инв.№: 00000145</t>
  </si>
  <si>
    <t>Задвижка стальная 30с964нж/927/нж/999нж/ (Н)В-ВЗОО, инв.№: 00000146</t>
  </si>
  <si>
    <t>Задвижка стальная 30с99нж/64нж 250 , инв.№: 00000147</t>
  </si>
  <si>
    <t>Задвижка стальная 30с99нж/64нж 250 , инв.№: 00000148</t>
  </si>
  <si>
    <t>Задвижка стальная 30с99нж/64нж 250 , инв.№: 00000149</t>
  </si>
  <si>
    <t>Задвижка стальная 30с99нж/64нж 250 , инв.№: 00000150</t>
  </si>
  <si>
    <t>Кейс для трассоискателя ЗК-20/ЗК-24 ЗеекТесИ КЮС , инв.№: 00000205</t>
  </si>
  <si>
    <t>Кондиционер С\Л/Н18КС-КЗОМА5А, инв.№: 00000185</t>
  </si>
  <si>
    <t>Моноблок зопу актив , инв.№: 00000180</t>
  </si>
  <si>
    <t>ОС вДУ теплосети/новое стр-вОкт наб 126/2 , инв.№: 00000193</t>
  </si>
  <si>
    <t>Осн. средства /довер.управл/ теплосети/новое стр-в, инв.№: 00000116</t>
  </si>
  <si>
    <t>Осн. средства /довер.управл/ теплосети/перекладка , инв.№: 00000117</t>
  </si>
  <si>
    <t>Тепловая сеть (перекладка) Довер.Управл 1_=21,4пм , инв.№: 00000207</t>
  </si>
  <si>
    <t>Трассоискатель ЗР-24 ЗеекТесИ РЮОЮ (приемник-ск, инв.№: 00000204</t>
  </si>
  <si>
    <t>Тулаэлектропривод В-В , инв.№: 00000153</t>
  </si>
  <si>
    <t>Тулаэлектропривод В-В , инв.№: 00000154</t>
  </si>
  <si>
    <t>Тулаэлектропривод В-В , инв.№: 00000155</t>
  </si>
  <si>
    <t>Тулаэлектропривод В-В , инв.№: 00000156</t>
  </si>
  <si>
    <t>Тулаэлектропривод Н-В , инв.№: 00000151</t>
  </si>
  <si>
    <t>Тулаэлектропривод Н-В , инв.№: 00000152</t>
  </si>
  <si>
    <t>Узел учета тепловой энергии 1 инв.№: 00000181</t>
  </si>
  <si>
    <t>Узел учета тепловой энергии 2 инв.№: 00000182</t>
  </si>
  <si>
    <t>Налог на имущество за 2018 год</t>
  </si>
  <si>
    <t>Сумма начисленной амортизации за 2019 год</t>
  </si>
  <si>
    <t>Остаточная стоимость ОС на 01.01.2020</t>
  </si>
  <si>
    <t>Сумма начисленной амортизации за 2020 год</t>
  </si>
  <si>
    <t>Остаточная стоимость ОС на 01.01.2021</t>
  </si>
  <si>
    <t>Сумма начисленной амортизации за 2021 год</t>
  </si>
  <si>
    <t>Остаточная стоимость ОС на 01.01.2022</t>
  </si>
  <si>
    <t>Сумма начисленной амортизации за 2022 год</t>
  </si>
  <si>
    <t>Остаточная стоимость ОС на 01.01.2023</t>
  </si>
  <si>
    <t>Сумма начисленной амортизации за 2023 год</t>
  </si>
  <si>
    <t>Остаточная стоимость ОС на 01.01.2024</t>
  </si>
  <si>
    <t>Налог на имущество за 2019-2023 годы</t>
  </si>
  <si>
    <t>только движимое имущество</t>
  </si>
  <si>
    <t>в соотетствии с письмом Комитета</t>
  </si>
  <si>
    <t>нет в программе энергосбережения</t>
  </si>
  <si>
    <t xml:space="preserve"> - в шаблоне</t>
  </si>
  <si>
    <t>Установлено КТАР СПб на 2018 год</t>
  </si>
  <si>
    <t>Справочно: средний тариф с теплоносителем для всех групп</t>
  </si>
  <si>
    <t>Объем полезного отпуска тепловой энергии через сеть</t>
  </si>
  <si>
    <t>Тариф на производство и передачу тепловой энергии</t>
  </si>
  <si>
    <t>Справочно: средний тариф с теплоносителем для населения</t>
  </si>
  <si>
    <t>Тариф на тепловую энергию, поставляемую в открытой системе теплоснабжения</t>
  </si>
  <si>
    <t>1.  Компонент на теплоноситель</t>
  </si>
  <si>
    <t>1.1.   Для исполнителей коммунальных услуг</t>
  </si>
  <si>
    <t>Объем теплоносителя ИКУ</t>
  </si>
  <si>
    <t>1.2.   Для прочих потребителей</t>
  </si>
  <si>
    <t>Необходимая валовая выручка, в том числе:</t>
  </si>
  <si>
    <t>Расходы на покупку теплоносителя</t>
  </si>
  <si>
    <t>Объем теплоносителя - Прочие потребители, в том числе:</t>
  </si>
  <si>
    <t>Покупка теплоносителя ПАО "ТГК-1"</t>
  </si>
  <si>
    <t>2. Компонент на тепловую энергию</t>
  </si>
  <si>
    <t>2.1.   Для исполнителей коммунальных услуг</t>
  </si>
  <si>
    <t>без теплоносителя</t>
  </si>
  <si>
    <t>Тариф на производство и передачу тепловой энергии (без НДС)</t>
  </si>
  <si>
    <t>2.2.   Для прочих потребителей</t>
  </si>
  <si>
    <t xml:space="preserve">3. Тариф на услуги по передаче тепловой энергии потребителям ПАО "ТГК-1" по тепловым сетям ООО "Фирма "РОСС" </t>
  </si>
  <si>
    <t>Тепловая нагрузка</t>
  </si>
  <si>
    <t>Тариф на услуги по передаче</t>
  </si>
  <si>
    <t>руб./Гкал/час/мес.</t>
  </si>
  <si>
    <r>
      <t xml:space="preserve">Расчет </t>
    </r>
    <r>
      <rPr>
        <b/>
        <u/>
        <sz val="16"/>
        <rFont val="Times New Roman"/>
        <family val="1"/>
        <charset val="204"/>
      </rPr>
      <t>тарифов в сфере теплоснабжения</t>
    </r>
    <r>
      <rPr>
        <b/>
        <sz val="16"/>
        <rFont val="Times New Roman"/>
        <family val="1"/>
        <charset val="204"/>
      </rPr>
      <t xml:space="preserve"> ООО "Фирма "РОСС" на территории Санкт-Петербурга на 2019-2023 гг.</t>
    </r>
  </si>
  <si>
    <t>II пг. 2018  года</t>
  </si>
  <si>
    <t>С 01.01.2019 по 30.06.2019</t>
  </si>
  <si>
    <r>
      <rPr>
        <b/>
        <sz val="16"/>
        <rFont val="Cambria"/>
        <family val="1"/>
        <charset val="204"/>
      </rPr>
      <t xml:space="preserve">Горячая вода </t>
    </r>
    <r>
      <rPr>
        <b/>
        <i/>
        <sz val="12"/>
        <color indexed="60"/>
        <rFont val="Cambria"/>
        <family val="1"/>
        <charset val="204"/>
      </rPr>
      <t>(тепловая энергия на отопление, горячее водоснабжение)</t>
    </r>
  </si>
  <si>
    <r>
      <t>Всего</t>
    </r>
    <r>
      <rPr>
        <b/>
        <sz val="12"/>
        <rFont val="Cambria"/>
        <family val="1"/>
        <charset val="204"/>
      </rPr>
      <t xml:space="preserve"> (горячая вода)</t>
    </r>
  </si>
  <si>
    <t>Тепловая энергия на отопление, горячее водоснабжение</t>
  </si>
  <si>
    <t>Стоимость теплоносителя в открытой системе теплоснабжения</t>
  </si>
  <si>
    <t>с учетом стоимости холодной воды</t>
  </si>
  <si>
    <t>без учета стоимости холодной воды</t>
  </si>
  <si>
    <t>Исполнители коммунальных услуг, предоставляемых гражданам</t>
  </si>
  <si>
    <t>Тариф, руб./Гкал</t>
  </si>
  <si>
    <r>
      <t>Тариф, руб./м</t>
    </r>
    <r>
      <rPr>
        <b/>
        <vertAlign val="superscript"/>
        <sz val="11"/>
        <rFont val="Cambria"/>
        <family val="1"/>
        <charset val="204"/>
      </rPr>
      <t>3</t>
    </r>
  </si>
  <si>
    <t>Тариф для населения (с НДС)</t>
  </si>
  <si>
    <t>Полезный отпуск, Гкал</t>
  </si>
  <si>
    <r>
      <t>Полезный отпуск, м</t>
    </r>
    <r>
      <rPr>
        <vertAlign val="superscript"/>
        <sz val="11"/>
        <rFont val="Cambria"/>
        <family val="1"/>
        <charset val="204"/>
      </rPr>
      <t>3</t>
    </r>
  </si>
  <si>
    <t>НВВ,  тыс. руб.</t>
  </si>
  <si>
    <t>II пг. 2019  года</t>
  </si>
  <si>
    <t>С 01.01.2020 по 30.06.2020</t>
  </si>
  <si>
    <t>II пг. 2020  года</t>
  </si>
  <si>
    <t>С 01.01.2021 по 30.06.2021</t>
  </si>
  <si>
    <t>исходя из фактических расходов за 2017 г. с ИПЦ</t>
  </si>
  <si>
    <t>II пг. 2021  года</t>
  </si>
  <si>
    <t>С 01.01.2022 по 30.06.2022</t>
  </si>
  <si>
    <t>II пг. 2022  года</t>
  </si>
  <si>
    <t>С 01.01.2023 по 30.06.2023</t>
  </si>
  <si>
    <t>согласно полисам страхования ОСАГО и ОПО</t>
  </si>
  <si>
    <t>Собственные расходы ТСО без учета покупки ТЭ и теплоносителя</t>
  </si>
  <si>
    <t>Собственные расходы ТСО без учета покупки ТЭ и теплоносителя без учета снятия</t>
  </si>
  <si>
    <t>Единица измерения</t>
  </si>
  <si>
    <t>Значение</t>
  </si>
  <si>
    <t>Объем полезного отпуска тепловой энергии (мощности) потребителям ООО "Фирма "РОСС", на основании которого рассчитаны установленные тарифы</t>
  </si>
  <si>
    <t>Объем договорной тепловой нагрузки потребителей ООО "Фирма "РОСС"</t>
  </si>
  <si>
    <t xml:space="preserve"> Гкал/ч</t>
  </si>
  <si>
    <t>Индексы роста цен на каждый энергетический ресурс:</t>
  </si>
  <si>
    <t xml:space="preserve">газ </t>
  </si>
  <si>
    <t>электрическая энергия</t>
  </si>
  <si>
    <t>тепловая энергия</t>
  </si>
  <si>
    <t>холодная вода</t>
  </si>
  <si>
    <t>Индекс изменения количества активов</t>
  </si>
  <si>
    <t>Нормативы технологических потерь при передаче тепловой энергии, теплоносителя</t>
  </si>
  <si>
    <t xml:space="preserve"> - </t>
  </si>
  <si>
    <t>Объем технологических потерь при передаче тепловой энергии, теплоносителя, учтенный при расчете необходимой валовой выручки</t>
  </si>
  <si>
    <t>Нормативы удельного расхода условного топлива при производстве тепловой энергии</t>
  </si>
  <si>
    <t>кг у.т./Гкал</t>
  </si>
  <si>
    <t>Удельный расход условного топлива, учтенный при расчете необходимой валовой выручки</t>
  </si>
  <si>
    <t>Нормативы запасов топлива на источниках тепловой энергии</t>
  </si>
  <si>
    <t>Нормативы запасов топлива на источниках тепловой энергии, учтенные при расчете необходимой валовой выручки</t>
  </si>
  <si>
    <t xml:space="preserve">Стоимость и сроки начала строительства (реконструкции) и ввода в эксплуатацию производственных объектов, предусмотренных утвержденной в установленном порядке инвестиционной программой регулируемой организации, а также источники финансирования утвержденной в установленном порядке инвестиционной программы, включая плату за подключение к системе теплоснабжения </t>
  </si>
  <si>
    <t>Объем незавершенных капитальных вложений</t>
  </si>
  <si>
    <t>тыс.руб.</t>
  </si>
  <si>
    <t>Величина расходов на топливо, отнесенная на 1 Гкал</t>
  </si>
  <si>
    <t>Коэффициент соотношения установленной тепловой мощности и суммарной договорной (заявленной) тепловой нагрузки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</si>
  <si>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</si>
  <si>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</si>
  <si>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</si>
  <si>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</si>
  <si>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Нормативный уровень прибыли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</si>
  <si>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</si>
  <si>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</si>
  <si>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</si>
  <si>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</si>
  <si>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</si>
  <si>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</si>
  <si>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Поставка тепловой энергии (мощности) потребителям</t>
  </si>
  <si>
    <t>-</t>
  </si>
  <si>
    <t>Оказание услуг по передаче тепловой энергии (мощности)</t>
  </si>
  <si>
    <t>(в соответствии с пунктом 32 Правил регулирования цен (тарифов) в сфере теплоснабжения, утвержденных Постановлением Правительства РФ от 22.10.2012 № 1075)</t>
  </si>
  <si>
    <t>Установлено на 2015 г.</t>
  </si>
  <si>
    <t>Предложение Организации на 2017 г.</t>
  </si>
  <si>
    <t>Предложение Организации на 2018 г.</t>
  </si>
  <si>
    <t>Рост 2017/2016</t>
  </si>
  <si>
    <t>Рост 2018/2017</t>
  </si>
  <si>
    <t xml:space="preserve">Предложение регулируемой организации </t>
  </si>
  <si>
    <t>Принято при установлении тарифов</t>
  </si>
  <si>
    <t>Передача тепловой энергии потребителям ТГК-1</t>
  </si>
  <si>
    <t xml:space="preserve">Не учтено (исключено)                   при установлении тарифов                             (ст.5-4)
  </t>
  </si>
  <si>
    <t xml:space="preserve">Основания, по которым отказано во включении в цены (тарифы) отдельных расходов, предложенных регулируемой организацией
</t>
  </si>
  <si>
    <r>
      <t>Коэффициент эластичности затрат по росту активов (К</t>
    </r>
    <r>
      <rPr>
        <vertAlign val="subscript"/>
        <sz val="11"/>
        <rFont val="Times New Roman"/>
        <family val="1"/>
        <charset val="204"/>
      </rPr>
      <t>эл</t>
    </r>
    <r>
      <rPr>
        <sz val="11"/>
        <rFont val="Times New Roman"/>
        <family val="1"/>
        <charset val="204"/>
      </rPr>
      <t>)</t>
    </r>
  </si>
  <si>
    <t>Расходы на приобретение энергетических ресурсов, холодной воды и теплоносителя</t>
  </si>
  <si>
    <t>Операционные расходы (ОР)
(2015 год - базовый)</t>
  </si>
  <si>
    <t>показатель не должен превышать ИПЦ с учетом изменения объемов (п. 37 Методических указаний)</t>
  </si>
  <si>
    <t>к-т изменения объема</t>
  </si>
  <si>
    <t>Иные работы и услуги, выполняемые по договорам с организациями, в том числе:</t>
  </si>
  <si>
    <t>вневедомственная охрана</t>
  </si>
  <si>
    <t>коммунальные услуги</t>
  </si>
  <si>
    <t>юридические и информационные услуги</t>
  </si>
  <si>
    <t>недостаточное экономическое обоснование превышения по данной статье относительно заложенного при тарифном регулировании на 2015 год (пункт 2.3. экспертного заключения)</t>
  </si>
  <si>
    <t>Другие расходы, не относящиеся к неподконтрольным расходам</t>
  </si>
  <si>
    <t>охрана труда и техника безопасности</t>
  </si>
  <si>
    <t>услуги банков (РКО)</t>
  </si>
  <si>
    <t>канцелярские товары</t>
  </si>
  <si>
    <t>плата за предельно-допустимые выбросы (сбросы)</t>
  </si>
  <si>
    <t>Арендная плата за основное производственное оборудование, относящиеся к регулируемой деятельности</t>
  </si>
  <si>
    <t>Отчисления на социальные нужды</t>
  </si>
  <si>
    <t>Амортизация, в том числе:</t>
  </si>
  <si>
    <t>основных средств</t>
  </si>
  <si>
    <t>нематериальных активов</t>
  </si>
  <si>
    <t>6.   Корректировка НВВ</t>
  </si>
  <si>
    <t>Расходы без прибыли</t>
  </si>
  <si>
    <t>Налог на прибыль</t>
  </si>
  <si>
    <t>Справочно: уровень прибыли =
Прибыль (без налога на прибыль) / Расходы без прибыли</t>
  </si>
  <si>
    <t>Полезный отпуск всего</t>
  </si>
  <si>
    <t>Потери</t>
  </si>
  <si>
    <t>Итого средний тариф на услуги по передаче тепловой энергии</t>
  </si>
  <si>
    <r>
      <t xml:space="preserve">Основные показатели для расчета тарифов в сфере теплоснабжения общества с ограниченной ответственностью "Фирма "РОСС" 
на территории Санкт-Петербурга на 2019-2023 годы
</t>
    </r>
    <r>
      <rPr>
        <b/>
        <i/>
        <sz val="12"/>
        <color theme="1"/>
        <rFont val="Times New Roman"/>
        <family val="1"/>
        <charset val="204"/>
      </rPr>
      <t>(в соответствии с пунктом 32 Правил регулирования цен (тарифов) в сфере теплоснабжения, утвержденных Постановлением Правительства РФ от 22.10.2012 № 1075)</t>
    </r>
  </si>
  <si>
    <t>Долгосрочные параметры регулирования тарифов, устанавливаемые на 2019-2023 годы, для формирования долгосрочных тарифов 
в сфере теплоснабжения общества с ограниченной ответственностью "Фирма "РОСС" на территории Санкт-Петербурга с использованием метода индексации установленных тарифов</t>
  </si>
  <si>
    <t>Величина необходимой валовой выручки, принятая при формировании тарифов в сфере теплоснабжения общества с ограниченной ответственностью "Фирма "РОСС" на территории Санкт-Петербурга  на 2019 - 2023 годы</t>
  </si>
  <si>
    <t>расходы на реализацию мероприятий по энергосбережению и повышению энергетической эффективности</t>
  </si>
  <si>
    <t>расходы на оформление и спопровождения ЭЦП</t>
  </si>
  <si>
    <t>Нормативная прибыль</t>
  </si>
  <si>
    <t>тариф</t>
  </si>
  <si>
    <t>ПРИЛОЖЕНИЕ 2
к протоколу заседания правления 
Комитета по тарифам 
Санкт-Петербурга                                                                                                     от 17.12.2018  № ______</t>
  </si>
  <si>
    <t>ПРИЛОЖЕНИЕ 3
к протоколу заседания правления 
Комитета по тарифам 
Санкт-Петербурга                                                                                          от 17.12.2018 № ______</t>
  </si>
  <si>
    <t xml:space="preserve">ПРИЛОЖЕНИЕ 4
к протоколу заседания правления 
Комитета по тарифам Санкт-Петербурга                                                                                           
от 17.12.2018  № ______
</t>
  </si>
  <si>
    <t>Объем договорной тепловой нагрузки потребителей ПАО "ТГК-1" (филиал "Невский", Санкт-Петербург), получающих тепловую энергию, передаваемую по тепловым сетям ООО "Фирма "РОСС"</t>
  </si>
  <si>
    <t>Полезный отпуск тепловой энергии потребителям  ПАО "ТГК-1" (филиал "Невский", Санкт-Петербург), передаваемой по тепловым сетям ООО "Фирма "РОСС"</t>
  </si>
  <si>
    <t>на основании утвержденных балансовых показателей (протокол рабочего совещания Комитета по тарифам Санкт-Петербурга 
от 15.08.2018 №291)                                                                    (пункт 5.2. экспертного заключения)</t>
  </si>
  <si>
    <t>недостаточное экономическое обоснование 
(пункт 3.1. экспертного заключения)</t>
  </si>
  <si>
    <t>недостаточное экономическое обоснование 
(пункт 3.2. экспертного заключения)</t>
  </si>
  <si>
    <t>недостаточное экономическое обоснование 
(пункт 3.4. экспертного заключения)</t>
  </si>
  <si>
    <t>недостаточное экономическое обоснование 
(пункт 3.5. экспертного заключения)</t>
  </si>
  <si>
    <t>недостаточное экономическое обоснование 
(пункт 3.7. экспертного заключения)</t>
  </si>
  <si>
    <t>недостаточное экономическое обоснование 
(пункт 4.1. экспертного заключения)</t>
  </si>
  <si>
    <t>недостаточное экономическое обоснование 
(пункт 4. экспертного заключения)</t>
  </si>
  <si>
    <t>расчет от фонда оплаты труда по установленным ставкам страховых взносов 
(пункт 4.2. экспертного заключения)</t>
  </si>
  <si>
    <t>недостаточное экономическое обоснование 
(пункт 6. экспертного заключения)</t>
  </si>
  <si>
    <t>недостаточное экономическое обоснование 
(пункт 7. экспертного заключения)</t>
  </si>
  <si>
    <t xml:space="preserve">корректировка величины необходимой валовой выручки по результатам деятельности за предшествующий период регулирования (Протокол заседания правления Комитета по тарифам  Санкт-Петербурга от 11.11.2016 
№ 353-ГС) </t>
  </si>
  <si>
    <t>недостаточное экономическое обоснование 
(пункт 3.3. экспертного заключения)</t>
  </si>
  <si>
    <t>ПРИЛОЖЕНИЕ 6
к распоряжению
Комитета по тарифам 
Санкт-Петербурга                                                                                          от 17.12.2018 № 247-р</t>
  </si>
  <si>
    <t>Гкал/кв.м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</si>
</sst>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1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р_._-;\-* #,##0.00\ _р_._-;_-* &quot;-&quot;??\ _р_._-;_-@_-"/>
    <numFmt numFmtId="165" formatCode="_-* #,##0.00[$€-1]_-;\-* #,##0.00[$€-1]_-;_-* &quot;-&quot;??[$€-1]_-"/>
    <numFmt numFmtId="166" formatCode="#,##0.000"/>
    <numFmt numFmtId="167" formatCode="0.0%"/>
    <numFmt numFmtId="168" formatCode="0.000"/>
    <numFmt numFmtId="169" formatCode="_-* #,##0.000_р_._-;\-* #,##0.000_р_._-;_-* &quot;-&quot;??_р_._-;_-@_-"/>
    <numFmt numFmtId="170" formatCode="_(* #,##0.00_);_(* \(#,##0.00\);_(* &quot;-&quot;??_);_(@_)"/>
    <numFmt numFmtId="171" formatCode="#,##0.00_ ;\-#,##0.00\ "/>
    <numFmt numFmtId="172" formatCode="0.0"/>
    <numFmt numFmtId="173" formatCode="#,##0.00_ ;[Red]\-#,##0.00\ "/>
    <numFmt numFmtId="174" formatCode="\(#,##0.0\)"/>
    <numFmt numFmtId="175" formatCode="#,##0\ &quot;?.&quot;;\-#,##0\ &quot;?.&quot;"/>
    <numFmt numFmtId="176" formatCode="#,##0;\(#,##0\)"/>
    <numFmt numFmtId="177" formatCode="_-* #,##0.00\ _$_-;\-* #,##0.00\ _$_-;_-* &quot;-&quot;??\ _$_-;_-@_-"/>
    <numFmt numFmtId="178" formatCode="_(* #,##0_);_(* \(#,##0\);_(* &quot;-&quot;_);_(@_)"/>
    <numFmt numFmtId="179" formatCode="&quot;$&quot;#,##0_);[Red]\(&quot;$&quot;#,##0\)"/>
    <numFmt numFmtId="180" formatCode="\$#,##0\ ;\(\$#,##0\)"/>
    <numFmt numFmtId="181" formatCode="_-* #,##0.0\ _$_-;\-* #,##0.0\ _$_-;_-* &quot;-&quot;??\ _$_-;_-@_-"/>
    <numFmt numFmtId="182" formatCode="#,##0.0_);\(#,##0.0\)"/>
    <numFmt numFmtId="183" formatCode="#,##0_ ;[Red]\-#,##0\ 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#,##0__\ \ \ \ "/>
    <numFmt numFmtId="187" formatCode="_-&quot;?&quot;* #,##0_-;\-&quot;?&quot;* #,##0_-;_-&quot;?&quot;* &quot;-&quot;_-;_-@_-"/>
    <numFmt numFmtId="188" formatCode="_-&quot;?&quot;* #,##0.00_-;\-&quot;?&quot;* #,##0.00_-;_-&quot;?&quot;* &quot;-&quot;??_-;_-@_-"/>
    <numFmt numFmtId="189" formatCode="_-* #,##0\ &quot;Pts&quot;_-;\-* #,##0\ &quot;Pts&quot;_-;_-* &quot;-&quot;\ &quot;Pts&quot;_-;_-@_-"/>
    <numFmt numFmtId="190" formatCode="_-* #,##0.00\ &quot;Pts&quot;_-;\-* #,##0.00\ &quot;Pts&quot;_-;_-* &quot;-&quot;??\ &quot;Pts&quot;_-;_-@_-"/>
    <numFmt numFmtId="191" formatCode="_-&quot;£&quot;* #,##0_-;\-&quot;£&quot;* #,##0_-;_-&quot;£&quot;* &quot;-&quot;_-;_-@_-"/>
    <numFmt numFmtId="192" formatCode="_-&quot;£&quot;* #,##0.00_-;\-&quot;£&quot;* #,##0.00_-;_-&quot;£&quot;* &quot;-&quot;??_-;_-@_-"/>
    <numFmt numFmtId="193" formatCode="#,##0.00&quot;т.р.&quot;;\-#,##0.00&quot;т.р.&quot;"/>
    <numFmt numFmtId="194" formatCode="#,##0.0;[Red]#,##0.0"/>
    <numFmt numFmtId="195" formatCode="#,##0______;;&quot;------------      &quot;"/>
    <numFmt numFmtId="196" formatCode="General_)"/>
    <numFmt numFmtId="197" formatCode="#,##0.000_ ;\-#,##0.000\ "/>
    <numFmt numFmtId="198" formatCode="d\ mmm"/>
    <numFmt numFmtId="199" formatCode="_-* #,##0\ _$_-;\-* #,##0\ _$_-;_-* &quot;-&quot;\ _$_-;_-@_-"/>
    <numFmt numFmtId="200" formatCode="_-* #,##0.0000\ _р_._-;\-* #,##0.0000\ _р_._-;_-* &quot;-&quot;??\ _р_._-;_-@_-"/>
    <numFmt numFmtId="201" formatCode="0.000000"/>
    <numFmt numFmtId="202" formatCode="_-* #,##0.000\ _р_._-;\-* #,##0.000\ _р_._-;_-* &quot;-&quot;???\ _р_._-;_-@_-"/>
    <numFmt numFmtId="203" formatCode="#,##0.0000"/>
    <numFmt numFmtId="204" formatCode="0.0%_);\(0.0%\)"/>
    <numFmt numFmtId="205" formatCode="#,##0_);[Red]\(#,##0\)"/>
    <numFmt numFmtId="206" formatCode="#.##0\.00"/>
    <numFmt numFmtId="207" formatCode="#\.00"/>
    <numFmt numFmtId="208" formatCode="\$#\.00"/>
    <numFmt numFmtId="209" formatCode="#\."/>
    <numFmt numFmtId="210" formatCode="_-* #,##0&quot;đ.&quot;_-;\-* #,##0&quot;đ.&quot;_-;_-* &quot;-&quot;&quot;đ.&quot;_-;_-@_-"/>
    <numFmt numFmtId="211" formatCode="_-* #,##0.00&quot;đ.&quot;_-;\-* #,##0.00&quot;đ.&quot;_-;_-* &quot;-&quot;??&quot;đ.&quot;_-;_-@_-"/>
    <numFmt numFmtId="212" formatCode="#,##0_);[Blue]\(#,##0\)"/>
    <numFmt numFmtId="213" formatCode="_-* #,##0_đ_._-;\-* #,##0_đ_._-;_-* &quot;-&quot;_đ_._-;_-@_-"/>
    <numFmt numFmtId="214" formatCode="_-* #,##0\ _d_._-;\-* #,##0\ _d_._-;_-* &quot;-&quot;\ _d_._-;_-@_-"/>
    <numFmt numFmtId="215" formatCode="_-* #,##0.00_đ_._-;\-* #,##0.00_đ_._-;_-* &quot;-&quot;??_đ_._-;_-@_-"/>
    <numFmt numFmtId="216" formatCode="_-* #,##0.00\ _d_._-;\-* #,##0.00\ _d_._-;_-* &quot;-&quot;??\ _d_._-;_-@_-"/>
    <numFmt numFmtId="217" formatCode="_(* #,##0_);_(* \(#,##0\);_(* &quot;-&quot;??_);_(@_)"/>
    <numFmt numFmtId="218" formatCode="_(* #,##0.000_);_(* \(#,##0.000\);_(* &quot;-&quot;???_);_(@_)"/>
    <numFmt numFmtId="219" formatCode="_(&quot;р.&quot;* #,##0.00_);_(&quot;р.&quot;* \(#,##0.00\);_(&quot;р.&quot;* &quot;-&quot;??_);_(@_)"/>
    <numFmt numFmtId="220" formatCode="#,##0.0"/>
    <numFmt numFmtId="221" formatCode="%#\.00"/>
    <numFmt numFmtId="222" formatCode="#,##0.00000"/>
    <numFmt numFmtId="223" formatCode="_-* #,##0.000_р_._-;\-* #,##0.000_р_._-;_-* &quot;-&quot;???_р_._-;_-@_-"/>
    <numFmt numFmtId="224" formatCode="_-* #,##0.0000_р_._-;\-* #,##0.0000_р_._-;_-* &quot;-&quot;??_р_._-;_-@_-"/>
    <numFmt numFmtId="225" formatCode="#,##0.00_);[Red]\(#,##0.00\);\-_)"/>
    <numFmt numFmtId="226" formatCode="@\ *."/>
    <numFmt numFmtId="227" formatCode="000000"/>
    <numFmt numFmtId="228" formatCode="0000"/>
    <numFmt numFmtId="229" formatCode="##,#0_;\(#,##0\);&quot;-&quot;??_);@"/>
    <numFmt numFmtId="230" formatCode="*(#,##0\);*#\,##0_);&quot;-&quot;??_);@"/>
    <numFmt numFmtId="231" formatCode="_*\(#,##0\);_*#,##0_);&quot;-&quot;??_);@"/>
    <numFmt numFmtId="232" formatCode="* \(#,##0\);* #,##0_);&quot;-&quot;??_);@"/>
    <numFmt numFmtId="233" formatCode="#,##0_);\(#,##0\);&quot;-&quot;??_);@"/>
    <numFmt numFmtId="234" formatCode="* #,##0_);* \(#,##0\);&quot;-&quot;??_);@"/>
    <numFmt numFmtId="235" formatCode="dd\.mm\.yyyy&quot;г.&quot;"/>
    <numFmt numFmtId="236" formatCode="\M\o\n\t\h\ \D.\y\y\y\y"/>
    <numFmt numFmtId="237" formatCode="_(&quot;$&quot;* #,##0_);_(&quot;$&quot;* \(#,##0\);_(&quot;$&quot;* &quot;-&quot;_);_(@_)"/>
    <numFmt numFmtId="238" formatCode="_(&quot;$&quot;* #,##0.00_);_(&quot;$&quot;* \(#,##0.00\);_(&quot;$&quot;* &quot;-&quot;??_);_(@_)"/>
    <numFmt numFmtId="239" formatCode="0.0_)%;\(0.0\)%"/>
    <numFmt numFmtId="240" formatCode="0.00_)%;\(0.00\)%"/>
    <numFmt numFmtId="241" formatCode="0%_);\(0%\)"/>
    <numFmt numFmtId="242" formatCode="* \(#,##0.0\);* #,##0.0_);&quot;-&quot;??_);@"/>
    <numFmt numFmtId="243" formatCode="* \(#,##0.00\);* #,##0.00_);&quot;-&quot;??_);@"/>
    <numFmt numFmtId="244" formatCode="_(* \(#,##0.0\);_(* #,##0.0_);_(* &quot;-&quot;_);_(@_)"/>
    <numFmt numFmtId="245" formatCode="_(* \(#,##0.00\);_(* #,##0.00_);_(* &quot;-&quot;_);_(@_)"/>
    <numFmt numFmtId="246" formatCode="_(* \(#,##0.000\);_(* #,##0.000_);_(* &quot;-&quot;_);_(@_)"/>
    <numFmt numFmtId="247" formatCode="#,##0.000000;[Red]#,##0.000000"/>
    <numFmt numFmtId="248" formatCode="#,"/>
    <numFmt numFmtId="249" formatCode="_ * #,##0_ ;_ * \(#,##0_ ;_ * &quot;-&quot;_ ;_ @_ "/>
    <numFmt numFmtId="250" formatCode="&quot;$&quot;#,##0.000000;[Red]&quot;$&quot;#,##0.000000"/>
    <numFmt numFmtId="251" formatCode="#,##0.0000000_$"/>
    <numFmt numFmtId="252" formatCode="&quot;$&quot;\ #,##0.00"/>
    <numFmt numFmtId="253" formatCode="_ * #,##0_ ;_ * \(#,##0_)\ ;_ * &quot;-&quot;_ ;_ @_ "/>
    <numFmt numFmtId="254" formatCode="&quot;$&quot;\ #,##0"/>
    <numFmt numFmtId="255" formatCode="&quot;$&quot;"/>
    <numFmt numFmtId="256" formatCode="_._.* #,##0_)_%;_._.* \(#,##0\)_%;_._.* \ _)_%"/>
    <numFmt numFmtId="257" formatCode="yyyy"/>
    <numFmt numFmtId="258" formatCode="yyyy\ &quot;год&quot;"/>
    <numFmt numFmtId="259" formatCode="_-* #,##0.000\ _р_._-;\-* #,##0.000\ _р_._-;_-* &quot;-&quot;??\ _р_._-;_-@_-"/>
  </numFmts>
  <fonts count="291"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name val="Times New Roman"/>
      <family val="2"/>
      <charset val="204"/>
    </font>
    <font>
      <sz val="10"/>
      <color theme="1"/>
      <name val="Times New Roman"/>
      <family val="1"/>
      <charset val="204"/>
    </font>
    <font>
      <b/>
      <sz val="9"/>
      <name val="Tahoma"/>
      <family val="2"/>
      <charset val="204"/>
    </font>
    <font>
      <b/>
      <sz val="14"/>
      <name val="Franklin Gothic Medium"/>
      <family val="2"/>
      <charset val="204"/>
    </font>
    <font>
      <sz val="12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name val="Helv"/>
      <charset val="204"/>
    </font>
    <font>
      <b/>
      <i/>
      <sz val="12"/>
      <name val="Times New Roman"/>
      <family val="1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color indexed="16"/>
      <name val="Arial Cyr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sz val="12"/>
      <name val="Tms Rmn"/>
      <charset val="204"/>
    </font>
    <font>
      <i/>
      <sz val="11"/>
      <color indexed="23"/>
      <name val="Calibri"/>
      <family val="2"/>
      <charset val="204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  <charset val="204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13"/>
      <name val="Arial"/>
      <family val="2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0"/>
      <name val="Arial Cyr"/>
      <family val="2"/>
      <charset val="204"/>
    </font>
    <font>
      <b/>
      <sz val="8"/>
      <name val="Arial CYR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Times New Roman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"/>
      <family val="2"/>
      <charset val="204"/>
    </font>
    <font>
      <sz val="8"/>
      <name val="Arial Cyr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b/>
      <i/>
      <sz val="14"/>
      <color indexed="10"/>
      <name val="Arial Cyr"/>
      <family val="2"/>
      <charset val="204"/>
    </font>
    <font>
      <sz val="12"/>
      <name val="Arial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name val="Times New Roman Cyr"/>
      <charset val="204"/>
    </font>
    <font>
      <sz val="10"/>
      <color indexed="0"/>
      <name val="Arial"/>
      <family val="2"/>
      <charset val="204"/>
    </font>
    <font>
      <sz val="10"/>
      <color theme="1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i/>
      <sz val="14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color theme="1"/>
      <name val="Tahoma"/>
      <family val="2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vertAlign val="subscript"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2"/>
      <color theme="9" tint="-0.499984740745262"/>
      <name val="Times New Roman"/>
      <family val="1"/>
      <charset val="204"/>
    </font>
    <font>
      <i/>
      <sz val="11"/>
      <color theme="9" tint="-0.499984740745262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sz val="15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8"/>
      <color indexed="12"/>
      <name val="Arial"/>
      <family val="2"/>
      <charset val="204"/>
    </font>
    <font>
      <sz val="10"/>
      <name val="PragmaticaCTT"/>
    </font>
    <font>
      <u/>
      <sz val="10"/>
      <color indexed="12"/>
      <name val="Courier"/>
      <family val="3"/>
    </font>
    <font>
      <b/>
      <sz val="10"/>
      <color indexed="8"/>
      <name val="Arial"/>
      <family val="2"/>
    </font>
    <font>
      <sz val="8"/>
      <name val="Arial Cyr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b/>
      <sz val="13"/>
      <color indexed="56"/>
      <name val="Calibri"/>
      <family val="2"/>
      <charset val="204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1"/>
      <color indexed="62"/>
      <name val="Calibri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i/>
      <sz val="10"/>
      <color indexed="9"/>
      <name val="Arial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b/>
      <sz val="14"/>
      <name val="Franklin Gothic Medium"/>
      <family val="2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sz val="10"/>
      <name val="Arial Cyr"/>
      <charset val="204"/>
    </font>
    <font>
      <sz val="10"/>
      <color indexed="64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  <font>
      <b/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5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theme="0" tint="-0.34998626667073579"/>
      <name val="Times New Roman"/>
      <family val="1"/>
      <charset val="204"/>
    </font>
    <font>
      <i/>
      <sz val="7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5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10"/>
      <name val="Helv"/>
      <family val="2"/>
      <charset val="204"/>
    </font>
    <font>
      <sz val="9"/>
      <name val="Arial MT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b/>
      <sz val="10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i/>
      <u/>
      <sz val="12"/>
      <name val="MS Sans Serif"/>
      <family val="2"/>
      <charset val="204"/>
    </font>
    <font>
      <b/>
      <sz val="10"/>
      <name val="MS Sans Serif"/>
      <family val="2"/>
      <charset val="204"/>
    </font>
    <font>
      <b/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2"/>
      <name val="MS Sans Serif"/>
      <family val="2"/>
      <charset val="204"/>
    </font>
    <font>
      <b/>
      <sz val="10"/>
      <color indexed="10"/>
      <name val="Arial"/>
      <family val="2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u/>
      <sz val="9.3000000000000007"/>
      <color theme="10"/>
      <name val="Arial Cyr"/>
      <charset val="204"/>
    </font>
    <font>
      <b/>
      <sz val="18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2"/>
      <charset val="204"/>
    </font>
    <font>
      <sz val="10"/>
      <color indexed="8"/>
      <name val="Arial Cyr"/>
      <family val="2"/>
      <charset val="204"/>
    </font>
    <font>
      <sz val="10"/>
      <color rgb="FF002060"/>
      <name val="Times New Roman"/>
      <family val="2"/>
      <charset val="204"/>
    </font>
    <font>
      <b/>
      <sz val="10"/>
      <color rgb="FF002060"/>
      <name val="Times New Roman"/>
      <family val="1"/>
      <charset val="204"/>
    </font>
    <font>
      <sz val="12"/>
      <name val="Times New Roman"/>
      <family val="2"/>
      <charset val="204"/>
    </font>
    <font>
      <b/>
      <sz val="16"/>
      <name val="Times New Roman"/>
      <family val="1"/>
      <charset val="204"/>
    </font>
    <font>
      <b/>
      <u/>
      <sz val="16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i/>
      <sz val="14"/>
      <color rgb="FFC00000"/>
      <name val="Times New Roman"/>
      <family val="1"/>
      <charset val="204"/>
    </font>
    <font>
      <sz val="20"/>
      <name val="Times New Roman"/>
      <family val="1"/>
      <charset val="204"/>
    </font>
    <font>
      <i/>
      <sz val="2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rgb="FF002060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b/>
      <sz val="12"/>
      <name val="Cambria"/>
      <family val="1"/>
      <charset val="204"/>
    </font>
    <font>
      <b/>
      <sz val="14"/>
      <name val="Cambria"/>
      <family val="1"/>
      <charset val="204"/>
    </font>
    <font>
      <b/>
      <sz val="12"/>
      <color indexed="12"/>
      <name val="Cambria"/>
      <family val="1"/>
      <charset val="204"/>
    </font>
    <font>
      <b/>
      <sz val="16"/>
      <name val="Cambria"/>
      <family val="1"/>
      <charset val="204"/>
    </font>
    <font>
      <b/>
      <i/>
      <sz val="12"/>
      <color indexed="60"/>
      <name val="Cambria"/>
      <family val="1"/>
      <charset val="204"/>
    </font>
    <font>
      <b/>
      <i/>
      <sz val="12"/>
      <name val="Cambria"/>
      <family val="1"/>
      <charset val="204"/>
    </font>
    <font>
      <b/>
      <sz val="11"/>
      <name val="Cambria"/>
      <family val="1"/>
      <charset val="204"/>
    </font>
    <font>
      <b/>
      <sz val="11.5"/>
      <name val="Cambria"/>
      <family val="1"/>
      <charset val="204"/>
    </font>
    <font>
      <b/>
      <sz val="11.5"/>
      <color rgb="FF002060"/>
      <name val="Cambria"/>
      <family val="1"/>
      <charset val="204"/>
    </font>
    <font>
      <b/>
      <sz val="11.5"/>
      <color indexed="12"/>
      <name val="Cambria"/>
      <family val="1"/>
      <charset val="204"/>
    </font>
    <font>
      <b/>
      <vertAlign val="superscript"/>
      <sz val="11"/>
      <name val="Cambria"/>
      <family val="1"/>
      <charset val="204"/>
    </font>
    <font>
      <b/>
      <sz val="11.5"/>
      <color rgb="FF323F19"/>
      <name val="Cambria"/>
      <family val="1"/>
      <charset val="204"/>
    </font>
    <font>
      <sz val="11"/>
      <name val="Cambria"/>
      <family val="1"/>
      <charset val="204"/>
    </font>
    <font>
      <sz val="11.5"/>
      <name val="Cambria"/>
      <family val="1"/>
      <charset val="204"/>
    </font>
    <font>
      <vertAlign val="superscript"/>
      <sz val="11"/>
      <name val="Cambria"/>
      <family val="1"/>
      <charset val="204"/>
    </font>
    <font>
      <b/>
      <sz val="1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5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</fonts>
  <fills count="10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gray125">
        <fgColor theme="0" tint="-0.499984740745262"/>
        <bgColor theme="0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gray0625">
        <fgColor theme="8" tint="0.39994506668294322"/>
        <bgColor theme="9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11"/>
        <bgColor indexed="11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lightGray">
        <fgColor theme="0" tint="-0.34998626667073579"/>
        <bgColor indexed="65"/>
      </patternFill>
    </fill>
    <fill>
      <patternFill patternType="solid">
        <fgColor theme="0"/>
        <bgColor theme="0" tint="-0.499984740745262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>
        <fgColor theme="1"/>
        <bgColor theme="8" tint="0.79995117038483843"/>
      </patternFill>
    </fill>
    <fill>
      <patternFill patternType="gray125">
        <fgColor theme="1" tint="0.24994659260841701"/>
        <bgColor indexed="65"/>
      </patternFill>
    </fill>
    <fill>
      <patternFill patternType="gray125">
        <fgColor theme="1" tint="0.24994659260841701"/>
        <bgColor theme="0"/>
      </patternFill>
    </fill>
    <fill>
      <patternFill patternType="gray125">
        <fgColor auto="1"/>
      </patternFill>
    </fill>
    <fill>
      <patternFill patternType="gray125">
        <fgColor theme="1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theme="0" tint="-0.2499465926084170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Gray">
        <fgColor rgb="FFFFFFCC"/>
        <bgColor theme="0" tint="-0.14996795556505021"/>
      </patternFill>
    </fill>
    <fill>
      <patternFill patternType="lightGray">
        <fgColor theme="0" tint="-0.24994659260841701"/>
        <bgColor rgb="FFFFFF66"/>
      </patternFill>
    </fill>
  </fills>
  <borders count="1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540">
    <xf numFmtId="0" fontId="0" fillId="0" borderId="0"/>
    <xf numFmtId="9" fontId="12" fillId="0" borderId="0" applyFont="0" applyFill="0" applyBorder="0" applyAlignment="0" applyProtection="0"/>
    <xf numFmtId="165" fontId="13" fillId="0" borderId="0" applyNumberFormat="0" applyFont="0" applyFill="0" applyBorder="0" applyAlignment="0" applyProtection="0">
      <alignment vertical="top"/>
    </xf>
    <xf numFmtId="165" fontId="17" fillId="0" borderId="0"/>
    <xf numFmtId="9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7" fillId="0" borderId="20" applyBorder="0">
      <alignment horizontal="center" vertical="center" wrapText="1"/>
    </xf>
    <xf numFmtId="0" fontId="28" fillId="0" borderId="0" applyBorder="0">
      <alignment horizontal="center" vertical="center" wrapText="1"/>
    </xf>
    <xf numFmtId="0" fontId="17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13" fillId="0" borderId="0"/>
    <xf numFmtId="9" fontId="11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1" fillId="0" borderId="0"/>
    <xf numFmtId="0" fontId="33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3" fillId="0" borderId="0"/>
    <xf numFmtId="165" fontId="13" fillId="0" borderId="0"/>
    <xf numFmtId="174" fontId="13" fillId="0" borderId="0" applyFont="0" applyFill="0" applyBorder="0" applyAlignment="0" applyProtection="0"/>
    <xf numFmtId="165" fontId="17" fillId="0" borderId="0"/>
    <xf numFmtId="175" fontId="13" fillId="0" borderId="0" applyFont="0" applyFill="0" applyBorder="0" applyAlignment="0" applyProtection="0"/>
    <xf numFmtId="166" fontId="17" fillId="0" borderId="0"/>
    <xf numFmtId="40" fontId="35" fillId="0" borderId="0" applyFont="0" applyFill="0" applyBorder="0" applyAlignment="0" applyProtection="0"/>
    <xf numFmtId="165" fontId="36" fillId="0" borderId="0"/>
    <xf numFmtId="165" fontId="33" fillId="0" borderId="0"/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165" fontId="37" fillId="0" borderId="0"/>
    <xf numFmtId="165" fontId="33" fillId="0" borderId="0"/>
    <xf numFmtId="165" fontId="33" fillId="0" borderId="0"/>
    <xf numFmtId="165" fontId="37" fillId="0" borderId="0"/>
    <xf numFmtId="165" fontId="37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37" fillId="0" borderId="0"/>
    <xf numFmtId="165" fontId="33" fillId="0" borderId="0"/>
    <xf numFmtId="165" fontId="37" fillId="0" borderId="0"/>
    <xf numFmtId="165" fontId="33" fillId="0" borderId="0"/>
    <xf numFmtId="165" fontId="37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8" fillId="0" borderId="0"/>
    <xf numFmtId="165" fontId="17" fillId="0" borderId="0"/>
    <xf numFmtId="165" fontId="17" fillId="0" borderId="0"/>
    <xf numFmtId="165" fontId="33" fillId="0" borderId="0"/>
    <xf numFmtId="165" fontId="33" fillId="0" borderId="0"/>
    <xf numFmtId="165" fontId="33" fillId="0" borderId="0"/>
    <xf numFmtId="165" fontId="37" fillId="0" borderId="0"/>
    <xf numFmtId="165" fontId="37" fillId="0" borderId="0"/>
    <xf numFmtId="165" fontId="33" fillId="0" borderId="0"/>
    <xf numFmtId="165" fontId="33" fillId="0" borderId="0"/>
    <xf numFmtId="165" fontId="37" fillId="0" borderId="0"/>
    <xf numFmtId="165" fontId="33" fillId="0" borderId="0"/>
    <xf numFmtId="165" fontId="33" fillId="0" borderId="0"/>
    <xf numFmtId="165" fontId="37" fillId="0" borderId="0"/>
    <xf numFmtId="165" fontId="37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7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3" fillId="0" borderId="0"/>
    <xf numFmtId="165" fontId="37" fillId="0" borderId="0"/>
    <xf numFmtId="165" fontId="33" fillId="0" borderId="0"/>
    <xf numFmtId="165" fontId="37" fillId="0" borderId="0"/>
    <xf numFmtId="165" fontId="37" fillId="0" borderId="0"/>
    <xf numFmtId="165" fontId="37" fillId="0" borderId="0"/>
    <xf numFmtId="165" fontId="37" fillId="0" borderId="0"/>
    <xf numFmtId="165" fontId="17" fillId="0" borderId="0"/>
    <xf numFmtId="165" fontId="17" fillId="0" borderId="0"/>
    <xf numFmtId="165" fontId="17" fillId="0" borderId="0"/>
    <xf numFmtId="177" fontId="17" fillId="0" borderId="0" applyFont="0" applyFill="0" applyBorder="0" applyAlignment="0" applyProtection="0"/>
    <xf numFmtId="165" fontId="39" fillId="0" borderId="0">
      <protection locked="0"/>
    </xf>
    <xf numFmtId="165" fontId="39" fillId="0" borderId="0">
      <protection locked="0"/>
    </xf>
    <xf numFmtId="165" fontId="39" fillId="0" borderId="0">
      <protection locked="0"/>
    </xf>
    <xf numFmtId="165" fontId="39" fillId="0" borderId="0">
      <protection locked="0"/>
    </xf>
    <xf numFmtId="165" fontId="39" fillId="0" borderId="0">
      <protection locked="0"/>
    </xf>
    <xf numFmtId="165" fontId="39" fillId="0" borderId="25">
      <protection locked="0"/>
    </xf>
    <xf numFmtId="165" fontId="40" fillId="0" borderId="0">
      <protection locked="0"/>
    </xf>
    <xf numFmtId="165" fontId="40" fillId="0" borderId="0">
      <protection locked="0"/>
    </xf>
    <xf numFmtId="165" fontId="39" fillId="0" borderId="25">
      <protection locked="0"/>
    </xf>
    <xf numFmtId="165" fontId="41" fillId="9" borderId="0"/>
    <xf numFmtId="165" fontId="42" fillId="10" borderId="0" applyNumberFormat="0" applyBorder="0" applyAlignment="0" applyProtection="0"/>
    <xf numFmtId="165" fontId="42" fillId="11" borderId="0" applyNumberFormat="0" applyBorder="0" applyAlignment="0" applyProtection="0"/>
    <xf numFmtId="165" fontId="42" fillId="12" borderId="0" applyNumberFormat="0" applyBorder="0" applyAlignment="0" applyProtection="0"/>
    <xf numFmtId="165" fontId="42" fillId="13" borderId="0" applyNumberFormat="0" applyBorder="0" applyAlignment="0" applyProtection="0"/>
    <xf numFmtId="165" fontId="42" fillId="14" borderId="0" applyNumberFormat="0" applyBorder="0" applyAlignment="0" applyProtection="0"/>
    <xf numFmtId="165" fontId="42" fillId="15" borderId="0" applyNumberFormat="0" applyBorder="0" applyAlignment="0" applyProtection="0"/>
    <xf numFmtId="165" fontId="42" fillId="16" borderId="0" applyNumberFormat="0" applyBorder="0" applyAlignment="0" applyProtection="0"/>
    <xf numFmtId="165" fontId="42" fillId="17" borderId="0" applyNumberFormat="0" applyBorder="0" applyAlignment="0" applyProtection="0"/>
    <xf numFmtId="165" fontId="42" fillId="18" borderId="0" applyNumberFormat="0" applyBorder="0" applyAlignment="0" applyProtection="0"/>
    <xf numFmtId="165" fontId="42" fillId="13" borderId="0" applyNumberFormat="0" applyBorder="0" applyAlignment="0" applyProtection="0"/>
    <xf numFmtId="165" fontId="42" fillId="16" borderId="0" applyNumberFormat="0" applyBorder="0" applyAlignment="0" applyProtection="0"/>
    <xf numFmtId="165" fontId="42" fillId="19" borderId="0" applyNumberFormat="0" applyBorder="0" applyAlignment="0" applyProtection="0"/>
    <xf numFmtId="165" fontId="43" fillId="20" borderId="0" applyNumberFormat="0" applyBorder="0" applyAlignment="0" applyProtection="0"/>
    <xf numFmtId="165" fontId="43" fillId="17" borderId="0" applyNumberFormat="0" applyBorder="0" applyAlignment="0" applyProtection="0"/>
    <xf numFmtId="165" fontId="43" fillId="18" borderId="0" applyNumberFormat="0" applyBorder="0" applyAlignment="0" applyProtection="0"/>
    <xf numFmtId="165" fontId="43" fillId="21" borderId="0" applyNumberFormat="0" applyBorder="0" applyAlignment="0" applyProtection="0"/>
    <xf numFmtId="165" fontId="43" fillId="22" borderId="0" applyNumberFormat="0" applyBorder="0" applyAlignment="0" applyProtection="0"/>
    <xf numFmtId="165" fontId="43" fillId="23" borderId="0" applyNumberFormat="0" applyBorder="0" applyAlignment="0" applyProtection="0"/>
    <xf numFmtId="165" fontId="44" fillId="0" borderId="26"/>
    <xf numFmtId="165" fontId="43" fillId="24" borderId="0" applyNumberFormat="0" applyBorder="0" applyAlignment="0" applyProtection="0"/>
    <xf numFmtId="165" fontId="43" fillId="25" borderId="0" applyNumberFormat="0" applyBorder="0" applyAlignment="0" applyProtection="0"/>
    <xf numFmtId="165" fontId="43" fillId="26" borderId="0" applyNumberFormat="0" applyBorder="0" applyAlignment="0" applyProtection="0"/>
    <xf numFmtId="165" fontId="43" fillId="21" borderId="0" applyNumberFormat="0" applyBorder="0" applyAlignment="0" applyProtection="0"/>
    <xf numFmtId="165" fontId="43" fillId="22" borderId="0" applyNumberFormat="0" applyBorder="0" applyAlignment="0" applyProtection="0"/>
    <xf numFmtId="165" fontId="43" fillId="27" borderId="0" applyNumberFormat="0" applyBorder="0" applyAlignment="0" applyProtection="0"/>
    <xf numFmtId="165" fontId="38" fillId="0" borderId="0"/>
    <xf numFmtId="165" fontId="45" fillId="11" borderId="0" applyNumberFormat="0" applyBorder="0" applyAlignment="0" applyProtection="0"/>
    <xf numFmtId="10" fontId="46" fillId="0" borderId="0" applyNumberFormat="0" applyFill="0" applyBorder="0" applyAlignment="0"/>
    <xf numFmtId="165" fontId="47" fillId="0" borderId="0"/>
    <xf numFmtId="165" fontId="48" fillId="28" borderId="27" applyNumberFormat="0" applyAlignment="0" applyProtection="0"/>
    <xf numFmtId="165" fontId="49" fillId="29" borderId="28" applyNumberFormat="0" applyAlignment="0" applyProtection="0"/>
    <xf numFmtId="165" fontId="50" fillId="0" borderId="10">
      <alignment horizontal="left" vertical="center"/>
    </xf>
    <xf numFmtId="178" fontId="13" fillId="0" borderId="0" applyFont="0" applyFill="0" applyBorder="0" applyAlignment="0" applyProtection="0"/>
    <xf numFmtId="165" fontId="51" fillId="0" borderId="0" applyFont="0" applyFill="0" applyBorder="0" applyAlignment="0" applyProtection="0">
      <alignment horizontal="right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>
      <alignment horizontal="right"/>
    </xf>
    <xf numFmtId="165" fontId="51" fillId="0" borderId="0" applyFont="0" applyFill="0" applyBorder="0" applyAlignment="0" applyProtection="0"/>
    <xf numFmtId="170" fontId="13" fillId="0" borderId="0" applyFont="0" applyFill="0" applyBorder="0" applyAlignment="0" applyProtection="0"/>
    <xf numFmtId="3" fontId="52" fillId="0" borderId="0" applyFont="0" applyFill="0" applyBorder="0" applyAlignment="0" applyProtection="0"/>
    <xf numFmtId="179" fontId="41" fillId="0" borderId="0" applyFont="0" applyFill="0" applyBorder="0" applyAlignment="0" applyProtection="0"/>
    <xf numFmtId="165" fontId="51" fillId="0" borderId="0" applyFont="0" applyFill="0" applyBorder="0" applyAlignment="0" applyProtection="0">
      <alignment horizontal="right"/>
    </xf>
    <xf numFmtId="165" fontId="51" fillId="0" borderId="0" applyFont="0" applyFill="0" applyBorder="0" applyAlignment="0" applyProtection="0">
      <alignment horizontal="right"/>
    </xf>
    <xf numFmtId="44" fontId="17" fillId="0" borderId="0" applyFont="0" applyFill="0" applyBorder="0" applyAlignment="0" applyProtection="0"/>
    <xf numFmtId="180" fontId="52" fillId="0" borderId="0" applyFont="0" applyFill="0" applyBorder="0" applyAlignment="0" applyProtection="0"/>
    <xf numFmtId="165" fontId="51" fillId="0" borderId="0" applyFill="0" applyBorder="0" applyProtection="0">
      <alignment vertical="center"/>
    </xf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65" fontId="51" fillId="0" borderId="29" applyNumberFormat="0" applyFont="0" applyFill="0" applyAlignment="0" applyProtection="0"/>
    <xf numFmtId="165" fontId="53" fillId="0" borderId="0" applyNumberFormat="0" applyFill="0" applyBorder="0" applyAlignment="0" applyProtection="0"/>
    <xf numFmtId="165" fontId="17" fillId="0" borderId="0" applyFont="0" applyFill="0" applyBorder="0" applyAlignment="0" applyProtection="0"/>
    <xf numFmtId="37" fontId="13" fillId="0" borderId="0"/>
    <xf numFmtId="165" fontId="54" fillId="0" borderId="0" applyNumberFormat="0" applyFill="0" applyBorder="0" applyAlignment="0" applyProtection="0"/>
    <xf numFmtId="2" fontId="52" fillId="0" borderId="0" applyFont="0" applyFill="0" applyBorder="0" applyAlignment="0" applyProtection="0"/>
    <xf numFmtId="165" fontId="55" fillId="0" borderId="0">
      <alignment vertical="center"/>
    </xf>
    <xf numFmtId="165" fontId="56" fillId="0" borderId="0" applyNumberFormat="0" applyFill="0" applyBorder="0" applyAlignment="0" applyProtection="0">
      <alignment vertical="top"/>
      <protection locked="0"/>
    </xf>
    <xf numFmtId="165" fontId="57" fillId="0" borderId="0" applyFill="0" applyBorder="0" applyProtection="0">
      <alignment horizontal="left"/>
    </xf>
    <xf numFmtId="165" fontId="58" fillId="12" borderId="0" applyNumberFormat="0" applyBorder="0" applyAlignment="0" applyProtection="0"/>
    <xf numFmtId="167" fontId="59" fillId="6" borderId="10" applyNumberFormat="0" applyFont="0" applyBorder="0" applyAlignment="0" applyProtection="0"/>
    <xf numFmtId="165" fontId="51" fillId="0" borderId="0" applyFont="0" applyFill="0" applyBorder="0" applyAlignment="0" applyProtection="0">
      <alignment horizontal="right"/>
    </xf>
    <xf numFmtId="182" fontId="60" fillId="6" borderId="0" applyNumberFormat="0" applyFont="0" applyAlignment="0"/>
    <xf numFmtId="165" fontId="61" fillId="0" borderId="0" applyProtection="0">
      <alignment horizontal="right"/>
    </xf>
    <xf numFmtId="2" fontId="62" fillId="30" borderId="0" applyAlignment="0">
      <alignment horizontal="right"/>
      <protection locked="0"/>
    </xf>
    <xf numFmtId="165" fontId="63" fillId="0" borderId="30" applyNumberFormat="0" applyFill="0" applyAlignment="0" applyProtection="0"/>
    <xf numFmtId="165" fontId="64" fillId="0" borderId="0" applyProtection="0">
      <alignment horizontal="left"/>
    </xf>
    <xf numFmtId="165" fontId="65" fillId="0" borderId="0" applyProtection="0">
      <alignment horizontal="left"/>
    </xf>
    <xf numFmtId="165" fontId="66" fillId="0" borderId="0" applyNumberFormat="0" applyFill="0" applyBorder="0" applyAlignment="0" applyProtection="0"/>
    <xf numFmtId="165" fontId="32" fillId="0" borderId="0" applyNumberFormat="0" applyFill="0" applyBorder="0" applyAlignment="0" applyProtection="0">
      <alignment vertical="top"/>
      <protection locked="0"/>
    </xf>
    <xf numFmtId="165" fontId="13" fillId="0" borderId="0"/>
    <xf numFmtId="183" fontId="67" fillId="0" borderId="10">
      <alignment horizontal="center" vertical="center" wrapText="1"/>
    </xf>
    <xf numFmtId="165" fontId="68" fillId="0" borderId="0" applyFill="0" applyBorder="0" applyProtection="0">
      <alignment vertical="center"/>
    </xf>
    <xf numFmtId="165" fontId="68" fillId="0" borderId="0" applyFill="0" applyBorder="0" applyProtection="0">
      <alignment vertical="center"/>
    </xf>
    <xf numFmtId="165" fontId="68" fillId="0" borderId="0" applyFill="0" applyBorder="0" applyProtection="0">
      <alignment vertical="center"/>
    </xf>
    <xf numFmtId="165" fontId="68" fillId="0" borderId="0" applyFill="0" applyBorder="0" applyProtection="0">
      <alignment vertical="center"/>
    </xf>
    <xf numFmtId="165" fontId="68" fillId="0" borderId="0" applyFill="0" applyBorder="0" applyProtection="0">
      <alignment vertical="center"/>
    </xf>
    <xf numFmtId="165" fontId="69" fillId="0" borderId="31" applyNumberFormat="0" applyFill="0" applyAlignment="0" applyProtection="0"/>
    <xf numFmtId="184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6" fontId="71" fillId="0" borderId="10">
      <alignment horizontal="right"/>
      <protection locked="0"/>
    </xf>
    <xf numFmtId="187" fontId="72" fillId="0" borderId="0" applyFont="0" applyFill="0" applyBorder="0" applyAlignment="0" applyProtection="0"/>
    <xf numFmtId="188" fontId="72" fillId="0" borderId="0" applyFont="0" applyFill="0" applyBorder="0" applyAlignment="0" applyProtection="0"/>
    <xf numFmtId="189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91" fontId="70" fillId="0" borderId="0" applyFont="0" applyFill="0" applyBorder="0" applyAlignment="0" applyProtection="0"/>
    <xf numFmtId="192" fontId="70" fillId="0" borderId="0" applyFont="0" applyFill="0" applyBorder="0" applyAlignment="0" applyProtection="0"/>
    <xf numFmtId="165" fontId="51" fillId="0" borderId="0" applyFont="0" applyFill="0" applyBorder="0" applyAlignment="0" applyProtection="0">
      <alignment horizontal="right"/>
    </xf>
    <xf numFmtId="165" fontId="51" fillId="0" borderId="0" applyFill="0" applyBorder="0" applyProtection="0">
      <alignment vertical="center"/>
    </xf>
    <xf numFmtId="165" fontId="51" fillId="0" borderId="0" applyFont="0" applyFill="0" applyBorder="0" applyAlignment="0" applyProtection="0">
      <alignment horizontal="right"/>
    </xf>
    <xf numFmtId="3" fontId="17" fillId="0" borderId="32" applyFont="0" applyBorder="0">
      <alignment horizontal="center" vertical="center"/>
    </xf>
    <xf numFmtId="165" fontId="73" fillId="31" borderId="0" applyNumberFormat="0" applyBorder="0" applyAlignment="0" applyProtection="0"/>
    <xf numFmtId="165" fontId="41" fillId="0" borderId="33"/>
    <xf numFmtId="193" fontId="17" fillId="0" borderId="0"/>
    <xf numFmtId="165" fontId="74" fillId="0" borderId="0">
      <alignment horizontal="right"/>
    </xf>
    <xf numFmtId="0" fontId="75" fillId="0" borderId="0"/>
    <xf numFmtId="165" fontId="51" fillId="0" borderId="0" applyFill="0" applyBorder="0" applyProtection="0">
      <alignment vertical="center"/>
    </xf>
    <xf numFmtId="165" fontId="76" fillId="0" borderId="0"/>
    <xf numFmtId="165" fontId="13" fillId="0" borderId="0"/>
    <xf numFmtId="165" fontId="33" fillId="0" borderId="0"/>
    <xf numFmtId="165" fontId="17" fillId="32" borderId="34" applyNumberFormat="0" applyFont="0" applyAlignment="0" applyProtection="0"/>
    <xf numFmtId="194" fontId="17" fillId="0" borderId="0" applyFont="0" applyAlignment="0">
      <alignment horizontal="center"/>
    </xf>
    <xf numFmtId="165" fontId="59" fillId="0" borderId="0"/>
    <xf numFmtId="174" fontId="59" fillId="0" borderId="0" applyFont="0" applyFill="0" applyBorder="0" applyAlignment="0" applyProtection="0"/>
    <xf numFmtId="175" fontId="59" fillId="0" borderId="0" applyFont="0" applyFill="0" applyBorder="0" applyAlignment="0" applyProtection="0"/>
    <xf numFmtId="165" fontId="77" fillId="28" borderId="35" applyNumberFormat="0" applyAlignment="0" applyProtection="0"/>
    <xf numFmtId="1" fontId="78" fillId="0" borderId="0" applyProtection="0">
      <alignment horizontal="right" vertical="center"/>
    </xf>
    <xf numFmtId="49" fontId="79" fillId="0" borderId="36" applyFill="0" applyProtection="0">
      <alignment vertical="center"/>
    </xf>
    <xf numFmtId="9" fontId="13" fillId="0" borderId="0" applyNumberFormat="0" applyFill="0" applyBorder="0" applyAlignment="0" applyProtection="0"/>
    <xf numFmtId="165" fontId="51" fillId="0" borderId="0" applyFill="0" applyBorder="0" applyProtection="0">
      <alignment vertical="center"/>
    </xf>
    <xf numFmtId="37" fontId="80" fillId="8" borderId="37"/>
    <xf numFmtId="37" fontId="80" fillId="8" borderId="37"/>
    <xf numFmtId="0" fontId="81" fillId="0" borderId="0" applyNumberFormat="0">
      <alignment horizontal="left"/>
    </xf>
    <xf numFmtId="195" fontId="82" fillId="0" borderId="38" applyBorder="0">
      <alignment horizontal="right"/>
      <protection locked="0"/>
    </xf>
    <xf numFmtId="49" fontId="83" fillId="0" borderId="10" applyNumberFormat="0">
      <alignment horizontal="left" vertical="center"/>
    </xf>
    <xf numFmtId="165" fontId="84" fillId="0" borderId="39">
      <alignment vertical="center"/>
    </xf>
    <xf numFmtId="165" fontId="85" fillId="0" borderId="0">
      <alignment horizontal="left" vertical="center" wrapText="1"/>
    </xf>
    <xf numFmtId="165" fontId="13" fillId="0" borderId="0"/>
    <xf numFmtId="165" fontId="86" fillId="0" borderId="0" applyBorder="0" applyProtection="0">
      <alignment vertical="center"/>
    </xf>
    <xf numFmtId="165" fontId="86" fillId="0" borderId="36" applyBorder="0" applyProtection="0">
      <alignment horizontal="right" vertical="center"/>
    </xf>
    <xf numFmtId="165" fontId="87" fillId="33" borderId="0" applyBorder="0" applyProtection="0">
      <alignment horizontal="centerContinuous" vertical="center"/>
    </xf>
    <xf numFmtId="165" fontId="87" fillId="34" borderId="36" applyBorder="0" applyProtection="0">
      <alignment horizontal="centerContinuous" vertical="center"/>
    </xf>
    <xf numFmtId="165" fontId="88" fillId="0" borderId="0"/>
    <xf numFmtId="165" fontId="89" fillId="0" borderId="0" applyBorder="0" applyProtection="0">
      <alignment horizontal="left"/>
    </xf>
    <xf numFmtId="165" fontId="76" fillId="0" borderId="0"/>
    <xf numFmtId="165" fontId="90" fillId="0" borderId="0" applyFill="0" applyBorder="0" applyProtection="0">
      <alignment horizontal="left"/>
    </xf>
    <xf numFmtId="165" fontId="57" fillId="0" borderId="24" applyFill="0" applyBorder="0" applyProtection="0">
      <alignment horizontal="left" vertical="top"/>
    </xf>
    <xf numFmtId="165" fontId="91" fillId="0" borderId="0">
      <alignment horizontal="centerContinuous"/>
    </xf>
    <xf numFmtId="165" fontId="92" fillId="0" borderId="24" applyFill="0" applyBorder="0" applyProtection="0"/>
    <xf numFmtId="165" fontId="92" fillId="0" borderId="0"/>
    <xf numFmtId="165" fontId="93" fillId="0" borderId="0" applyFill="0" applyBorder="0" applyProtection="0"/>
    <xf numFmtId="165" fontId="94" fillId="0" borderId="0"/>
    <xf numFmtId="165" fontId="93" fillId="0" borderId="0" applyFill="0" applyBorder="0" applyProtection="0"/>
    <xf numFmtId="165" fontId="92" fillId="0" borderId="24" applyFill="0" applyBorder="0" applyProtection="0"/>
    <xf numFmtId="1" fontId="95" fillId="35" borderId="0">
      <alignment horizontal="center"/>
    </xf>
    <xf numFmtId="165" fontId="96" fillId="0" borderId="0" applyFill="0" applyBorder="0" applyProtection="0">
      <alignment vertical="center"/>
    </xf>
    <xf numFmtId="165" fontId="96" fillId="0" borderId="29" applyFill="0" applyBorder="0" applyProtection="0">
      <alignment vertical="center"/>
    </xf>
    <xf numFmtId="165" fontId="97" fillId="0" borderId="0">
      <alignment horizontal="fill"/>
    </xf>
    <xf numFmtId="165" fontId="59" fillId="0" borderId="0"/>
    <xf numFmtId="165" fontId="98" fillId="0" borderId="0" applyNumberFormat="0" applyFill="0" applyBorder="0" applyAlignment="0" applyProtection="0"/>
    <xf numFmtId="165" fontId="99" fillId="0" borderId="36" applyBorder="0" applyProtection="0">
      <alignment horizontal="right"/>
    </xf>
    <xf numFmtId="196" fontId="100" fillId="0" borderId="40">
      <protection locked="0"/>
    </xf>
    <xf numFmtId="3" fontId="101" fillId="0" borderId="0">
      <alignment horizontal="center" vertical="center" textRotation="90" wrapText="1"/>
    </xf>
    <xf numFmtId="197" fontId="100" fillId="0" borderId="10">
      <alignment vertical="top" wrapText="1"/>
    </xf>
    <xf numFmtId="165" fontId="102" fillId="0" borderId="0" applyNumberFormat="0" applyFill="0" applyBorder="0" applyAlignment="0" applyProtection="0">
      <alignment vertical="top"/>
      <protection locked="0"/>
    </xf>
    <xf numFmtId="165" fontId="103" fillId="0" borderId="0" applyNumberFormat="0" applyFill="0" applyBorder="0" applyAlignment="0" applyProtection="0">
      <alignment vertical="top"/>
      <protection locked="0"/>
    </xf>
    <xf numFmtId="165" fontId="103" fillId="0" borderId="0" applyNumberFormat="0" applyFill="0" applyBorder="0" applyAlignment="0" applyProtection="0">
      <alignment vertical="top"/>
      <protection locked="0"/>
    </xf>
    <xf numFmtId="165" fontId="17" fillId="0" borderId="0" applyBorder="0"/>
    <xf numFmtId="173" fontId="104" fillId="0" borderId="10">
      <alignment vertical="top" wrapText="1"/>
    </xf>
    <xf numFmtId="4" fontId="105" fillId="0" borderId="10">
      <alignment horizontal="left" vertical="center"/>
    </xf>
    <xf numFmtId="4" fontId="105" fillId="0" borderId="10"/>
    <xf numFmtId="4" fontId="105" fillId="36" borderId="10"/>
    <xf numFmtId="4" fontId="105" fillId="37" borderId="10"/>
    <xf numFmtId="4" fontId="106" fillId="38" borderId="10"/>
    <xf numFmtId="4" fontId="107" fillId="39" borderId="10"/>
    <xf numFmtId="4" fontId="108" fillId="0" borderId="10">
      <alignment horizontal="center" wrapText="1"/>
    </xf>
    <xf numFmtId="173" fontId="105" fillId="0" borderId="10"/>
    <xf numFmtId="173" fontId="104" fillId="0" borderId="10">
      <alignment horizontal="center" vertical="center" wrapText="1"/>
    </xf>
    <xf numFmtId="165" fontId="109" fillId="0" borderId="41" applyNumberFormat="0" applyFont="0" applyFill="0" applyBorder="0" applyAlignment="0" applyProtection="0">
      <alignment horizontal="center"/>
    </xf>
    <xf numFmtId="14" fontId="110" fillId="0" borderId="0"/>
    <xf numFmtId="44" fontId="17" fillId="0" borderId="0" applyFont="0" applyFill="0" applyBorder="0" applyAlignment="0" applyProtection="0"/>
    <xf numFmtId="198" fontId="13" fillId="0" borderId="0" applyFont="0" applyFill="0" applyBorder="0" applyAlignment="0" applyProtection="0"/>
    <xf numFmtId="198" fontId="13" fillId="0" borderId="0" applyFont="0" applyFill="0" applyBorder="0" applyAlignment="0" applyProtection="0"/>
    <xf numFmtId="44" fontId="17" fillId="0" borderId="0" applyFont="0" applyFill="0" applyBorder="0" applyAlignment="0" applyProtection="0"/>
    <xf numFmtId="165" fontId="63" fillId="0" borderId="30" applyNumberFormat="0" applyFill="0" applyAlignment="0" applyProtection="0"/>
    <xf numFmtId="196" fontId="111" fillId="40" borderId="40"/>
    <xf numFmtId="4" fontId="112" fillId="8" borderId="10" applyBorder="0">
      <alignment horizontal="right"/>
    </xf>
    <xf numFmtId="168" fontId="113" fillId="0" borderId="10"/>
    <xf numFmtId="165" fontId="17" fillId="0" borderId="0">
      <alignment wrapText="1"/>
    </xf>
    <xf numFmtId="0" fontId="114" fillId="6" borderId="0" applyFill="0">
      <alignment wrapText="1"/>
    </xf>
    <xf numFmtId="165" fontId="115" fillId="39" borderId="42" applyNumberFormat="0">
      <alignment vertical="top"/>
    </xf>
    <xf numFmtId="0" fontId="116" fillId="0" borderId="0">
      <alignment horizontal="center" vertical="top" wrapText="1"/>
    </xf>
    <xf numFmtId="0" fontId="117" fillId="0" borderId="0">
      <alignment horizontal="centerContinuous" vertical="center" wrapText="1"/>
    </xf>
    <xf numFmtId="0" fontId="118" fillId="41" borderId="36">
      <alignment vertical="center"/>
    </xf>
    <xf numFmtId="165" fontId="17" fillId="0" borderId="0" applyNumberFormat="0" applyFont="0" applyFill="0" applyBorder="0" applyAlignment="0" applyProtection="0"/>
    <xf numFmtId="7" fontId="119" fillId="0" borderId="0"/>
    <xf numFmtId="49" fontId="101" fillId="0" borderId="10">
      <alignment horizontal="right" vertical="top" wrapText="1"/>
    </xf>
    <xf numFmtId="172" fontId="120" fillId="0" borderId="0">
      <alignment horizontal="right" vertical="top" wrapText="1"/>
    </xf>
    <xf numFmtId="165" fontId="17" fillId="0" borderId="0"/>
    <xf numFmtId="165" fontId="17" fillId="0" borderId="0"/>
    <xf numFmtId="165" fontId="13" fillId="0" borderId="0"/>
    <xf numFmtId="165" fontId="13" fillId="0" borderId="0" applyNumberFormat="0" applyFont="0" applyFill="0" applyBorder="0" applyAlignment="0" applyProtection="0">
      <alignment vertical="top"/>
    </xf>
    <xf numFmtId="165" fontId="13" fillId="0" borderId="0" applyNumberFormat="0" applyFont="0" applyFill="0" applyBorder="0" applyAlignment="0" applyProtection="0">
      <alignment vertical="top"/>
    </xf>
    <xf numFmtId="165" fontId="10" fillId="0" borderId="0"/>
    <xf numFmtId="165" fontId="10" fillId="0" borderId="0"/>
    <xf numFmtId="165" fontId="10" fillId="0" borderId="0"/>
    <xf numFmtId="0" fontId="10" fillId="0" borderId="0"/>
    <xf numFmtId="165" fontId="13" fillId="0" borderId="0"/>
    <xf numFmtId="165" fontId="17" fillId="0" borderId="0"/>
    <xf numFmtId="165" fontId="121" fillId="0" borderId="0"/>
    <xf numFmtId="0" fontId="10" fillId="0" borderId="0"/>
    <xf numFmtId="165" fontId="13" fillId="0" borderId="0"/>
    <xf numFmtId="165" fontId="13" fillId="0" borderId="0"/>
    <xf numFmtId="165" fontId="13" fillId="0" borderId="0"/>
    <xf numFmtId="165" fontId="17" fillId="0" borderId="0"/>
    <xf numFmtId="165" fontId="13" fillId="0" borderId="0"/>
    <xf numFmtId="165" fontId="13" fillId="0" borderId="0"/>
    <xf numFmtId="0" fontId="13" fillId="0" borderId="0"/>
    <xf numFmtId="165" fontId="13" fillId="0" borderId="0"/>
    <xf numFmtId="165" fontId="13" fillId="0" borderId="0"/>
    <xf numFmtId="0" fontId="13" fillId="0" borderId="0"/>
    <xf numFmtId="165" fontId="13" fillId="0" borderId="0"/>
    <xf numFmtId="165" fontId="13" fillId="0" borderId="0"/>
    <xf numFmtId="0" fontId="17" fillId="0" borderId="0"/>
    <xf numFmtId="165" fontId="13" fillId="0" borderId="0"/>
    <xf numFmtId="165" fontId="13" fillId="0" borderId="0"/>
    <xf numFmtId="0" fontId="122" fillId="0" borderId="0"/>
    <xf numFmtId="165" fontId="17" fillId="0" borderId="0"/>
    <xf numFmtId="165" fontId="17" fillId="0" borderId="0"/>
    <xf numFmtId="165" fontId="17" fillId="0" borderId="0"/>
    <xf numFmtId="0" fontId="21" fillId="0" borderId="0"/>
    <xf numFmtId="165" fontId="13" fillId="0" borderId="0"/>
    <xf numFmtId="165" fontId="17" fillId="0" borderId="0"/>
    <xf numFmtId="165" fontId="13" fillId="0" borderId="0"/>
    <xf numFmtId="165" fontId="13" fillId="0" borderId="0"/>
    <xf numFmtId="165" fontId="13" fillId="0" borderId="0"/>
    <xf numFmtId="165" fontId="13" fillId="0" borderId="0"/>
    <xf numFmtId="165" fontId="13" fillId="0" borderId="0"/>
    <xf numFmtId="165" fontId="13" fillId="0" borderId="0"/>
    <xf numFmtId="0" fontId="13" fillId="0" borderId="0" applyNumberFormat="0" applyFont="0" applyFill="0" applyBorder="0" applyAlignment="0" applyProtection="0">
      <alignment vertical="top"/>
    </xf>
    <xf numFmtId="0" fontId="17" fillId="0" borderId="0"/>
    <xf numFmtId="0" fontId="10" fillId="0" borderId="0"/>
    <xf numFmtId="0" fontId="13" fillId="0" borderId="0" applyNumberFormat="0" applyFont="0" applyFill="0" applyBorder="0" applyAlignment="0" applyProtection="0">
      <alignment vertical="top"/>
    </xf>
    <xf numFmtId="0" fontId="13" fillId="0" borderId="0"/>
    <xf numFmtId="165" fontId="13" fillId="0" borderId="0"/>
    <xf numFmtId="165" fontId="10" fillId="0" borderId="0"/>
    <xf numFmtId="165" fontId="123" fillId="0" borderId="0"/>
    <xf numFmtId="165" fontId="42" fillId="0" borderId="0"/>
    <xf numFmtId="0" fontId="123" fillId="0" borderId="0"/>
    <xf numFmtId="165" fontId="13" fillId="0" borderId="0" applyNumberFormat="0" applyFont="0" applyFill="0" applyBorder="0" applyAlignment="0" applyProtection="0">
      <alignment vertical="top"/>
    </xf>
    <xf numFmtId="0" fontId="10" fillId="0" borderId="0"/>
    <xf numFmtId="165" fontId="13" fillId="0" borderId="0"/>
    <xf numFmtId="0" fontId="10" fillId="0" borderId="0"/>
    <xf numFmtId="165" fontId="13" fillId="0" borderId="0"/>
    <xf numFmtId="165" fontId="22" fillId="0" borderId="0"/>
    <xf numFmtId="1" fontId="124" fillId="0" borderId="10">
      <alignment horizontal="left" vertical="center"/>
    </xf>
    <xf numFmtId="173" fontId="125" fillId="0" borderId="10">
      <alignment vertical="top"/>
    </xf>
    <xf numFmtId="172" fontId="126" fillId="8" borderId="37" applyNumberFormat="0" applyBorder="0" applyAlignment="0">
      <alignment vertical="center"/>
      <protection locked="0"/>
    </xf>
    <xf numFmtId="49" fontId="106" fillId="0" borderId="23">
      <alignment horizontal="left" vertical="center"/>
    </xf>
    <xf numFmtId="9" fontId="4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28" fillId="0" borderId="43" applyNumberFormat="0" applyFont="0" applyFill="0" applyBorder="0" applyAlignment="0" applyProtection="0"/>
    <xf numFmtId="168" fontId="129" fillId="0" borderId="10"/>
    <xf numFmtId="165" fontId="17" fillId="0" borderId="10" applyNumberFormat="0" applyFont="0" applyFill="0" applyAlignment="0" applyProtection="0"/>
    <xf numFmtId="3" fontId="130" fillId="42" borderId="23">
      <alignment horizontal="justify" vertical="center"/>
    </xf>
    <xf numFmtId="0" fontId="37" fillId="0" borderId="0"/>
    <xf numFmtId="165" fontId="37" fillId="0" borderId="0"/>
    <xf numFmtId="165" fontId="37" fillId="0" borderId="0"/>
    <xf numFmtId="165" fontId="33" fillId="0" borderId="0"/>
    <xf numFmtId="2" fontId="14" fillId="0" borderId="10" applyNumberFormat="0">
      <alignment vertical="center"/>
    </xf>
    <xf numFmtId="49" fontId="120" fillId="0" borderId="0"/>
    <xf numFmtId="49" fontId="131" fillId="0" borderId="0">
      <alignment vertical="top"/>
    </xf>
    <xf numFmtId="3" fontId="132" fillId="0" borderId="0"/>
    <xf numFmtId="49" fontId="114" fillId="0" borderId="0">
      <alignment horizontal="center"/>
    </xf>
    <xf numFmtId="49" fontId="114" fillId="0" borderId="0">
      <alignment horizontal="center"/>
    </xf>
    <xf numFmtId="170" fontId="1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99" fontId="17" fillId="0" borderId="0" applyFont="0" applyFill="0" applyBorder="0" applyAlignment="0" applyProtection="0"/>
    <xf numFmtId="4" fontId="112" fillId="6" borderId="0" applyBorder="0">
      <alignment horizontal="right"/>
    </xf>
    <xf numFmtId="4" fontId="112" fillId="43" borderId="1" applyBorder="0">
      <alignment horizontal="right"/>
    </xf>
    <xf numFmtId="4" fontId="112" fillId="43" borderId="1" applyBorder="0">
      <alignment horizontal="right"/>
    </xf>
    <xf numFmtId="4" fontId="112" fillId="6" borderId="10" applyFont="0" applyBorder="0">
      <alignment horizontal="right"/>
    </xf>
    <xf numFmtId="171" fontId="100" fillId="0" borderId="23">
      <alignment vertical="top" wrapText="1"/>
    </xf>
    <xf numFmtId="3" fontId="17" fillId="0" borderId="0" applyFont="0" applyBorder="0">
      <alignment horizontal="center"/>
    </xf>
    <xf numFmtId="165" fontId="39" fillId="0" borderId="0">
      <protection locked="0"/>
    </xf>
    <xf numFmtId="49" fontId="104" fillId="0" borderId="10">
      <alignment horizontal="center" vertical="center" wrapText="1"/>
    </xf>
    <xf numFmtId="165" fontId="128" fillId="6" borderId="41" applyNumberFormat="0" applyFont="0" applyFill="0" applyBorder="0" applyAlignment="0" applyProtection="0">
      <alignment horizontal="center"/>
    </xf>
    <xf numFmtId="49" fontId="85" fillId="0" borderId="10" applyNumberFormat="0" applyFill="0" applyAlignment="0" applyProtection="0"/>
    <xf numFmtId="166" fontId="17" fillId="0" borderId="0"/>
    <xf numFmtId="165" fontId="13" fillId="0" borderId="0"/>
    <xf numFmtId="0" fontId="136" fillId="0" borderId="0"/>
    <xf numFmtId="0" fontId="9" fillId="0" borderId="0"/>
    <xf numFmtId="0" fontId="8" fillId="0" borderId="0"/>
    <xf numFmtId="0" fontId="37" fillId="0" borderId="0"/>
    <xf numFmtId="0" fontId="13" fillId="0" borderId="0"/>
    <xf numFmtId="167" fontId="109" fillId="0" borderId="0">
      <alignment vertical="top"/>
    </xf>
    <xf numFmtId="167" fontId="157" fillId="0" borderId="0">
      <alignment vertical="top"/>
    </xf>
    <xf numFmtId="204" fontId="157" fillId="39" borderId="0">
      <alignment vertical="top"/>
    </xf>
    <xf numFmtId="167" fontId="157" fillId="6" borderId="0">
      <alignment vertical="top"/>
    </xf>
    <xf numFmtId="0" fontId="33" fillId="0" borderId="0"/>
    <xf numFmtId="205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0" fontId="37" fillId="0" borderId="0"/>
    <xf numFmtId="0" fontId="33" fillId="0" borderId="0"/>
    <xf numFmtId="165" fontId="33" fillId="0" borderId="0"/>
    <xf numFmtId="0" fontId="33" fillId="0" borderId="0"/>
    <xf numFmtId="165" fontId="33" fillId="0" borderId="0"/>
    <xf numFmtId="0" fontId="33" fillId="0" borderId="0"/>
    <xf numFmtId="165" fontId="33" fillId="0" borderId="0"/>
    <xf numFmtId="0" fontId="33" fillId="0" borderId="0"/>
    <xf numFmtId="165" fontId="33" fillId="0" borderId="0"/>
    <xf numFmtId="0" fontId="38" fillId="0" borderId="0"/>
    <xf numFmtId="0" fontId="33" fillId="0" borderId="0"/>
    <xf numFmtId="0" fontId="37" fillId="0" borderId="0"/>
    <xf numFmtId="165" fontId="37" fillId="0" borderId="0"/>
    <xf numFmtId="0" fontId="37" fillId="0" borderId="0"/>
    <xf numFmtId="205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0" fontId="37" fillId="0" borderId="0"/>
    <xf numFmtId="165" fontId="37" fillId="0" borderId="0"/>
    <xf numFmtId="0" fontId="37" fillId="0" borderId="0"/>
    <xf numFmtId="165" fontId="37" fillId="0" borderId="0"/>
    <xf numFmtId="0" fontId="33" fillId="0" borderId="0"/>
    <xf numFmtId="165" fontId="33" fillId="0" borderId="0"/>
    <xf numFmtId="0" fontId="33" fillId="0" borderId="0"/>
    <xf numFmtId="165" fontId="33" fillId="0" borderId="0"/>
    <xf numFmtId="205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0" fontId="33" fillId="0" borderId="0"/>
    <xf numFmtId="165" fontId="33" fillId="0" borderId="0"/>
    <xf numFmtId="0" fontId="33" fillId="0" borderId="0"/>
    <xf numFmtId="0" fontId="33" fillId="0" borderId="0"/>
    <xf numFmtId="165" fontId="33" fillId="0" borderId="0"/>
    <xf numFmtId="0" fontId="33" fillId="0" borderId="0"/>
    <xf numFmtId="165" fontId="33" fillId="0" borderId="0"/>
    <xf numFmtId="205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0" fontId="37" fillId="0" borderId="0"/>
    <xf numFmtId="0" fontId="33" fillId="0" borderId="0"/>
    <xf numFmtId="165" fontId="33" fillId="0" borderId="0"/>
    <xf numFmtId="0" fontId="33" fillId="0" borderId="0"/>
    <xf numFmtId="0" fontId="37" fillId="0" borderId="0"/>
    <xf numFmtId="165" fontId="37" fillId="0" borderId="0"/>
    <xf numFmtId="0" fontId="37" fillId="0" borderId="0"/>
    <xf numFmtId="165" fontId="37" fillId="0" borderId="0"/>
    <xf numFmtId="0" fontId="33" fillId="0" borderId="0"/>
    <xf numFmtId="165" fontId="33" fillId="0" borderId="0"/>
    <xf numFmtId="0" fontId="37" fillId="0" borderId="0"/>
    <xf numFmtId="165" fontId="37" fillId="0" borderId="0"/>
    <xf numFmtId="0" fontId="37" fillId="0" borderId="0"/>
    <xf numFmtId="165" fontId="37" fillId="0" borderId="0"/>
    <xf numFmtId="0" fontId="17" fillId="0" borderId="0"/>
    <xf numFmtId="0" fontId="33" fillId="0" borderId="0"/>
    <xf numFmtId="165" fontId="33" fillId="0" borderId="0"/>
    <xf numFmtId="206" fontId="39" fillId="0" borderId="0">
      <protection locked="0"/>
    </xf>
    <xf numFmtId="207" fontId="39" fillId="0" borderId="0">
      <protection locked="0"/>
    </xf>
    <xf numFmtId="206" fontId="39" fillId="0" borderId="0">
      <protection locked="0"/>
    </xf>
    <xf numFmtId="206" fontId="39" fillId="0" borderId="0">
      <protection locked="0"/>
    </xf>
    <xf numFmtId="207" fontId="39" fillId="0" borderId="0">
      <protection locked="0"/>
    </xf>
    <xf numFmtId="207" fontId="39" fillId="0" borderId="0">
      <protection locked="0"/>
    </xf>
    <xf numFmtId="208" fontId="39" fillId="0" borderId="0">
      <protection locked="0"/>
    </xf>
    <xf numFmtId="208" fontId="39" fillId="0" borderId="0">
      <protection locked="0"/>
    </xf>
    <xf numFmtId="209" fontId="39" fillId="0" borderId="25">
      <protection locked="0"/>
    </xf>
    <xf numFmtId="209" fontId="40" fillId="0" borderId="0">
      <protection locked="0"/>
    </xf>
    <xf numFmtId="209" fontId="40" fillId="0" borderId="0">
      <protection locked="0"/>
    </xf>
    <xf numFmtId="209" fontId="40" fillId="0" borderId="0">
      <protection locked="0"/>
    </xf>
    <xf numFmtId="209" fontId="40" fillId="0" borderId="0">
      <protection locked="0"/>
    </xf>
    <xf numFmtId="209" fontId="39" fillId="0" borderId="25">
      <protection locked="0"/>
    </xf>
    <xf numFmtId="209" fontId="39" fillId="0" borderId="25">
      <protection locked="0"/>
    </xf>
    <xf numFmtId="0" fontId="41" fillId="9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4" fontId="158" fillId="0" borderId="10">
      <alignment horizontal="right" vertical="top"/>
    </xf>
    <xf numFmtId="0" fontId="43" fillId="20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4" fontId="158" fillId="0" borderId="10">
      <alignment horizontal="right" vertical="top"/>
    </xf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7" borderId="0" applyNumberFormat="0" applyBorder="0" applyAlignment="0" applyProtection="0"/>
    <xf numFmtId="0" fontId="159" fillId="0" borderId="0" applyNumberFormat="0" applyFill="0" applyBorder="0" applyAlignment="0" applyProtection="0">
      <alignment vertical="top"/>
      <protection locked="0"/>
    </xf>
    <xf numFmtId="0" fontId="38" fillId="0" borderId="0"/>
    <xf numFmtId="196" fontId="100" fillId="0" borderId="40">
      <protection locked="0"/>
    </xf>
    <xf numFmtId="210" fontId="17" fillId="0" borderId="0" applyFont="0" applyFill="0" applyBorder="0" applyAlignment="0" applyProtection="0"/>
    <xf numFmtId="211" fontId="17" fillId="0" borderId="0" applyFont="0" applyFill="0" applyBorder="0" applyAlignment="0" applyProtection="0"/>
    <xf numFmtId="0" fontId="45" fillId="11" borderId="0" applyNumberFormat="0" applyBorder="0" applyAlignment="0" applyProtection="0"/>
    <xf numFmtId="0" fontId="55" fillId="49" borderId="0"/>
    <xf numFmtId="0" fontId="160" fillId="49" borderId="0"/>
    <xf numFmtId="0" fontId="48" fillId="28" borderId="27" applyNumberFormat="0" applyAlignment="0" applyProtection="0"/>
    <xf numFmtId="0" fontId="49" fillId="29" borderId="28" applyNumberFormat="0" applyAlignment="0" applyProtection="0"/>
    <xf numFmtId="0" fontId="50" fillId="0" borderId="10">
      <alignment horizontal="left" vertical="center"/>
    </xf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/>
    <xf numFmtId="196" fontId="111" fillId="40" borderId="4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>
      <alignment horizontal="right"/>
    </xf>
    <xf numFmtId="0" fontId="51" fillId="0" borderId="0" applyFill="0" applyBorder="0" applyProtection="0">
      <alignment vertical="center"/>
    </xf>
    <xf numFmtId="0" fontId="55" fillId="50" borderId="0"/>
    <xf numFmtId="0" fontId="160" fillId="51" borderId="0"/>
    <xf numFmtId="0" fontId="52" fillId="0" borderId="0" applyFont="0" applyFill="0" applyBorder="0" applyAlignment="0" applyProtection="0"/>
    <xf numFmtId="0" fontId="51" fillId="0" borderId="0" applyFont="0" applyFill="0" applyBorder="0" applyAlignment="0" applyProtection="0"/>
    <xf numFmtId="14" fontId="161" fillId="0" borderId="0">
      <alignment vertical="top"/>
    </xf>
    <xf numFmtId="0" fontId="51" fillId="0" borderId="29" applyNumberFormat="0" applyFont="0" applyFill="0" applyAlignment="0" applyProtection="0"/>
    <xf numFmtId="0" fontId="53" fillId="0" borderId="0" applyNumberFormat="0" applyFill="0" applyBorder="0" applyAlignment="0" applyProtection="0"/>
    <xf numFmtId="205" fontId="162" fillId="0" borderId="0">
      <alignment vertical="top"/>
    </xf>
    <xf numFmtId="205" fontId="162" fillId="0" borderId="0">
      <alignment vertical="top"/>
    </xf>
    <xf numFmtId="38" fontId="162" fillId="0" borderId="0">
      <alignment vertical="top"/>
    </xf>
    <xf numFmtId="165" fontId="21" fillId="0" borderId="0" applyFont="0" applyFill="0" applyBorder="0" applyAlignment="0" applyProtection="0"/>
    <xf numFmtId="165" fontId="16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72" fontId="163" fillId="0" borderId="0" applyFill="0" applyBorder="0" applyAlignment="0" applyProtection="0"/>
    <xf numFmtId="172" fontId="109" fillId="0" borderId="0" applyFill="0" applyBorder="0" applyAlignment="0" applyProtection="0"/>
    <xf numFmtId="172" fontId="164" fillId="0" borderId="0" applyFill="0" applyBorder="0" applyAlignment="0" applyProtection="0"/>
    <xf numFmtId="172" fontId="165" fillId="0" borderId="0" applyFill="0" applyBorder="0" applyAlignment="0" applyProtection="0"/>
    <xf numFmtId="172" fontId="166" fillId="0" borderId="0" applyFill="0" applyBorder="0" applyAlignment="0" applyProtection="0"/>
    <xf numFmtId="172" fontId="167" fillId="0" borderId="0" applyFill="0" applyBorder="0" applyAlignment="0" applyProtection="0"/>
    <xf numFmtId="172" fontId="168" fillId="0" borderId="0" applyFill="0" applyBorder="0" applyAlignment="0" applyProtection="0"/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Fill="0" applyBorder="0" applyProtection="0">
      <alignment horizontal="left"/>
    </xf>
    <xf numFmtId="0" fontId="58" fillId="12" borderId="0" applyNumberFormat="0" applyBorder="0" applyAlignment="0" applyProtection="0"/>
    <xf numFmtId="0" fontId="51" fillId="0" borderId="0" applyFont="0" applyFill="0" applyBorder="0" applyAlignment="0" applyProtection="0">
      <alignment horizontal="right"/>
    </xf>
    <xf numFmtId="0" fontId="61" fillId="0" borderId="0" applyProtection="0">
      <alignment horizontal="right"/>
    </xf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66" fillId="0" borderId="74" applyNumberFormat="0" applyFill="0" applyAlignment="0" applyProtection="0"/>
    <xf numFmtId="0" fontId="66" fillId="0" borderId="0" applyNumberFormat="0" applyFill="0" applyBorder="0" applyAlignment="0" applyProtection="0"/>
    <xf numFmtId="0" fontId="170" fillId="0" borderId="0">
      <alignment vertical="top"/>
    </xf>
    <xf numFmtId="2" fontId="62" fillId="30" borderId="0" applyAlignment="0">
      <alignment horizontal="right"/>
      <protection locked="0"/>
    </xf>
    <xf numFmtId="205" fontId="171" fillId="0" borderId="0">
      <alignment vertical="top"/>
    </xf>
    <xf numFmtId="205" fontId="171" fillId="0" borderId="0">
      <alignment vertical="top"/>
    </xf>
    <xf numFmtId="38" fontId="171" fillId="0" borderId="0">
      <alignment vertical="top"/>
    </xf>
    <xf numFmtId="0" fontId="32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0" fontId="173" fillId="0" borderId="0">
      <alignment vertical="center" wrapText="1"/>
    </xf>
    <xf numFmtId="196" fontId="174" fillId="0" borderId="0"/>
    <xf numFmtId="0" fontId="175" fillId="0" borderId="0" applyNumberFormat="0" applyFill="0" applyBorder="0" applyAlignment="0" applyProtection="0">
      <alignment vertical="top"/>
      <protection locked="0"/>
    </xf>
    <xf numFmtId="0" fontId="176" fillId="15" borderId="27" applyNumberFormat="0" applyAlignment="0" applyProtection="0"/>
    <xf numFmtId="0" fontId="68" fillId="0" borderId="0" applyFill="0" applyBorder="0" applyProtection="0">
      <alignment vertical="center"/>
    </xf>
    <xf numFmtId="0" fontId="68" fillId="0" borderId="0" applyFill="0" applyBorder="0" applyProtection="0">
      <alignment vertical="center"/>
    </xf>
    <xf numFmtId="0" fontId="68" fillId="0" borderId="0" applyFill="0" applyBorder="0" applyProtection="0">
      <alignment vertical="center"/>
    </xf>
    <xf numFmtId="0" fontId="68" fillId="0" borderId="0" applyFill="0" applyBorder="0" applyProtection="0">
      <alignment vertical="center"/>
    </xf>
    <xf numFmtId="205" fontId="157" fillId="0" borderId="0">
      <alignment vertical="top"/>
    </xf>
    <xf numFmtId="205" fontId="157" fillId="39" borderId="0">
      <alignment vertical="top"/>
    </xf>
    <xf numFmtId="205" fontId="157" fillId="39" borderId="0">
      <alignment vertical="top"/>
    </xf>
    <xf numFmtId="38" fontId="157" fillId="39" borderId="0">
      <alignment vertical="top"/>
    </xf>
    <xf numFmtId="205" fontId="157" fillId="0" borderId="0">
      <alignment vertical="top"/>
    </xf>
    <xf numFmtId="205" fontId="157" fillId="0" borderId="0">
      <alignment vertical="top"/>
    </xf>
    <xf numFmtId="212" fontId="157" fillId="6" borderId="0">
      <alignment vertical="top"/>
    </xf>
    <xf numFmtId="38" fontId="157" fillId="0" borderId="0">
      <alignment vertical="top"/>
    </xf>
    <xf numFmtId="0" fontId="69" fillId="0" borderId="31" applyNumberFormat="0" applyFill="0" applyAlignment="0" applyProtection="0"/>
    <xf numFmtId="0" fontId="51" fillId="0" borderId="0" applyFont="0" applyFill="0" applyBorder="0" applyAlignment="0" applyProtection="0">
      <alignment horizontal="right"/>
    </xf>
    <xf numFmtId="0" fontId="51" fillId="0" borderId="0" applyFill="0" applyBorder="0" applyProtection="0">
      <alignment vertical="center"/>
    </xf>
    <xf numFmtId="0" fontId="51" fillId="0" borderId="0" applyFont="0" applyFill="0" applyBorder="0" applyAlignment="0" applyProtection="0">
      <alignment horizontal="right"/>
    </xf>
    <xf numFmtId="0" fontId="73" fillId="31" borderId="0" applyNumberFormat="0" applyBorder="0" applyAlignment="0" applyProtection="0"/>
    <xf numFmtId="0" fontId="41" fillId="0" borderId="33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74" fillId="0" borderId="0">
      <alignment horizontal="right"/>
    </xf>
    <xf numFmtId="0" fontId="75" fillId="0" borderId="0"/>
    <xf numFmtId="0" fontId="51" fillId="0" borderId="0" applyFill="0" applyBorder="0" applyProtection="0">
      <alignment vertical="center"/>
    </xf>
    <xf numFmtId="0" fontId="76" fillId="0" borderId="0"/>
    <xf numFmtId="0" fontId="37" fillId="0" borderId="0"/>
    <xf numFmtId="0" fontId="112" fillId="32" borderId="34" applyNumberFormat="0" applyFont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59" fillId="0" borderId="0"/>
    <xf numFmtId="0" fontId="77" fillId="28" borderId="35" applyNumberFormat="0" applyAlignment="0" applyProtection="0"/>
    <xf numFmtId="0" fontId="51" fillId="0" borderId="0" applyFill="0" applyBorder="0" applyProtection="0">
      <alignment vertical="center"/>
    </xf>
    <xf numFmtId="217" fontId="177" fillId="52" borderId="10">
      <alignment horizontal="center" vertical="center" wrapText="1"/>
      <protection locked="0"/>
    </xf>
    <xf numFmtId="0" fontId="13" fillId="0" borderId="0">
      <alignment vertical="center"/>
    </xf>
    <xf numFmtId="0" fontId="84" fillId="0" borderId="39">
      <alignment vertical="center"/>
    </xf>
    <xf numFmtId="4" fontId="178" fillId="8" borderId="35" applyNumberFormat="0" applyProtection="0">
      <alignment vertical="center"/>
    </xf>
    <xf numFmtId="4" fontId="179" fillId="8" borderId="35" applyNumberFormat="0" applyProtection="0">
      <alignment vertical="center"/>
    </xf>
    <xf numFmtId="4" fontId="178" fillId="8" borderId="35" applyNumberFormat="0" applyProtection="0">
      <alignment horizontal="left" vertical="center" indent="1"/>
    </xf>
    <xf numFmtId="4" fontId="178" fillId="8" borderId="35" applyNumberFormat="0" applyProtection="0">
      <alignment horizontal="left" vertical="center" indent="1"/>
    </xf>
    <xf numFmtId="0" fontId="13" fillId="53" borderId="35" applyNumberFormat="0" applyProtection="0">
      <alignment horizontal="left" vertical="center" indent="1"/>
    </xf>
    <xf numFmtId="4" fontId="178" fillId="54" borderId="35" applyNumberFormat="0" applyProtection="0">
      <alignment horizontal="right" vertical="center"/>
    </xf>
    <xf numFmtId="4" fontId="178" fillId="55" borderId="35" applyNumberFormat="0" applyProtection="0">
      <alignment horizontal="right" vertical="center"/>
    </xf>
    <xf numFmtId="4" fontId="178" fillId="56" borderId="35" applyNumberFormat="0" applyProtection="0">
      <alignment horizontal="right" vertical="center"/>
    </xf>
    <xf numFmtId="4" fontId="178" fillId="57" borderId="35" applyNumberFormat="0" applyProtection="0">
      <alignment horizontal="right" vertical="center"/>
    </xf>
    <xf numFmtId="4" fontId="178" fillId="58" borderId="35" applyNumberFormat="0" applyProtection="0">
      <alignment horizontal="right" vertical="center"/>
    </xf>
    <xf numFmtId="4" fontId="178" fillId="59" borderId="35" applyNumberFormat="0" applyProtection="0">
      <alignment horizontal="right" vertical="center"/>
    </xf>
    <xf numFmtId="4" fontId="178" fillId="60" borderId="35" applyNumberFormat="0" applyProtection="0">
      <alignment horizontal="right" vertical="center"/>
    </xf>
    <xf numFmtId="4" fontId="178" fillId="61" borderId="35" applyNumberFormat="0" applyProtection="0">
      <alignment horizontal="right" vertical="center"/>
    </xf>
    <xf numFmtId="4" fontId="178" fillId="62" borderId="35" applyNumberFormat="0" applyProtection="0">
      <alignment horizontal="right" vertical="center"/>
    </xf>
    <xf numFmtId="4" fontId="160" fillId="63" borderId="35" applyNumberFormat="0" applyProtection="0">
      <alignment horizontal="left" vertical="center" indent="1"/>
    </xf>
    <xf numFmtId="4" fontId="178" fillId="64" borderId="75" applyNumberFormat="0" applyProtection="0">
      <alignment horizontal="left" vertical="center" indent="1"/>
    </xf>
    <xf numFmtId="4" fontId="180" fillId="65" borderId="0" applyNumberFormat="0" applyProtection="0">
      <alignment horizontal="left" vertical="center" indent="1"/>
    </xf>
    <xf numFmtId="0" fontId="13" fillId="53" borderId="35" applyNumberFormat="0" applyProtection="0">
      <alignment horizontal="left" vertical="center" indent="1"/>
    </xf>
    <xf numFmtId="4" fontId="181" fillId="64" borderId="35" applyNumberFormat="0" applyProtection="0">
      <alignment horizontal="left" vertical="center" indent="1"/>
    </xf>
    <xf numFmtId="4" fontId="181" fillId="66" borderId="35" applyNumberFormat="0" applyProtection="0">
      <alignment horizontal="left" vertical="center" indent="1"/>
    </xf>
    <xf numFmtId="0" fontId="13" fillId="66" borderId="35" applyNumberFormat="0" applyProtection="0">
      <alignment horizontal="left" vertical="center" indent="1"/>
    </xf>
    <xf numFmtId="0" fontId="13" fillId="66" borderId="35" applyNumberFormat="0" applyProtection="0">
      <alignment horizontal="left" vertical="center" indent="1"/>
    </xf>
    <xf numFmtId="0" fontId="13" fillId="67" borderId="35" applyNumberFormat="0" applyProtection="0">
      <alignment horizontal="left" vertical="center" indent="1"/>
    </xf>
    <xf numFmtId="0" fontId="13" fillId="67" borderId="35" applyNumberFormat="0" applyProtection="0">
      <alignment horizontal="left" vertical="center" indent="1"/>
    </xf>
    <xf numFmtId="0" fontId="13" fillId="39" borderId="35" applyNumberFormat="0" applyProtection="0">
      <alignment horizontal="left" vertical="center" indent="1"/>
    </xf>
    <xf numFmtId="0" fontId="13" fillId="39" borderId="35" applyNumberFormat="0" applyProtection="0">
      <alignment horizontal="left" vertical="center" indent="1"/>
    </xf>
    <xf numFmtId="0" fontId="13" fillId="53" borderId="35" applyNumberFormat="0" applyProtection="0">
      <alignment horizontal="left" vertical="center" indent="1"/>
    </xf>
    <xf numFmtId="0" fontId="13" fillId="53" borderId="35" applyNumberFormat="0" applyProtection="0">
      <alignment horizontal="left" vertical="center" indent="1"/>
    </xf>
    <xf numFmtId="0" fontId="17" fillId="0" borderId="0"/>
    <xf numFmtId="0" fontId="17" fillId="0" borderId="0"/>
    <xf numFmtId="0" fontId="17" fillId="0" borderId="0"/>
    <xf numFmtId="0" fontId="17" fillId="0" borderId="0"/>
    <xf numFmtId="4" fontId="178" fillId="68" borderId="35" applyNumberFormat="0" applyProtection="0">
      <alignment vertical="center"/>
    </xf>
    <xf numFmtId="4" fontId="179" fillId="68" borderId="35" applyNumberFormat="0" applyProtection="0">
      <alignment vertical="center"/>
    </xf>
    <xf numFmtId="4" fontId="178" fillId="68" borderId="35" applyNumberFormat="0" applyProtection="0">
      <alignment horizontal="left" vertical="center" indent="1"/>
    </xf>
    <xf numFmtId="4" fontId="178" fillId="68" borderId="35" applyNumberFormat="0" applyProtection="0">
      <alignment horizontal="left" vertical="center" indent="1"/>
    </xf>
    <xf numFmtId="4" fontId="178" fillId="64" borderId="35" applyNumberFormat="0" applyProtection="0">
      <alignment horizontal="right" vertical="center"/>
    </xf>
    <xf numFmtId="4" fontId="179" fillId="64" borderId="35" applyNumberFormat="0" applyProtection="0">
      <alignment horizontal="right" vertical="center"/>
    </xf>
    <xf numFmtId="0" fontId="13" fillId="53" borderId="35" applyNumberFormat="0" applyProtection="0">
      <alignment horizontal="left" vertical="center" indent="1"/>
    </xf>
    <xf numFmtId="0" fontId="13" fillId="53" borderId="35" applyNumberFormat="0" applyProtection="0">
      <alignment horizontal="left" vertical="center" indent="1"/>
    </xf>
    <xf numFmtId="0" fontId="182" fillId="0" borderId="0"/>
    <xf numFmtId="4" fontId="183" fillId="64" borderId="35" applyNumberFormat="0" applyProtection="0">
      <alignment horizontal="right" vertical="center"/>
    </xf>
    <xf numFmtId="218" fontId="13" fillId="69" borderId="10">
      <alignment vertical="center"/>
    </xf>
    <xf numFmtId="0" fontId="85" fillId="0" borderId="0">
      <alignment horizontal="left" vertical="center" wrapText="1"/>
    </xf>
    <xf numFmtId="0" fontId="37" fillId="0" borderId="0"/>
    <xf numFmtId="0" fontId="86" fillId="0" borderId="0" applyBorder="0" applyProtection="0">
      <alignment vertical="center"/>
    </xf>
    <xf numFmtId="0" fontId="86" fillId="0" borderId="36" applyBorder="0" applyProtection="0">
      <alignment horizontal="right" vertical="center"/>
    </xf>
    <xf numFmtId="0" fontId="87" fillId="33" borderId="0" applyBorder="0" applyProtection="0">
      <alignment horizontal="centerContinuous" vertical="center"/>
    </xf>
    <xf numFmtId="0" fontId="87" fillId="34" borderId="36" applyBorder="0" applyProtection="0">
      <alignment horizontal="centerContinuous" vertical="center"/>
    </xf>
    <xf numFmtId="205" fontId="184" fillId="70" borderId="0">
      <alignment horizontal="right" vertical="top"/>
    </xf>
    <xf numFmtId="205" fontId="184" fillId="70" borderId="0">
      <alignment horizontal="right" vertical="top"/>
    </xf>
    <xf numFmtId="38" fontId="184" fillId="70" borderId="0">
      <alignment horizontal="right" vertical="top"/>
    </xf>
    <xf numFmtId="0" fontId="76" fillId="0" borderId="0"/>
    <xf numFmtId="0" fontId="90" fillId="0" borderId="0" applyFill="0" applyBorder="0" applyProtection="0">
      <alignment horizontal="left"/>
    </xf>
    <xf numFmtId="0" fontId="57" fillId="0" borderId="24" applyFill="0" applyBorder="0" applyProtection="0">
      <alignment horizontal="left" vertical="top"/>
    </xf>
    <xf numFmtId="0" fontId="92" fillId="0" borderId="0"/>
    <xf numFmtId="0" fontId="92" fillId="0" borderId="24" applyFill="0" applyBorder="0" applyProtection="0"/>
    <xf numFmtId="0" fontId="94" fillId="0" borderId="0"/>
    <xf numFmtId="0" fontId="93" fillId="0" borderId="0" applyFill="0" applyBorder="0" applyProtection="0"/>
    <xf numFmtId="0" fontId="185" fillId="0" borderId="0" applyNumberFormat="0" applyFill="0" applyBorder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96" fillId="0" borderId="29" applyFill="0" applyBorder="0" applyProtection="0">
      <alignment vertical="center"/>
    </xf>
    <xf numFmtId="0" fontId="59" fillId="0" borderId="0"/>
    <xf numFmtId="217" fontId="187" fillId="56" borderId="44">
      <alignment horizontal="center" vertical="center"/>
    </xf>
    <xf numFmtId="0" fontId="98" fillId="0" borderId="0" applyNumberFormat="0" applyFill="0" applyBorder="0" applyAlignment="0" applyProtection="0"/>
    <xf numFmtId="0" fontId="99" fillId="0" borderId="36" applyBorder="0" applyProtection="0">
      <alignment horizontal="right"/>
    </xf>
    <xf numFmtId="217" fontId="13" fillId="71" borderId="10" applyNumberFormat="0" applyFill="0" applyBorder="0" applyProtection="0">
      <alignment vertical="center"/>
      <protection locked="0"/>
    </xf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176" fillId="15" borderId="27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77" fillId="28" borderId="35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48" fillId="28" borderId="27" applyNumberFormat="0" applyAlignment="0" applyProtection="0"/>
    <xf numFmtId="0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173" fontId="104" fillId="0" borderId="10">
      <alignment vertical="top" wrapText="1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219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169" fillId="0" borderId="73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3" fillId="0" borderId="0" applyBorder="0">
      <alignment horizontal="center" vertical="center" wrapText="1"/>
    </xf>
    <xf numFmtId="0" fontId="28" fillId="0" borderId="0" applyBorder="0">
      <alignment horizontal="center" vertical="center" wrapText="1"/>
    </xf>
    <xf numFmtId="0" fontId="131" fillId="0" borderId="0"/>
    <xf numFmtId="0" fontId="116" fillId="0" borderId="0" applyNumberFormat="0" applyFill="0" applyBorder="0" applyAlignment="0" applyProtection="0"/>
    <xf numFmtId="0" fontId="194" fillId="0" borderId="20" applyBorder="0">
      <alignment horizontal="center" vertical="center" wrapText="1"/>
    </xf>
    <xf numFmtId="0" fontId="27" fillId="0" borderId="20" applyBorder="0">
      <alignment horizontal="center" vertical="center" wrapText="1"/>
    </xf>
    <xf numFmtId="49" fontId="195" fillId="0" borderId="0" applyBorder="0">
      <alignment vertical="center"/>
    </xf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0" fontId="186" fillId="0" borderId="76" applyNumberFormat="0" applyFill="0" applyAlignment="0" applyProtection="0"/>
    <xf numFmtId="3" fontId="111" fillId="0" borderId="10" applyBorder="0">
      <alignment vertical="center"/>
    </xf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49" fillId="29" borderId="28" applyNumberFormat="0" applyAlignment="0" applyProtection="0"/>
    <xf numFmtId="0" fontId="17" fillId="0" borderId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4" fillId="6" borderId="0" applyFill="0">
      <alignment wrapText="1"/>
    </xf>
    <xf numFmtId="0" fontId="116" fillId="0" borderId="0">
      <alignment horizontal="center" vertical="top" wrapText="1"/>
    </xf>
    <xf numFmtId="0" fontId="117" fillId="0" borderId="0">
      <alignment horizontal="centerContinuous" vertical="center" wrapText="1"/>
    </xf>
    <xf numFmtId="0" fontId="117" fillId="0" borderId="0">
      <alignment horizontal="centerContinuous" vertical="center" wrapText="1"/>
    </xf>
    <xf numFmtId="165" fontId="116" fillId="0" borderId="0">
      <alignment horizontal="center" vertical="top" wrapText="1"/>
    </xf>
    <xf numFmtId="166" fontId="196" fillId="6" borderId="10">
      <alignment wrapText="1"/>
    </xf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49" fontId="112" fillId="0" borderId="0" applyBorder="0">
      <alignment vertical="top"/>
    </xf>
    <xf numFmtId="49" fontId="112" fillId="0" borderId="0" applyBorder="0">
      <alignment vertical="top"/>
    </xf>
    <xf numFmtId="0" fontId="13" fillId="0" borderId="0"/>
    <xf numFmtId="0" fontId="8" fillId="0" borderId="0"/>
    <xf numFmtId="0" fontId="8" fillId="0" borderId="0"/>
    <xf numFmtId="0" fontId="8" fillId="0" borderId="0"/>
    <xf numFmtId="0" fontId="197" fillId="0" borderId="0"/>
    <xf numFmtId="0" fontId="42" fillId="0" borderId="0"/>
    <xf numFmtId="0" fontId="8" fillId="0" borderId="0"/>
    <xf numFmtId="49" fontId="112" fillId="0" borderId="0" applyBorder="0">
      <alignment vertical="top"/>
    </xf>
    <xf numFmtId="0" fontId="17" fillId="0" borderId="0"/>
    <xf numFmtId="0" fontId="136" fillId="0" borderId="0"/>
    <xf numFmtId="0" fontId="17" fillId="0" borderId="0"/>
    <xf numFmtId="0" fontId="198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8" fillId="0" borderId="0"/>
    <xf numFmtId="0" fontId="17" fillId="0" borderId="0"/>
    <xf numFmtId="0" fontId="121" fillId="0" borderId="0"/>
    <xf numFmtId="0" fontId="13" fillId="0" borderId="0"/>
    <xf numFmtId="0" fontId="8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42" fillId="0" borderId="0"/>
    <xf numFmtId="0" fontId="1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5" fontId="1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8" fillId="0" borderId="0"/>
    <xf numFmtId="49" fontId="112" fillId="0" borderId="0">
      <alignment vertical="top"/>
    </xf>
    <xf numFmtId="0" fontId="8" fillId="0" borderId="0"/>
    <xf numFmtId="0" fontId="8" fillId="0" borderId="0"/>
    <xf numFmtId="0" fontId="21" fillId="0" borderId="0"/>
    <xf numFmtId="0" fontId="8" fillId="0" borderId="0"/>
    <xf numFmtId="0" fontId="136" fillId="0" borderId="0"/>
    <xf numFmtId="0" fontId="8" fillId="0" borderId="0"/>
    <xf numFmtId="0" fontId="136" fillId="0" borderId="0"/>
    <xf numFmtId="0" fontId="136" fillId="0" borderId="0"/>
    <xf numFmtId="0" fontId="136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8" fillId="0" borderId="0"/>
    <xf numFmtId="49" fontId="112" fillId="0" borderId="0" applyBorder="0">
      <alignment vertical="top"/>
    </xf>
    <xf numFmtId="49" fontId="112" fillId="0" borderId="0" applyBorder="0">
      <alignment vertical="top"/>
    </xf>
    <xf numFmtId="0" fontId="21" fillId="0" borderId="0"/>
    <xf numFmtId="49" fontId="112" fillId="0" borderId="0" applyBorder="0">
      <alignment vertical="top"/>
    </xf>
    <xf numFmtId="49" fontId="112" fillId="0" borderId="0" applyBorder="0">
      <alignment vertical="top"/>
    </xf>
    <xf numFmtId="49" fontId="112" fillId="0" borderId="0" applyBorder="0">
      <alignment vertical="top"/>
    </xf>
    <xf numFmtId="49" fontId="112" fillId="0" borderId="0" applyBorder="0">
      <alignment vertical="top"/>
    </xf>
    <xf numFmtId="49" fontId="112" fillId="0" borderId="0" applyBorder="0">
      <alignment vertical="top"/>
    </xf>
    <xf numFmtId="49" fontId="112" fillId="0" borderId="0" applyBorder="0">
      <alignment vertical="top"/>
    </xf>
    <xf numFmtId="0" fontId="17" fillId="0" borderId="0"/>
    <xf numFmtId="49" fontId="112" fillId="0" borderId="0" applyBorder="0">
      <alignment vertical="top"/>
    </xf>
    <xf numFmtId="0" fontId="173" fillId="0" borderId="0">
      <alignment vertical="center" wrapText="1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7" fillId="0" borderId="0" applyFont="0" applyFill="0" applyBorder="0" applyProtection="0">
      <alignment horizontal="center" vertical="center" wrapText="1"/>
    </xf>
    <xf numFmtId="0" fontId="17" fillId="0" borderId="0" applyFont="0" applyFill="0" applyBorder="0" applyProtection="0">
      <alignment horizontal="center" vertical="center" wrapText="1"/>
    </xf>
    <xf numFmtId="0" fontId="17" fillId="0" borderId="0" applyFont="0" applyFill="0" applyBorder="0" applyProtection="0">
      <alignment horizontal="center" vertical="center" wrapText="1"/>
    </xf>
    <xf numFmtId="0" fontId="17" fillId="0" borderId="0" applyFont="0" applyFill="0" applyBorder="0" applyProtection="0">
      <alignment horizontal="center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0" fontId="13" fillId="32" borderId="34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10" applyNumberFormat="0" applyFon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205" fontId="109" fillId="0" borderId="0">
      <alignment vertical="top"/>
    </xf>
    <xf numFmtId="193" fontId="200" fillId="0" borderId="0">
      <alignment vertical="top"/>
    </xf>
    <xf numFmtId="201" fontId="200" fillId="0" borderId="0">
      <alignment vertical="top"/>
    </xf>
    <xf numFmtId="205" fontId="200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0" fontId="33" fillId="0" borderId="0"/>
    <xf numFmtId="0" fontId="37" fillId="0" borderId="0"/>
    <xf numFmtId="49" fontId="201" fillId="72" borderId="11" applyBorder="0" applyProtection="0">
      <alignment horizontal="left" vertical="center"/>
    </xf>
    <xf numFmtId="172" fontId="114" fillId="0" borderId="0" applyFill="0" applyBorder="0" applyAlignment="0" applyProtection="0"/>
    <xf numFmtId="172" fontId="114" fillId="0" borderId="0" applyFill="0" applyBorder="0" applyAlignment="0" applyProtection="0"/>
    <xf numFmtId="172" fontId="114" fillId="0" borderId="0" applyFill="0" applyBorder="0" applyAlignment="0" applyProtection="0"/>
    <xf numFmtId="172" fontId="114" fillId="0" borderId="0" applyFill="0" applyBorder="0" applyAlignment="0" applyProtection="0"/>
    <xf numFmtId="172" fontId="114" fillId="0" borderId="0" applyFill="0" applyBorder="0" applyAlignment="0" applyProtection="0"/>
    <xf numFmtId="172" fontId="114" fillId="0" borderId="0" applyFill="0" applyBorder="0" applyAlignment="0" applyProtection="0"/>
    <xf numFmtId="172" fontId="114" fillId="0" borderId="0" applyFill="0" applyBorder="0" applyAlignment="0" applyProtection="0"/>
    <xf numFmtId="172" fontId="114" fillId="0" borderId="0" applyFill="0" applyBorder="0" applyAlignment="0" applyProtection="0"/>
    <xf numFmtId="172" fontId="114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0" fontId="1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7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208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112" fillId="6" borderId="0" applyBorder="0">
      <alignment horizontal="right"/>
    </xf>
    <xf numFmtId="4" fontId="112" fillId="6" borderId="0" applyBorder="0">
      <alignment horizontal="right"/>
    </xf>
    <xf numFmtId="4" fontId="202" fillId="6" borderId="0" applyBorder="0">
      <alignment horizontal="right"/>
    </xf>
    <xf numFmtId="4" fontId="112" fillId="6" borderId="0" applyBorder="0">
      <alignment horizontal="right"/>
    </xf>
    <xf numFmtId="4" fontId="112" fillId="6" borderId="10" applyFont="0" applyBorder="0">
      <alignment horizontal="right"/>
    </xf>
    <xf numFmtId="4" fontId="112" fillId="6" borderId="10" applyFont="0" applyBorder="0">
      <alignment horizontal="right"/>
    </xf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220" fontId="17" fillId="0" borderId="10" applyFont="0" applyFill="0" applyBorder="0" applyProtection="0">
      <alignment horizontal="center" vertical="center"/>
    </xf>
    <xf numFmtId="220" fontId="17" fillId="0" borderId="10" applyFont="0" applyFill="0" applyBorder="0" applyProtection="0">
      <alignment horizontal="center" vertical="center"/>
    </xf>
    <xf numFmtId="220" fontId="17" fillId="0" borderId="10" applyFont="0" applyFill="0" applyBorder="0" applyProtection="0">
      <alignment horizontal="center" vertical="center"/>
    </xf>
    <xf numFmtId="220" fontId="17" fillId="0" borderId="10" applyFont="0" applyFill="0" applyBorder="0" applyProtection="0">
      <alignment horizontal="center" vertical="center"/>
    </xf>
    <xf numFmtId="221" fontId="39" fillId="0" borderId="0">
      <protection locked="0"/>
    </xf>
    <xf numFmtId="221" fontId="39" fillId="0" borderId="0">
      <protection locked="0"/>
    </xf>
    <xf numFmtId="0" fontId="100" fillId="0" borderId="10" applyBorder="0">
      <alignment horizontal="center" vertical="center" wrapText="1"/>
    </xf>
    <xf numFmtId="49" fontId="104" fillId="0" borderId="10">
      <alignment horizontal="center" vertical="center" wrapText="1"/>
    </xf>
    <xf numFmtId="0" fontId="13" fillId="0" borderId="0"/>
    <xf numFmtId="0" fontId="7" fillId="0" borderId="0"/>
    <xf numFmtId="164" fontId="7" fillId="0" borderId="0" applyFont="0" applyFill="0" applyBorder="0" applyAlignment="0" applyProtection="0"/>
    <xf numFmtId="0" fontId="186" fillId="0" borderId="76" applyNumberFormat="0" applyFill="0" applyAlignment="0" applyProtection="0"/>
    <xf numFmtId="0" fontId="45" fillId="11" borderId="0" applyNumberFormat="0" applyBorder="0" applyAlignment="0" applyProtection="0"/>
    <xf numFmtId="0" fontId="58" fillId="12" borderId="0" applyNumberFormat="0" applyBorder="0" applyAlignment="0" applyProtection="0"/>
    <xf numFmtId="0" fontId="54" fillId="0" borderId="0" applyNumberFormat="0" applyFill="0" applyBorder="0" applyAlignment="0" applyProtection="0"/>
    <xf numFmtId="0" fontId="42" fillId="32" borderId="34" applyNumberFormat="0" applyFont="0" applyAlignment="0" applyProtection="0"/>
    <xf numFmtId="0" fontId="42" fillId="32" borderId="34" applyNumberFormat="0" applyFont="0" applyAlignment="0" applyProtection="0"/>
    <xf numFmtId="0" fontId="17" fillId="32" borderId="34" applyNumberFormat="0" applyFont="0" applyAlignment="0" applyProtection="0"/>
    <xf numFmtId="0" fontId="17" fillId="0" borderId="0"/>
    <xf numFmtId="0" fontId="73" fillId="31" borderId="0" applyNumberFormat="0" applyBorder="0" applyAlignment="0" applyProtection="0"/>
    <xf numFmtId="0" fontId="42" fillId="0" borderId="0"/>
    <xf numFmtId="0" fontId="42" fillId="0" borderId="0"/>
    <xf numFmtId="0" fontId="43" fillId="23" borderId="0" applyNumberFormat="0" applyBorder="0" applyAlignment="0" applyProtection="0"/>
    <xf numFmtId="0" fontId="69" fillId="0" borderId="31" applyNumberFormat="0" applyFill="0" applyAlignment="0" applyProtection="0"/>
    <xf numFmtId="0" fontId="49" fillId="29" borderId="28" applyNumberFormat="0" applyAlignment="0" applyProtection="0"/>
    <xf numFmtId="0" fontId="98" fillId="0" borderId="0" applyNumberFormat="0" applyFill="0" applyBorder="0" applyAlignment="0" applyProtection="0"/>
    <xf numFmtId="0" fontId="6" fillId="0" borderId="0"/>
    <xf numFmtId="0" fontId="136" fillId="0" borderId="0"/>
    <xf numFmtId="0" fontId="6" fillId="0" borderId="0"/>
    <xf numFmtId="0" fontId="136" fillId="0" borderId="0"/>
    <xf numFmtId="0" fontId="136" fillId="0" borderId="0"/>
    <xf numFmtId="0" fontId="5" fillId="0" borderId="0"/>
    <xf numFmtId="0" fontId="136" fillId="0" borderId="0"/>
    <xf numFmtId="0" fontId="21" fillId="0" borderId="0"/>
    <xf numFmtId="0" fontId="13" fillId="0" borderId="0"/>
    <xf numFmtId="0" fontId="4" fillId="0" borderId="0"/>
    <xf numFmtId="0" fontId="22" fillId="0" borderId="0"/>
    <xf numFmtId="0" fontId="13" fillId="0" borderId="0"/>
    <xf numFmtId="0" fontId="1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222" fillId="0" borderId="0"/>
    <xf numFmtId="0" fontId="33" fillId="0" borderId="0"/>
    <xf numFmtId="0" fontId="33" fillId="0" borderId="0"/>
    <xf numFmtId="0" fontId="33" fillId="0" borderId="0"/>
    <xf numFmtId="0" fontId="222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100" fillId="0" borderId="0"/>
    <xf numFmtId="0" fontId="33" fillId="0" borderId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3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1" fillId="0" borderId="0">
      <alignment vertical="top"/>
    </xf>
    <xf numFmtId="0" fontId="181" fillId="0" borderId="0">
      <alignment vertical="top"/>
    </xf>
    <xf numFmtId="0" fontId="33" fillId="0" borderId="0"/>
    <xf numFmtId="0" fontId="33" fillId="0" borderId="0"/>
    <xf numFmtId="0" fontId="33" fillId="0" borderId="0"/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205" fontId="109" fillId="0" borderId="0">
      <alignment vertical="top"/>
    </xf>
    <xf numFmtId="176" fontId="13" fillId="8" borderId="23">
      <alignment wrapText="1"/>
      <protection locked="0"/>
    </xf>
    <xf numFmtId="176" fontId="13" fillId="8" borderId="23">
      <alignment wrapText="1"/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181" fillId="0" borderId="0">
      <alignment vertical="top"/>
    </xf>
    <xf numFmtId="0" fontId="37" fillId="0" borderId="0"/>
    <xf numFmtId="0" fontId="181" fillId="0" borderId="0">
      <alignment vertical="top"/>
    </xf>
    <xf numFmtId="0" fontId="37" fillId="0" borderId="0"/>
    <xf numFmtId="0" fontId="33" fillId="0" borderId="0"/>
    <xf numFmtId="0" fontId="37" fillId="0" borderId="0"/>
    <xf numFmtId="0" fontId="181" fillId="0" borderId="0">
      <alignment vertical="top"/>
    </xf>
    <xf numFmtId="0" fontId="181" fillId="0" borderId="0">
      <alignment vertical="top"/>
    </xf>
    <xf numFmtId="0" fontId="3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3" fillId="0" borderId="0"/>
    <xf numFmtId="0" fontId="3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9" fillId="0" borderId="0">
      <protection locked="0"/>
    </xf>
    <xf numFmtId="0" fontId="39" fillId="0" borderId="0"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22" fillId="0" borderId="0"/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205" fontId="10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223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37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7" fillId="0" borderId="0"/>
    <xf numFmtId="0" fontId="1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205" fontId="109" fillId="0" borderId="0">
      <alignment vertical="top"/>
    </xf>
    <xf numFmtId="0" fontId="17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1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3" fillId="0" borderId="0"/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205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5" fontId="109" fillId="0" borderId="0">
      <alignment vertical="top"/>
    </xf>
    <xf numFmtId="205" fontId="109" fillId="0" borderId="0">
      <alignment vertical="top"/>
    </xf>
    <xf numFmtId="0" fontId="17" fillId="0" borderId="0"/>
    <xf numFmtId="0" fontId="37" fillId="0" borderId="0"/>
    <xf numFmtId="0" fontId="33" fillId="0" borderId="0"/>
    <xf numFmtId="0" fontId="37" fillId="0" borderId="0"/>
    <xf numFmtId="0" fontId="181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225" fontId="13" fillId="0" borderId="33" applyFont="0">
      <alignment shrinkToFit="1"/>
    </xf>
    <xf numFmtId="0" fontId="37" fillId="0" borderId="0"/>
    <xf numFmtId="0" fontId="3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1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44" fontId="17" fillId="0" borderId="0">
      <protection locked="0"/>
    </xf>
    <xf numFmtId="44" fontId="17" fillId="0" borderId="0">
      <protection locked="0"/>
    </xf>
    <xf numFmtId="44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25">
      <protection locked="0"/>
    </xf>
    <xf numFmtId="0" fontId="17" fillId="0" borderId="0"/>
    <xf numFmtId="226" fontId="21" fillId="0" borderId="0">
      <alignment horizontal="center"/>
    </xf>
    <xf numFmtId="0" fontId="199" fillId="88" borderId="0" applyNumberFormat="0" applyBorder="0" applyAlignment="0" applyProtection="0"/>
    <xf numFmtId="0" fontId="199" fillId="15" borderId="0" applyNumberFormat="0" applyBorder="0" applyAlignment="0" applyProtection="0"/>
    <xf numFmtId="0" fontId="199" fillId="32" borderId="0" applyNumberFormat="0" applyBorder="0" applyAlignment="0" applyProtection="0"/>
    <xf numFmtId="0" fontId="199" fillId="88" borderId="0" applyNumberFormat="0" applyBorder="0" applyAlignment="0" applyProtection="0"/>
    <xf numFmtId="0" fontId="199" fillId="14" borderId="0" applyNumberFormat="0" applyBorder="0" applyAlignment="0" applyProtection="0"/>
    <xf numFmtId="0" fontId="199" fillId="15" borderId="0" applyNumberFormat="0" applyBorder="0" applyAlignment="0" applyProtection="0"/>
    <xf numFmtId="0" fontId="199" fillId="28" borderId="0" applyNumberFormat="0" applyBorder="0" applyAlignment="0" applyProtection="0"/>
    <xf numFmtId="0" fontId="199" fillId="17" borderId="0" applyNumberFormat="0" applyBorder="0" applyAlignment="0" applyProtection="0"/>
    <xf numFmtId="0" fontId="199" fillId="31" borderId="0" applyNumberFormat="0" applyBorder="0" applyAlignment="0" applyProtection="0"/>
    <xf numFmtId="0" fontId="199" fillId="28" borderId="0" applyNumberFormat="0" applyBorder="0" applyAlignment="0" applyProtection="0"/>
    <xf numFmtId="0" fontId="199" fillId="16" borderId="0" applyNumberFormat="0" applyBorder="0" applyAlignment="0" applyProtection="0"/>
    <xf numFmtId="0" fontId="199" fillId="15" borderId="0" applyNumberFormat="0" applyBorder="0" applyAlignment="0" applyProtection="0"/>
    <xf numFmtId="4" fontId="158" fillId="0" borderId="10">
      <alignment horizontal="right" vertical="top"/>
    </xf>
    <xf numFmtId="0" fontId="224" fillId="22" borderId="0" applyNumberFormat="0" applyBorder="0" applyAlignment="0" applyProtection="0"/>
    <xf numFmtId="0" fontId="224" fillId="17" borderId="0" applyNumberFormat="0" applyBorder="0" applyAlignment="0" applyProtection="0"/>
    <xf numFmtId="0" fontId="224" fillId="31" borderId="0" applyNumberFormat="0" applyBorder="0" applyAlignment="0" applyProtection="0"/>
    <xf numFmtId="0" fontId="224" fillId="28" borderId="0" applyNumberFormat="0" applyBorder="0" applyAlignment="0" applyProtection="0"/>
    <xf numFmtId="0" fontId="224" fillId="22" borderId="0" applyNumberFormat="0" applyBorder="0" applyAlignment="0" applyProtection="0"/>
    <xf numFmtId="0" fontId="224" fillId="15" borderId="0" applyNumberFormat="0" applyBorder="0" applyAlignment="0" applyProtection="0"/>
    <xf numFmtId="227" fontId="225" fillId="0" borderId="0" applyFont="0" applyFill="0" applyBorder="0">
      <alignment horizontal="center"/>
    </xf>
    <xf numFmtId="4" fontId="158" fillId="0" borderId="10">
      <alignment horizontal="right" vertical="top"/>
    </xf>
    <xf numFmtId="0" fontId="75" fillId="0" borderId="0">
      <alignment horizontal="right"/>
    </xf>
    <xf numFmtId="0" fontId="174" fillId="49" borderId="0"/>
    <xf numFmtId="0" fontId="226" fillId="0" borderId="0" applyFill="0" applyBorder="0" applyProtection="0">
      <alignment horizontal="center"/>
      <protection locked="0"/>
    </xf>
    <xf numFmtId="178" fontId="100" fillId="89" borderId="44">
      <alignment vertical="center"/>
    </xf>
    <xf numFmtId="0" fontId="50" fillId="0" borderId="10">
      <alignment horizontal="left" vertical="center"/>
    </xf>
    <xf numFmtId="165" fontId="50" fillId="0" borderId="10">
      <alignment horizontal="left" vertical="center"/>
    </xf>
    <xf numFmtId="228" fontId="13" fillId="0" borderId="88" applyFont="0" applyFill="0" applyBorder="0" applyProtection="0">
      <alignment horizontal="center"/>
      <protection locked="0"/>
    </xf>
    <xf numFmtId="0" fontId="39" fillId="0" borderId="0">
      <protection locked="0"/>
    </xf>
    <xf numFmtId="229" fontId="13" fillId="0" borderId="0" applyFont="0" applyFill="0" applyBorder="0" applyAlignment="0" applyProtection="0"/>
    <xf numFmtId="230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0" fontId="227" fillId="0" borderId="0" applyFill="0" applyBorder="0" applyAlignment="0" applyProtection="0">
      <protection locked="0"/>
    </xf>
    <xf numFmtId="232" fontId="47" fillId="0" borderId="0" applyFill="0" applyBorder="0" applyProtection="0"/>
    <xf numFmtId="232" fontId="47" fillId="0" borderId="78" applyFill="0" applyProtection="0"/>
    <xf numFmtId="232" fontId="47" fillId="0" borderId="78" applyFill="0" applyProtection="0"/>
    <xf numFmtId="232" fontId="47" fillId="0" borderId="25" applyFill="0" applyProtection="0"/>
    <xf numFmtId="0" fontId="39" fillId="0" borderId="0">
      <protection locked="0"/>
    </xf>
    <xf numFmtId="42" fontId="17" fillId="0" borderId="0" applyFont="0" applyFill="0" applyBorder="0" applyAlignment="0" applyProtection="0"/>
    <xf numFmtId="233" fontId="13" fillId="0" borderId="0" applyFont="0" applyFill="0" applyBorder="0" applyAlignment="0" applyProtection="0"/>
    <xf numFmtId="234" fontId="13" fillId="0" borderId="0" applyFont="0" applyFill="0" applyBorder="0" applyAlignment="0" applyProtection="0"/>
    <xf numFmtId="232" fontId="13" fillId="0" borderId="0" applyFont="0" applyFill="0" applyBorder="0" applyAlignment="0" applyProtection="0"/>
    <xf numFmtId="37" fontId="181" fillId="0" borderId="89" applyFont="0" applyFill="0" applyBorder="0"/>
    <xf numFmtId="37" fontId="228" fillId="0" borderId="89" applyFont="0" applyFill="0" applyBorder="0">
      <protection locked="0"/>
    </xf>
    <xf numFmtId="37" fontId="229" fillId="39" borderId="10" applyFill="0" applyBorder="0" applyProtection="0"/>
    <xf numFmtId="37" fontId="229" fillId="39" borderId="10" applyFill="0" applyBorder="0" applyProtection="0"/>
    <xf numFmtId="37" fontId="228" fillId="0" borderId="89" applyFill="0" applyBorder="0">
      <protection locked="0"/>
    </xf>
    <xf numFmtId="0" fontId="230" fillId="8" borderId="80" applyNumberFormat="0" applyFont="0" applyBorder="0" applyAlignment="0" applyProtection="0"/>
    <xf numFmtId="0" fontId="174" fillId="50" borderId="0"/>
    <xf numFmtId="15" fontId="106" fillId="0" borderId="19" applyFont="0" applyFill="0" applyBorder="0" applyAlignment="0">
      <alignment horizontal="centerContinuous"/>
    </xf>
    <xf numFmtId="235" fontId="106" fillId="0" borderId="19" applyFont="0" applyFill="0" applyBorder="0" applyAlignment="0">
      <alignment horizontal="centerContinuous"/>
    </xf>
    <xf numFmtId="236" fontId="39" fillId="0" borderId="0">
      <protection locked="0"/>
    </xf>
    <xf numFmtId="234" fontId="47" fillId="0" borderId="0" applyFill="0" applyBorder="0" applyProtection="0"/>
    <xf numFmtId="234" fontId="47" fillId="0" borderId="78" applyFill="0" applyProtection="0"/>
    <xf numFmtId="234" fontId="47" fillId="0" borderId="78" applyFill="0" applyProtection="0"/>
    <xf numFmtId="234" fontId="47" fillId="0" borderId="25" applyFill="0" applyProtection="0"/>
    <xf numFmtId="38" fontId="162" fillId="0" borderId="0">
      <alignment vertical="top"/>
    </xf>
    <xf numFmtId="0" fontId="105" fillId="0" borderId="44" applyNumberFormat="0" applyFill="0" applyAlignment="0" applyProtection="0"/>
    <xf numFmtId="0" fontId="105" fillId="0" borderId="58" applyNumberFormat="0" applyFill="0" applyAlignment="0" applyProtection="0"/>
    <xf numFmtId="0" fontId="105" fillId="0" borderId="58" applyNumberFormat="0" applyFill="0" applyAlignment="0" applyProtection="0"/>
    <xf numFmtId="0" fontId="105" fillId="0" borderId="58" applyNumberFormat="0" applyFill="0" applyAlignment="0" applyProtection="0"/>
    <xf numFmtId="0" fontId="105" fillId="0" borderId="58" applyNumberFormat="0" applyFill="0" applyAlignment="0" applyProtection="0"/>
    <xf numFmtId="167" fontId="59" fillId="6" borderId="10" applyNumberFormat="0" applyFont="0" applyBorder="0" applyAlignment="0" applyProtection="0"/>
    <xf numFmtId="0" fontId="231" fillId="0" borderId="84">
      <alignment horizontal="center" vertical="center"/>
    </xf>
    <xf numFmtId="0" fontId="226" fillId="0" borderId="0" applyFill="0" applyAlignment="0" applyProtection="0">
      <protection locked="0"/>
    </xf>
    <xf numFmtId="0" fontId="226" fillId="0" borderId="36" applyFill="0" applyAlignment="0" applyProtection="0">
      <protection locked="0"/>
    </xf>
    <xf numFmtId="0" fontId="40" fillId="0" borderId="0">
      <protection locked="0"/>
    </xf>
    <xf numFmtId="38" fontId="171" fillId="0" borderId="0">
      <alignment vertical="top"/>
    </xf>
    <xf numFmtId="183" fontId="67" fillId="0" borderId="10">
      <alignment horizontal="center" vertical="center" wrapText="1"/>
    </xf>
    <xf numFmtId="38" fontId="157" fillId="39" borderId="0">
      <alignment vertical="top"/>
    </xf>
    <xf numFmtId="38" fontId="157" fillId="0" borderId="0">
      <alignment vertical="top"/>
    </xf>
    <xf numFmtId="38" fontId="157" fillId="0" borderId="0">
      <alignment vertical="top"/>
    </xf>
    <xf numFmtId="38" fontId="157" fillId="0" borderId="0">
      <alignment vertical="top"/>
    </xf>
    <xf numFmtId="38" fontId="157" fillId="0" borderId="0">
      <alignment vertical="top"/>
    </xf>
    <xf numFmtId="178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6" fontId="71" fillId="0" borderId="10">
      <alignment horizontal="right"/>
      <protection locked="0"/>
    </xf>
    <xf numFmtId="237" fontId="13" fillId="0" borderId="0" applyFont="0" applyFill="0" applyBorder="0" applyAlignment="0" applyProtection="0"/>
    <xf numFmtId="238" fontId="13" fillId="0" borderId="0" applyFont="0" applyFill="0" applyBorder="0" applyAlignment="0" applyProtection="0"/>
    <xf numFmtId="0" fontId="106" fillId="39" borderId="10" applyFont="0" applyBorder="0" applyAlignment="0">
      <alignment horizontal="center" vertical="center"/>
    </xf>
    <xf numFmtId="0" fontId="17" fillId="0" borderId="0"/>
    <xf numFmtId="0" fontId="17" fillId="0" borderId="0"/>
    <xf numFmtId="0" fontId="17" fillId="0" borderId="0"/>
    <xf numFmtId="0" fontId="39" fillId="0" borderId="0">
      <protection locked="0"/>
    </xf>
    <xf numFmtId="239" fontId="13" fillId="0" borderId="0" applyFont="0" applyFill="0" applyBorder="0" applyAlignment="0" applyProtection="0"/>
    <xf numFmtId="240" fontId="13" fillId="0" borderId="0" applyFont="0" applyFill="0" applyBorder="0" applyAlignment="0" applyProtection="0"/>
    <xf numFmtId="241" fontId="13" fillId="0" borderId="0" applyFont="0" applyFill="0" applyBorder="0" applyAlignment="0" applyProtection="0"/>
    <xf numFmtId="242" fontId="13" fillId="0" borderId="0" applyFont="0" applyFill="0" applyBorder="0" applyAlignment="0" applyProtection="0"/>
    <xf numFmtId="243" fontId="13" fillId="0" borderId="0" applyFont="0" applyFill="0" applyBorder="0" applyAlignment="0" applyProtection="0"/>
    <xf numFmtId="244" fontId="13" fillId="0" borderId="0" applyFont="0" applyFill="0" applyBorder="0" applyAlignment="0" applyProtection="0"/>
    <xf numFmtId="245" fontId="13" fillId="0" borderId="0" applyFont="0" applyFill="0" applyBorder="0" applyAlignment="0" applyProtection="0"/>
    <xf numFmtId="246" fontId="13" fillId="0" borderId="0" applyFont="0" applyFill="0" applyBorder="0" applyAlignment="0" applyProtection="0"/>
    <xf numFmtId="247" fontId="13" fillId="0" borderId="0" applyFont="0" applyFill="0" applyBorder="0" applyAlignment="0" applyProtection="0"/>
    <xf numFmtId="49" fontId="83" fillId="0" borderId="10" applyNumberFormat="0">
      <alignment horizontal="left" vertical="center"/>
    </xf>
    <xf numFmtId="248" fontId="232" fillId="0" borderId="44">
      <alignment vertical="center"/>
    </xf>
    <xf numFmtId="0" fontId="226" fillId="0" borderId="70">
      <alignment vertical="top"/>
      <protection locked="0"/>
    </xf>
    <xf numFmtId="0" fontId="226" fillId="0" borderId="70">
      <alignment vertical="top"/>
      <protection locked="0"/>
    </xf>
    <xf numFmtId="217" fontId="177" fillId="52" borderId="10">
      <alignment horizontal="center" vertical="center" wrapText="1"/>
      <protection locked="0"/>
    </xf>
    <xf numFmtId="4" fontId="160" fillId="31" borderId="90" applyNumberFormat="0" applyProtection="0">
      <alignment vertical="center"/>
    </xf>
    <xf numFmtId="4" fontId="233" fillId="8" borderId="90" applyNumberFormat="0" applyProtection="0">
      <alignment vertical="center"/>
    </xf>
    <xf numFmtId="4" fontId="160" fillId="8" borderId="90" applyNumberFormat="0" applyProtection="0">
      <alignment horizontal="left" vertical="center" indent="1"/>
    </xf>
    <xf numFmtId="0" fontId="160" fillId="8" borderId="90" applyNumberFormat="0" applyProtection="0">
      <alignment horizontal="left" vertical="top" indent="1"/>
    </xf>
    <xf numFmtId="4" fontId="160" fillId="36" borderId="0" applyNumberFormat="0" applyProtection="0">
      <alignment horizontal="left" vertical="center" indent="1"/>
    </xf>
    <xf numFmtId="4" fontId="178" fillId="11" borderId="90" applyNumberFormat="0" applyProtection="0">
      <alignment horizontal="right" vertical="center"/>
    </xf>
    <xf numFmtId="4" fontId="178" fillId="17" borderId="90" applyNumberFormat="0" applyProtection="0">
      <alignment horizontal="right" vertical="center"/>
    </xf>
    <xf numFmtId="4" fontId="178" fillId="25" borderId="90" applyNumberFormat="0" applyProtection="0">
      <alignment horizontal="right" vertical="center"/>
    </xf>
    <xf numFmtId="4" fontId="178" fillId="19" borderId="90" applyNumberFormat="0" applyProtection="0">
      <alignment horizontal="right" vertical="center"/>
    </xf>
    <xf numFmtId="4" fontId="178" fillId="23" borderId="90" applyNumberFormat="0" applyProtection="0">
      <alignment horizontal="right" vertical="center"/>
    </xf>
    <xf numFmtId="4" fontId="178" fillId="27" borderId="90" applyNumberFormat="0" applyProtection="0">
      <alignment horizontal="right" vertical="center"/>
    </xf>
    <xf numFmtId="4" fontId="178" fillId="26" borderId="90" applyNumberFormat="0" applyProtection="0">
      <alignment horizontal="right" vertical="center"/>
    </xf>
    <xf numFmtId="4" fontId="178" fillId="90" borderId="90" applyNumberFormat="0" applyProtection="0">
      <alignment horizontal="right" vertical="center"/>
    </xf>
    <xf numFmtId="4" fontId="178" fillId="18" borderId="90" applyNumberFormat="0" applyProtection="0">
      <alignment horizontal="right" vertical="center"/>
    </xf>
    <xf numFmtId="4" fontId="160" fillId="91" borderId="91" applyNumberFormat="0" applyProtection="0">
      <alignment horizontal="left" vertical="center" indent="1"/>
    </xf>
    <xf numFmtId="4" fontId="178" fillId="92" borderId="0" applyNumberFormat="0" applyProtection="0">
      <alignment horizontal="left" vertical="center" indent="1"/>
    </xf>
    <xf numFmtId="4" fontId="178" fillId="93" borderId="90" applyNumberFormat="0" applyProtection="0">
      <alignment horizontal="right" vertical="center"/>
    </xf>
    <xf numFmtId="4" fontId="181" fillId="92" borderId="0" applyNumberFormat="0" applyProtection="0">
      <alignment horizontal="left" vertical="center" indent="1"/>
    </xf>
    <xf numFmtId="4" fontId="181" fillId="36" borderId="0" applyNumberFormat="0" applyProtection="0">
      <alignment horizontal="left" vertical="center" indent="1"/>
    </xf>
    <xf numFmtId="0" fontId="13" fillId="65" borderId="90" applyNumberFormat="0" applyProtection="0">
      <alignment horizontal="left" vertical="center" indent="1"/>
    </xf>
    <xf numFmtId="0" fontId="13" fillId="65" borderId="90" applyNumberFormat="0" applyProtection="0">
      <alignment horizontal="left" vertical="top" indent="1"/>
    </xf>
    <xf numFmtId="0" fontId="13" fillId="36" borderId="90" applyNumberFormat="0" applyProtection="0">
      <alignment horizontal="left" vertical="center" indent="1"/>
    </xf>
    <xf numFmtId="0" fontId="13" fillId="36" borderId="90" applyNumberFormat="0" applyProtection="0">
      <alignment horizontal="left" vertical="top" indent="1"/>
    </xf>
    <xf numFmtId="0" fontId="13" fillId="89" borderId="90" applyNumberFormat="0" applyProtection="0">
      <alignment horizontal="left" vertical="center" indent="1"/>
    </xf>
    <xf numFmtId="0" fontId="13" fillId="89" borderId="90" applyNumberFormat="0" applyProtection="0">
      <alignment horizontal="left" vertical="top" indent="1"/>
    </xf>
    <xf numFmtId="0" fontId="13" fillId="38" borderId="90" applyNumberFormat="0" applyProtection="0">
      <alignment horizontal="left" vertical="center" indent="1"/>
    </xf>
    <xf numFmtId="0" fontId="13" fillId="38" borderId="90" applyNumberFormat="0" applyProtection="0">
      <alignment horizontal="left" vertical="top" indent="1"/>
    </xf>
    <xf numFmtId="4" fontId="178" fillId="68" borderId="90" applyNumberFormat="0" applyProtection="0">
      <alignment vertical="center"/>
    </xf>
    <xf numFmtId="4" fontId="179" fillId="68" borderId="90" applyNumberFormat="0" applyProtection="0">
      <alignment vertical="center"/>
    </xf>
    <xf numFmtId="4" fontId="178" fillId="68" borderId="90" applyNumberFormat="0" applyProtection="0">
      <alignment horizontal="left" vertical="center" indent="1"/>
    </xf>
    <xf numFmtId="0" fontId="178" fillId="68" borderId="90" applyNumberFormat="0" applyProtection="0">
      <alignment horizontal="left" vertical="top" indent="1"/>
    </xf>
    <xf numFmtId="4" fontId="178" fillId="92" borderId="90" applyNumberFormat="0" applyProtection="0">
      <alignment horizontal="right" vertical="center"/>
    </xf>
    <xf numFmtId="4" fontId="179" fillId="92" borderId="90" applyNumberFormat="0" applyProtection="0">
      <alignment horizontal="right" vertical="center"/>
    </xf>
    <xf numFmtId="4" fontId="178" fillId="93" borderId="90" applyNumberFormat="0" applyProtection="0">
      <alignment horizontal="left" vertical="center" indent="1"/>
    </xf>
    <xf numFmtId="0" fontId="178" fillId="36" borderId="90" applyNumberFormat="0" applyProtection="0">
      <alignment horizontal="left" vertical="top" indent="1"/>
    </xf>
    <xf numFmtId="4" fontId="234" fillId="94" borderId="0" applyNumberFormat="0" applyProtection="0">
      <alignment horizontal="left" vertical="center" indent="1"/>
    </xf>
    <xf numFmtId="4" fontId="183" fillId="92" borderId="90" applyNumberFormat="0" applyProtection="0">
      <alignment horizontal="right" vertical="center"/>
    </xf>
    <xf numFmtId="0" fontId="235" fillId="95" borderId="0"/>
    <xf numFmtId="49" fontId="236" fillId="95" borderId="0"/>
    <xf numFmtId="49" fontId="237" fillId="95" borderId="92"/>
    <xf numFmtId="49" fontId="237" fillId="95" borderId="0"/>
    <xf numFmtId="0" fontId="235" fillId="41" borderId="92">
      <protection locked="0"/>
    </xf>
    <xf numFmtId="0" fontId="235" fillId="95" borderId="0"/>
    <xf numFmtId="0" fontId="237" fillId="96" borderId="0"/>
    <xf numFmtId="0" fontId="237" fillId="62" borderId="0"/>
    <xf numFmtId="0" fontId="237" fillId="57" borderId="0"/>
    <xf numFmtId="0" fontId="75" fillId="0" borderId="0" applyNumberFormat="0" applyFill="0" applyBorder="0" applyAlignment="0" applyProtection="0">
      <alignment horizontal="center"/>
    </xf>
    <xf numFmtId="0" fontId="232" fillId="0" borderId="93" applyNumberFormat="0" applyFill="0" applyAlignment="0"/>
    <xf numFmtId="0" fontId="13" fillId="0" borderId="94" applyNumberFormat="0" applyFont="0" applyAlignment="0"/>
    <xf numFmtId="0" fontId="232" fillId="0" borderId="94" applyNumberFormat="0"/>
    <xf numFmtId="0" fontId="238" fillId="54" borderId="44" applyNumberFormat="0"/>
    <xf numFmtId="0" fontId="238" fillId="40" borderId="44" applyNumberFormat="0"/>
    <xf numFmtId="0" fontId="238" fillId="67" borderId="44" applyNumberFormat="0"/>
    <xf numFmtId="0" fontId="239" fillId="0" borderId="0" applyFill="0" applyBorder="0" applyProtection="0">
      <alignment horizontal="left" vertical="top"/>
    </xf>
    <xf numFmtId="0" fontId="226" fillId="0" borderId="49">
      <alignment vertical="center"/>
    </xf>
    <xf numFmtId="0" fontId="226" fillId="0" borderId="49">
      <alignment vertical="center"/>
    </xf>
    <xf numFmtId="249" fontId="13" fillId="0" borderId="0" applyFont="0" applyFill="0" applyBorder="0" applyAlignment="0" applyProtection="0"/>
    <xf numFmtId="250" fontId="13" fillId="0" borderId="0" applyFont="0" applyFill="0" applyBorder="0" applyAlignment="0" applyProtection="0"/>
    <xf numFmtId="251" fontId="13" fillId="0" borderId="0" applyFont="0" applyFill="0" applyBorder="0" applyAlignment="0" applyProtection="0"/>
    <xf numFmtId="252" fontId="13" fillId="0" borderId="0" applyFont="0" applyFill="0" applyBorder="0" applyAlignment="0" applyProtection="0"/>
    <xf numFmtId="253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5" fontId="13" fillId="0" borderId="0" applyFont="0" applyFill="0" applyBorder="0" applyAlignment="0" applyProtection="0"/>
    <xf numFmtId="256" fontId="13" fillId="0" borderId="0" applyFont="0" applyFill="0" applyBorder="0" applyAlignment="0" applyProtection="0"/>
    <xf numFmtId="257" fontId="106" fillId="0" borderId="19" applyFont="0" applyFill="0" applyBorder="0" applyAlignment="0">
      <alignment horizontal="centerContinuous"/>
    </xf>
    <xf numFmtId="258" fontId="240" fillId="0" borderId="19" applyFont="0" applyFill="0" applyBorder="0" applyAlignment="0">
      <alignment horizontal="centerContinuous"/>
    </xf>
    <xf numFmtId="217" fontId="13" fillId="71" borderId="10" applyNumberFormat="0" applyFill="0" applyBorder="0" applyProtection="0">
      <alignment vertical="center"/>
      <protection locked="0"/>
    </xf>
    <xf numFmtId="0" fontId="241" fillId="15" borderId="27" applyNumberFormat="0" applyAlignment="0" applyProtection="0"/>
    <xf numFmtId="0" fontId="241" fillId="15" borderId="27" applyNumberFormat="0" applyAlignment="0" applyProtection="0"/>
    <xf numFmtId="0" fontId="13" fillId="6" borderId="0" applyNumberFormat="0" applyFont="0" applyBorder="0" applyAlignment="0"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4" fontId="105" fillId="0" borderId="95">
      <alignment horizontal="left" vertical="center"/>
    </xf>
    <xf numFmtId="4" fontId="105" fillId="0" borderId="95"/>
    <xf numFmtId="4" fontId="105" fillId="36" borderId="95"/>
    <xf numFmtId="4" fontId="105" fillId="37" borderId="95"/>
    <xf numFmtId="4" fontId="106" fillId="38" borderId="95"/>
    <xf numFmtId="4" fontId="107" fillId="39" borderId="95"/>
    <xf numFmtId="4" fontId="108" fillId="0" borderId="95">
      <alignment horizontal="center" wrapText="1"/>
    </xf>
    <xf numFmtId="173" fontId="105" fillId="0" borderId="95"/>
    <xf numFmtId="173" fontId="104" fillId="0" borderId="95">
      <alignment horizontal="center" vertical="center" wrapText="1"/>
    </xf>
    <xf numFmtId="173" fontId="104" fillId="0" borderId="95">
      <alignment vertical="top" wrapText="1"/>
    </xf>
    <xf numFmtId="0" fontId="17" fillId="0" borderId="95">
      <alignment horizontal="center" vertical="center" wrapText="1"/>
    </xf>
    <xf numFmtId="0" fontId="17" fillId="0" borderId="95">
      <alignment horizontal="center" vertical="center" wrapText="1"/>
    </xf>
    <xf numFmtId="0" fontId="243" fillId="0" borderId="0" applyNumberFormat="0" applyFill="0" applyBorder="0" applyAlignment="0" applyProtection="0"/>
    <xf numFmtId="0" fontId="27" fillId="0" borderId="20" applyBorder="0">
      <alignment horizontal="center" vertical="center" wrapText="1"/>
    </xf>
    <xf numFmtId="0" fontId="27" fillId="0" borderId="20" applyBorder="0">
      <alignment horizontal="center" vertical="center" wrapText="1"/>
    </xf>
    <xf numFmtId="0" fontId="27" fillId="0" borderId="20" applyBorder="0">
      <alignment horizontal="center" vertical="center" wrapText="1"/>
    </xf>
    <xf numFmtId="0" fontId="17" fillId="32" borderId="34" applyNumberFormat="0" applyFont="0" applyAlignment="0" applyProtection="0"/>
    <xf numFmtId="0" fontId="17" fillId="32" borderId="34" applyNumberFormat="0" applyFont="0" applyAlignment="0" applyProtection="0"/>
    <xf numFmtId="4" fontId="112" fillId="8" borderId="95" applyBorder="0">
      <alignment horizontal="right"/>
    </xf>
    <xf numFmtId="3" fontId="111" fillId="0" borderId="95" applyBorder="0">
      <alignment vertical="center"/>
    </xf>
    <xf numFmtId="3" fontId="111" fillId="0" borderId="95" applyBorder="0">
      <alignment vertical="center"/>
    </xf>
    <xf numFmtId="0" fontId="118" fillId="41" borderId="36">
      <alignment vertical="center"/>
    </xf>
    <xf numFmtId="165" fontId="118" fillId="41" borderId="36">
      <alignment vertical="center"/>
    </xf>
    <xf numFmtId="166" fontId="196" fillId="6" borderId="95">
      <alignment wrapText="1"/>
    </xf>
    <xf numFmtId="49" fontId="101" fillId="0" borderId="95">
      <alignment horizontal="righ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6" fillId="0" borderId="0"/>
    <xf numFmtId="0" fontId="4" fillId="0" borderId="0"/>
    <xf numFmtId="0" fontId="4" fillId="0" borderId="0"/>
    <xf numFmtId="0" fontId="42" fillId="0" borderId="0"/>
    <xf numFmtId="0" fontId="4" fillId="0" borderId="0"/>
    <xf numFmtId="0" fontId="4" fillId="0" borderId="0"/>
    <xf numFmtId="0" fontId="17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7" fillId="0" borderId="0"/>
    <xf numFmtId="0" fontId="4" fillId="0" borderId="0"/>
    <xf numFmtId="0" fontId="42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4" fillId="0" borderId="0"/>
    <xf numFmtId="0" fontId="4" fillId="0" borderId="0"/>
    <xf numFmtId="0" fontId="2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5" fillId="0" borderId="0"/>
    <xf numFmtId="0" fontId="13" fillId="0" borderId="0"/>
    <xf numFmtId="0" fontId="13" fillId="0" borderId="0"/>
    <xf numFmtId="0" fontId="42" fillId="0" borderId="0"/>
    <xf numFmtId="0" fontId="4" fillId="0" borderId="0"/>
    <xf numFmtId="165" fontId="13" fillId="0" borderId="0"/>
    <xf numFmtId="165" fontId="13" fillId="0" borderId="0"/>
    <xf numFmtId="165" fontId="13" fillId="0" borderId="0"/>
    <xf numFmtId="0" fontId="4" fillId="0" borderId="0"/>
    <xf numFmtId="0" fontId="4" fillId="0" borderId="0"/>
    <xf numFmtId="165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7" fillId="0" borderId="0"/>
    <xf numFmtId="0" fontId="4" fillId="0" borderId="0"/>
    <xf numFmtId="0" fontId="4" fillId="0" borderId="0"/>
    <xf numFmtId="0" fontId="136" fillId="0" borderId="0"/>
    <xf numFmtId="0" fontId="4" fillId="0" borderId="0"/>
    <xf numFmtId="165" fontId="4" fillId="0" borderId="0"/>
    <xf numFmtId="165" fontId="4" fillId="0" borderId="0"/>
    <xf numFmtId="0" fontId="4" fillId="0" borderId="0"/>
    <xf numFmtId="0" fontId="17" fillId="0" borderId="0"/>
    <xf numFmtId="1" fontId="124" fillId="0" borderId="95">
      <alignment horizontal="left" vertical="center"/>
    </xf>
    <xf numFmtId="173" fontId="125" fillId="0" borderId="95">
      <alignment vertical="top"/>
    </xf>
    <xf numFmtId="9" fontId="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44" fillId="0" borderId="0" applyFont="0" applyFill="0" applyBorder="0" applyAlignment="0" applyProtection="0"/>
    <xf numFmtId="168" fontId="129" fillId="0" borderId="95"/>
    <xf numFmtId="0" fontId="17" fillId="0" borderId="95" applyNumberFormat="0" applyFont="0" applyFill="0" applyAlignment="0" applyProtection="0"/>
    <xf numFmtId="165" fontId="17" fillId="0" borderId="95" applyNumberFormat="0" applyFont="0" applyFill="0" applyAlignment="0" applyProtection="0"/>
    <xf numFmtId="0" fontId="13" fillId="0" borderId="0" applyFont="0" applyFill="0" applyBorder="0">
      <alignment horizontal="right"/>
    </xf>
    <xf numFmtId="0" fontId="37" fillId="0" borderId="0"/>
    <xf numFmtId="2" fontId="14" fillId="0" borderId="95" applyNumberFormat="0">
      <alignment vertical="center"/>
    </xf>
    <xf numFmtId="4" fontId="4" fillId="0" borderId="0">
      <alignment horizontal="center" vertical="center"/>
    </xf>
    <xf numFmtId="4" fontId="4" fillId="0" borderId="0">
      <alignment horizontal="center" vertical="center"/>
    </xf>
    <xf numFmtId="4" fontId="4" fillId="0" borderId="0" applyProtection="0">
      <alignment horizontal="center" vertical="center"/>
    </xf>
    <xf numFmtId="4" fontId="4" fillId="0" borderId="0" applyProtection="0">
      <alignment horizontal="center" vertical="center"/>
    </xf>
    <xf numFmtId="4" fontId="4" fillId="0" borderId="0">
      <alignment horizontal="center" vertical="center"/>
    </xf>
    <xf numFmtId="4" fontId="4" fillId="0" borderId="0">
      <alignment horizontal="center"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1" fontId="121" fillId="0" borderId="0" applyFont="0" applyFill="0" applyBorder="0" applyAlignment="0" applyProtection="0"/>
    <xf numFmtId="178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13" fillId="0" borderId="0" applyFont="0" applyFill="0" applyBorder="0" applyAlignment="0" applyProtection="0"/>
    <xf numFmtId="43" fontId="245" fillId="0" borderId="0" applyFont="0" applyFill="0" applyBorder="0" applyAlignment="0" applyProtection="0"/>
    <xf numFmtId="43" fontId="245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12" fillId="6" borderId="0" applyFont="0" applyBorder="0">
      <alignment horizontal="right"/>
    </xf>
    <xf numFmtId="4" fontId="112" fillId="6" borderId="95" applyFont="0" applyBorder="0">
      <alignment horizontal="right"/>
    </xf>
    <xf numFmtId="4" fontId="112" fillId="6" borderId="95" applyFont="0" applyBorder="0">
      <alignment horizontal="right"/>
    </xf>
    <xf numFmtId="2" fontId="13" fillId="0" borderId="0" applyFont="0" applyFill="0" applyBorder="0">
      <alignment horizontal="right"/>
    </xf>
    <xf numFmtId="220" fontId="17" fillId="0" borderId="95" applyFont="0" applyFill="0" applyBorder="0" applyProtection="0">
      <alignment horizontal="center" vertical="center"/>
    </xf>
    <xf numFmtId="220" fontId="17" fillId="0" borderId="95" applyFont="0" applyFill="0" applyBorder="0" applyProtection="0">
      <alignment horizontal="center" vertical="center"/>
    </xf>
    <xf numFmtId="220" fontId="17" fillId="0" borderId="95" applyFont="0" applyFill="0" applyBorder="0" applyProtection="0">
      <alignment horizontal="center" vertical="center"/>
    </xf>
    <xf numFmtId="220" fontId="17" fillId="0" borderId="95" applyFont="0" applyFill="0" applyBorder="0" applyProtection="0">
      <alignment horizontal="center" vertical="center"/>
    </xf>
    <xf numFmtId="44" fontId="17" fillId="0" borderId="0">
      <protection locked="0"/>
    </xf>
    <xf numFmtId="49" fontId="104" fillId="0" borderId="95">
      <alignment horizontal="center" vertical="center" wrapText="1"/>
    </xf>
    <xf numFmtId="0" fontId="100" fillId="0" borderId="95" applyBorder="0">
      <alignment horizontal="center" vertical="center" wrapText="1"/>
    </xf>
    <xf numFmtId="0" fontId="100" fillId="0" borderId="95" applyBorder="0">
      <alignment horizontal="center" vertical="center" wrapText="1"/>
    </xf>
    <xf numFmtId="49" fontId="85" fillId="0" borderId="95" applyNumberFormat="0" applyFill="0" applyAlignment="0" applyProtection="0"/>
    <xf numFmtId="16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1357">
    <xf numFmtId="0" fontId="0" fillId="0" borderId="0" xfId="0"/>
    <xf numFmtId="0" fontId="22" fillId="0" borderId="10" xfId="6" applyFont="1" applyBorder="1" applyAlignment="1">
      <alignment wrapText="1"/>
    </xf>
    <xf numFmtId="0" fontId="22" fillId="0" borderId="0" xfId="6" applyFont="1" applyAlignment="1">
      <alignment wrapText="1"/>
    </xf>
    <xf numFmtId="0" fontId="22" fillId="0" borderId="0" xfId="6" applyFont="1" applyAlignment="1">
      <alignment horizontal="center" vertical="center" wrapText="1"/>
    </xf>
    <xf numFmtId="0" fontId="22" fillId="0" borderId="10" xfId="6" applyFont="1" applyBorder="1" applyAlignment="1">
      <alignment vertical="center" wrapText="1"/>
    </xf>
    <xf numFmtId="0" fontId="22" fillId="0" borderId="13" xfId="6" applyFont="1" applyBorder="1" applyAlignment="1">
      <alignment horizontal="center" vertical="center" wrapText="1"/>
    </xf>
    <xf numFmtId="0" fontId="31" fillId="0" borderId="0" xfId="0" applyFont="1"/>
    <xf numFmtId="0" fontId="25" fillId="0" borderId="0" xfId="6" applyFont="1" applyAlignment="1">
      <alignment horizontal="center" wrapText="1"/>
    </xf>
    <xf numFmtId="4" fontId="0" fillId="0" borderId="0" xfId="0" applyNumberFormat="1"/>
    <xf numFmtId="0" fontId="26" fillId="0" borderId="0" xfId="0" applyFont="1"/>
    <xf numFmtId="0" fontId="21" fillId="0" borderId="0" xfId="6" applyFont="1" applyAlignment="1">
      <alignment wrapText="1"/>
    </xf>
    <xf numFmtId="0" fontId="21" fillId="0" borderId="0" xfId="6" applyFont="1"/>
    <xf numFmtId="0" fontId="21" fillId="0" borderId="13" xfId="6" applyFont="1" applyBorder="1" applyAlignment="1">
      <alignment wrapText="1"/>
    </xf>
    <xf numFmtId="0" fontId="26" fillId="0" borderId="10" xfId="6" applyFont="1" applyBorder="1" applyAlignment="1">
      <alignment vertical="center" wrapText="1"/>
    </xf>
    <xf numFmtId="0" fontId="21" fillId="0" borderId="0" xfId="6" applyFont="1" applyAlignment="1">
      <alignment vertical="center"/>
    </xf>
    <xf numFmtId="0" fontId="26" fillId="0" borderId="14" xfId="6" applyFont="1" applyBorder="1" applyAlignment="1">
      <alignment vertical="center" wrapText="1"/>
    </xf>
    <xf numFmtId="0" fontId="26" fillId="0" borderId="15" xfId="6" applyFont="1" applyBorder="1" applyAlignment="1">
      <alignment vertical="center" wrapText="1"/>
    </xf>
    <xf numFmtId="0" fontId="26" fillId="0" borderId="7" xfId="6" applyFont="1" applyBorder="1" applyAlignment="1">
      <alignment horizontal="center" vertical="center" wrapText="1"/>
    </xf>
    <xf numFmtId="0" fontId="26" fillId="0" borderId="10" xfId="6" applyFont="1" applyBorder="1" applyAlignment="1">
      <alignment horizontal="center" vertical="center" wrapText="1"/>
    </xf>
    <xf numFmtId="168" fontId="26" fillId="44" borderId="10" xfId="0" applyNumberFormat="1" applyFont="1" applyFill="1" applyBorder="1" applyAlignment="1">
      <alignment vertical="center" wrapText="1"/>
    </xf>
    <xf numFmtId="168" fontId="26" fillId="44" borderId="16" xfId="0" applyNumberFormat="1" applyFont="1" applyFill="1" applyBorder="1" applyAlignment="1">
      <alignment vertical="center" wrapText="1"/>
    </xf>
    <xf numFmtId="0" fontId="29" fillId="0" borderId="0" xfId="0" applyFont="1"/>
    <xf numFmtId="4" fontId="29" fillId="0" borderId="0" xfId="0" applyNumberFormat="1" applyFont="1"/>
    <xf numFmtId="164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37" fillId="0" borderId="0" xfId="0" applyFont="1" applyBorder="1"/>
    <xf numFmtId="0" fontId="137" fillId="0" borderId="0" xfId="0" applyFont="1" applyBorder="1" applyAlignment="1">
      <alignment horizontal="left"/>
    </xf>
    <xf numFmtId="0" fontId="137" fillId="0" borderId="0" xfId="0" applyFont="1" applyBorder="1" applyAlignment="1"/>
    <xf numFmtId="0" fontId="137" fillId="0" borderId="0" xfId="0" applyFont="1"/>
    <xf numFmtId="0" fontId="31" fillId="0" borderId="0" xfId="0" applyFont="1" applyBorder="1" applyAlignment="1">
      <alignment horizontal="left"/>
    </xf>
    <xf numFmtId="0" fontId="31" fillId="0" borderId="0" xfId="0" applyFont="1" applyBorder="1" applyAlignment="1"/>
    <xf numFmtId="0" fontId="16" fillId="0" borderId="0" xfId="0" applyFont="1"/>
    <xf numFmtId="49" fontId="14" fillId="44" borderId="55" xfId="0" applyNumberFormat="1" applyFont="1" applyFill="1" applyBorder="1" applyAlignment="1">
      <alignment horizontal="center" vertical="center"/>
    </xf>
    <xf numFmtId="0" fontId="20" fillId="0" borderId="0" xfId="0" applyFont="1"/>
    <xf numFmtId="0" fontId="16" fillId="0" borderId="10" xfId="0" applyFont="1" applyBorder="1" applyAlignment="1">
      <alignment horizontal="left" vertical="center" wrapText="1"/>
    </xf>
    <xf numFmtId="165" fontId="114" fillId="0" borderId="0" xfId="20" applyFont="1"/>
    <xf numFmtId="0" fontId="15" fillId="0" borderId="0" xfId="0" applyFont="1"/>
    <xf numFmtId="49" fontId="15" fillId="0" borderId="11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left" vertical="center" wrapText="1"/>
    </xf>
    <xf numFmtId="49" fontId="15" fillId="0" borderId="11" xfId="3" applyNumberFormat="1" applyFont="1" applyFill="1" applyBorder="1" applyAlignment="1">
      <alignment horizontal="center" vertical="center"/>
    </xf>
    <xf numFmtId="165" fontId="15" fillId="0" borderId="10" xfId="3" applyFont="1" applyFill="1" applyBorder="1" applyAlignment="1">
      <alignment horizontal="left" vertical="center" wrapText="1"/>
    </xf>
    <xf numFmtId="168" fontId="20" fillId="0" borderId="0" xfId="0" applyNumberFormat="1" applyFont="1"/>
    <xf numFmtId="4" fontId="140" fillId="2" borderId="0" xfId="0" applyNumberFormat="1" applyFont="1" applyFill="1" applyBorder="1"/>
    <xf numFmtId="49" fontId="15" fillId="2" borderId="11" xfId="3" applyNumberFormat="1" applyFont="1" applyFill="1" applyBorder="1" applyAlignment="1">
      <alignment horizontal="center" vertical="center"/>
    </xf>
    <xf numFmtId="165" fontId="15" fillId="2" borderId="10" xfId="3" applyFont="1" applyFill="1" applyBorder="1" applyAlignment="1">
      <alignment horizontal="left" vertical="center" wrapText="1"/>
    </xf>
    <xf numFmtId="168" fontId="15" fillId="2" borderId="0" xfId="0" applyNumberFormat="1" applyFont="1" applyFill="1"/>
    <xf numFmtId="4" fontId="15" fillId="0" borderId="0" xfId="0" applyNumberFormat="1" applyFont="1"/>
    <xf numFmtId="0" fontId="15" fillId="2" borderId="0" xfId="0" applyFont="1" applyFill="1"/>
    <xf numFmtId="49" fontId="140" fillId="2" borderId="11" xfId="3" applyNumberFormat="1" applyFont="1" applyFill="1" applyBorder="1" applyAlignment="1">
      <alignment horizontal="center" vertical="center"/>
    </xf>
    <xf numFmtId="165" fontId="140" fillId="2" borderId="10" xfId="3" applyFont="1" applyFill="1" applyBorder="1" applyAlignment="1">
      <alignment horizontal="left" vertical="center" wrapText="1"/>
    </xf>
    <xf numFmtId="0" fontId="140" fillId="2" borderId="0" xfId="0" applyFont="1" applyFill="1"/>
    <xf numFmtId="4" fontId="142" fillId="0" borderId="0" xfId="0" applyNumberFormat="1" applyFont="1"/>
    <xf numFmtId="0" fontId="140" fillId="0" borderId="0" xfId="0" applyFont="1"/>
    <xf numFmtId="165" fontId="140" fillId="2" borderId="10" xfId="3" applyFont="1" applyFill="1" applyBorder="1" applyAlignment="1">
      <alignment horizontal="left" vertical="center" wrapText="1" indent="2"/>
    </xf>
    <xf numFmtId="4" fontId="140" fillId="0" borderId="0" xfId="0" applyNumberFormat="1" applyFont="1"/>
    <xf numFmtId="0" fontId="15" fillId="0" borderId="0" xfId="0" applyFont="1" applyAlignment="1">
      <alignment wrapText="1"/>
    </xf>
    <xf numFmtId="49" fontId="16" fillId="2" borderId="11" xfId="3" applyNumberFormat="1" applyFont="1" applyFill="1" applyBorder="1" applyAlignment="1">
      <alignment horizontal="center" vertical="center"/>
    </xf>
    <xf numFmtId="165" fontId="16" fillId="0" borderId="10" xfId="3" applyFont="1" applyFill="1" applyBorder="1" applyAlignment="1">
      <alignment horizontal="left" vertical="center" wrapText="1" indent="2"/>
    </xf>
    <xf numFmtId="4" fontId="16" fillId="0" borderId="0" xfId="0" applyNumberFormat="1" applyFont="1"/>
    <xf numFmtId="0" fontId="16" fillId="0" borderId="0" xfId="0" applyFont="1" applyAlignment="1">
      <alignment wrapText="1"/>
    </xf>
    <xf numFmtId="49" fontId="16" fillId="0" borderId="11" xfId="3" applyNumberFormat="1" applyFont="1" applyFill="1" applyBorder="1" applyAlignment="1">
      <alignment horizontal="center" vertical="center"/>
    </xf>
    <xf numFmtId="0" fontId="16" fillId="2" borderId="0" xfId="0" applyFont="1" applyFill="1"/>
    <xf numFmtId="0" fontId="16" fillId="0" borderId="10" xfId="9" applyFont="1" applyFill="1" applyBorder="1" applyAlignment="1">
      <alignment horizontal="left" vertical="center" wrapText="1" indent="2"/>
    </xf>
    <xf numFmtId="0" fontId="15" fillId="0" borderId="10" xfId="9" applyFont="1" applyFill="1" applyBorder="1" applyAlignment="1">
      <alignment horizontal="left" vertical="center" wrapText="1"/>
    </xf>
    <xf numFmtId="49" fontId="16" fillId="0" borderId="10" xfId="10" applyNumberFormat="1" applyFont="1" applyFill="1" applyBorder="1" applyAlignment="1">
      <alignment horizontal="left" vertical="center" wrapText="1" indent="2"/>
    </xf>
    <xf numFmtId="10" fontId="15" fillId="0" borderId="0" xfId="1" applyNumberFormat="1" applyFont="1"/>
    <xf numFmtId="0" fontId="145" fillId="0" borderId="0" xfId="0" applyFont="1" applyAlignment="1">
      <alignment horizontal="left"/>
    </xf>
    <xf numFmtId="49" fontId="140" fillId="0" borderId="11" xfId="3" applyNumberFormat="1" applyFont="1" applyFill="1" applyBorder="1" applyAlignment="1">
      <alignment horizontal="center" vertical="center"/>
    </xf>
    <xf numFmtId="10" fontId="140" fillId="0" borderId="0" xfId="1" applyNumberFormat="1" applyFont="1"/>
    <xf numFmtId="0" fontId="146" fillId="0" borderId="0" xfId="0" applyFont="1" applyAlignment="1">
      <alignment horizontal="left"/>
    </xf>
    <xf numFmtId="165" fontId="15" fillId="0" borderId="10" xfId="3" applyFont="1" applyFill="1" applyBorder="1" applyAlignment="1">
      <alignment vertical="center" wrapText="1"/>
    </xf>
    <xf numFmtId="49" fontId="16" fillId="0" borderId="8" xfId="3" applyNumberFormat="1" applyFont="1" applyFill="1" applyBorder="1" applyAlignment="1">
      <alignment horizontal="center" vertical="center"/>
    </xf>
    <xf numFmtId="0" fontId="16" fillId="0" borderId="7" xfId="9" applyFont="1" applyFill="1" applyBorder="1" applyAlignment="1">
      <alignment horizontal="left" vertical="center" wrapText="1"/>
    </xf>
    <xf numFmtId="0" fontId="16" fillId="0" borderId="10" xfId="9" applyFont="1" applyFill="1" applyBorder="1" applyAlignment="1">
      <alignment horizontal="left" vertical="center" wrapText="1"/>
    </xf>
    <xf numFmtId="4" fontId="147" fillId="2" borderId="8" xfId="0" applyNumberFormat="1" applyFont="1" applyFill="1" applyBorder="1"/>
    <xf numFmtId="4" fontId="147" fillId="0" borderId="7" xfId="3" applyNumberFormat="1" applyFont="1" applyFill="1" applyBorder="1" applyAlignment="1">
      <alignment horizontal="right" vertical="center" wrapText="1"/>
    </xf>
    <xf numFmtId="4" fontId="147" fillId="0" borderId="0" xfId="0" applyNumberFormat="1" applyFont="1"/>
    <xf numFmtId="49" fontId="16" fillId="2" borderId="11" xfId="0" applyNumberFormat="1" applyFont="1" applyFill="1" applyBorder="1"/>
    <xf numFmtId="10" fontId="16" fillId="0" borderId="10" xfId="3" applyNumberFormat="1" applyFont="1" applyFill="1" applyBorder="1" applyAlignment="1">
      <alignment vertical="center" wrapText="1"/>
    </xf>
    <xf numFmtId="49" fontId="16" fillId="0" borderId="10" xfId="3" applyNumberFormat="1" applyFont="1" applyFill="1" applyBorder="1" applyAlignment="1">
      <alignment vertical="center" wrapText="1"/>
    </xf>
    <xf numFmtId="0" fontId="29" fillId="2" borderId="0" xfId="0" applyFont="1" applyFill="1" applyBorder="1"/>
    <xf numFmtId="49" fontId="16" fillId="2" borderId="11" xfId="0" applyNumberFormat="1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left" vertical="center" wrapText="1"/>
    </xf>
    <xf numFmtId="4" fontId="16" fillId="0" borderId="10" xfId="0" applyNumberFormat="1" applyFont="1" applyFill="1" applyBorder="1" applyAlignment="1">
      <alignment vertical="center"/>
    </xf>
    <xf numFmtId="4" fontId="29" fillId="0" borderId="10" xfId="0" applyNumberFormat="1" applyFont="1" applyFill="1" applyBorder="1" applyAlignment="1">
      <alignment vertical="center"/>
    </xf>
    <xf numFmtId="0" fontId="18" fillId="2" borderId="10" xfId="0" applyFont="1" applyFill="1" applyBorder="1" applyAlignment="1">
      <alignment horizontal="center" vertical="center" wrapText="1"/>
    </xf>
    <xf numFmtId="49" fontId="21" fillId="2" borderId="11" xfId="0" applyNumberFormat="1" applyFont="1" applyFill="1" applyBorder="1" applyAlignment="1">
      <alignment horizontal="center" vertical="center"/>
    </xf>
    <xf numFmtId="0" fontId="149" fillId="2" borderId="10" xfId="0" applyFont="1" applyFill="1" applyBorder="1" applyAlignment="1">
      <alignment horizontal="center" vertical="center" wrapText="1"/>
    </xf>
    <xf numFmtId="49" fontId="150" fillId="2" borderId="11" xfId="0" applyNumberFormat="1" applyFont="1" applyFill="1" applyBorder="1" applyAlignment="1">
      <alignment horizontal="center" vertical="center"/>
    </xf>
    <xf numFmtId="0" fontId="151" fillId="2" borderId="10" xfId="0" applyFont="1" applyFill="1" applyBorder="1" applyAlignment="1">
      <alignment horizontal="left" vertical="center" wrapText="1"/>
    </xf>
    <xf numFmtId="0" fontId="152" fillId="0" borderId="0" xfId="0" applyFont="1"/>
    <xf numFmtId="200" fontId="29" fillId="0" borderId="0" xfId="0" applyNumberFormat="1" applyFont="1" applyAlignment="1">
      <alignment horizontal="center" vertical="center"/>
    </xf>
    <xf numFmtId="164" fontId="14" fillId="44" borderId="16" xfId="0" applyNumberFormat="1" applyFont="1" applyFill="1" applyBorder="1" applyAlignment="1">
      <alignment horizontal="center" vertical="center"/>
    </xf>
    <xf numFmtId="164" fontId="31" fillId="47" borderId="10" xfId="0" applyNumberFormat="1" applyFont="1" applyFill="1" applyBorder="1" applyAlignment="1">
      <alignment horizontal="center" vertical="center"/>
    </xf>
    <xf numFmtId="202" fontId="29" fillId="0" borderId="0" xfId="0" applyNumberFormat="1" applyFont="1" applyAlignment="1">
      <alignment horizontal="center" vertical="center"/>
    </xf>
    <xf numFmtId="202" fontId="137" fillId="0" borderId="0" xfId="0" applyNumberFormat="1" applyFont="1" applyBorder="1" applyAlignment="1"/>
    <xf numFmtId="202" fontId="31" fillId="0" borderId="0" xfId="0" applyNumberFormat="1" applyFont="1" applyBorder="1" applyAlignment="1"/>
    <xf numFmtId="202" fontId="133" fillId="5" borderId="17" xfId="2" applyNumberFormat="1" applyFont="1" applyFill="1" applyBorder="1" applyAlignment="1" applyProtection="1">
      <alignment horizontal="center" vertical="center" wrapText="1"/>
      <protection locked="0"/>
    </xf>
    <xf numFmtId="202" fontId="18" fillId="5" borderId="12" xfId="2" applyNumberFormat="1" applyFont="1" applyFill="1" applyBorder="1" applyAlignment="1" applyProtection="1">
      <alignment horizontal="center" vertical="center" wrapText="1"/>
      <protection locked="0"/>
    </xf>
    <xf numFmtId="202" fontId="18" fillId="5" borderId="6" xfId="2" applyNumberFormat="1" applyFont="1" applyFill="1" applyBorder="1" applyAlignment="1" applyProtection="1">
      <alignment horizontal="center" vertical="center" wrapText="1"/>
      <protection locked="0"/>
    </xf>
    <xf numFmtId="164" fontId="29" fillId="47" borderId="10" xfId="0" applyNumberFormat="1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center" vertical="center"/>
    </xf>
    <xf numFmtId="164" fontId="144" fillId="47" borderId="10" xfId="0" applyNumberFormat="1" applyFont="1" applyFill="1" applyBorder="1" applyAlignment="1">
      <alignment horizontal="center" vertical="center"/>
    </xf>
    <xf numFmtId="164" fontId="15" fillId="0" borderId="7" xfId="3" applyNumberFormat="1" applyFont="1" applyFill="1" applyBorder="1" applyAlignment="1">
      <alignment horizontal="center" vertical="center" wrapText="1"/>
    </xf>
    <xf numFmtId="164" fontId="15" fillId="0" borderId="10" xfId="3" applyNumberFormat="1" applyFont="1" applyFill="1" applyBorder="1" applyAlignment="1">
      <alignment horizontal="center" vertical="center" wrapText="1"/>
    </xf>
    <xf numFmtId="164" fontId="148" fillId="0" borderId="7" xfId="9" applyNumberFormat="1" applyFont="1" applyFill="1" applyBorder="1" applyAlignment="1">
      <alignment horizontal="center" vertical="center" wrapText="1"/>
    </xf>
    <xf numFmtId="164" fontId="29" fillId="0" borderId="10" xfId="0" applyNumberFormat="1" applyFont="1" applyFill="1" applyBorder="1" applyAlignment="1">
      <alignment horizontal="center" vertical="center"/>
    </xf>
    <xf numFmtId="164" fontId="16" fillId="2" borderId="0" xfId="0" applyNumberFormat="1" applyFont="1" applyFill="1" applyBorder="1" applyAlignment="1">
      <alignment horizontal="center" vertical="center"/>
    </xf>
    <xf numFmtId="164" fontId="16" fillId="0" borderId="10" xfId="0" applyNumberFormat="1" applyFont="1" applyFill="1" applyBorder="1" applyAlignment="1">
      <alignment vertical="center"/>
    </xf>
    <xf numFmtId="164" fontId="29" fillId="0" borderId="10" xfId="0" applyNumberFormat="1" applyFont="1" applyFill="1" applyBorder="1" applyAlignment="1">
      <alignment vertical="center"/>
    </xf>
    <xf numFmtId="164" fontId="143" fillId="0" borderId="10" xfId="0" applyNumberFormat="1" applyFont="1" applyFill="1" applyBorder="1" applyAlignment="1">
      <alignment horizontal="center" vertical="center"/>
    </xf>
    <xf numFmtId="164" fontId="31" fillId="2" borderId="10" xfId="0" applyNumberFormat="1" applyFont="1" applyFill="1" applyBorder="1" applyAlignment="1">
      <alignment horizontal="center" vertical="center"/>
    </xf>
    <xf numFmtId="0" fontId="15" fillId="0" borderId="4" xfId="17" applyFont="1" applyFill="1" applyBorder="1" applyAlignment="1">
      <alignment horizontal="center" vertical="center" wrapText="1"/>
    </xf>
    <xf numFmtId="0" fontId="15" fillId="0" borderId="5" xfId="17" applyFont="1" applyFill="1" applyBorder="1" applyAlignment="1">
      <alignment horizontal="center" vertical="center" wrapText="1"/>
    </xf>
    <xf numFmtId="0" fontId="16" fillId="0" borderId="6" xfId="17" applyFont="1" applyFill="1" applyBorder="1" applyAlignment="1">
      <alignment horizontal="center" vertical="center" wrapText="1"/>
    </xf>
    <xf numFmtId="0" fontId="20" fillId="0" borderId="1" xfId="17" applyFont="1" applyFill="1" applyBorder="1" applyAlignment="1">
      <alignment horizontal="center" vertical="center" wrapText="1"/>
    </xf>
    <xf numFmtId="0" fontId="20" fillId="0" borderId="3" xfId="17" applyFont="1" applyFill="1" applyBorder="1" applyAlignment="1">
      <alignment horizontal="center" vertical="center"/>
    </xf>
    <xf numFmtId="4" fontId="20" fillId="0" borderId="1" xfId="17" applyNumberFormat="1" applyFont="1" applyFill="1" applyBorder="1" applyAlignment="1">
      <alignment horizontal="center" vertical="center"/>
    </xf>
    <xf numFmtId="4" fontId="20" fillId="0" borderId="2" xfId="17" applyNumberFormat="1" applyFont="1" applyFill="1" applyBorder="1" applyAlignment="1">
      <alignment horizontal="center" vertical="center"/>
    </xf>
    <xf numFmtId="4" fontId="20" fillId="0" borderId="3" xfId="17" applyNumberFormat="1" applyFont="1" applyFill="1" applyBorder="1" applyAlignment="1">
      <alignment horizontal="center" vertical="center"/>
    </xf>
    <xf numFmtId="0" fontId="20" fillId="0" borderId="68" xfId="17" applyFont="1" applyFill="1" applyBorder="1" applyAlignment="1">
      <alignment horizontal="center" vertical="center" wrapText="1"/>
    </xf>
    <xf numFmtId="0" fontId="20" fillId="0" borderId="69" xfId="17" applyFont="1" applyFill="1" applyBorder="1" applyAlignment="1">
      <alignment horizontal="center" vertical="center"/>
    </xf>
    <xf numFmtId="0" fontId="20" fillId="44" borderId="15" xfId="17" applyFont="1" applyFill="1" applyBorder="1" applyAlignment="1">
      <alignment horizontal="center" vertical="center" wrapText="1"/>
    </xf>
    <xf numFmtId="0" fontId="20" fillId="44" borderId="17" xfId="17" applyFont="1" applyFill="1" applyBorder="1" applyAlignment="1">
      <alignment horizontal="center" vertical="center"/>
    </xf>
    <xf numFmtId="4" fontId="14" fillId="44" borderId="16" xfId="17" applyNumberFormat="1" applyFont="1" applyFill="1" applyBorder="1" applyAlignment="1">
      <alignment horizontal="center" vertical="center"/>
    </xf>
    <xf numFmtId="4" fontId="20" fillId="44" borderId="17" xfId="17" applyNumberFormat="1" applyFont="1" applyFill="1" applyBorder="1" applyAlignment="1">
      <alignment horizontal="center" vertical="center"/>
    </xf>
    <xf numFmtId="168" fontId="135" fillId="44" borderId="10" xfId="0" applyNumberFormat="1" applyFont="1" applyFill="1" applyBorder="1" applyAlignment="1">
      <alignment vertical="center" wrapText="1"/>
    </xf>
    <xf numFmtId="168" fontId="135" fillId="44" borderId="7" xfId="0" applyNumberFormat="1" applyFont="1" applyFill="1" applyBorder="1" applyAlignment="1">
      <alignment vertical="center" wrapText="1"/>
    </xf>
    <xf numFmtId="43" fontId="155" fillId="2" borderId="10" xfId="5" applyFont="1" applyFill="1" applyBorder="1" applyAlignment="1">
      <alignment horizontal="center" vertical="center" wrapText="1"/>
    </xf>
    <xf numFmtId="165" fontId="135" fillId="2" borderId="0" xfId="3" applyFont="1" applyFill="1" applyBorder="1" applyAlignment="1">
      <alignment horizontal="center" vertical="center" wrapText="1"/>
    </xf>
    <xf numFmtId="43" fontId="155" fillId="2" borderId="0" xfId="5" applyFont="1" applyFill="1" applyBorder="1" applyAlignment="1">
      <alignment horizontal="center" vertical="center" wrapText="1"/>
    </xf>
    <xf numFmtId="165" fontId="135" fillId="2" borderId="18" xfId="3" applyFont="1" applyFill="1" applyBorder="1" applyAlignment="1">
      <alignment horizontal="center" vertical="center" wrapText="1"/>
    </xf>
    <xf numFmtId="165" fontId="135" fillId="2" borderId="10" xfId="3" applyFont="1" applyFill="1" applyBorder="1" applyAlignment="1">
      <alignment horizontal="center" vertical="center" wrapText="1"/>
    </xf>
    <xf numFmtId="4" fontId="23" fillId="0" borderId="10" xfId="0" applyNumberFormat="1" applyFont="1" applyBorder="1" applyAlignment="1">
      <alignment horizontal="center" vertical="center" wrapText="1"/>
    </xf>
    <xf numFmtId="49" fontId="21" fillId="2" borderId="13" xfId="3" applyNumberFormat="1" applyFont="1" applyFill="1" applyBorder="1" applyAlignment="1">
      <alignment horizontal="center" vertical="center"/>
    </xf>
    <xf numFmtId="165" fontId="21" fillId="2" borderId="10" xfId="3" applyFont="1" applyFill="1" applyBorder="1" applyAlignment="1">
      <alignment horizontal="left" vertical="center" wrapText="1"/>
    </xf>
    <xf numFmtId="4" fontId="26" fillId="47" borderId="10" xfId="0" applyNumberFormat="1" applyFont="1" applyFill="1" applyBorder="1" applyAlignment="1">
      <alignment vertical="center"/>
    </xf>
    <xf numFmtId="4" fontId="23" fillId="2" borderId="10" xfId="0" applyNumberFormat="1" applyFont="1" applyFill="1" applyBorder="1" applyAlignment="1">
      <alignment vertical="center"/>
    </xf>
    <xf numFmtId="166" fontId="0" fillId="0" borderId="0" xfId="0" applyNumberFormat="1"/>
    <xf numFmtId="4" fontId="23" fillId="47" borderId="10" xfId="0" applyNumberFormat="1" applyFont="1" applyFill="1" applyBorder="1" applyAlignment="1">
      <alignment vertical="center"/>
    </xf>
    <xf numFmtId="165" fontId="21" fillId="0" borderId="10" xfId="3" applyFont="1" applyFill="1" applyBorder="1" applyAlignment="1">
      <alignment horizontal="left" vertical="center" wrapText="1" indent="2"/>
    </xf>
    <xf numFmtId="49" fontId="21" fillId="0" borderId="13" xfId="3" applyNumberFormat="1" applyFont="1" applyFill="1" applyBorder="1" applyAlignment="1">
      <alignment horizontal="center" vertical="center"/>
    </xf>
    <xf numFmtId="165" fontId="21" fillId="0" borderId="10" xfId="3" applyFont="1" applyFill="1" applyBorder="1" applyAlignment="1">
      <alignment horizontal="left" vertical="center" wrapText="1"/>
    </xf>
    <xf numFmtId="49" fontId="21" fillId="0" borderId="10" xfId="3" applyNumberFormat="1" applyFont="1" applyFill="1" applyBorder="1" applyAlignment="1">
      <alignment horizontal="center" vertical="center"/>
    </xf>
    <xf numFmtId="49" fontId="21" fillId="2" borderId="0" xfId="3" applyNumberFormat="1" applyFont="1" applyFill="1" applyBorder="1" applyAlignment="1">
      <alignment horizontal="center" vertical="center"/>
    </xf>
    <xf numFmtId="165" fontId="21" fillId="2" borderId="0" xfId="3" applyFont="1" applyFill="1" applyBorder="1" applyAlignment="1">
      <alignment horizontal="left" vertical="center" wrapText="1" indent="2"/>
    </xf>
    <xf numFmtId="4" fontId="26" fillId="2" borderId="0" xfId="0" applyNumberFormat="1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0" fillId="2" borderId="0" xfId="0" applyFill="1" applyBorder="1"/>
    <xf numFmtId="165" fontId="149" fillId="2" borderId="0" xfId="3" applyFont="1" applyFill="1" applyBorder="1" applyAlignment="1">
      <alignment horizontal="left" vertical="center" wrapText="1" indent="2"/>
    </xf>
    <xf numFmtId="0" fontId="0" fillId="0" borderId="10" xfId="0" applyBorder="1"/>
    <xf numFmtId="3" fontId="149" fillId="0" borderId="10" xfId="423" applyNumberFormat="1" applyFont="1" applyBorder="1" applyAlignment="1">
      <alignment horizontal="left" vertical="center" wrapText="1"/>
    </xf>
    <xf numFmtId="3" fontId="156" fillId="0" borderId="10" xfId="423" applyNumberFormat="1" applyFont="1" applyBorder="1" applyAlignment="1">
      <alignment horizontal="left" vertical="center" wrapText="1"/>
    </xf>
    <xf numFmtId="203" fontId="26" fillId="47" borderId="10" xfId="0" applyNumberFormat="1" applyFont="1" applyFill="1" applyBorder="1" applyAlignment="1">
      <alignment vertical="center"/>
    </xf>
    <xf numFmtId="203" fontId="0" fillId="0" borderId="0" xfId="0" applyNumberFormat="1"/>
    <xf numFmtId="2" fontId="0" fillId="0" borderId="0" xfId="0" applyNumberFormat="1"/>
    <xf numFmtId="164" fontId="0" fillId="0" borderId="0" xfId="0" applyNumberFormat="1"/>
    <xf numFmtId="4" fontId="14" fillId="44" borderId="15" xfId="17" applyNumberFormat="1" applyFont="1" applyFill="1" applyBorder="1" applyAlignment="1">
      <alignment horizontal="center" vertical="center"/>
    </xf>
    <xf numFmtId="0" fontId="141" fillId="0" borderId="0" xfId="0" applyFont="1"/>
    <xf numFmtId="0" fontId="26" fillId="44" borderId="2" xfId="0" applyFont="1" applyFill="1" applyBorder="1" applyAlignment="1">
      <alignment horizontal="center" vertical="center" wrapText="1"/>
    </xf>
    <xf numFmtId="10" fontId="21" fillId="0" borderId="10" xfId="1" applyNumberFormat="1" applyFont="1" applyFill="1" applyBorder="1" applyAlignment="1">
      <alignment horizontal="center" vertical="center"/>
    </xf>
    <xf numFmtId="202" fontId="18" fillId="2" borderId="10" xfId="2" applyNumberFormat="1" applyFont="1" applyFill="1" applyBorder="1" applyAlignment="1" applyProtection="1">
      <alignment vertical="center" wrapText="1"/>
      <protection locked="0"/>
    </xf>
    <xf numFmtId="0" fontId="18" fillId="2" borderId="10" xfId="0" applyFont="1" applyFill="1" applyBorder="1" applyAlignment="1">
      <alignment horizontal="left" vertical="center" wrapText="1"/>
    </xf>
    <xf numFmtId="0" fontId="22" fillId="0" borderId="0" xfId="6" applyFont="1" applyBorder="1" applyAlignment="1">
      <alignment horizontal="center" vertical="center" wrapText="1"/>
    </xf>
    <xf numFmtId="0" fontId="154" fillId="0" borderId="0" xfId="0" applyFont="1"/>
    <xf numFmtId="0" fontId="206" fillId="0" borderId="0" xfId="2393" applyFont="1"/>
    <xf numFmtId="0" fontId="29" fillId="0" borderId="0" xfId="2393" applyFont="1"/>
    <xf numFmtId="0" fontId="26" fillId="44" borderId="50" xfId="0" applyFont="1" applyFill="1" applyBorder="1" applyAlignment="1">
      <alignment horizontal="center" vertical="center" wrapText="1"/>
    </xf>
    <xf numFmtId="168" fontId="26" fillId="44" borderId="51" xfId="0" applyNumberFormat="1" applyFont="1" applyFill="1" applyBorder="1" applyAlignment="1">
      <alignment vertical="center" wrapText="1"/>
    </xf>
    <xf numFmtId="168" fontId="135" fillId="44" borderId="51" xfId="0" applyNumberFormat="1" applyFont="1" applyFill="1" applyBorder="1" applyAlignment="1">
      <alignment vertical="center" wrapText="1"/>
    </xf>
    <xf numFmtId="168" fontId="26" fillId="44" borderId="56" xfId="0" applyNumberFormat="1" applyFont="1" applyFill="1" applyBorder="1" applyAlignment="1">
      <alignment vertical="center" wrapText="1"/>
    </xf>
    <xf numFmtId="168" fontId="135" fillId="44" borderId="54" xfId="0" applyNumberFormat="1" applyFont="1" applyFill="1" applyBorder="1" applyAlignment="1">
      <alignment vertical="center" wrapText="1"/>
    </xf>
    <xf numFmtId="165" fontId="16" fillId="2" borderId="10" xfId="3" applyFont="1" applyFill="1" applyBorder="1" applyAlignment="1">
      <alignment horizontal="left" vertical="center" wrapText="1" indent="2"/>
    </xf>
    <xf numFmtId="168" fontId="16" fillId="2" borderId="0" xfId="0" applyNumberFormat="1" applyFont="1" applyFill="1"/>
    <xf numFmtId="0" fontId="20" fillId="2" borderId="36" xfId="0" applyFont="1" applyFill="1" applyBorder="1"/>
    <xf numFmtId="0" fontId="20" fillId="2" borderId="0" xfId="0" applyFont="1" applyFill="1" applyBorder="1"/>
    <xf numFmtId="202" fontId="133" fillId="5" borderId="12" xfId="2" applyNumberFormat="1" applyFont="1" applyFill="1" applyBorder="1" applyAlignment="1" applyProtection="1">
      <alignment horizontal="center" vertical="center" wrapText="1"/>
      <protection locked="0"/>
    </xf>
    <xf numFmtId="171" fontId="16" fillId="0" borderId="0" xfId="0" applyNumberFormat="1" applyFont="1"/>
    <xf numFmtId="0" fontId="16" fillId="2" borderId="78" xfId="0" applyFont="1" applyFill="1" applyBorder="1"/>
    <xf numFmtId="0" fontId="16" fillId="0" borderId="78" xfId="0" applyFont="1" applyBorder="1"/>
    <xf numFmtId="0" fontId="21" fillId="0" borderId="10" xfId="6" applyFont="1" applyBorder="1"/>
    <xf numFmtId="0" fontId="21" fillId="0" borderId="13" xfId="6" applyFont="1" applyBorder="1"/>
    <xf numFmtId="4" fontId="21" fillId="0" borderId="10" xfId="6" applyNumberFormat="1" applyFont="1" applyBorder="1"/>
    <xf numFmtId="0" fontId="21" fillId="0" borderId="10" xfId="6" applyFont="1" applyBorder="1" applyAlignment="1">
      <alignment horizontal="center"/>
    </xf>
    <xf numFmtId="0" fontId="21" fillId="0" borderId="10" xfId="6" applyFont="1" applyBorder="1" applyAlignment="1">
      <alignment horizontal="center" vertical="center"/>
    </xf>
    <xf numFmtId="0" fontId="21" fillId="0" borderId="10" xfId="6" applyFont="1" applyBorder="1" applyAlignment="1">
      <alignment horizontal="center" vertical="center" wrapText="1"/>
    </xf>
    <xf numFmtId="168" fontId="211" fillId="44" borderId="14" xfId="0" applyNumberFormat="1" applyFont="1" applyFill="1" applyBorder="1" applyAlignment="1">
      <alignment vertical="center" wrapText="1"/>
    </xf>
    <xf numFmtId="168" fontId="26" fillId="44" borderId="2" xfId="0" applyNumberFormat="1" applyFont="1" applyFill="1" applyBorder="1" applyAlignment="1">
      <alignment vertical="center" wrapText="1"/>
    </xf>
    <xf numFmtId="168" fontId="26" fillId="44" borderId="50" xfId="0" applyNumberFormat="1" applyFont="1" applyFill="1" applyBorder="1" applyAlignment="1">
      <alignment vertical="center" wrapText="1"/>
    </xf>
    <xf numFmtId="168" fontId="211" fillId="44" borderId="46" xfId="0" applyNumberFormat="1" applyFont="1" applyFill="1" applyBorder="1" applyAlignment="1">
      <alignment vertical="center" wrapText="1"/>
    </xf>
    <xf numFmtId="0" fontId="21" fillId="0" borderId="13" xfId="6" applyFont="1" applyBorder="1" applyAlignment="1">
      <alignment horizontal="left" indent="1"/>
    </xf>
    <xf numFmtId="0" fontId="26" fillId="2" borderId="2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168" fontId="26" fillId="2" borderId="21" xfId="0" applyNumberFormat="1" applyFont="1" applyFill="1" applyBorder="1" applyAlignment="1">
      <alignment vertical="center" wrapText="1"/>
    </xf>
    <xf numFmtId="168" fontId="26" fillId="2" borderId="67" xfId="0" applyNumberFormat="1" applyFont="1" applyFill="1" applyBorder="1" applyAlignment="1">
      <alignment vertical="center" wrapText="1"/>
    </xf>
    <xf numFmtId="168" fontId="26" fillId="2" borderId="1" xfId="0" applyNumberFormat="1" applyFont="1" applyFill="1" applyBorder="1" applyAlignment="1">
      <alignment vertical="center" wrapText="1"/>
    </xf>
    <xf numFmtId="168" fontId="26" fillId="2" borderId="13" xfId="0" applyNumberFormat="1" applyFont="1" applyFill="1" applyBorder="1" applyAlignment="1">
      <alignment vertical="center" wrapText="1"/>
    </xf>
    <xf numFmtId="168" fontId="26" fillId="2" borderId="65" xfId="0" applyNumberFormat="1" applyFont="1" applyFill="1" applyBorder="1" applyAlignment="1">
      <alignment vertical="center" wrapText="1"/>
    </xf>
    <xf numFmtId="168" fontId="26" fillId="2" borderId="11" xfId="0" applyNumberFormat="1" applyFont="1" applyFill="1" applyBorder="1" applyAlignment="1">
      <alignment vertical="center" wrapText="1"/>
    </xf>
    <xf numFmtId="168" fontId="30" fillId="2" borderId="13" xfId="0" applyNumberFormat="1" applyFont="1" applyFill="1" applyBorder="1" applyAlignment="1">
      <alignment vertical="center" wrapText="1"/>
    </xf>
    <xf numFmtId="168" fontId="135" fillId="2" borderId="65" xfId="0" applyNumberFormat="1" applyFont="1" applyFill="1" applyBorder="1" applyAlignment="1">
      <alignment vertical="center" wrapText="1"/>
    </xf>
    <xf numFmtId="168" fontId="135" fillId="2" borderId="11" xfId="0" applyNumberFormat="1" applyFont="1" applyFill="1" applyBorder="1" applyAlignment="1">
      <alignment vertical="center" wrapText="1"/>
    </xf>
    <xf numFmtId="168" fontId="211" fillId="2" borderId="47" xfId="0" applyNumberFormat="1" applyFont="1" applyFill="1" applyBorder="1" applyAlignment="1">
      <alignment vertical="center" wrapText="1"/>
    </xf>
    <xf numFmtId="168" fontId="21" fillId="2" borderId="70" xfId="0" applyNumberFormat="1" applyFont="1" applyFill="1" applyBorder="1" applyAlignment="1">
      <alignment vertical="center" wrapText="1"/>
    </xf>
    <xf numFmtId="168" fontId="21" fillId="2" borderId="45" xfId="0" applyNumberFormat="1" applyFont="1" applyFill="1" applyBorder="1" applyAlignment="1">
      <alignment vertical="center" wrapText="1"/>
    </xf>
    <xf numFmtId="168" fontId="26" fillId="2" borderId="22" xfId="0" applyNumberFormat="1" applyFont="1" applyFill="1" applyBorder="1" applyAlignment="1">
      <alignment vertical="center" wrapText="1"/>
    </xf>
    <xf numFmtId="168" fontId="26" fillId="2" borderId="70" xfId="0" applyNumberFormat="1" applyFont="1" applyFill="1" applyBorder="1" applyAlignment="1">
      <alignment vertical="center" wrapText="1"/>
    </xf>
    <xf numFmtId="168" fontId="26" fillId="2" borderId="45" xfId="0" applyNumberFormat="1" applyFont="1" applyFill="1" applyBorder="1" applyAlignment="1">
      <alignment vertical="center" wrapText="1"/>
    </xf>
    <xf numFmtId="168" fontId="26" fillId="2" borderId="55" xfId="0" applyNumberFormat="1" applyFont="1" applyFill="1" applyBorder="1" applyAlignment="1">
      <alignment vertical="center" wrapText="1"/>
    </xf>
    <xf numFmtId="168" fontId="26" fillId="2" borderId="64" xfId="0" applyNumberFormat="1" applyFont="1" applyFill="1" applyBorder="1" applyAlignment="1">
      <alignment vertical="center" wrapText="1"/>
    </xf>
    <xf numFmtId="168" fontId="26" fillId="2" borderId="15" xfId="0" applyNumberFormat="1" applyFont="1" applyFill="1" applyBorder="1" applyAlignment="1">
      <alignment vertical="center" wrapText="1"/>
    </xf>
    <xf numFmtId="168" fontId="30" fillId="2" borderId="21" xfId="0" applyNumberFormat="1" applyFont="1" applyFill="1" applyBorder="1" applyAlignment="1">
      <alignment vertical="center" wrapText="1"/>
    </xf>
    <xf numFmtId="168" fontId="135" fillId="2" borderId="67" xfId="0" applyNumberFormat="1" applyFont="1" applyFill="1" applyBorder="1" applyAlignment="1">
      <alignment vertical="center" wrapText="1"/>
    </xf>
    <xf numFmtId="168" fontId="135" fillId="2" borderId="8" xfId="0" applyNumberFormat="1" applyFont="1" applyFill="1" applyBorder="1" applyAlignment="1">
      <alignment vertical="center" wrapText="1"/>
    </xf>
    <xf numFmtId="0" fontId="21" fillId="2" borderId="65" xfId="0" applyFont="1" applyFill="1" applyBorder="1" applyAlignment="1">
      <alignment vertical="center" wrapText="1"/>
    </xf>
    <xf numFmtId="0" fontId="21" fillId="2" borderId="11" xfId="0" applyFont="1" applyFill="1" applyBorder="1" applyAlignment="1">
      <alignment vertical="center" wrapText="1"/>
    </xf>
    <xf numFmtId="0" fontId="26" fillId="2" borderId="80" xfId="0" applyFont="1" applyFill="1" applyBorder="1" applyAlignment="1">
      <alignment vertical="center" wrapText="1"/>
    </xf>
    <xf numFmtId="0" fontId="26" fillId="2" borderId="4" xfId="0" applyFont="1" applyFill="1" applyBorder="1" applyAlignment="1">
      <alignment vertical="center" wrapText="1"/>
    </xf>
    <xf numFmtId="0" fontId="21" fillId="0" borderId="0" xfId="6" applyFont="1" applyAlignment="1">
      <alignment horizontal="center"/>
    </xf>
    <xf numFmtId="0" fontId="135" fillId="0" borderId="13" xfId="6" applyFont="1" applyBorder="1"/>
    <xf numFmtId="0" fontId="135" fillId="0" borderId="10" xfId="6" applyFont="1" applyBorder="1" applyAlignment="1">
      <alignment horizontal="center"/>
    </xf>
    <xf numFmtId="4" fontId="135" fillId="0" borderId="10" xfId="6" applyNumberFormat="1" applyFont="1" applyBorder="1"/>
    <xf numFmtId="0" fontId="135" fillId="0" borderId="0" xfId="6" applyFont="1"/>
    <xf numFmtId="0" fontId="135" fillId="0" borderId="13" xfId="6" applyFont="1" applyBorder="1" applyAlignment="1">
      <alignment wrapText="1"/>
    </xf>
    <xf numFmtId="0" fontId="135" fillId="0" borderId="10" xfId="6" applyFont="1" applyBorder="1"/>
    <xf numFmtId="0" fontId="212" fillId="0" borderId="0" xfId="6" applyFont="1"/>
    <xf numFmtId="0" fontId="22" fillId="0" borderId="10" xfId="6" applyFont="1" applyBorder="1" applyAlignment="1">
      <alignment horizontal="left" vertical="center" wrapText="1"/>
    </xf>
    <xf numFmtId="4" fontId="25" fillId="0" borderId="10" xfId="7" applyNumberFormat="1" applyFont="1" applyBorder="1" applyAlignment="1">
      <alignment horizontal="center" vertical="center" wrapText="1"/>
    </xf>
    <xf numFmtId="0" fontId="21" fillId="0" borderId="0" xfId="6" applyFont="1" applyBorder="1" applyAlignment="1">
      <alignment horizontal="left" wrapText="1"/>
    </xf>
    <xf numFmtId="0" fontId="24" fillId="0" borderId="10" xfId="6" applyFont="1" applyBorder="1" applyAlignment="1">
      <alignment horizontal="right" vertical="center" wrapText="1"/>
    </xf>
    <xf numFmtId="0" fontId="26" fillId="0" borderId="10" xfId="6" applyFont="1" applyBorder="1" applyAlignment="1">
      <alignment horizontal="left" vertical="center" wrapText="1"/>
    </xf>
    <xf numFmtId="0" fontId="149" fillId="0" borderId="10" xfId="6" applyFont="1" applyBorder="1" applyAlignment="1">
      <alignment horizontal="center"/>
    </xf>
    <xf numFmtId="4" fontId="149" fillId="0" borderId="10" xfId="6" applyNumberFormat="1" applyFont="1" applyBorder="1"/>
    <xf numFmtId="0" fontId="149" fillId="0" borderId="0" xfId="6" applyFont="1" applyBorder="1" applyAlignment="1">
      <alignment horizontal="left" wrapText="1"/>
    </xf>
    <xf numFmtId="0" fontId="149" fillId="0" borderId="0" xfId="6" applyFont="1"/>
    <xf numFmtId="0" fontId="21" fillId="0" borderId="10" xfId="6" applyFont="1" applyBorder="1" applyAlignment="1">
      <alignment horizontal="left" vertical="center"/>
    </xf>
    <xf numFmtId="0" fontId="21" fillId="0" borderId="0" xfId="6" applyFont="1" applyBorder="1" applyAlignment="1">
      <alignment horizontal="left" vertical="center"/>
    </xf>
    <xf numFmtId="0" fontId="214" fillId="0" borderId="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167" fontId="135" fillId="0" borderId="11" xfId="7" applyNumberFormat="1" applyFont="1" applyBorder="1" applyAlignment="1">
      <alignment horizontal="center" vertical="center" wrapText="1"/>
    </xf>
    <xf numFmtId="167" fontId="135" fillId="0" borderId="10" xfId="7" applyNumberFormat="1" applyFont="1" applyBorder="1" applyAlignment="1">
      <alignment horizontal="center" vertical="center" wrapText="1"/>
    </xf>
    <xf numFmtId="0" fontId="135" fillId="0" borderId="12" xfId="6" applyFont="1" applyFill="1" applyBorder="1" applyAlignment="1">
      <alignment horizontal="center" vertical="center" wrapText="1"/>
    </xf>
    <xf numFmtId="4" fontId="25" fillId="0" borderId="11" xfId="7" applyNumberFormat="1" applyFont="1" applyBorder="1" applyAlignment="1">
      <alignment horizontal="center" vertical="center" wrapText="1"/>
    </xf>
    <xf numFmtId="4" fontId="25" fillId="5" borderId="12" xfId="6" applyNumberFormat="1" applyFont="1" applyFill="1" applyBorder="1" applyAlignment="1">
      <alignment horizontal="center" vertical="center" wrapText="1"/>
    </xf>
    <xf numFmtId="9" fontId="25" fillId="3" borderId="11" xfId="7" applyNumberFormat="1" applyFont="1" applyFill="1" applyBorder="1" applyAlignment="1">
      <alignment horizontal="center" vertical="center" wrapText="1"/>
    </xf>
    <xf numFmtId="9" fontId="25" fillId="3" borderId="10" xfId="7" applyNumberFormat="1" applyFont="1" applyFill="1" applyBorder="1" applyAlignment="1">
      <alignment horizontal="center" vertical="center" wrapText="1"/>
    </xf>
    <xf numFmtId="9" fontId="25" fillId="3" borderId="12" xfId="7" applyNumberFormat="1" applyFont="1" applyFill="1" applyBorder="1" applyAlignment="1">
      <alignment horizontal="center" vertical="center" wrapText="1"/>
    </xf>
    <xf numFmtId="0" fontId="16" fillId="0" borderId="0" xfId="6" applyFont="1"/>
    <xf numFmtId="0" fontId="31" fillId="0" borderId="10" xfId="6" applyFont="1" applyBorder="1" applyAlignment="1">
      <alignment vertical="center" wrapText="1"/>
    </xf>
    <xf numFmtId="0" fontId="31" fillId="0" borderId="13" xfId="6" applyFont="1" applyBorder="1" applyAlignment="1">
      <alignment horizontal="center" vertical="center" wrapText="1"/>
    </xf>
    <xf numFmtId="4" fontId="16" fillId="0" borderId="11" xfId="6" applyNumberFormat="1" applyFont="1" applyBorder="1" applyAlignment="1">
      <alignment horizontal="center" vertical="center" wrapText="1"/>
    </xf>
    <xf numFmtId="4" fontId="16" fillId="0" borderId="10" xfId="6" applyNumberFormat="1" applyFont="1" applyBorder="1" applyAlignment="1">
      <alignment horizontal="center" vertical="center" wrapText="1"/>
    </xf>
    <xf numFmtId="4" fontId="15" fillId="4" borderId="12" xfId="6" applyNumberFormat="1" applyFont="1" applyFill="1" applyBorder="1" applyAlignment="1">
      <alignment horizontal="center" vertical="center" wrapText="1"/>
    </xf>
    <xf numFmtId="0" fontId="149" fillId="0" borderId="10" xfId="6" applyFont="1" applyBorder="1" applyAlignment="1">
      <alignment horizontal="left" wrapText="1" indent="2"/>
    </xf>
    <xf numFmtId="0" fontId="24" fillId="0" borderId="13" xfId="6" applyFont="1" applyBorder="1" applyAlignment="1">
      <alignment horizontal="center" vertical="center" wrapText="1"/>
    </xf>
    <xf numFmtId="4" fontId="149" fillId="5" borderId="11" xfId="6" applyNumberFormat="1" applyFont="1" applyFill="1" applyBorder="1" applyAlignment="1">
      <alignment horizontal="center" vertical="center" wrapText="1"/>
    </xf>
    <xf numFmtId="4" fontId="149" fillId="5" borderId="10" xfId="6" applyNumberFormat="1" applyFont="1" applyFill="1" applyBorder="1" applyAlignment="1">
      <alignment horizontal="center" vertical="center"/>
    </xf>
    <xf numFmtId="2" fontId="149" fillId="0" borderId="12" xfId="6" applyNumberFormat="1" applyFont="1" applyBorder="1" applyAlignment="1">
      <alignment horizontal="center" vertical="center"/>
    </xf>
    <xf numFmtId="0" fontId="149" fillId="0" borderId="14" xfId="6" applyFont="1" applyBorder="1" applyAlignment="1">
      <alignment horizontal="left" indent="2"/>
    </xf>
    <xf numFmtId="0" fontId="24" fillId="0" borderId="47" xfId="6" applyFont="1" applyBorder="1" applyAlignment="1">
      <alignment horizontal="center" vertical="center" wrapText="1"/>
    </xf>
    <xf numFmtId="4" fontId="149" fillId="5" borderId="45" xfId="6" applyNumberFormat="1" applyFont="1" applyFill="1" applyBorder="1" applyAlignment="1">
      <alignment horizontal="center" vertical="center" wrapText="1"/>
    </xf>
    <xf numFmtId="4" fontId="149" fillId="5" borderId="14" xfId="6" applyNumberFormat="1" applyFont="1" applyFill="1" applyBorder="1" applyAlignment="1">
      <alignment horizontal="center" vertical="center"/>
    </xf>
    <xf numFmtId="2" fontId="149" fillId="0" borderId="46" xfId="6" applyNumberFormat="1" applyFont="1" applyBorder="1" applyAlignment="1">
      <alignment horizontal="center" vertical="center"/>
    </xf>
    <xf numFmtId="0" fontId="149" fillId="0" borderId="10" xfId="6" applyFont="1" applyBorder="1" applyAlignment="1">
      <alignment horizontal="right" indent="2"/>
    </xf>
    <xf numFmtId="0" fontId="24" fillId="0" borderId="12" xfId="6" applyFont="1" applyBorder="1" applyAlignment="1">
      <alignment horizontal="center" vertical="center" wrapText="1"/>
    </xf>
    <xf numFmtId="0" fontId="21" fillId="0" borderId="0" xfId="6" applyFont="1" applyBorder="1"/>
    <xf numFmtId="4" fontId="25" fillId="0" borderId="0" xfId="6" applyNumberFormat="1" applyFont="1" applyBorder="1" applyAlignment="1">
      <alignment horizontal="center" vertical="center" wrapText="1"/>
    </xf>
    <xf numFmtId="4" fontId="21" fillId="0" borderId="0" xfId="6" applyNumberFormat="1" applyFont="1" applyBorder="1" applyAlignment="1">
      <alignment horizontal="center" vertical="center"/>
    </xf>
    <xf numFmtId="2" fontId="21" fillId="0" borderId="0" xfId="6" applyNumberFormat="1" applyFont="1" applyBorder="1" applyAlignment="1">
      <alignment horizontal="center" vertical="center"/>
    </xf>
    <xf numFmtId="0" fontId="21" fillId="0" borderId="13" xfId="6" applyFont="1" applyBorder="1" applyAlignment="1">
      <alignment horizontal="center" vertical="center" wrapText="1"/>
    </xf>
    <xf numFmtId="0" fontId="21" fillId="0" borderId="0" xfId="6" applyFont="1" applyAlignment="1">
      <alignment horizontal="center" vertical="center"/>
    </xf>
    <xf numFmtId="0" fontId="21" fillId="0" borderId="10" xfId="6" applyFont="1" applyBorder="1" applyAlignment="1">
      <alignment horizontal="left" vertical="center" wrapText="1"/>
    </xf>
    <xf numFmtId="0" fontId="21" fillId="0" borderId="13" xfId="6" applyFont="1" applyBorder="1" applyAlignment="1">
      <alignment horizontal="center" vertical="center"/>
    </xf>
    <xf numFmtId="4" fontId="21" fillId="0" borderId="11" xfId="6" applyNumberFormat="1" applyFont="1" applyBorder="1" applyAlignment="1">
      <alignment horizontal="center" vertical="center"/>
    </xf>
    <xf numFmtId="4" fontId="21" fillId="0" borderId="10" xfId="6" applyNumberFormat="1" applyFont="1" applyBorder="1" applyAlignment="1">
      <alignment horizontal="center" vertical="center"/>
    </xf>
    <xf numFmtId="4" fontId="21" fillId="5" borderId="12" xfId="6" applyNumberFormat="1" applyFont="1" applyFill="1" applyBorder="1" applyAlignment="1">
      <alignment horizontal="center" vertical="center"/>
    </xf>
    <xf numFmtId="0" fontId="149" fillId="0" borderId="0" xfId="6" applyFont="1" applyAlignment="1">
      <alignment horizontal="center" vertical="center"/>
    </xf>
    <xf numFmtId="0" fontId="149" fillId="0" borderId="10" xfId="6" applyFont="1" applyBorder="1" applyAlignment="1">
      <alignment horizontal="right" vertical="center"/>
    </xf>
    <xf numFmtId="0" fontId="149" fillId="0" borderId="13" xfId="6" applyFont="1" applyBorder="1" applyAlignment="1">
      <alignment horizontal="center" vertical="center"/>
    </xf>
    <xf numFmtId="4" fontId="149" fillId="0" borderId="11" xfId="6" applyNumberFormat="1" applyFont="1" applyBorder="1" applyAlignment="1">
      <alignment horizontal="center" vertical="center"/>
    </xf>
    <xf numFmtId="4" fontId="149" fillId="0" borderId="10" xfId="6" applyNumberFormat="1" applyFont="1" applyBorder="1" applyAlignment="1">
      <alignment horizontal="center" vertical="center"/>
    </xf>
    <xf numFmtId="4" fontId="149" fillId="5" borderId="12" xfId="6" applyNumberFormat="1" applyFont="1" applyFill="1" applyBorder="1" applyAlignment="1">
      <alignment horizontal="center" vertical="center"/>
    </xf>
    <xf numFmtId="4" fontId="149" fillId="74" borderId="11" xfId="6" applyNumberFormat="1" applyFont="1" applyFill="1" applyBorder="1" applyAlignment="1">
      <alignment horizontal="center" vertical="center"/>
    </xf>
    <xf numFmtId="4" fontId="149" fillId="74" borderId="10" xfId="6" applyNumberFormat="1" applyFont="1" applyFill="1" applyBorder="1" applyAlignment="1">
      <alignment horizontal="center" vertical="center"/>
    </xf>
    <xf numFmtId="10" fontId="149" fillId="2" borderId="12" xfId="6" applyNumberFormat="1" applyFont="1" applyFill="1" applyBorder="1" applyAlignment="1">
      <alignment horizontal="center" vertical="center"/>
    </xf>
    <xf numFmtId="2" fontId="149" fillId="2" borderId="12" xfId="6" applyNumberFormat="1" applyFont="1" applyFill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5" fillId="0" borderId="10" xfId="6" applyFont="1" applyBorder="1" applyAlignment="1">
      <alignment horizontal="left" vertical="center" wrapText="1"/>
    </xf>
    <xf numFmtId="0" fontId="15" fillId="0" borderId="13" xfId="6" applyFont="1" applyBorder="1" applyAlignment="1">
      <alignment horizontal="center" vertical="center"/>
    </xf>
    <xf numFmtId="4" fontId="15" fillId="7" borderId="11" xfId="6" applyNumberFormat="1" applyFont="1" applyFill="1" applyBorder="1" applyAlignment="1">
      <alignment horizontal="center" vertical="center"/>
    </xf>
    <xf numFmtId="4" fontId="15" fillId="7" borderId="10" xfId="6" applyNumberFormat="1" applyFont="1" applyFill="1" applyBorder="1" applyAlignment="1">
      <alignment horizontal="center" vertical="center"/>
    </xf>
    <xf numFmtId="4" fontId="15" fillId="7" borderId="12" xfId="6" applyNumberFormat="1" applyFont="1" applyFill="1" applyBorder="1" applyAlignment="1">
      <alignment horizontal="center" vertical="center"/>
    </xf>
    <xf numFmtId="0" fontId="16" fillId="0" borderId="0" xfId="6" applyFont="1" applyAlignment="1">
      <alignment horizontal="center" vertical="center"/>
    </xf>
    <xf numFmtId="0" fontId="18" fillId="0" borderId="13" xfId="6" applyFont="1" applyBorder="1" applyAlignment="1">
      <alignment horizontal="center" vertical="center"/>
    </xf>
    <xf numFmtId="4" fontId="16" fillId="0" borderId="11" xfId="6" applyNumberFormat="1" applyFont="1" applyBorder="1" applyAlignment="1">
      <alignment horizontal="center" vertical="center"/>
    </xf>
    <xf numFmtId="4" fontId="16" fillId="0" borderId="10" xfId="6" applyNumberFormat="1" applyFont="1" applyBorder="1" applyAlignment="1">
      <alignment horizontal="center" vertical="center"/>
    </xf>
    <xf numFmtId="4" fontId="15" fillId="5" borderId="12" xfId="6" applyNumberFormat="1" applyFont="1" applyFill="1" applyBorder="1" applyAlignment="1">
      <alignment horizontal="center" vertical="center"/>
    </xf>
    <xf numFmtId="0" fontId="21" fillId="0" borderId="10" xfId="6" applyFont="1" applyBorder="1" applyAlignment="1">
      <alignment wrapText="1"/>
    </xf>
    <xf numFmtId="4" fontId="21" fillId="0" borderId="4" xfId="6" applyNumberFormat="1" applyFont="1" applyBorder="1" applyAlignment="1">
      <alignment horizontal="center" vertical="center"/>
    </xf>
    <xf numFmtId="4" fontId="21" fillId="0" borderId="5" xfId="6" applyNumberFormat="1" applyFont="1" applyBorder="1" applyAlignment="1">
      <alignment horizontal="center" vertical="center"/>
    </xf>
    <xf numFmtId="4" fontId="135" fillId="5" borderId="6" xfId="6" applyNumberFormat="1" applyFont="1" applyFill="1" applyBorder="1" applyAlignment="1">
      <alignment horizontal="center" vertical="center"/>
    </xf>
    <xf numFmtId="0" fontId="147" fillId="0" borderId="0" xfId="6" applyFont="1"/>
    <xf numFmtId="4" fontId="147" fillId="0" borderId="0" xfId="6" applyNumberFormat="1" applyFont="1"/>
    <xf numFmtId="0" fontId="15" fillId="0" borderId="10" xfId="6" applyFont="1" applyBorder="1" applyAlignment="1">
      <alignment horizontal="center" vertical="center"/>
    </xf>
    <xf numFmtId="0" fontId="15" fillId="0" borderId="0" xfId="6" applyFont="1"/>
    <xf numFmtId="0" fontId="15" fillId="0" borderId="10" xfId="6" applyFont="1" applyBorder="1" applyAlignment="1">
      <alignment horizontal="center" vertical="center" wrapText="1"/>
    </xf>
    <xf numFmtId="4" fontId="16" fillId="0" borderId="65" xfId="6" applyNumberFormat="1" applyFont="1" applyBorder="1" applyAlignment="1">
      <alignment horizontal="center" vertical="center"/>
    </xf>
    <xf numFmtId="4" fontId="21" fillId="0" borderId="65" xfId="6" applyNumberFormat="1" applyFont="1" applyBorder="1" applyAlignment="1">
      <alignment horizontal="center" vertical="center"/>
    </xf>
    <xf numFmtId="4" fontId="135" fillId="5" borderId="12" xfId="6" applyNumberFormat="1" applyFont="1" applyFill="1" applyBorder="1" applyAlignment="1">
      <alignment horizontal="center" vertical="center"/>
    </xf>
    <xf numFmtId="4" fontId="16" fillId="0" borderId="4" xfId="6" applyNumberFormat="1" applyFont="1" applyBorder="1" applyAlignment="1">
      <alignment horizontal="center" vertical="center"/>
    </xf>
    <xf numFmtId="4" fontId="16" fillId="0" borderId="5" xfId="6" applyNumberFormat="1" applyFont="1" applyBorder="1" applyAlignment="1">
      <alignment horizontal="center" vertical="center"/>
    </xf>
    <xf numFmtId="4" fontId="15" fillId="5" borderId="6" xfId="6" applyNumberFormat="1" applyFont="1" applyFill="1" applyBorder="1" applyAlignment="1">
      <alignment horizontal="center" vertical="center"/>
    </xf>
    <xf numFmtId="4" fontId="15" fillId="5" borderId="46" xfId="6" applyNumberFormat="1" applyFont="1" applyFill="1" applyBorder="1" applyAlignment="1">
      <alignment horizontal="center" vertical="center"/>
    </xf>
    <xf numFmtId="4" fontId="149" fillId="5" borderId="65" xfId="6" applyNumberFormat="1" applyFont="1" applyFill="1" applyBorder="1" applyAlignment="1">
      <alignment horizontal="center" vertical="center" wrapText="1"/>
    </xf>
    <xf numFmtId="4" fontId="149" fillId="5" borderId="10" xfId="6" applyNumberFormat="1" applyFont="1" applyFill="1" applyBorder="1" applyAlignment="1">
      <alignment horizontal="center" vertical="center" wrapText="1"/>
    </xf>
    <xf numFmtId="0" fontId="34" fillId="0" borderId="10" xfId="6" applyFont="1" applyBorder="1" applyAlignment="1">
      <alignment horizontal="center" vertical="center" wrapText="1"/>
    </xf>
    <xf numFmtId="0" fontId="34" fillId="0" borderId="13" xfId="6" applyFont="1" applyBorder="1" applyAlignment="1">
      <alignment horizontal="center" vertical="center"/>
    </xf>
    <xf numFmtId="167" fontId="156" fillId="0" borderId="11" xfId="7" applyNumberFormat="1" applyFont="1" applyBorder="1" applyAlignment="1">
      <alignment horizontal="center" vertical="center" wrapText="1"/>
    </xf>
    <xf numFmtId="4" fontId="34" fillId="5" borderId="12" xfId="6" applyNumberFormat="1" applyFont="1" applyFill="1" applyBorder="1" applyAlignment="1">
      <alignment horizontal="center" vertical="center"/>
    </xf>
    <xf numFmtId="0" fontId="16" fillId="0" borderId="10" xfId="6" applyFont="1" applyBorder="1" applyAlignment="1">
      <alignment horizontal="center" vertical="center" wrapText="1"/>
    </xf>
    <xf numFmtId="0" fontId="16" fillId="0" borderId="13" xfId="6" applyFont="1" applyBorder="1" applyAlignment="1">
      <alignment horizontal="center" vertical="center"/>
    </xf>
    <xf numFmtId="4" fontId="16" fillId="5" borderId="12" xfId="6" applyNumberFormat="1" applyFont="1" applyFill="1" applyBorder="1" applyAlignment="1">
      <alignment horizontal="center" vertical="center"/>
    </xf>
    <xf numFmtId="0" fontId="135" fillId="0" borderId="10" xfId="7" applyNumberFormat="1" applyFont="1" applyBorder="1" applyAlignment="1">
      <alignment horizontal="center" vertical="center" wrapText="1"/>
    </xf>
    <xf numFmtId="0" fontId="156" fillId="0" borderId="10" xfId="7" applyNumberFormat="1" applyFont="1" applyBorder="1" applyAlignment="1">
      <alignment horizontal="center" vertical="center" wrapText="1"/>
    </xf>
    <xf numFmtId="4" fontId="16" fillId="5" borderId="6" xfId="6" applyNumberFormat="1" applyFont="1" applyFill="1" applyBorder="1" applyAlignment="1">
      <alignment horizontal="center" vertical="center"/>
    </xf>
    <xf numFmtId="0" fontId="18" fillId="0" borderId="10" xfId="6" applyFont="1" applyBorder="1" applyAlignment="1">
      <alignment horizontal="right" vertical="center"/>
    </xf>
    <xf numFmtId="4" fontId="16" fillId="0" borderId="4" xfId="6" applyNumberFormat="1" applyFont="1" applyBorder="1" applyAlignment="1">
      <alignment horizontal="center" vertical="center" wrapText="1"/>
    </xf>
    <xf numFmtId="4" fontId="16" fillId="0" borderId="5" xfId="6" applyNumberFormat="1" applyFont="1" applyBorder="1" applyAlignment="1">
      <alignment horizontal="center" vertical="center" wrapText="1"/>
    </xf>
    <xf numFmtId="4" fontId="15" fillId="4" borderId="6" xfId="6" applyNumberFormat="1" applyFont="1" applyFill="1" applyBorder="1" applyAlignment="1">
      <alignment horizontal="center" vertical="center" wrapText="1"/>
    </xf>
    <xf numFmtId="168" fontId="21" fillId="44" borderId="14" xfId="0" applyNumberFormat="1" applyFont="1" applyFill="1" applyBorder="1" applyAlignment="1">
      <alignment vertical="center" wrapText="1"/>
    </xf>
    <xf numFmtId="168" fontId="21" fillId="44" borderId="53" xfId="0" applyNumberFormat="1" applyFont="1" applyFill="1" applyBorder="1" applyAlignment="1">
      <alignment vertical="center" wrapText="1"/>
    </xf>
    <xf numFmtId="0" fontId="21" fillId="44" borderId="10" xfId="0" applyFont="1" applyFill="1" applyBorder="1" applyAlignment="1">
      <alignment vertical="center" wrapText="1"/>
    </xf>
    <xf numFmtId="0" fontId="21" fillId="44" borderId="51" xfId="0" applyFont="1" applyFill="1" applyBorder="1" applyAlignment="1">
      <alignment vertical="center" wrapText="1"/>
    </xf>
    <xf numFmtId="0" fontId="21" fillId="44" borderId="5" xfId="0" applyFont="1" applyFill="1" applyBorder="1" applyAlignment="1">
      <alignment vertical="center" wrapText="1"/>
    </xf>
    <xf numFmtId="0" fontId="21" fillId="44" borderId="52" xfId="0" applyFont="1" applyFill="1" applyBorder="1" applyAlignment="1">
      <alignment vertical="center" wrapText="1"/>
    </xf>
    <xf numFmtId="168" fontId="21" fillId="44" borderId="5" xfId="0" applyNumberFormat="1" applyFont="1" applyFill="1" applyBorder="1" applyAlignment="1">
      <alignment vertical="center" wrapText="1"/>
    </xf>
    <xf numFmtId="0" fontId="26" fillId="2" borderId="44" xfId="0" applyFont="1" applyFill="1" applyBorder="1" applyAlignment="1">
      <alignment horizontal="center" vertical="center" wrapText="1"/>
    </xf>
    <xf numFmtId="202" fontId="133" fillId="5" borderId="69" xfId="2" applyNumberFormat="1" applyFont="1" applyFill="1" applyBorder="1" applyAlignment="1" applyProtection="1">
      <alignment horizontal="center" vertical="center" wrapText="1"/>
      <protection locked="0"/>
    </xf>
    <xf numFmtId="2" fontId="15" fillId="76" borderId="10" xfId="9" applyNumberFormat="1" applyFont="1" applyFill="1" applyBorder="1" applyAlignment="1">
      <alignment horizontal="center" vertical="center" wrapText="1"/>
    </xf>
    <xf numFmtId="0" fontId="16" fillId="1" borderId="10" xfId="0" applyFont="1" applyFill="1" applyBorder="1" applyAlignment="1">
      <alignment horizontal="center" vertical="center"/>
    </xf>
    <xf numFmtId="49" fontId="18" fillId="2" borderId="11" xfId="0" applyNumberFormat="1" applyFont="1" applyFill="1" applyBorder="1" applyAlignment="1">
      <alignment horizontal="center" vertical="center"/>
    </xf>
    <xf numFmtId="4" fontId="18" fillId="0" borderId="10" xfId="0" applyNumberFormat="1" applyFont="1" applyFill="1" applyBorder="1" applyAlignment="1">
      <alignment vertical="center"/>
    </xf>
    <xf numFmtId="0" fontId="207" fillId="0" borderId="0" xfId="0" applyFont="1"/>
    <xf numFmtId="43" fontId="29" fillId="0" borderId="0" xfId="0" applyNumberFormat="1" applyFont="1"/>
    <xf numFmtId="43" fontId="20" fillId="0" borderId="0" xfId="0" applyNumberFormat="1" applyFont="1"/>
    <xf numFmtId="43" fontId="16" fillId="0" borderId="0" xfId="0" applyNumberFormat="1" applyFont="1"/>
    <xf numFmtId="223" fontId="16" fillId="0" borderId="0" xfId="0" applyNumberFormat="1" applyFont="1"/>
    <xf numFmtId="169" fontId="16" fillId="0" borderId="0" xfId="0" applyNumberFormat="1" applyFont="1"/>
    <xf numFmtId="43" fontId="16" fillId="2" borderId="0" xfId="0" applyNumberFormat="1" applyFont="1" applyFill="1"/>
    <xf numFmtId="222" fontId="152" fillId="44" borderId="10" xfId="0" applyNumberFormat="1" applyFont="1" applyFill="1" applyBorder="1" applyAlignment="1">
      <alignment vertical="center"/>
    </xf>
    <xf numFmtId="0" fontId="29" fillId="0" borderId="10" xfId="2393" applyFont="1" applyBorder="1" applyAlignment="1">
      <alignment horizontal="center" vertical="center" wrapText="1"/>
    </xf>
    <xf numFmtId="0" fontId="26" fillId="45" borderId="2" xfId="0" applyFont="1" applyFill="1" applyBorder="1" applyAlignment="1">
      <alignment horizontal="center" vertical="center" wrapText="1"/>
    </xf>
    <xf numFmtId="168" fontId="26" fillId="45" borderId="2" xfId="0" applyNumberFormat="1" applyFont="1" applyFill="1" applyBorder="1" applyAlignment="1">
      <alignment vertical="center" wrapText="1"/>
    </xf>
    <xf numFmtId="168" fontId="26" fillId="45" borderId="10" xfId="0" applyNumberFormat="1" applyFont="1" applyFill="1" applyBorder="1" applyAlignment="1">
      <alignment vertical="center" wrapText="1"/>
    </xf>
    <xf numFmtId="168" fontId="135" fillId="45" borderId="10" xfId="0" applyNumberFormat="1" applyFont="1" applyFill="1" applyBorder="1" applyAlignment="1">
      <alignment vertical="center" wrapText="1"/>
    </xf>
    <xf numFmtId="168" fontId="21" fillId="45" borderId="14" xfId="0" applyNumberFormat="1" applyFont="1" applyFill="1" applyBorder="1" applyAlignment="1">
      <alignment vertical="center" wrapText="1"/>
    </xf>
    <xf numFmtId="168" fontId="26" fillId="45" borderId="14" xfId="0" applyNumberFormat="1" applyFont="1" applyFill="1" applyBorder="1" applyAlignment="1">
      <alignment vertical="center" wrapText="1"/>
    </xf>
    <xf numFmtId="168" fontId="26" fillId="45" borderId="16" xfId="0" applyNumberFormat="1" applyFont="1" applyFill="1" applyBorder="1" applyAlignment="1">
      <alignment vertical="center" wrapText="1"/>
    </xf>
    <xf numFmtId="168" fontId="135" fillId="45" borderId="7" xfId="0" applyNumberFormat="1" applyFont="1" applyFill="1" applyBorder="1" applyAlignment="1">
      <alignment vertical="center" wrapText="1"/>
    </xf>
    <xf numFmtId="0" fontId="21" fillId="45" borderId="10" xfId="0" applyFont="1" applyFill="1" applyBorder="1" applyAlignment="1">
      <alignment vertical="center" wrapText="1"/>
    </xf>
    <xf numFmtId="168" fontId="26" fillId="45" borderId="5" xfId="0" applyNumberFormat="1" applyFont="1" applyFill="1" applyBorder="1" applyAlignment="1">
      <alignment vertical="center" wrapText="1"/>
    </xf>
    <xf numFmtId="43" fontId="137" fillId="0" borderId="0" xfId="0" applyNumberFormat="1" applyFont="1" applyBorder="1" applyAlignment="1"/>
    <xf numFmtId="202" fontId="18" fillId="2" borderId="85" xfId="2" applyNumberFormat="1" applyFont="1" applyFill="1" applyBorder="1" applyAlignment="1" applyProtection="1">
      <alignment vertical="center" wrapText="1"/>
      <protection locked="0"/>
    </xf>
    <xf numFmtId="0" fontId="29" fillId="0" borderId="48" xfId="2393" applyFont="1" applyBorder="1" applyAlignment="1">
      <alignment horizontal="center" vertical="center" wrapText="1"/>
    </xf>
    <xf numFmtId="0" fontId="31" fillId="45" borderId="10" xfId="2393" applyFont="1" applyFill="1" applyBorder="1" applyAlignment="1">
      <alignment horizontal="center" vertical="center" wrapText="1"/>
    </xf>
    <xf numFmtId="171" fontId="29" fillId="78" borderId="10" xfId="2711" applyNumberFormat="1" applyFont="1" applyFill="1" applyBorder="1" applyAlignment="1">
      <alignment horizontal="center" vertical="center" wrapText="1"/>
    </xf>
    <xf numFmtId="171" fontId="29" fillId="78" borderId="13" xfId="2711" applyNumberFormat="1" applyFont="1" applyFill="1" applyBorder="1" applyAlignment="1">
      <alignment horizontal="center" vertical="center" wrapText="1"/>
    </xf>
    <xf numFmtId="171" fontId="29" fillId="45" borderId="85" xfId="2711" applyNumberFormat="1" applyFont="1" applyFill="1" applyBorder="1" applyAlignment="1">
      <alignment horizontal="center" vertical="center" wrapText="1"/>
    </xf>
    <xf numFmtId="171" fontId="29" fillId="45" borderId="12" xfId="2711" applyNumberFormat="1" applyFont="1" applyFill="1" applyBorder="1" applyAlignment="1">
      <alignment horizontal="center" vertical="center" wrapText="1"/>
    </xf>
    <xf numFmtId="171" fontId="29" fillId="2" borderId="12" xfId="2711" applyNumberFormat="1" applyFont="1" applyFill="1" applyBorder="1" applyAlignment="1">
      <alignment horizontal="center" vertical="center" wrapText="1"/>
    </xf>
    <xf numFmtId="0" fontId="0" fillId="0" borderId="18" xfId="0" applyBorder="1"/>
    <xf numFmtId="0" fontId="31" fillId="0" borderId="10" xfId="2393" applyFont="1" applyBorder="1" applyAlignment="1">
      <alignment horizontal="center" vertical="center" wrapText="1"/>
    </xf>
    <xf numFmtId="171" fontId="29" fillId="0" borderId="10" xfId="2711" applyNumberFormat="1" applyFont="1" applyBorder="1" applyAlignment="1">
      <alignment horizontal="center" vertical="center" wrapText="1"/>
    </xf>
    <xf numFmtId="171" fontId="29" fillId="0" borderId="13" xfId="2711" applyNumberFormat="1" applyFont="1" applyBorder="1" applyAlignment="1">
      <alignment horizontal="center" vertical="center" wrapText="1"/>
    </xf>
    <xf numFmtId="171" fontId="29" fillId="44" borderId="85" xfId="2711" applyNumberFormat="1" applyFont="1" applyFill="1" applyBorder="1" applyAlignment="1">
      <alignment horizontal="center" vertical="center" wrapText="1"/>
    </xf>
    <xf numFmtId="171" fontId="29" fillId="44" borderId="12" xfId="2711" applyNumberFormat="1" applyFont="1" applyFill="1" applyBorder="1" applyAlignment="1">
      <alignment horizontal="center" vertical="center" wrapText="1"/>
    </xf>
    <xf numFmtId="171" fontId="29" fillId="79" borderId="10" xfId="2711" applyNumberFormat="1" applyFont="1" applyFill="1" applyBorder="1" applyAlignment="1">
      <alignment horizontal="center" vertical="center" wrapText="1"/>
    </xf>
    <xf numFmtId="171" fontId="29" fillId="79" borderId="13" xfId="2711" applyNumberFormat="1" applyFont="1" applyFill="1" applyBorder="1" applyAlignment="1">
      <alignment horizontal="center" vertical="center" wrapText="1"/>
    </xf>
    <xf numFmtId="171" fontId="29" fillId="80" borderId="13" xfId="2711" applyNumberFormat="1" applyFont="1" applyFill="1" applyBorder="1" applyAlignment="1">
      <alignment horizontal="center" vertical="center" wrapText="1"/>
    </xf>
    <xf numFmtId="171" fontId="29" fillId="79" borderId="85" xfId="2711" applyNumberFormat="1" applyFont="1" applyFill="1" applyBorder="1" applyAlignment="1">
      <alignment horizontal="center" vertical="center" wrapText="1"/>
    </xf>
    <xf numFmtId="171" fontId="29" fillId="79" borderId="12" xfId="2711" applyNumberFormat="1" applyFont="1" applyFill="1" applyBorder="1" applyAlignment="1">
      <alignment horizontal="center" vertical="center" wrapText="1"/>
    </xf>
    <xf numFmtId="171" fontId="29" fillId="80" borderId="12" xfId="2711" applyNumberFormat="1" applyFont="1" applyFill="1" applyBorder="1" applyAlignment="1">
      <alignment horizontal="center" vertical="center" wrapText="1"/>
    </xf>
    <xf numFmtId="171" fontId="29" fillId="5" borderId="85" xfId="2711" applyNumberFormat="1" applyFont="1" applyFill="1" applyBorder="1" applyAlignment="1">
      <alignment horizontal="center" vertical="center" wrapText="1"/>
    </xf>
    <xf numFmtId="171" fontId="29" fillId="5" borderId="12" xfId="2711" applyNumberFormat="1" applyFont="1" applyFill="1" applyBorder="1" applyAlignment="1">
      <alignment horizontal="center" vertical="center" wrapText="1"/>
    </xf>
    <xf numFmtId="171" fontId="29" fillId="78" borderId="85" xfId="2711" applyNumberFormat="1" applyFont="1" applyFill="1" applyBorder="1" applyAlignment="1">
      <alignment horizontal="center" vertical="center" wrapText="1"/>
    </xf>
    <xf numFmtId="0" fontId="215" fillId="0" borderId="18" xfId="0" applyFont="1" applyBorder="1" applyAlignment="1">
      <alignment horizontal="center" vertical="center"/>
    </xf>
    <xf numFmtId="0" fontId="29" fillId="2" borderId="0" xfId="2393" applyFont="1" applyFill="1"/>
    <xf numFmtId="0" fontId="29" fillId="2" borderId="10" xfId="2393" applyFont="1" applyFill="1" applyBorder="1" applyAlignment="1">
      <alignment horizontal="center" vertical="center" wrapText="1"/>
    </xf>
    <xf numFmtId="171" fontId="29" fillId="80" borderId="85" xfId="2711" applyNumberFormat="1" applyFont="1" applyFill="1" applyBorder="1" applyAlignment="1">
      <alignment horizontal="center" vertical="center" wrapText="1"/>
    </xf>
    <xf numFmtId="0" fontId="205" fillId="2" borderId="18" xfId="0" applyFont="1" applyFill="1" applyBorder="1"/>
    <xf numFmtId="0" fontId="141" fillId="2" borderId="0" xfId="0" applyFont="1" applyFill="1"/>
    <xf numFmtId="0" fontId="0" fillId="2" borderId="0" xfId="0" applyFill="1"/>
    <xf numFmtId="171" fontId="29" fillId="2" borderId="85" xfId="2711" applyNumberFormat="1" applyFont="1" applyFill="1" applyBorder="1" applyAlignment="1">
      <alignment horizontal="center" vertical="center" wrapText="1"/>
    </xf>
    <xf numFmtId="171" fontId="29" fillId="78" borderId="12" xfId="2711" applyNumberFormat="1" applyFont="1" applyFill="1" applyBorder="1" applyAlignment="1">
      <alignment horizontal="center" vertical="center" wrapText="1"/>
    </xf>
    <xf numFmtId="171" fontId="29" fillId="2" borderId="46" xfId="2711" applyNumberFormat="1" applyFont="1" applyFill="1" applyBorder="1" applyAlignment="1">
      <alignment horizontal="center" vertical="center" wrapText="1"/>
    </xf>
    <xf numFmtId="171" fontId="29" fillId="5" borderId="46" xfId="2711" applyNumberFormat="1" applyFont="1" applyFill="1" applyBorder="1" applyAlignment="1">
      <alignment horizontal="center" vertical="center" wrapText="1"/>
    </xf>
    <xf numFmtId="0" fontId="206" fillId="0" borderId="0" xfId="2393" applyFont="1" applyAlignment="1">
      <alignment horizontal="center" vertical="center"/>
    </xf>
    <xf numFmtId="171" fontId="206" fillId="81" borderId="16" xfId="2711" applyNumberFormat="1" applyFont="1" applyFill="1" applyBorder="1" applyAlignment="1">
      <alignment horizontal="center" vertical="center" wrapText="1"/>
    </xf>
    <xf numFmtId="171" fontId="206" fillId="81" borderId="55" xfId="2711" applyNumberFormat="1" applyFont="1" applyFill="1" applyBorder="1" applyAlignment="1">
      <alignment horizontal="center" vertical="center" wrapText="1"/>
    </xf>
    <xf numFmtId="171" fontId="206" fillId="2" borderId="44" xfId="2711" applyNumberFormat="1" applyFont="1" applyFill="1" applyBorder="1" applyAlignment="1">
      <alignment horizontal="center" vertical="center" wrapText="1"/>
    </xf>
    <xf numFmtId="171" fontId="206" fillId="2" borderId="17" xfId="2711" applyNumberFormat="1" applyFont="1" applyFill="1" applyBorder="1" applyAlignment="1">
      <alignment horizontal="center" vertical="center" wrapText="1"/>
    </xf>
    <xf numFmtId="0" fontId="216" fillId="0" borderId="83" xfId="0" applyFont="1" applyBorder="1" applyAlignment="1">
      <alignment horizontal="center" vertical="center"/>
    </xf>
    <xf numFmtId="0" fontId="206" fillId="0" borderId="0" xfId="0" applyFont="1" applyAlignment="1">
      <alignment horizontal="center" vertical="center"/>
    </xf>
    <xf numFmtId="0" fontId="216" fillId="0" borderId="0" xfId="0" applyFont="1" applyAlignment="1">
      <alignment horizontal="center" vertical="center"/>
    </xf>
    <xf numFmtId="0" fontId="29" fillId="0" borderId="1" xfId="2393" applyFont="1" applyBorder="1" applyAlignment="1">
      <alignment horizontal="center" vertical="center" wrapText="1"/>
    </xf>
    <xf numFmtId="0" fontId="31" fillId="0" borderId="2" xfId="2393" applyFont="1" applyBorder="1" applyAlignment="1">
      <alignment horizontal="center" vertical="center" wrapText="1"/>
    </xf>
    <xf numFmtId="171" fontId="29" fillId="82" borderId="2" xfId="2711" applyNumberFormat="1" applyFont="1" applyFill="1" applyBorder="1" applyAlignment="1">
      <alignment horizontal="center" vertical="center" wrapText="1"/>
    </xf>
    <xf numFmtId="171" fontId="29" fillId="82" borderId="21" xfId="2711" applyNumberFormat="1" applyFont="1" applyFill="1" applyBorder="1" applyAlignment="1">
      <alignment horizontal="center" vertical="center" wrapText="1"/>
    </xf>
    <xf numFmtId="171" fontId="29" fillId="83" borderId="84" xfId="2711" applyNumberFormat="1" applyFont="1" applyFill="1" applyBorder="1" applyAlignment="1">
      <alignment horizontal="center" vertical="center" wrapText="1"/>
    </xf>
    <xf numFmtId="171" fontId="29" fillId="83" borderId="3" xfId="2711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0" fillId="82" borderId="10" xfId="0" applyFill="1" applyBorder="1"/>
    <xf numFmtId="0" fontId="0" fillId="82" borderId="13" xfId="0" applyFill="1" applyBorder="1"/>
    <xf numFmtId="171" fontId="29" fillId="0" borderId="85" xfId="0" applyNumberFormat="1" applyFont="1" applyBorder="1" applyAlignment="1">
      <alignment horizontal="center" vertical="center"/>
    </xf>
    <xf numFmtId="171" fontId="29" fillId="0" borderId="12" xfId="0" applyNumberFormat="1" applyFont="1" applyBorder="1" applyAlignment="1">
      <alignment horizontal="center" vertical="center"/>
    </xf>
    <xf numFmtId="171" fontId="29" fillId="3" borderId="85" xfId="2711" applyNumberFormat="1" applyFont="1" applyFill="1" applyBorder="1" applyAlignment="1">
      <alignment horizontal="center" vertical="center" wrapText="1"/>
    </xf>
    <xf numFmtId="171" fontId="29" fillId="3" borderId="12" xfId="2711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4" fontId="29" fillId="0" borderId="0" xfId="0" applyNumberFormat="1" applyFont="1" applyAlignment="1">
      <alignment horizontal="center" vertical="center"/>
    </xf>
    <xf numFmtId="171" fontId="0" fillId="0" borderId="0" xfId="0" applyNumberFormat="1"/>
    <xf numFmtId="223" fontId="137" fillId="0" borderId="0" xfId="0" applyNumberFormat="1" applyFont="1" applyBorder="1" applyAlignment="1"/>
    <xf numFmtId="2" fontId="29" fillId="0" borderId="0" xfId="0" applyNumberFormat="1" applyFont="1" applyAlignment="1">
      <alignment horizontal="center" vertical="center"/>
    </xf>
    <xf numFmtId="0" fontId="23" fillId="0" borderId="10" xfId="2393" applyFont="1" applyBorder="1" applyAlignment="1">
      <alignment horizontal="center" vertical="center"/>
    </xf>
    <xf numFmtId="0" fontId="204" fillId="0" borderId="0" xfId="0" applyFont="1" applyAlignment="1">
      <alignment horizontal="center" vertical="center"/>
    </xf>
    <xf numFmtId="2" fontId="204" fillId="2" borderId="0" xfId="0" applyNumberFormat="1" applyFont="1" applyFill="1" applyAlignment="1">
      <alignment horizontal="center" vertical="center"/>
    </xf>
    <xf numFmtId="0" fontId="205" fillId="2" borderId="18" xfId="0" applyFont="1" applyFill="1" applyBorder="1" applyAlignment="1">
      <alignment horizontal="center" vertical="center"/>
    </xf>
    <xf numFmtId="222" fontId="218" fillId="44" borderId="10" xfId="0" applyNumberFormat="1" applyFont="1" applyFill="1" applyBorder="1" applyAlignment="1">
      <alignment vertical="center"/>
    </xf>
    <xf numFmtId="165" fontId="16" fillId="0" borderId="19" xfId="3" applyFont="1" applyFill="1" applyBorder="1" applyAlignment="1">
      <alignment horizontal="center" vertical="center" wrapText="1"/>
    </xf>
    <xf numFmtId="4" fontId="147" fillId="0" borderId="19" xfId="3" applyNumberFormat="1" applyFont="1" applyFill="1" applyBorder="1" applyAlignment="1">
      <alignment horizontal="center" vertical="center"/>
    </xf>
    <xf numFmtId="4" fontId="153" fillId="0" borderId="81" xfId="0" applyNumberFormat="1" applyFont="1" applyFill="1" applyBorder="1" applyAlignment="1">
      <alignment vertical="center"/>
    </xf>
    <xf numFmtId="164" fontId="16" fillId="0" borderId="12" xfId="0" applyNumberFormat="1" applyFont="1" applyBorder="1" applyAlignment="1">
      <alignment horizontal="center" vertical="center"/>
    </xf>
    <xf numFmtId="0" fontId="16" fillId="1" borderId="11" xfId="0" applyFont="1" applyFill="1" applyBorder="1" applyAlignment="1">
      <alignment horizontal="center" vertical="center"/>
    </xf>
    <xf numFmtId="0" fontId="16" fillId="1" borderId="12" xfId="0" applyFont="1" applyFill="1" applyBorder="1" applyAlignment="1">
      <alignment horizontal="center" vertical="center"/>
    </xf>
    <xf numFmtId="164" fontId="14" fillId="44" borderId="15" xfId="0" applyNumberFormat="1" applyFont="1" applyFill="1" applyBorder="1" applyAlignment="1">
      <alignment horizontal="center" vertical="center"/>
    </xf>
    <xf numFmtId="164" fontId="14" fillId="44" borderId="17" xfId="0" applyNumberFormat="1" applyFont="1" applyFill="1" applyBorder="1" applyAlignment="1">
      <alignment horizontal="center" vertical="center"/>
    </xf>
    <xf numFmtId="164" fontId="31" fillId="47" borderId="12" xfId="0" applyNumberFormat="1" applyFont="1" applyFill="1" applyBorder="1" applyAlignment="1">
      <alignment horizontal="center" vertical="center"/>
    </xf>
    <xf numFmtId="164" fontId="31" fillId="2" borderId="11" xfId="0" applyNumberFormat="1" applyFont="1" applyFill="1" applyBorder="1" applyAlignment="1">
      <alignment horizontal="center" vertical="center"/>
    </xf>
    <xf numFmtId="164" fontId="31" fillId="2" borderId="12" xfId="0" applyNumberFormat="1" applyFont="1" applyFill="1" applyBorder="1" applyAlignment="1">
      <alignment horizontal="center" vertical="center"/>
    </xf>
    <xf numFmtId="164" fontId="29" fillId="47" borderId="11" xfId="0" applyNumberFormat="1" applyFont="1" applyFill="1" applyBorder="1" applyAlignment="1">
      <alignment horizontal="center" vertical="center"/>
    </xf>
    <xf numFmtId="164" fontId="29" fillId="47" borderId="12" xfId="0" applyNumberFormat="1" applyFont="1" applyFill="1" applyBorder="1" applyAlignment="1">
      <alignment horizontal="center" vertical="center"/>
    </xf>
    <xf numFmtId="164" fontId="143" fillId="0" borderId="11" xfId="0" applyNumberFormat="1" applyFont="1" applyFill="1" applyBorder="1" applyAlignment="1">
      <alignment horizontal="center" vertical="center"/>
    </xf>
    <xf numFmtId="164" fontId="143" fillId="0" borderId="12" xfId="0" applyNumberFormat="1" applyFont="1" applyFill="1" applyBorder="1" applyAlignment="1">
      <alignment horizontal="center" vertical="center"/>
    </xf>
    <xf numFmtId="164" fontId="144" fillId="47" borderId="12" xfId="0" applyNumberFormat="1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>
      <alignment horizontal="center" vertical="center"/>
    </xf>
    <xf numFmtId="164" fontId="31" fillId="0" borderId="12" xfId="0" applyNumberFormat="1" applyFont="1" applyFill="1" applyBorder="1" applyAlignment="1">
      <alignment horizontal="center" vertical="center"/>
    </xf>
    <xf numFmtId="164" fontId="31" fillId="47" borderId="11" xfId="0" applyNumberFormat="1" applyFont="1" applyFill="1" applyBorder="1" applyAlignment="1">
      <alignment horizontal="center" vertical="center"/>
    </xf>
    <xf numFmtId="164" fontId="15" fillId="0" borderId="8" xfId="3" applyNumberFormat="1" applyFont="1" applyFill="1" applyBorder="1" applyAlignment="1">
      <alignment horizontal="center" vertical="center" wrapText="1"/>
    </xf>
    <xf numFmtId="164" fontId="15" fillId="0" borderId="9" xfId="3" applyNumberFormat="1" applyFont="1" applyFill="1" applyBorder="1" applyAlignment="1">
      <alignment horizontal="center" vertical="center" wrapText="1"/>
    </xf>
    <xf numFmtId="164" fontId="15" fillId="0" borderId="11" xfId="3" applyNumberFormat="1" applyFont="1" applyFill="1" applyBorder="1" applyAlignment="1">
      <alignment horizontal="center" vertical="center" wrapText="1"/>
    </xf>
    <xf numFmtId="164" fontId="15" fillId="0" borderId="12" xfId="3" applyNumberFormat="1" applyFont="1" applyFill="1" applyBorder="1" applyAlignment="1">
      <alignment horizontal="center" vertical="center" wrapText="1"/>
    </xf>
    <xf numFmtId="164" fontId="15" fillId="0" borderId="4" xfId="3" applyNumberFormat="1" applyFont="1" applyFill="1" applyBorder="1" applyAlignment="1">
      <alignment horizontal="center" vertical="center" wrapText="1"/>
    </xf>
    <xf numFmtId="164" fontId="148" fillId="0" borderId="8" xfId="9" applyNumberFormat="1" applyFont="1" applyFill="1" applyBorder="1" applyAlignment="1">
      <alignment horizontal="center" vertical="center" wrapText="1"/>
    </xf>
    <xf numFmtId="164" fontId="148" fillId="0" borderId="9" xfId="9" applyNumberFormat="1" applyFont="1" applyFill="1" applyBorder="1" applyAlignment="1">
      <alignment horizontal="center" vertical="center" wrapText="1"/>
    </xf>
    <xf numFmtId="164" fontId="29" fillId="0" borderId="11" xfId="0" applyNumberFormat="1" applyFont="1" applyFill="1" applyBorder="1" applyAlignment="1">
      <alignment horizontal="center" vertical="center"/>
    </xf>
    <xf numFmtId="164" fontId="29" fillId="0" borderId="12" xfId="0" applyNumberFormat="1" applyFont="1" applyFill="1" applyBorder="1" applyAlignment="1">
      <alignment horizontal="center" vertical="center"/>
    </xf>
    <xf numFmtId="164" fontId="16" fillId="0" borderId="11" xfId="0" applyNumberFormat="1" applyFont="1" applyFill="1" applyBorder="1" applyAlignment="1">
      <alignment vertical="center"/>
    </xf>
    <xf numFmtId="164" fontId="16" fillId="0" borderId="12" xfId="0" applyNumberFormat="1" applyFont="1" applyFill="1" applyBorder="1" applyAlignment="1">
      <alignment vertical="center"/>
    </xf>
    <xf numFmtId="164" fontId="29" fillId="0" borderId="11" xfId="0" applyNumberFormat="1" applyFont="1" applyFill="1" applyBorder="1" applyAlignment="1">
      <alignment vertical="center"/>
    </xf>
    <xf numFmtId="164" fontId="29" fillId="0" borderId="12" xfId="0" applyNumberFormat="1" applyFont="1" applyFill="1" applyBorder="1" applyAlignment="1">
      <alignment vertical="center"/>
    </xf>
    <xf numFmtId="10" fontId="21" fillId="0" borderId="11" xfId="1" applyNumberFormat="1" applyFont="1" applyFill="1" applyBorder="1" applyAlignment="1">
      <alignment horizontal="center" vertical="center"/>
    </xf>
    <xf numFmtId="10" fontId="21" fillId="0" borderId="12" xfId="1" applyNumberFormat="1" applyFont="1" applyFill="1" applyBorder="1" applyAlignment="1">
      <alignment horizontal="center" vertical="center"/>
    </xf>
    <xf numFmtId="202" fontId="18" fillId="2" borderId="11" xfId="2" applyNumberFormat="1" applyFont="1" applyFill="1" applyBorder="1" applyAlignment="1" applyProtection="1">
      <alignment vertical="center" wrapText="1"/>
      <protection locked="0"/>
    </xf>
    <xf numFmtId="202" fontId="18" fillId="2" borderId="12" xfId="2" applyNumberFormat="1" applyFont="1" applyFill="1" applyBorder="1" applyAlignment="1" applyProtection="1">
      <alignment vertical="center" wrapText="1"/>
      <protection locked="0"/>
    </xf>
    <xf numFmtId="4" fontId="29" fillId="0" borderId="11" xfId="0" applyNumberFormat="1" applyFont="1" applyFill="1" applyBorder="1" applyAlignment="1">
      <alignment vertical="center"/>
    </xf>
    <xf numFmtId="4" fontId="29" fillId="0" borderId="12" xfId="0" applyNumberFormat="1" applyFont="1" applyFill="1" applyBorder="1" applyAlignment="1">
      <alignment vertical="center"/>
    </xf>
    <xf numFmtId="4" fontId="16" fillId="0" borderId="11" xfId="0" applyNumberFormat="1" applyFont="1" applyFill="1" applyBorder="1" applyAlignment="1">
      <alignment vertical="center"/>
    </xf>
    <xf numFmtId="4" fontId="16" fillId="0" borderId="12" xfId="0" applyNumberFormat="1" applyFont="1" applyFill="1" applyBorder="1" applyAlignment="1">
      <alignment vertical="center"/>
    </xf>
    <xf numFmtId="4" fontId="18" fillId="0" borderId="11" xfId="0" applyNumberFormat="1" applyFont="1" applyFill="1" applyBorder="1" applyAlignment="1">
      <alignment vertical="center"/>
    </xf>
    <xf numFmtId="4" fontId="18" fillId="0" borderId="12" xfId="0" applyNumberFormat="1" applyFont="1" applyFill="1" applyBorder="1" applyAlignment="1">
      <alignment vertical="center"/>
    </xf>
    <xf numFmtId="4" fontId="218" fillId="44" borderId="11" xfId="0" applyNumberFormat="1" applyFont="1" applyFill="1" applyBorder="1" applyAlignment="1">
      <alignment vertical="center"/>
    </xf>
    <xf numFmtId="222" fontId="152" fillId="44" borderId="12" xfId="0" applyNumberFormat="1" applyFont="1" applyFill="1" applyBorder="1" applyAlignment="1">
      <alignment vertical="center"/>
    </xf>
    <xf numFmtId="4" fontId="151" fillId="0" borderId="4" xfId="0" applyNumberFormat="1" applyFont="1" applyFill="1" applyBorder="1" applyAlignment="1">
      <alignment vertical="center"/>
    </xf>
    <xf numFmtId="4" fontId="210" fillId="0" borderId="5" xfId="0" applyNumberFormat="1" applyFont="1" applyFill="1" applyBorder="1" applyAlignment="1">
      <alignment vertical="center"/>
    </xf>
    <xf numFmtId="4" fontId="210" fillId="0" borderId="6" xfId="0" applyNumberFormat="1" applyFont="1" applyFill="1" applyBorder="1" applyAlignment="1">
      <alignment vertical="center"/>
    </xf>
    <xf numFmtId="164" fontId="16" fillId="0" borderId="85" xfId="0" applyNumberFormat="1" applyFont="1" applyBorder="1" applyAlignment="1">
      <alignment horizontal="center" vertical="center"/>
    </xf>
    <xf numFmtId="0" fontId="16" fillId="1" borderId="85" xfId="0" applyFont="1" applyFill="1" applyBorder="1" applyAlignment="1">
      <alignment horizontal="center" vertical="center"/>
    </xf>
    <xf numFmtId="164" fontId="14" fillId="44" borderId="44" xfId="0" applyNumberFormat="1" applyFont="1" applyFill="1" applyBorder="1" applyAlignment="1">
      <alignment horizontal="center" vertical="center"/>
    </xf>
    <xf numFmtId="164" fontId="31" fillId="47" borderId="85" xfId="0" applyNumberFormat="1" applyFont="1" applyFill="1" applyBorder="1" applyAlignment="1">
      <alignment horizontal="center" vertical="center"/>
    </xf>
    <xf numFmtId="164" fontId="31" fillId="2" borderId="85" xfId="0" applyNumberFormat="1" applyFont="1" applyFill="1" applyBorder="1" applyAlignment="1">
      <alignment horizontal="center" vertical="center"/>
    </xf>
    <xf numFmtId="164" fontId="29" fillId="47" borderId="85" xfId="0" applyNumberFormat="1" applyFont="1" applyFill="1" applyBorder="1" applyAlignment="1">
      <alignment horizontal="center" vertical="center"/>
    </xf>
    <xf numFmtId="164" fontId="143" fillId="0" borderId="85" xfId="0" applyNumberFormat="1" applyFont="1" applyFill="1" applyBorder="1" applyAlignment="1">
      <alignment horizontal="center" vertical="center"/>
    </xf>
    <xf numFmtId="164" fontId="144" fillId="47" borderId="85" xfId="0" applyNumberFormat="1" applyFont="1" applyFill="1" applyBorder="1" applyAlignment="1">
      <alignment horizontal="center" vertical="center"/>
    </xf>
    <xf numFmtId="164" fontId="31" fillId="0" borderId="85" xfId="0" applyNumberFormat="1" applyFont="1" applyFill="1" applyBorder="1" applyAlignment="1">
      <alignment horizontal="center" vertical="center"/>
    </xf>
    <xf numFmtId="164" fontId="15" fillId="0" borderId="84" xfId="3" applyNumberFormat="1" applyFont="1" applyFill="1" applyBorder="1" applyAlignment="1">
      <alignment horizontal="center" vertical="center" wrapText="1"/>
    </xf>
    <xf numFmtId="164" fontId="15" fillId="0" borderId="85" xfId="3" applyNumberFormat="1" applyFont="1" applyFill="1" applyBorder="1" applyAlignment="1">
      <alignment horizontal="center" vertical="center" wrapText="1"/>
    </xf>
    <xf numFmtId="164" fontId="148" fillId="0" borderId="84" xfId="9" applyNumberFormat="1" applyFont="1" applyFill="1" applyBorder="1" applyAlignment="1">
      <alignment horizontal="center" vertical="center" wrapText="1"/>
    </xf>
    <xf numFmtId="164" fontId="29" fillId="0" borderId="85" xfId="0" applyNumberFormat="1" applyFont="1" applyFill="1" applyBorder="1" applyAlignment="1">
      <alignment horizontal="center" vertical="center"/>
    </xf>
    <xf numFmtId="164" fontId="16" fillId="0" borderId="85" xfId="0" applyNumberFormat="1" applyFont="1" applyFill="1" applyBorder="1" applyAlignment="1">
      <alignment vertical="center"/>
    </xf>
    <xf numFmtId="164" fontId="29" fillId="0" borderId="85" xfId="0" applyNumberFormat="1" applyFont="1" applyFill="1" applyBorder="1" applyAlignment="1">
      <alignment vertical="center"/>
    </xf>
    <xf numFmtId="10" fontId="21" fillId="0" borderId="85" xfId="1" applyNumberFormat="1" applyFont="1" applyFill="1" applyBorder="1" applyAlignment="1">
      <alignment horizontal="center" vertical="center"/>
    </xf>
    <xf numFmtId="4" fontId="29" fillId="0" borderId="85" xfId="0" applyNumberFormat="1" applyFont="1" applyFill="1" applyBorder="1" applyAlignment="1">
      <alignment vertical="center"/>
    </xf>
    <xf numFmtId="4" fontId="16" fillId="0" borderId="85" xfId="0" applyNumberFormat="1" applyFont="1" applyFill="1" applyBorder="1" applyAlignment="1">
      <alignment vertical="center"/>
    </xf>
    <xf numFmtId="4" fontId="18" fillId="0" borderId="85" xfId="0" applyNumberFormat="1" applyFont="1" applyFill="1" applyBorder="1" applyAlignment="1">
      <alignment vertical="center"/>
    </xf>
    <xf numFmtId="224" fontId="137" fillId="0" borderId="0" xfId="0" applyNumberFormat="1" applyFont="1" applyBorder="1" applyAlignment="1"/>
    <xf numFmtId="164" fontId="134" fillId="47" borderId="11" xfId="0" applyNumberFormat="1" applyFont="1" applyFill="1" applyBorder="1" applyAlignment="1">
      <alignment horizontal="center" vertical="center"/>
    </xf>
    <xf numFmtId="164" fontId="134" fillId="47" borderId="10" xfId="0" applyNumberFormat="1" applyFont="1" applyFill="1" applyBorder="1" applyAlignment="1">
      <alignment horizontal="center" vertical="center"/>
    </xf>
    <xf numFmtId="164" fontId="204" fillId="47" borderId="10" xfId="0" applyNumberFormat="1" applyFont="1" applyFill="1" applyBorder="1" applyAlignment="1">
      <alignment horizontal="center" vertical="center"/>
    </xf>
    <xf numFmtId="164" fontId="203" fillId="47" borderId="10" xfId="0" applyNumberFormat="1" applyFont="1" applyFill="1" applyBorder="1" applyAlignment="1">
      <alignment horizontal="center" vertical="center"/>
    </xf>
    <xf numFmtId="0" fontId="17" fillId="0" borderId="0" xfId="2386" applyAlignment="1">
      <alignment horizontal="center" vertical="center"/>
    </xf>
    <xf numFmtId="4" fontId="26" fillId="0" borderId="11" xfId="6" applyNumberFormat="1" applyFont="1" applyFill="1" applyBorder="1" applyAlignment="1">
      <alignment horizontal="center" wrapText="1"/>
    </xf>
    <xf numFmtId="4" fontId="26" fillId="0" borderId="10" xfId="6" applyNumberFormat="1" applyFont="1" applyFill="1" applyBorder="1" applyAlignment="1">
      <alignment horizontal="center" wrapText="1"/>
    </xf>
    <xf numFmtId="4" fontId="26" fillId="44" borderId="12" xfId="6" applyNumberFormat="1" applyFont="1" applyFill="1" applyBorder="1" applyAlignment="1">
      <alignment horizontal="center" wrapText="1"/>
    </xf>
    <xf numFmtId="10" fontId="26" fillId="0" borderId="4" xfId="2601" applyNumberFormat="1" applyFont="1" applyFill="1" applyBorder="1" applyAlignment="1">
      <alignment horizontal="center" wrapText="1"/>
    </xf>
    <xf numFmtId="10" fontId="26" fillId="0" borderId="5" xfId="2612" applyNumberFormat="1" applyFont="1" applyFill="1" applyBorder="1" applyAlignment="1">
      <alignment horizontal="center" wrapText="1"/>
    </xf>
    <xf numFmtId="10" fontId="26" fillId="0" borderId="6" xfId="6" applyNumberFormat="1" applyFont="1" applyFill="1" applyBorder="1" applyAlignment="1">
      <alignment horizontal="center" wrapText="1"/>
    </xf>
    <xf numFmtId="0" fontId="21" fillId="0" borderId="0" xfId="2784"/>
    <xf numFmtId="0" fontId="31" fillId="0" borderId="0" xfId="6" applyFont="1" applyAlignment="1">
      <alignment horizontal="center" vertical="center" wrapText="1"/>
    </xf>
    <xf numFmtId="0" fontId="22" fillId="0" borderId="0" xfId="6" applyFont="1" applyAlignment="1">
      <alignment horizontal="center" wrapText="1"/>
    </xf>
    <xf numFmtId="0" fontId="25" fillId="0" borderId="0" xfId="2785" applyFont="1" applyAlignment="1">
      <alignment wrapText="1"/>
    </xf>
    <xf numFmtId="0" fontId="25" fillId="0" borderId="0" xfId="2785" applyFont="1" applyAlignment="1">
      <alignment horizontal="center" vertical="center" wrapText="1"/>
    </xf>
    <xf numFmtId="0" fontId="135" fillId="0" borderId="10" xfId="2785" applyFont="1" applyBorder="1" applyAlignment="1">
      <alignment horizontal="center" vertical="center" wrapText="1"/>
    </xf>
    <xf numFmtId="0" fontId="135" fillId="0" borderId="13" xfId="2785" applyFont="1" applyBorder="1" applyAlignment="1">
      <alignment horizontal="center" vertical="center" wrapText="1"/>
    </xf>
    <xf numFmtId="0" fontId="23" fillId="0" borderId="11" xfId="6" applyFont="1" applyBorder="1" applyAlignment="1">
      <alignment horizontal="center" vertical="center" wrapText="1"/>
    </xf>
    <xf numFmtId="4" fontId="23" fillId="0" borderId="10" xfId="6" applyNumberFormat="1" applyFont="1" applyBorder="1" applyAlignment="1">
      <alignment horizontal="center" vertical="center" wrapText="1"/>
    </xf>
    <xf numFmtId="4" fontId="23" fillId="0" borderId="12" xfId="6" applyNumberFormat="1" applyFont="1" applyBorder="1" applyAlignment="1">
      <alignment horizontal="center" vertical="center" wrapText="1"/>
    </xf>
    <xf numFmtId="0" fontId="25" fillId="0" borderId="10" xfId="2785" applyFont="1" applyBorder="1" applyAlignment="1">
      <alignment horizontal="left" vertical="center" wrapText="1"/>
    </xf>
    <xf numFmtId="0" fontId="25" fillId="0" borderId="13" xfId="2785" applyFont="1" applyBorder="1" applyAlignment="1">
      <alignment horizontal="center" vertical="center" wrapText="1"/>
    </xf>
    <xf numFmtId="4" fontId="21" fillId="0" borderId="11" xfId="2785" applyNumberFormat="1" applyFont="1" applyBorder="1" applyAlignment="1">
      <alignment horizontal="center" vertical="center" wrapText="1"/>
    </xf>
    <xf numFmtId="4" fontId="21" fillId="0" borderId="10" xfId="2785" applyNumberFormat="1" applyFont="1" applyBorder="1" applyAlignment="1">
      <alignment horizontal="center" vertical="center" wrapText="1"/>
    </xf>
    <xf numFmtId="4" fontId="26" fillId="83" borderId="46" xfId="6" applyNumberFormat="1" applyFont="1" applyFill="1" applyBorder="1" applyAlignment="1">
      <alignment horizontal="center" vertical="center" wrapText="1"/>
    </xf>
    <xf numFmtId="2" fontId="21" fillId="84" borderId="11" xfId="2785" applyNumberFormat="1" applyFont="1" applyFill="1" applyBorder="1" applyAlignment="1">
      <alignment horizontal="center" vertical="center" wrapText="1"/>
    </xf>
    <xf numFmtId="2" fontId="21" fillId="84" borderId="10" xfId="2785" applyNumberFormat="1" applyFont="1" applyFill="1" applyBorder="1" applyAlignment="1">
      <alignment horizontal="center" vertical="center" wrapText="1"/>
    </xf>
    <xf numFmtId="2" fontId="21" fillId="0" borderId="12" xfId="2785" applyNumberFormat="1" applyFont="1" applyBorder="1" applyAlignment="1">
      <alignment horizontal="center" vertical="center" wrapText="1"/>
    </xf>
    <xf numFmtId="4" fontId="26" fillId="0" borderId="4" xfId="8" applyNumberFormat="1" applyFont="1" applyBorder="1" applyAlignment="1">
      <alignment horizontal="center" vertical="center" wrapText="1"/>
    </xf>
    <xf numFmtId="4" fontId="26" fillId="0" borderId="22" xfId="8" applyNumberFormat="1" applyFont="1" applyBorder="1" applyAlignment="1">
      <alignment horizontal="center" vertical="center" wrapText="1"/>
    </xf>
    <xf numFmtId="4" fontId="23" fillId="85" borderId="44" xfId="6" applyNumberFormat="1" applyFont="1" applyFill="1" applyBorder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168" fontId="25" fillId="0" borderId="0" xfId="6" applyNumberFormat="1" applyFont="1" applyAlignment="1">
      <alignment horizontal="center" wrapText="1"/>
    </xf>
    <xf numFmtId="4" fontId="23" fillId="0" borderId="46" xfId="6" applyNumberFormat="1" applyFont="1" applyBorder="1" applyAlignment="1">
      <alignment horizontal="center" vertical="center" wrapText="1"/>
    </xf>
    <xf numFmtId="0" fontId="25" fillId="0" borderId="10" xfId="2785" applyFont="1" applyBorder="1" applyAlignment="1">
      <alignment vertical="center" wrapText="1"/>
    </xf>
    <xf numFmtId="0" fontId="22" fillId="0" borderId="0" xfId="2787"/>
    <xf numFmtId="0" fontId="135" fillId="86" borderId="10" xfId="2785" applyFont="1" applyFill="1" applyBorder="1" applyAlignment="1">
      <alignment horizontal="center" vertical="center" wrapText="1"/>
    </xf>
    <xf numFmtId="0" fontId="135" fillId="86" borderId="13" xfId="2785" applyFont="1" applyFill="1" applyBorder="1" applyAlignment="1">
      <alignment horizontal="center" vertical="center" wrapText="1"/>
    </xf>
    <xf numFmtId="0" fontId="23" fillId="86" borderId="1" xfId="6" applyFont="1" applyFill="1" applyBorder="1" applyAlignment="1">
      <alignment horizontal="center" vertical="center" wrapText="1"/>
    </xf>
    <xf numFmtId="4" fontId="23" fillId="86" borderId="2" xfId="6" applyNumberFormat="1" applyFont="1" applyFill="1" applyBorder="1" applyAlignment="1">
      <alignment horizontal="center" vertical="center" wrapText="1"/>
    </xf>
    <xf numFmtId="4" fontId="23" fillId="86" borderId="61" xfId="6" applyNumberFormat="1" applyFont="1" applyFill="1" applyBorder="1" applyAlignment="1">
      <alignment horizontal="center" vertical="center" wrapText="1"/>
    </xf>
    <xf numFmtId="0" fontId="25" fillId="86" borderId="10" xfId="2785" applyFont="1" applyFill="1" applyBorder="1" applyAlignment="1">
      <alignment vertical="center" wrapText="1"/>
    </xf>
    <xf numFmtId="0" fontId="25" fillId="86" borderId="13" xfId="2785" applyFont="1" applyFill="1" applyBorder="1" applyAlignment="1">
      <alignment horizontal="center" vertical="center" wrapText="1"/>
    </xf>
    <xf numFmtId="4" fontId="21" fillId="86" borderId="11" xfId="2785" applyNumberFormat="1" applyFont="1" applyFill="1" applyBorder="1" applyAlignment="1">
      <alignment horizontal="center" vertical="center" wrapText="1"/>
    </xf>
    <xf numFmtId="4" fontId="21" fillId="86" borderId="10" xfId="2785" applyNumberFormat="1" applyFont="1" applyFill="1" applyBorder="1" applyAlignment="1">
      <alignment horizontal="center" vertical="center" wrapText="1"/>
    </xf>
    <xf numFmtId="4" fontId="26" fillId="86" borderId="46" xfId="6" applyNumberFormat="1" applyFont="1" applyFill="1" applyBorder="1" applyAlignment="1">
      <alignment horizontal="center" vertical="center" wrapText="1"/>
    </xf>
    <xf numFmtId="2" fontId="21" fillId="86" borderId="11" xfId="2785" applyNumberFormat="1" applyFont="1" applyFill="1" applyBorder="1" applyAlignment="1">
      <alignment horizontal="center" vertical="center" wrapText="1"/>
    </xf>
    <xf numFmtId="2" fontId="21" fillId="86" borderId="10" xfId="2785" applyNumberFormat="1" applyFont="1" applyFill="1" applyBorder="1" applyAlignment="1">
      <alignment horizontal="center" vertical="center" wrapText="1"/>
    </xf>
    <xf numFmtId="2" fontId="21" fillId="86" borderId="12" xfId="2785" applyNumberFormat="1" applyFont="1" applyFill="1" applyBorder="1" applyAlignment="1">
      <alignment horizontal="center" vertical="center" wrapText="1"/>
    </xf>
    <xf numFmtId="4" fontId="26" fillId="86" borderId="4" xfId="8" applyNumberFormat="1" applyFont="1" applyFill="1" applyBorder="1" applyAlignment="1">
      <alignment horizontal="center" vertical="center" wrapText="1"/>
    </xf>
    <xf numFmtId="4" fontId="26" fillId="86" borderId="22" xfId="8" applyNumberFormat="1" applyFont="1" applyFill="1" applyBorder="1" applyAlignment="1">
      <alignment horizontal="center" vertical="center" wrapText="1"/>
    </xf>
    <xf numFmtId="4" fontId="23" fillId="86" borderId="44" xfId="6" applyNumberFormat="1" applyFont="1" applyFill="1" applyBorder="1" applyAlignment="1">
      <alignment horizontal="center" vertical="center" wrapText="1"/>
    </xf>
    <xf numFmtId="4" fontId="135" fillId="0" borderId="11" xfId="2785" applyNumberFormat="1" applyFont="1" applyFill="1" applyBorder="1" applyAlignment="1">
      <alignment horizontal="center" vertical="center" wrapText="1"/>
    </xf>
    <xf numFmtId="4" fontId="23" fillId="0" borderId="10" xfId="2386" applyNumberFormat="1" applyFont="1" applyFill="1" applyBorder="1" applyAlignment="1">
      <alignment horizontal="center" vertical="center"/>
    </xf>
    <xf numFmtId="4" fontId="23" fillId="87" borderId="12" xfId="6" applyNumberFormat="1" applyFont="1" applyFill="1" applyBorder="1" applyAlignment="1">
      <alignment horizontal="center" vertical="center" wrapText="1"/>
    </xf>
    <xf numFmtId="4" fontId="135" fillId="0" borderId="11" xfId="2785" applyNumberFormat="1" applyFont="1" applyBorder="1" applyAlignment="1">
      <alignment horizontal="center" vertical="center" wrapText="1"/>
    </xf>
    <xf numFmtId="4" fontId="23" fillId="0" borderId="10" xfId="2386" applyNumberFormat="1" applyFont="1" applyBorder="1" applyAlignment="1">
      <alignment horizontal="center" vertical="center"/>
    </xf>
    <xf numFmtId="4" fontId="23" fillId="83" borderId="12" xfId="6" applyNumberFormat="1" applyFont="1" applyFill="1" applyBorder="1" applyAlignment="1">
      <alignment horizontal="center" vertical="center" wrapText="1"/>
    </xf>
    <xf numFmtId="4" fontId="26" fillId="0" borderId="10" xfId="2386" applyNumberFormat="1" applyFont="1" applyBorder="1" applyAlignment="1">
      <alignment horizontal="center" vertical="center"/>
    </xf>
    <xf numFmtId="4" fontId="26" fillId="83" borderId="12" xfId="6" applyNumberFormat="1" applyFont="1" applyFill="1" applyBorder="1" applyAlignment="1">
      <alignment horizontal="center" vertical="center" wrapText="1"/>
    </xf>
    <xf numFmtId="4" fontId="23" fillId="0" borderId="11" xfId="8" applyNumberFormat="1" applyFont="1" applyFill="1" applyBorder="1" applyAlignment="1">
      <alignment horizontal="center" vertical="center" wrapText="1"/>
    </xf>
    <xf numFmtId="4" fontId="23" fillId="0" borderId="10" xfId="8" applyNumberFormat="1" applyFont="1" applyFill="1" applyBorder="1" applyAlignment="1">
      <alignment horizontal="center" vertical="center" wrapText="1"/>
    </xf>
    <xf numFmtId="4" fontId="23" fillId="48" borderId="12" xfId="6" applyNumberFormat="1" applyFont="1" applyFill="1" applyBorder="1" applyAlignment="1">
      <alignment horizontal="center" vertical="center" wrapText="1"/>
    </xf>
    <xf numFmtId="4" fontId="26" fillId="0" borderId="11" xfId="8" applyNumberFormat="1" applyFont="1" applyBorder="1" applyAlignment="1">
      <alignment horizontal="center" vertical="center" wrapText="1"/>
    </xf>
    <xf numFmtId="4" fontId="26" fillId="0" borderId="10" xfId="8" applyNumberFormat="1" applyFont="1" applyBorder="1" applyAlignment="1">
      <alignment horizontal="center" vertical="center" wrapText="1"/>
    </xf>
    <xf numFmtId="4" fontId="23" fillId="85" borderId="12" xfId="6" applyNumberFormat="1" applyFont="1" applyFill="1" applyBorder="1" applyAlignment="1">
      <alignment horizontal="center" vertical="center" wrapText="1"/>
    </xf>
    <xf numFmtId="4" fontId="26" fillId="0" borderId="65" xfId="8" applyNumberFormat="1" applyFont="1" applyBorder="1" applyAlignment="1">
      <alignment horizontal="center" vertical="center" wrapText="1"/>
    </xf>
    <xf numFmtId="4" fontId="26" fillId="45" borderId="12" xfId="6" applyNumberFormat="1" applyFont="1" applyFill="1" applyBorder="1" applyAlignment="1">
      <alignment horizontal="center" vertical="center" wrapText="1"/>
    </xf>
    <xf numFmtId="4" fontId="23" fillId="0" borderId="4" xfId="8" applyNumberFormat="1" applyFont="1" applyBorder="1" applyAlignment="1">
      <alignment horizontal="center" vertical="center" wrapText="1"/>
    </xf>
    <xf numFmtId="4" fontId="23" fillId="0" borderId="5" xfId="8" applyNumberFormat="1" applyFont="1" applyBorder="1" applyAlignment="1">
      <alignment horizontal="center" vertical="center" wrapText="1"/>
    </xf>
    <xf numFmtId="4" fontId="23" fillId="85" borderId="6" xfId="6" applyNumberFormat="1" applyFont="1" applyFill="1" applyBorder="1" applyAlignment="1">
      <alignment horizontal="center" vertical="center" wrapText="1"/>
    </xf>
    <xf numFmtId="0" fontId="26" fillId="0" borderId="13" xfId="6" applyFont="1" applyBorder="1" applyAlignment="1">
      <alignment vertical="center" wrapText="1"/>
    </xf>
    <xf numFmtId="4" fontId="220" fillId="0" borderId="14" xfId="2386" applyNumberFormat="1" applyFont="1" applyBorder="1" applyAlignment="1">
      <alignment horizontal="center" vertical="center"/>
    </xf>
    <xf numFmtId="2" fontId="221" fillId="0" borderId="14" xfId="2386" applyNumberFormat="1" applyFont="1" applyFill="1" applyBorder="1" applyAlignment="1">
      <alignment horizontal="center" vertical="center"/>
    </xf>
    <xf numFmtId="2" fontId="21" fillId="0" borderId="14" xfId="2785" applyNumberFormat="1" applyFont="1" applyBorder="1" applyAlignment="1">
      <alignment horizontal="center" vertical="center" wrapText="1"/>
    </xf>
    <xf numFmtId="4" fontId="21" fillId="0" borderId="10" xfId="8" applyNumberFormat="1" applyFont="1" applyBorder="1" applyAlignment="1">
      <alignment horizontal="center" vertical="center" wrapText="1"/>
    </xf>
    <xf numFmtId="4" fontId="21" fillId="0" borderId="10" xfId="6" applyNumberFormat="1" applyFont="1" applyFill="1" applyBorder="1" applyAlignment="1">
      <alignment horizontal="center" vertical="center" wrapText="1"/>
    </xf>
    <xf numFmtId="0" fontId="17" fillId="0" borderId="0" xfId="2386" applyAlignment="1">
      <alignment wrapText="1"/>
    </xf>
    <xf numFmtId="0" fontId="31" fillId="0" borderId="0" xfId="6" applyFont="1" applyAlignment="1">
      <alignment wrapText="1"/>
    </xf>
    <xf numFmtId="0" fontId="0" fillId="0" borderId="0" xfId="0" applyAlignment="1">
      <alignment wrapText="1"/>
    </xf>
    <xf numFmtId="0" fontId="26" fillId="0" borderId="10" xfId="2386" applyFont="1" applyBorder="1" applyAlignment="1">
      <alignment wrapText="1"/>
    </xf>
    <xf numFmtId="0" fontId="22" fillId="0" borderId="10" xfId="6" applyFont="1" applyBorder="1" applyAlignment="1">
      <alignment horizontal="left" wrapText="1"/>
    </xf>
    <xf numFmtId="0" fontId="0" fillId="0" borderId="10" xfId="6" applyFont="1" applyBorder="1" applyAlignment="1">
      <alignment horizontal="left" wrapText="1"/>
    </xf>
    <xf numFmtId="0" fontId="26" fillId="0" borderId="13" xfId="2386" applyFont="1" applyBorder="1" applyAlignment="1">
      <alignment wrapText="1"/>
    </xf>
    <xf numFmtId="0" fontId="0" fillId="0" borderId="10" xfId="6" applyFont="1" applyBorder="1" applyAlignment="1">
      <alignment horizontal="left" vertical="center" wrapText="1"/>
    </xf>
    <xf numFmtId="0" fontId="219" fillId="0" borderId="0" xfId="6" applyFont="1" applyAlignment="1">
      <alignment horizontal="center" vertical="center" wrapText="1"/>
    </xf>
    <xf numFmtId="0" fontId="219" fillId="0" borderId="0" xfId="6" applyFont="1" applyAlignment="1">
      <alignment horizontal="center" wrapText="1"/>
    </xf>
    <xf numFmtId="4" fontId="219" fillId="0" borderId="0" xfId="6" applyNumberFormat="1" applyFont="1" applyAlignment="1">
      <alignment horizontal="center" wrapText="1"/>
    </xf>
    <xf numFmtId="0" fontId="219" fillId="0" borderId="0" xfId="6" applyFont="1" applyAlignment="1">
      <alignment wrapText="1"/>
    </xf>
    <xf numFmtId="0" fontId="22" fillId="77" borderId="10" xfId="2787" applyFont="1" applyFill="1" applyBorder="1" applyAlignment="1">
      <alignment horizontal="center" vertical="center" wrapText="1"/>
    </xf>
    <xf numFmtId="0" fontId="22" fillId="0" borderId="0" xfId="2787" applyFont="1" applyBorder="1" applyAlignment="1">
      <alignment horizontal="center" vertical="center" wrapText="1"/>
    </xf>
    <xf numFmtId="0" fontId="22" fillId="0" borderId="0" xfId="2787" applyAlignment="1">
      <alignment horizontal="center" vertical="center"/>
    </xf>
    <xf numFmtId="0" fontId="22" fillId="0" borderId="10" xfId="2787" applyFont="1" applyBorder="1" applyAlignment="1">
      <alignment wrapText="1"/>
    </xf>
    <xf numFmtId="164" fontId="0" fillId="0" borderId="10" xfId="3531" applyFont="1" applyBorder="1" applyAlignment="1">
      <alignment horizontal="center" vertical="center" wrapText="1"/>
    </xf>
    <xf numFmtId="164" fontId="0" fillId="0" borderId="0" xfId="3531" applyFont="1" applyBorder="1" applyAlignment="1">
      <alignment horizontal="center" vertical="center" wrapText="1"/>
    </xf>
    <xf numFmtId="0" fontId="23" fillId="0" borderId="10" xfId="2787" applyFont="1" applyBorder="1" applyAlignment="1">
      <alignment horizontal="center" vertical="center" wrapText="1"/>
    </xf>
    <xf numFmtId="164" fontId="23" fillId="0" borderId="10" xfId="3531" applyFont="1" applyBorder="1" applyAlignment="1">
      <alignment horizontal="center" vertical="center" wrapText="1"/>
    </xf>
    <xf numFmtId="164" fontId="23" fillId="0" borderId="0" xfId="3531" applyFont="1" applyBorder="1" applyAlignment="1">
      <alignment horizontal="center" vertical="center" wrapText="1"/>
    </xf>
    <xf numFmtId="0" fontId="23" fillId="0" borderId="0" xfId="2787" applyFont="1" applyBorder="1" applyAlignment="1">
      <alignment horizontal="center" vertical="center" wrapText="1"/>
    </xf>
    <xf numFmtId="0" fontId="247" fillId="0" borderId="0" xfId="2787" applyFont="1" applyAlignment="1">
      <alignment horizontal="center" vertical="center"/>
    </xf>
    <xf numFmtId="164" fontId="248" fillId="44" borderId="44" xfId="2787" applyNumberFormat="1" applyFont="1" applyFill="1" applyBorder="1" applyAlignment="1">
      <alignment horizontal="center" vertical="center"/>
    </xf>
    <xf numFmtId="164" fontId="15" fillId="47" borderId="10" xfId="0" applyNumberFormat="1" applyFont="1" applyFill="1" applyBorder="1" applyAlignment="1">
      <alignment horizontal="center" vertical="center"/>
    </xf>
    <xf numFmtId="164" fontId="142" fillId="0" borderId="11" xfId="0" applyNumberFormat="1" applyFont="1" applyFill="1" applyBorder="1" applyAlignment="1">
      <alignment horizontal="center" vertical="center"/>
    </xf>
    <xf numFmtId="164" fontId="142" fillId="0" borderId="10" xfId="0" applyNumberFormat="1" applyFont="1" applyFill="1" applyBorder="1" applyAlignment="1">
      <alignment horizontal="center" vertical="center"/>
    </xf>
    <xf numFmtId="164" fontId="142" fillId="0" borderId="12" xfId="0" applyNumberFormat="1" applyFont="1" applyFill="1" applyBorder="1" applyAlignment="1">
      <alignment horizontal="center" vertical="center"/>
    </xf>
    <xf numFmtId="164" fontId="31" fillId="47" borderId="97" xfId="0" applyNumberFormat="1" applyFont="1" applyFill="1" applyBorder="1" applyAlignment="1">
      <alignment horizontal="center" vertical="center"/>
    </xf>
    <xf numFmtId="164" fontId="207" fillId="47" borderId="11" xfId="0" applyNumberFormat="1" applyFont="1" applyFill="1" applyBorder="1" applyAlignment="1">
      <alignment horizontal="center" vertical="center"/>
    </xf>
    <xf numFmtId="164" fontId="16" fillId="47" borderId="11" xfId="0" applyNumberFormat="1" applyFont="1" applyFill="1" applyBorder="1" applyAlignment="1">
      <alignment horizontal="center" vertical="center"/>
    </xf>
    <xf numFmtId="164" fontId="15" fillId="47" borderId="11" xfId="0" applyNumberFormat="1" applyFont="1" applyFill="1" applyBorder="1" applyAlignment="1">
      <alignment horizontal="center" vertical="center"/>
    </xf>
    <xf numFmtId="202" fontId="18" fillId="2" borderId="98" xfId="2" applyNumberFormat="1" applyFont="1" applyFill="1" applyBorder="1" applyAlignment="1" applyProtection="1">
      <alignment vertical="center" wrapText="1"/>
      <protection locked="0"/>
    </xf>
    <xf numFmtId="166" fontId="218" fillId="44" borderId="85" xfId="0" applyNumberFormat="1" applyFont="1" applyFill="1" applyBorder="1" applyAlignment="1">
      <alignment vertical="center"/>
    </xf>
    <xf numFmtId="49" fontId="16" fillId="2" borderId="57" xfId="0" applyNumberFormat="1" applyFont="1" applyFill="1" applyBorder="1" applyAlignment="1">
      <alignment horizontal="center" vertical="center"/>
    </xf>
    <xf numFmtId="0" fontId="153" fillId="2" borderId="81" xfId="0" applyFont="1" applyFill="1" applyBorder="1" applyAlignment="1">
      <alignment horizontal="right" vertical="center"/>
    </xf>
    <xf numFmtId="165" fontId="153" fillId="0" borderId="81" xfId="3" applyFont="1" applyFill="1" applyBorder="1" applyAlignment="1">
      <alignment horizontal="center" vertical="center"/>
    </xf>
    <xf numFmtId="4" fontId="153" fillId="2" borderId="81" xfId="0" applyNumberFormat="1" applyFont="1" applyFill="1" applyBorder="1" applyAlignment="1">
      <alignment vertical="center"/>
    </xf>
    <xf numFmtId="4" fontId="153" fillId="0" borderId="101" xfId="0" applyNumberFormat="1" applyFont="1" applyFill="1" applyBorder="1" applyAlignment="1">
      <alignment vertical="center"/>
    </xf>
    <xf numFmtId="4" fontId="153" fillId="0" borderId="32" xfId="0" applyNumberFormat="1" applyFont="1" applyFill="1" applyBorder="1" applyAlignment="1">
      <alignment vertical="center"/>
    </xf>
    <xf numFmtId="202" fontId="18" fillId="5" borderId="72" xfId="2" applyNumberFormat="1" applyFont="1" applyFill="1" applyBorder="1" applyAlignment="1" applyProtection="1">
      <alignment horizontal="center" vertical="center" wrapText="1"/>
      <protection locked="0"/>
    </xf>
    <xf numFmtId="202" fontId="18" fillId="5" borderId="102" xfId="2" applyNumberFormat="1" applyFont="1" applyFill="1" applyBorder="1" applyAlignment="1" applyProtection="1">
      <alignment horizontal="center" vertical="center" wrapText="1"/>
      <protection locked="0"/>
    </xf>
    <xf numFmtId="202" fontId="18" fillId="5" borderId="71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10" xfId="2" applyNumberFormat="1" applyFont="1" applyFill="1" applyBorder="1" applyAlignment="1" applyProtection="1">
      <alignment horizontal="center" vertical="center" wrapText="1"/>
      <protection locked="0"/>
    </xf>
    <xf numFmtId="164" fontId="16" fillId="0" borderId="10" xfId="0" applyNumberFormat="1" applyFont="1" applyBorder="1" applyAlignment="1">
      <alignment horizontal="center" vertical="center"/>
    </xf>
    <xf numFmtId="10" fontId="15" fillId="75" borderId="10" xfId="16" applyNumberFormat="1" applyFont="1" applyFill="1" applyBorder="1" applyAlignment="1">
      <alignment horizontal="center" vertical="center"/>
    </xf>
    <xf numFmtId="202" fontId="18" fillId="5" borderId="10" xfId="2" applyNumberFormat="1" applyFont="1" applyFill="1" applyBorder="1" applyAlignment="1" applyProtection="1">
      <alignment horizontal="center" vertical="center" wrapText="1"/>
      <protection locked="0"/>
    </xf>
    <xf numFmtId="164" fontId="14" fillId="44" borderId="10" xfId="0" applyNumberFormat="1" applyFont="1" applyFill="1" applyBorder="1" applyAlignment="1">
      <alignment horizontal="center" vertical="center"/>
    </xf>
    <xf numFmtId="2" fontId="29" fillId="47" borderId="10" xfId="0" applyNumberFormat="1" applyFont="1" applyFill="1" applyBorder="1" applyAlignment="1">
      <alignment horizontal="center" vertical="center"/>
    </xf>
    <xf numFmtId="2" fontId="207" fillId="47" borderId="10" xfId="0" applyNumberFormat="1" applyFont="1" applyFill="1" applyBorder="1" applyAlignment="1">
      <alignment horizontal="center" vertical="center"/>
    </xf>
    <xf numFmtId="2" fontId="31" fillId="47" borderId="10" xfId="0" applyNumberFormat="1" applyFont="1" applyFill="1" applyBorder="1" applyAlignment="1">
      <alignment horizontal="center" vertical="center"/>
    </xf>
    <xf numFmtId="2" fontId="15" fillId="47" borderId="10" xfId="0" applyNumberFormat="1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left" vertical="center" wrapText="1"/>
    </xf>
    <xf numFmtId="164" fontId="16" fillId="2" borderId="10" xfId="0" applyNumberFormat="1" applyFont="1" applyFill="1" applyBorder="1" applyAlignment="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5" fillId="2" borderId="11" xfId="0" applyNumberFormat="1" applyFont="1" applyFill="1" applyBorder="1" applyAlignment="1">
      <alignment horizontal="center" vertical="center" wrapText="1"/>
    </xf>
    <xf numFmtId="49" fontId="150" fillId="2" borderId="4" xfId="0" applyNumberFormat="1" applyFont="1" applyFill="1" applyBorder="1" applyAlignment="1">
      <alignment horizontal="center" vertical="center"/>
    </xf>
    <xf numFmtId="0" fontId="151" fillId="2" borderId="5" xfId="0" applyFont="1" applyFill="1" applyBorder="1" applyAlignment="1">
      <alignment horizontal="left" vertical="center" wrapText="1"/>
    </xf>
    <xf numFmtId="202" fontId="18" fillId="5" borderId="5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5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6" xfId="2" applyNumberFormat="1" applyFont="1" applyFill="1" applyBorder="1" applyAlignment="1" applyProtection="1">
      <alignment horizontal="center" vertical="center" wrapText="1"/>
      <protection locked="0"/>
    </xf>
    <xf numFmtId="202" fontId="18" fillId="5" borderId="11" xfId="2" applyNumberFormat="1" applyFont="1" applyFill="1" applyBorder="1" applyAlignment="1" applyProtection="1">
      <alignment horizontal="center" vertical="center" wrapText="1"/>
      <protection locked="0"/>
    </xf>
    <xf numFmtId="202" fontId="18" fillId="5" borderId="4" xfId="2" applyNumberFormat="1" applyFont="1" applyFill="1" applyBorder="1" applyAlignment="1" applyProtection="1">
      <alignment horizontal="center" vertical="center" wrapText="1"/>
      <protection locked="0"/>
    </xf>
    <xf numFmtId="10" fontId="15" fillId="75" borderId="11" xfId="16" applyNumberFormat="1" applyFont="1" applyFill="1" applyBorder="1" applyAlignment="1">
      <alignment horizontal="center" vertical="center"/>
    </xf>
    <xf numFmtId="10" fontId="15" fillId="75" borderId="12" xfId="16" applyNumberFormat="1" applyFont="1" applyFill="1" applyBorder="1" applyAlignment="1">
      <alignment horizontal="center" vertical="center"/>
    </xf>
    <xf numFmtId="2" fontId="15" fillId="76" borderId="11" xfId="9" applyNumberFormat="1" applyFont="1" applyFill="1" applyBorder="1" applyAlignment="1">
      <alignment horizontal="center" vertical="center" wrapText="1"/>
    </xf>
    <xf numFmtId="2" fontId="15" fillId="76" borderId="12" xfId="9" applyNumberFormat="1" applyFont="1" applyFill="1" applyBorder="1" applyAlignment="1">
      <alignment horizontal="center" vertical="center" wrapText="1"/>
    </xf>
    <xf numFmtId="171" fontId="15" fillId="75" borderId="12" xfId="16" applyNumberFormat="1" applyFont="1" applyFill="1" applyBorder="1" applyAlignment="1">
      <alignment horizontal="center" vertical="center"/>
    </xf>
    <xf numFmtId="164" fontId="14" fillId="44" borderId="11" xfId="0" applyNumberFormat="1" applyFont="1" applyFill="1" applyBorder="1" applyAlignment="1">
      <alignment horizontal="center" vertical="center"/>
    </xf>
    <xf numFmtId="164" fontId="14" fillId="44" borderId="12" xfId="0" applyNumberFormat="1" applyFont="1" applyFill="1" applyBorder="1" applyAlignment="1">
      <alignment horizontal="center" vertical="center"/>
    </xf>
    <xf numFmtId="2" fontId="29" fillId="47" borderId="12" xfId="0" applyNumberFormat="1" applyFont="1" applyFill="1" applyBorder="1" applyAlignment="1">
      <alignment horizontal="center" vertical="center"/>
    </xf>
    <xf numFmtId="2" fontId="31" fillId="47" borderId="12" xfId="0" applyNumberFormat="1" applyFont="1" applyFill="1" applyBorder="1" applyAlignment="1">
      <alignment horizontal="center" vertical="center"/>
    </xf>
    <xf numFmtId="164" fontId="16" fillId="2" borderId="11" xfId="0" applyNumberFormat="1" applyFont="1" applyFill="1" applyBorder="1" applyAlignment="1">
      <alignment horizontal="center" vertical="center"/>
    </xf>
    <xf numFmtId="164" fontId="16" fillId="2" borderId="12" xfId="0" applyNumberFormat="1" applyFont="1" applyFill="1" applyBorder="1" applyAlignment="1">
      <alignment horizontal="center" vertical="center"/>
    </xf>
    <xf numFmtId="164" fontId="16" fillId="0" borderId="98" xfId="0" applyNumberFormat="1" applyFont="1" applyBorder="1" applyAlignment="1">
      <alignment horizontal="center" vertical="center"/>
    </xf>
    <xf numFmtId="49" fontId="14" fillId="44" borderId="98" xfId="0" applyNumberFormat="1" applyFont="1" applyFill="1" applyBorder="1" applyAlignment="1">
      <alignment horizontal="center" vertical="center"/>
    </xf>
    <xf numFmtId="164" fontId="16" fillId="0" borderId="11" xfId="0" applyNumberFormat="1" applyFont="1" applyBorder="1" applyAlignment="1">
      <alignment horizontal="center" vertical="center"/>
    </xf>
    <xf numFmtId="164" fontId="204" fillId="47" borderId="12" xfId="0" applyNumberFormat="1" applyFont="1" applyFill="1" applyBorder="1" applyAlignment="1">
      <alignment horizontal="center" vertical="center"/>
    </xf>
    <xf numFmtId="10" fontId="15" fillId="75" borderId="85" xfId="16" applyNumberFormat="1" applyFont="1" applyFill="1" applyBorder="1" applyAlignment="1">
      <alignment horizontal="center" vertical="center"/>
    </xf>
    <xf numFmtId="164" fontId="14" fillId="44" borderId="85" xfId="0" applyNumberFormat="1" applyFont="1" applyFill="1" applyBorder="1" applyAlignment="1">
      <alignment horizontal="center" vertical="center"/>
    </xf>
    <xf numFmtId="164" fontId="16" fillId="2" borderId="85" xfId="0" applyNumberFormat="1" applyFont="1" applyFill="1" applyBorder="1" applyAlignment="1">
      <alignment horizontal="center" vertical="center"/>
    </xf>
    <xf numFmtId="4" fontId="151" fillId="0" borderId="87" xfId="0" applyNumberFormat="1" applyFont="1" applyFill="1" applyBorder="1" applyAlignment="1">
      <alignment vertical="center"/>
    </xf>
    <xf numFmtId="165" fontId="15" fillId="0" borderId="98" xfId="3" applyFont="1" applyFill="1" applyBorder="1" applyAlignment="1">
      <alignment horizontal="center" vertical="center" wrapText="1"/>
    </xf>
    <xf numFmtId="165" fontId="15" fillId="2" borderId="98" xfId="3" applyFont="1" applyFill="1" applyBorder="1" applyAlignment="1">
      <alignment horizontal="center" vertical="center" wrapText="1"/>
    </xf>
    <xf numFmtId="165" fontId="16" fillId="2" borderId="98" xfId="3" applyFont="1" applyFill="1" applyBorder="1" applyAlignment="1">
      <alignment horizontal="center" vertical="center" wrapText="1"/>
    </xf>
    <xf numFmtId="165" fontId="140" fillId="2" borderId="98" xfId="3" applyFont="1" applyFill="1" applyBorder="1" applyAlignment="1">
      <alignment horizontal="center" vertical="center" wrapText="1"/>
    </xf>
    <xf numFmtId="165" fontId="16" fillId="0" borderId="98" xfId="3" applyFont="1" applyFill="1" applyBorder="1" applyAlignment="1">
      <alignment horizontal="center" vertical="center" wrapText="1"/>
    </xf>
    <xf numFmtId="0" fontId="15" fillId="0" borderId="98" xfId="9" applyFont="1" applyFill="1" applyBorder="1" applyAlignment="1">
      <alignment horizontal="center" vertical="center" wrapText="1"/>
    </xf>
    <xf numFmtId="0" fontId="16" fillId="0" borderId="98" xfId="9" applyFont="1" applyFill="1" applyBorder="1" applyAlignment="1">
      <alignment horizontal="center" vertical="center" wrapText="1"/>
    </xf>
    <xf numFmtId="165" fontId="16" fillId="0" borderId="98" xfId="3" applyFont="1" applyFill="1" applyBorder="1" applyAlignment="1">
      <alignment horizontal="center" vertical="center"/>
    </xf>
    <xf numFmtId="0" fontId="16" fillId="2" borderId="98" xfId="0" applyFont="1" applyFill="1" applyBorder="1" applyAlignment="1">
      <alignment horizontal="center" vertical="center"/>
    </xf>
    <xf numFmtId="0" fontId="21" fillId="2" borderId="98" xfId="0" applyFont="1" applyFill="1" applyBorder="1" applyAlignment="1">
      <alignment horizontal="center" vertical="center"/>
    </xf>
    <xf numFmtId="165" fontId="18" fillId="0" borderId="98" xfId="3" applyFont="1" applyFill="1" applyBorder="1" applyAlignment="1">
      <alignment horizontal="center" vertical="center"/>
    </xf>
    <xf numFmtId="165" fontId="151" fillId="0" borderId="98" xfId="3" applyFont="1" applyFill="1" applyBorder="1" applyAlignment="1">
      <alignment horizontal="center" vertical="center" wrapText="1"/>
    </xf>
    <xf numFmtId="165" fontId="151" fillId="0" borderId="22" xfId="3" applyFont="1" applyFill="1" applyBorder="1" applyAlignment="1">
      <alignment horizontal="center" vertical="center"/>
    </xf>
    <xf numFmtId="202" fontId="133" fillId="5" borderId="7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9" xfId="2" applyNumberFormat="1" applyFont="1" applyFill="1" applyBorder="1" applyAlignment="1" applyProtection="1">
      <alignment horizontal="center" vertical="center" wrapText="1"/>
      <protection locked="0"/>
    </xf>
    <xf numFmtId="0" fontId="15" fillId="44" borderId="4" xfId="9" applyFont="1" applyFill="1" applyBorder="1" applyAlignment="1">
      <alignment horizontal="center" vertical="center" wrapText="1"/>
    </xf>
    <xf numFmtId="0" fontId="15" fillId="44" borderId="5" xfId="9" applyFont="1" applyFill="1" applyBorder="1" applyAlignment="1">
      <alignment horizontal="center" vertical="center" wrapText="1"/>
    </xf>
    <xf numFmtId="0" fontId="15" fillId="44" borderId="6" xfId="9" applyFont="1" applyFill="1" applyBorder="1" applyAlignment="1">
      <alignment horizontal="center" vertical="center" wrapText="1"/>
    </xf>
    <xf numFmtId="0" fontId="15" fillId="45" borderId="4" xfId="9" applyFont="1" applyFill="1" applyBorder="1" applyAlignment="1">
      <alignment horizontal="center" vertical="center" wrapText="1"/>
    </xf>
    <xf numFmtId="0" fontId="15" fillId="45" borderId="5" xfId="9" applyFont="1" applyFill="1" applyBorder="1" applyAlignment="1">
      <alignment horizontal="center" vertical="center" wrapText="1"/>
    </xf>
    <xf numFmtId="0" fontId="15" fillId="45" borderId="6" xfId="9" applyFont="1" applyFill="1" applyBorder="1" applyAlignment="1">
      <alignment horizontal="center" vertical="center" wrapText="1"/>
    </xf>
    <xf numFmtId="202" fontId="18" fillId="5" borderId="8" xfId="2" applyNumberFormat="1" applyFont="1" applyFill="1" applyBorder="1" applyAlignment="1" applyProtection="1">
      <alignment horizontal="center" vertical="center" wrapText="1"/>
      <protection locked="0"/>
    </xf>
    <xf numFmtId="49" fontId="14" fillId="44" borderId="21" xfId="0" applyNumberFormat="1" applyFont="1" applyFill="1" applyBorder="1" applyAlignment="1">
      <alignment horizontal="center" vertical="center"/>
    </xf>
    <xf numFmtId="49" fontId="14" fillId="44" borderId="1" xfId="0" applyNumberFormat="1" applyFont="1" applyFill="1" applyBorder="1" applyAlignment="1">
      <alignment horizontal="center" vertical="center"/>
    </xf>
    <xf numFmtId="49" fontId="14" fillId="44" borderId="2" xfId="0" applyNumberFormat="1" applyFont="1" applyFill="1" applyBorder="1" applyAlignment="1">
      <alignment horizontal="center" vertical="center"/>
    </xf>
    <xf numFmtId="49" fontId="14" fillId="44" borderId="3" xfId="0" applyNumberFormat="1" applyFont="1" applyFill="1" applyBorder="1" applyAlignment="1">
      <alignment horizontal="center" vertical="center"/>
    </xf>
    <xf numFmtId="49" fontId="14" fillId="44" borderId="48" xfId="0" applyNumberFormat="1" applyFont="1" applyFill="1" applyBorder="1" applyAlignment="1">
      <alignment horizontal="center" vertical="center"/>
    </xf>
    <xf numFmtId="166" fontId="14" fillId="44" borderId="1" xfId="0" applyNumberFormat="1" applyFont="1" applyFill="1" applyBorder="1" applyAlignment="1">
      <alignment horizontal="center" vertical="center"/>
    </xf>
    <xf numFmtId="166" fontId="14" fillId="44" borderId="2" xfId="0" applyNumberFormat="1" applyFont="1" applyFill="1" applyBorder="1" applyAlignment="1">
      <alignment horizontal="center" vertical="center"/>
    </xf>
    <xf numFmtId="166" fontId="14" fillId="44" borderId="3" xfId="0" applyNumberFormat="1" applyFont="1" applyFill="1" applyBorder="1" applyAlignment="1">
      <alignment horizontal="center" vertical="center"/>
    </xf>
    <xf numFmtId="202" fontId="133" fillId="5" borderId="1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2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3" xfId="2" applyNumberFormat="1" applyFont="1" applyFill="1" applyBorder="1" applyAlignment="1" applyProtection="1">
      <alignment horizontal="center" vertical="center" wrapText="1"/>
      <protection locked="0"/>
    </xf>
    <xf numFmtId="49" fontId="16" fillId="0" borderId="4" xfId="0" applyNumberFormat="1" applyFont="1" applyBorder="1" applyAlignment="1">
      <alignment horizontal="center" vertical="center" wrapText="1"/>
    </xf>
    <xf numFmtId="0" fontId="16" fillId="0" borderId="5" xfId="0" applyFont="1" applyBorder="1" applyAlignment="1">
      <alignment horizontal="left" vertical="center" wrapText="1"/>
    </xf>
    <xf numFmtId="164" fontId="16" fillId="0" borderId="22" xfId="0" applyNumberFormat="1" applyFont="1" applyBorder="1" applyAlignment="1">
      <alignment horizontal="center" vertical="center"/>
    </xf>
    <xf numFmtId="171" fontId="15" fillId="75" borderId="4" xfId="16" applyNumberFormat="1" applyFont="1" applyFill="1" applyBorder="1" applyAlignment="1">
      <alignment horizontal="center" vertical="center"/>
    </xf>
    <xf numFmtId="171" fontId="15" fillId="75" borderId="5" xfId="16" applyNumberFormat="1" applyFont="1" applyFill="1" applyBorder="1" applyAlignment="1">
      <alignment horizontal="center" vertical="center"/>
    </xf>
    <xf numFmtId="171" fontId="15" fillId="75" borderId="6" xfId="16" applyNumberFormat="1" applyFont="1" applyFill="1" applyBorder="1" applyAlignment="1">
      <alignment horizontal="center" vertical="center"/>
    </xf>
    <xf numFmtId="171" fontId="15" fillId="75" borderId="87" xfId="16" applyNumberFormat="1" applyFont="1" applyFill="1" applyBorder="1" applyAlignment="1">
      <alignment horizontal="center" vertical="center"/>
    </xf>
    <xf numFmtId="202" fontId="133" fillId="5" borderId="54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103" xfId="2" applyNumberFormat="1" applyFont="1" applyFill="1" applyBorder="1" applyAlignment="1" applyProtection="1">
      <alignment horizontal="center" vertical="center" wrapText="1"/>
      <protection locked="0"/>
    </xf>
    <xf numFmtId="164" fontId="14" fillId="44" borderId="1" xfId="0" applyNumberFormat="1" applyFont="1" applyFill="1" applyBorder="1" applyAlignment="1">
      <alignment horizontal="center" vertical="center"/>
    </xf>
    <xf numFmtId="164" fontId="14" fillId="44" borderId="2" xfId="0" applyNumberFormat="1" applyFont="1" applyFill="1" applyBorder="1" applyAlignment="1">
      <alignment horizontal="center" vertical="center"/>
    </xf>
    <xf numFmtId="164" fontId="14" fillId="44" borderId="3" xfId="0" applyNumberFormat="1" applyFont="1" applyFill="1" applyBorder="1" applyAlignment="1">
      <alignment horizontal="center" vertical="center"/>
    </xf>
    <xf numFmtId="164" fontId="14" fillId="44" borderId="48" xfId="0" applyNumberFormat="1" applyFont="1" applyFill="1" applyBorder="1" applyAlignment="1">
      <alignment horizontal="center" vertical="center"/>
    </xf>
    <xf numFmtId="202" fontId="18" fillId="5" borderId="1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4" xfId="3" applyNumberFormat="1" applyFont="1" applyFill="1" applyBorder="1" applyAlignment="1">
      <alignment horizontal="center" vertical="center"/>
    </xf>
    <xf numFmtId="165" fontId="15" fillId="0" borderId="22" xfId="3" applyFont="1" applyFill="1" applyBorder="1" applyAlignment="1">
      <alignment horizontal="center" vertical="center" wrapText="1"/>
    </xf>
    <xf numFmtId="164" fontId="31" fillId="47" borderId="5" xfId="0" applyNumberFormat="1" applyFont="1" applyFill="1" applyBorder="1" applyAlignment="1">
      <alignment horizontal="center" vertical="center"/>
    </xf>
    <xf numFmtId="164" fontId="31" fillId="47" borderId="6" xfId="0" applyNumberFormat="1" applyFont="1" applyFill="1" applyBorder="1" applyAlignment="1">
      <alignment horizontal="center" vertical="center"/>
    </xf>
    <xf numFmtId="164" fontId="31" fillId="47" borderId="87" xfId="0" applyNumberFormat="1" applyFont="1" applyFill="1" applyBorder="1" applyAlignment="1">
      <alignment horizontal="center" vertical="center"/>
    </xf>
    <xf numFmtId="49" fontId="15" fillId="0" borderId="104" xfId="3" applyNumberFormat="1" applyFont="1" applyFill="1" applyBorder="1" applyAlignment="1">
      <alignment horizontal="center" vertical="center"/>
    </xf>
    <xf numFmtId="165" fontId="15" fillId="0" borderId="97" xfId="3" applyFont="1" applyFill="1" applyBorder="1" applyAlignment="1">
      <alignment horizontal="left" vertical="center" wrapText="1"/>
    </xf>
    <xf numFmtId="165" fontId="15" fillId="0" borderId="96" xfId="3" applyFont="1" applyFill="1" applyBorder="1" applyAlignment="1">
      <alignment horizontal="center" vertical="center" wrapText="1"/>
    </xf>
    <xf numFmtId="164" fontId="31" fillId="47" borderId="104" xfId="0" applyNumberFormat="1" applyFont="1" applyFill="1" applyBorder="1" applyAlignment="1">
      <alignment horizontal="center" vertical="center"/>
    </xf>
    <xf numFmtId="164" fontId="31" fillId="47" borderId="105" xfId="0" applyNumberFormat="1" applyFont="1" applyFill="1" applyBorder="1" applyAlignment="1">
      <alignment horizontal="center" vertical="center"/>
    </xf>
    <xf numFmtId="164" fontId="31" fillId="47" borderId="106" xfId="0" applyNumberFormat="1" applyFont="1" applyFill="1" applyBorder="1" applyAlignment="1">
      <alignment horizontal="center" vertical="center"/>
    </xf>
    <xf numFmtId="202" fontId="18" fillId="5" borderId="104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97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105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107" xfId="2" applyNumberFormat="1" applyFont="1" applyFill="1" applyBorder="1" applyAlignment="1" applyProtection="1">
      <alignment horizontal="center" vertical="center" wrapText="1"/>
      <protection locked="0"/>
    </xf>
    <xf numFmtId="164" fontId="14" fillId="46" borderId="1" xfId="0" applyNumberFormat="1" applyFont="1" applyFill="1" applyBorder="1" applyAlignment="1">
      <alignment horizontal="center" vertical="center"/>
    </xf>
    <xf numFmtId="164" fontId="14" fillId="46" borderId="2" xfId="0" applyNumberFormat="1" applyFont="1" applyFill="1" applyBorder="1" applyAlignment="1">
      <alignment horizontal="center" vertical="center"/>
    </xf>
    <xf numFmtId="164" fontId="14" fillId="46" borderId="3" xfId="0" applyNumberFormat="1" applyFont="1" applyFill="1" applyBorder="1" applyAlignment="1">
      <alignment horizontal="center" vertical="center"/>
    </xf>
    <xf numFmtId="164" fontId="14" fillId="46" borderId="48" xfId="0" applyNumberFormat="1" applyFont="1" applyFill="1" applyBorder="1" applyAlignment="1">
      <alignment horizontal="center" vertical="center"/>
    </xf>
    <xf numFmtId="165" fontId="15" fillId="0" borderId="5" xfId="3" applyFont="1" applyFill="1" applyBorder="1" applyAlignment="1">
      <alignment vertical="center" wrapText="1"/>
    </xf>
    <xf numFmtId="164" fontId="29" fillId="47" borderId="4" xfId="0" applyNumberFormat="1" applyFont="1" applyFill="1" applyBorder="1" applyAlignment="1">
      <alignment horizontal="center" vertical="center"/>
    </xf>
    <xf numFmtId="49" fontId="16" fillId="0" borderId="4" xfId="3" applyNumberFormat="1" applyFont="1" applyFill="1" applyBorder="1" applyAlignment="1">
      <alignment horizontal="center" vertical="center"/>
    </xf>
    <xf numFmtId="0" fontId="16" fillId="0" borderId="5" xfId="9" applyFont="1" applyFill="1" applyBorder="1" applyAlignment="1">
      <alignment horizontal="left" vertical="center" wrapText="1"/>
    </xf>
    <xf numFmtId="165" fontId="16" fillId="0" borderId="22" xfId="3" applyFont="1" applyFill="1" applyBorder="1" applyAlignment="1">
      <alignment horizontal="center" vertical="center" wrapText="1"/>
    </xf>
    <xf numFmtId="164" fontId="15" fillId="0" borderId="5" xfId="3" applyNumberFormat="1" applyFont="1" applyFill="1" applyBorder="1" applyAlignment="1">
      <alignment horizontal="center" vertical="center" wrapText="1"/>
    </xf>
    <xf numFmtId="164" fontId="15" fillId="0" borderId="6" xfId="3" applyNumberFormat="1" applyFont="1" applyFill="1" applyBorder="1" applyAlignment="1">
      <alignment horizontal="center" vertical="center" wrapText="1"/>
    </xf>
    <xf numFmtId="164" fontId="15" fillId="0" borderId="87" xfId="3" applyNumberFormat="1" applyFont="1" applyFill="1" applyBorder="1" applyAlignment="1">
      <alignment horizontal="center" vertical="center" wrapText="1"/>
    </xf>
    <xf numFmtId="49" fontId="16" fillId="2" borderId="104" xfId="0" applyNumberFormat="1" applyFont="1" applyFill="1" applyBorder="1" applyAlignment="1">
      <alignment horizontal="center" vertical="center"/>
    </xf>
    <xf numFmtId="0" fontId="16" fillId="2" borderId="97" xfId="0" applyFont="1" applyFill="1" applyBorder="1" applyAlignment="1">
      <alignment horizontal="left" vertical="center" wrapText="1"/>
    </xf>
    <xf numFmtId="165" fontId="16" fillId="0" borderId="96" xfId="3" applyFont="1" applyFill="1" applyBorder="1" applyAlignment="1">
      <alignment horizontal="center" vertical="center"/>
    </xf>
    <xf numFmtId="4" fontId="29" fillId="0" borderId="104" xfId="0" applyNumberFormat="1" applyFont="1" applyFill="1" applyBorder="1" applyAlignment="1">
      <alignment vertical="center"/>
    </xf>
    <xf numFmtId="4" fontId="29" fillId="0" borderId="97" xfId="0" applyNumberFormat="1" applyFont="1" applyFill="1" applyBorder="1" applyAlignment="1">
      <alignment vertical="center"/>
    </xf>
    <xf numFmtId="4" fontId="29" fillId="0" borderId="105" xfId="0" applyNumberFormat="1" applyFont="1" applyFill="1" applyBorder="1" applyAlignment="1">
      <alignment vertical="center"/>
    </xf>
    <xf numFmtId="4" fontId="29" fillId="0" borderId="106" xfId="0" applyNumberFormat="1" applyFont="1" applyFill="1" applyBorder="1" applyAlignment="1">
      <alignment vertical="center"/>
    </xf>
    <xf numFmtId="49" fontId="150" fillId="2" borderId="1" xfId="0" applyNumberFormat="1" applyFont="1" applyFill="1" applyBorder="1" applyAlignment="1">
      <alignment horizontal="center" vertical="center"/>
    </xf>
    <xf numFmtId="0" fontId="15" fillId="47" borderId="2" xfId="0" applyFont="1" applyFill="1" applyBorder="1" applyAlignment="1">
      <alignment horizontal="left" vertical="center"/>
    </xf>
    <xf numFmtId="165" fontId="151" fillId="0" borderId="21" xfId="3" applyFont="1" applyFill="1" applyBorder="1" applyAlignment="1">
      <alignment horizontal="center" vertical="center"/>
    </xf>
    <xf numFmtId="4" fontId="218" fillId="44" borderId="1" xfId="0" applyNumberFormat="1" applyFont="1" applyFill="1" applyBorder="1" applyAlignment="1">
      <alignment vertical="center"/>
    </xf>
    <xf numFmtId="4" fontId="218" fillId="44" borderId="2" xfId="0" applyNumberFormat="1" applyFont="1" applyFill="1" applyBorder="1" applyAlignment="1">
      <alignment vertical="center"/>
    </xf>
    <xf numFmtId="4" fontId="152" fillId="44" borderId="2" xfId="0" applyNumberFormat="1" applyFont="1" applyFill="1" applyBorder="1" applyAlignment="1">
      <alignment vertical="center"/>
    </xf>
    <xf numFmtId="4" fontId="152" fillId="44" borderId="3" xfId="0" applyNumberFormat="1" applyFont="1" applyFill="1" applyBorder="1" applyAlignment="1">
      <alignment vertical="center"/>
    </xf>
    <xf numFmtId="4" fontId="218" fillId="44" borderId="48" xfId="0" applyNumberFormat="1" applyFont="1" applyFill="1" applyBorder="1" applyAlignment="1">
      <alignment vertical="center"/>
    </xf>
    <xf numFmtId="202" fontId="18" fillId="5" borderId="15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16" xfId="2" applyNumberFormat="1" applyFont="1" applyFill="1" applyBorder="1" applyAlignment="1" applyProtection="1">
      <alignment horizontal="center" vertical="center" wrapText="1"/>
      <protection locked="0"/>
    </xf>
    <xf numFmtId="49" fontId="14" fillId="44" borderId="24" xfId="0" applyNumberFormat="1" applyFont="1" applyFill="1" applyBorder="1" applyAlignment="1">
      <alignment horizontal="center" vertical="center"/>
    </xf>
    <xf numFmtId="164" fontId="14" fillId="44" borderId="68" xfId="0" applyNumberFormat="1" applyFont="1" applyFill="1" applyBorder="1" applyAlignment="1">
      <alignment horizontal="center" vertical="center"/>
    </xf>
    <xf numFmtId="164" fontId="14" fillId="44" borderId="23" xfId="0" applyNumberFormat="1" applyFont="1" applyFill="1" applyBorder="1" applyAlignment="1">
      <alignment horizontal="center" vertical="center"/>
    </xf>
    <xf numFmtId="164" fontId="14" fillId="44" borderId="69" xfId="0" applyNumberFormat="1" applyFont="1" applyFill="1" applyBorder="1" applyAlignment="1">
      <alignment horizontal="center" vertical="center"/>
    </xf>
    <xf numFmtId="164" fontId="14" fillId="44" borderId="86" xfId="0" applyNumberFormat="1" applyFont="1" applyFill="1" applyBorder="1" applyAlignment="1">
      <alignment horizontal="center" vertical="center"/>
    </xf>
    <xf numFmtId="202" fontId="18" fillId="5" borderId="68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23" xfId="2" applyNumberFormat="1" applyFont="1" applyFill="1" applyBorder="1" applyAlignment="1" applyProtection="1">
      <alignment horizontal="center" vertical="center" wrapText="1"/>
      <protection locked="0"/>
    </xf>
    <xf numFmtId="0" fontId="249" fillId="2" borderId="0" xfId="2391" applyFont="1" applyFill="1"/>
    <xf numFmtId="0" fontId="249" fillId="0" borderId="0" xfId="2391" applyFont="1"/>
    <xf numFmtId="0" fontId="14" fillId="2" borderId="0" xfId="2391" applyFont="1" applyFill="1" applyAlignment="1">
      <alignment horizontal="center"/>
    </xf>
    <xf numFmtId="0" fontId="250" fillId="48" borderId="0" xfId="2391" applyFont="1" applyFill="1" applyAlignment="1"/>
    <xf numFmtId="0" fontId="14" fillId="48" borderId="0" xfId="2391" applyFont="1" applyFill="1" applyAlignment="1">
      <alignment wrapText="1"/>
    </xf>
    <xf numFmtId="0" fontId="14" fillId="48" borderId="0" xfId="2391" applyFont="1" applyFill="1" applyAlignment="1">
      <alignment horizontal="center" vertical="center"/>
    </xf>
    <xf numFmtId="0" fontId="14" fillId="0" borderId="0" xfId="2391" applyFont="1" applyFill="1"/>
    <xf numFmtId="0" fontId="20" fillId="2" borderId="0" xfId="2391" applyFont="1" applyFill="1" applyAlignment="1">
      <alignment horizontal="center"/>
    </xf>
    <xf numFmtId="0" fontId="20" fillId="0" borderId="0" xfId="2391" applyFont="1" applyFill="1" applyAlignment="1">
      <alignment wrapText="1"/>
    </xf>
    <xf numFmtId="0" fontId="20" fillId="0" borderId="0" xfId="2391" applyFont="1" applyFill="1" applyAlignment="1">
      <alignment horizontal="center" vertical="center"/>
    </xf>
    <xf numFmtId="0" fontId="20" fillId="0" borderId="0" xfId="2391" applyFont="1" applyFill="1" applyBorder="1" applyAlignment="1">
      <alignment horizontal="center" vertical="center"/>
    </xf>
    <xf numFmtId="0" fontId="20" fillId="0" borderId="0" xfId="2391" applyFont="1" applyFill="1"/>
    <xf numFmtId="0" fontId="16" fillId="2" borderId="0" xfId="2391" applyFont="1" applyFill="1" applyAlignment="1">
      <alignment horizontal="center"/>
    </xf>
    <xf numFmtId="0" fontId="16" fillId="0" borderId="0" xfId="2391" applyFont="1" applyFill="1"/>
    <xf numFmtId="0" fontId="253" fillId="2" borderId="0" xfId="17" applyFont="1" applyFill="1" applyBorder="1" applyAlignment="1">
      <alignment horizontal="left" vertical="center"/>
    </xf>
    <xf numFmtId="0" fontId="14" fillId="2" borderId="0" xfId="17" applyFont="1" applyFill="1" applyBorder="1" applyAlignment="1">
      <alignment horizontal="center" vertical="center"/>
    </xf>
    <xf numFmtId="0" fontId="20" fillId="2" borderId="0" xfId="17" applyFont="1" applyFill="1" applyBorder="1" applyAlignment="1">
      <alignment horizontal="center" vertical="center"/>
    </xf>
    <xf numFmtId="0" fontId="20" fillId="2" borderId="0" xfId="2391" applyFont="1" applyFill="1"/>
    <xf numFmtId="0" fontId="16" fillId="2" borderId="0" xfId="2391" applyFont="1" applyFill="1" applyAlignment="1">
      <alignment horizontal="center" vertical="center"/>
    </xf>
    <xf numFmtId="166" fontId="133" fillId="5" borderId="48" xfId="2711" applyNumberFormat="1" applyFont="1" applyFill="1" applyBorder="1" applyAlignment="1">
      <alignment horizontal="center" vertical="center"/>
    </xf>
    <xf numFmtId="4" fontId="20" fillId="0" borderId="21" xfId="17" applyNumberFormat="1" applyFont="1" applyFill="1" applyBorder="1" applyAlignment="1">
      <alignment horizontal="center" vertical="center"/>
    </xf>
    <xf numFmtId="0" fontId="16" fillId="0" borderId="0" xfId="2391" applyFont="1" applyFill="1" applyAlignment="1">
      <alignment horizontal="center" vertical="center"/>
    </xf>
    <xf numFmtId="0" fontId="20" fillId="2" borderId="0" xfId="2391" applyFont="1" applyFill="1" applyAlignment="1">
      <alignment horizontal="center" vertical="center"/>
    </xf>
    <xf numFmtId="4" fontId="20" fillId="0" borderId="4" xfId="17" applyNumberFormat="1" applyFont="1" applyFill="1" applyBorder="1" applyAlignment="1">
      <alignment horizontal="center" vertical="center"/>
    </xf>
    <xf numFmtId="4" fontId="20" fillId="0" borderId="100" xfId="17" applyNumberFormat="1" applyFont="1" applyFill="1" applyBorder="1" applyAlignment="1">
      <alignment horizontal="center" vertical="center"/>
    </xf>
    <xf numFmtId="4" fontId="20" fillId="0" borderId="105" xfId="17" applyNumberFormat="1" applyFont="1" applyFill="1" applyBorder="1" applyAlignment="1">
      <alignment horizontal="center" vertical="center"/>
    </xf>
    <xf numFmtId="166" fontId="133" fillId="5" borderId="106" xfId="2711" applyNumberFormat="1" applyFont="1" applyFill="1" applyBorder="1" applyAlignment="1">
      <alignment horizontal="center" vertical="center"/>
    </xf>
    <xf numFmtId="166" fontId="133" fillId="5" borderId="44" xfId="2711" applyNumberFormat="1" applyFont="1" applyFill="1" applyBorder="1" applyAlignment="1">
      <alignment horizontal="center" vertical="center"/>
    </xf>
    <xf numFmtId="4" fontId="20" fillId="44" borderId="55" xfId="17" applyNumberFormat="1" applyFont="1" applyFill="1" applyBorder="1" applyAlignment="1">
      <alignment horizontal="center" vertical="center"/>
    </xf>
    <xf numFmtId="0" fontId="20" fillId="2" borderId="0" xfId="2391" applyFont="1" applyFill="1" applyBorder="1" applyAlignment="1">
      <alignment horizontal="center"/>
    </xf>
    <xf numFmtId="0" fontId="254" fillId="2" borderId="0" xfId="17" applyFont="1" applyFill="1" applyBorder="1" applyAlignment="1">
      <alignment horizontal="right" vertical="center"/>
    </xf>
    <xf numFmtId="0" fontId="252" fillId="2" borderId="0" xfId="2391" applyFont="1" applyFill="1" applyBorder="1"/>
    <xf numFmtId="166" fontId="133" fillId="47" borderId="10" xfId="2711" applyNumberFormat="1" applyFont="1" applyFill="1" applyBorder="1" applyAlignment="1">
      <alignment horizontal="center" vertical="center"/>
    </xf>
    <xf numFmtId="4" fontId="252" fillId="2" borderId="0" xfId="2391" applyNumberFormat="1" applyFont="1" applyFill="1" applyBorder="1"/>
    <xf numFmtId="4" fontId="149" fillId="2" borderId="0" xfId="2711" applyNumberFormat="1" applyFont="1" applyFill="1" applyBorder="1" applyAlignment="1">
      <alignment wrapText="1"/>
    </xf>
    <xf numFmtId="4" fontId="252" fillId="2" borderId="0" xfId="2391" applyNumberFormat="1" applyFont="1" applyFill="1" applyBorder="1" applyAlignment="1">
      <alignment horizontal="center" vertical="center"/>
    </xf>
    <xf numFmtId="0" fontId="20" fillId="2" borderId="0" xfId="2391" applyFont="1" applyFill="1" applyBorder="1"/>
    <xf numFmtId="4" fontId="252" fillId="2" borderId="0" xfId="2391" applyNumberFormat="1" applyFont="1" applyFill="1" applyBorder="1" applyAlignment="1">
      <alignment vertical="top"/>
    </xf>
    <xf numFmtId="4" fontId="14" fillId="2" borderId="0" xfId="17" applyNumberFormat="1" applyFont="1" applyFill="1" applyBorder="1" applyAlignment="1">
      <alignment horizontal="center" vertical="center"/>
    </xf>
    <xf numFmtId="4" fontId="20" fillId="0" borderId="82" xfId="17" applyNumberFormat="1" applyFont="1" applyFill="1" applyBorder="1" applyAlignment="1">
      <alignment horizontal="center" vertical="center"/>
    </xf>
    <xf numFmtId="4" fontId="20" fillId="0" borderId="104" xfId="17" applyNumberFormat="1" applyFont="1" applyFill="1" applyBorder="1" applyAlignment="1">
      <alignment horizontal="center" vertical="center"/>
    </xf>
    <xf numFmtId="4" fontId="20" fillId="0" borderId="97" xfId="17" applyNumberFormat="1" applyFont="1" applyFill="1" applyBorder="1" applyAlignment="1">
      <alignment horizontal="center" vertical="center"/>
    </xf>
    <xf numFmtId="0" fontId="255" fillId="2" borderId="0" xfId="2391" applyFont="1" applyFill="1" applyAlignment="1">
      <alignment horizontal="center"/>
    </xf>
    <xf numFmtId="0" fontId="253" fillId="2" borderId="0" xfId="17" applyFont="1" applyFill="1" applyBorder="1" applyAlignment="1">
      <alignment horizontal="left"/>
    </xf>
    <xf numFmtId="0" fontId="253" fillId="2" borderId="0" xfId="17" applyFont="1" applyFill="1" applyBorder="1" applyAlignment="1">
      <alignment horizontal="center" vertical="center"/>
    </xf>
    <xf numFmtId="0" fontId="255" fillId="2" borderId="0" xfId="17" applyFont="1" applyFill="1" applyBorder="1" applyAlignment="1">
      <alignment horizontal="center" vertical="center"/>
    </xf>
    <xf numFmtId="0" fontId="255" fillId="2" borderId="0" xfId="2391" applyFont="1" applyFill="1"/>
    <xf numFmtId="0" fontId="14" fillId="2" borderId="0" xfId="17" applyFont="1" applyFill="1" applyBorder="1" applyAlignment="1">
      <alignment horizontal="left" vertical="center"/>
    </xf>
    <xf numFmtId="4" fontId="14" fillId="44" borderId="55" xfId="17" applyNumberFormat="1" applyFont="1" applyFill="1" applyBorder="1" applyAlignment="1">
      <alignment horizontal="center" vertical="center"/>
    </xf>
    <xf numFmtId="0" fontId="133" fillId="2" borderId="0" xfId="17" applyFont="1" applyFill="1" applyBorder="1" applyAlignment="1">
      <alignment horizontal="right" vertical="center"/>
    </xf>
    <xf numFmtId="0" fontId="14" fillId="0" borderId="1" xfId="17" applyFont="1" applyFill="1" applyBorder="1" applyAlignment="1">
      <alignment horizontal="left" vertical="center" wrapText="1"/>
    </xf>
    <xf numFmtId="0" fontId="14" fillId="0" borderId="3" xfId="17" applyFont="1" applyFill="1" applyBorder="1" applyAlignment="1">
      <alignment horizontal="center" vertical="center"/>
    </xf>
    <xf numFmtId="4" fontId="14" fillId="0" borderId="82" xfId="17" applyNumberFormat="1" applyFont="1" applyFill="1" applyBorder="1" applyAlignment="1">
      <alignment horizontal="center" vertical="center"/>
    </xf>
    <xf numFmtId="4" fontId="14" fillId="0" borderId="3" xfId="17" applyNumberFormat="1" applyFont="1" applyFill="1" applyBorder="1" applyAlignment="1">
      <alignment horizontal="center" vertical="center"/>
    </xf>
    <xf numFmtId="4" fontId="14" fillId="0" borderId="20" xfId="17" applyNumberFormat="1" applyFont="1" applyFill="1" applyBorder="1" applyAlignment="1">
      <alignment horizontal="center" vertical="center"/>
    </xf>
    <xf numFmtId="4" fontId="14" fillId="0" borderId="21" xfId="17" applyNumberFormat="1" applyFont="1" applyFill="1" applyBorder="1" applyAlignment="1">
      <alignment horizontal="center" vertical="center"/>
    </xf>
    <xf numFmtId="0" fontId="133" fillId="0" borderId="11" xfId="17" applyFont="1" applyFill="1" applyBorder="1" applyAlignment="1">
      <alignment horizontal="right" vertical="center" wrapText="1"/>
    </xf>
    <xf numFmtId="0" fontId="20" fillId="0" borderId="12" xfId="17" applyFont="1" applyFill="1" applyBorder="1" applyAlignment="1">
      <alignment horizontal="center" vertical="center"/>
    </xf>
    <xf numFmtId="4" fontId="18" fillId="0" borderId="99" xfId="17" applyNumberFormat="1" applyFont="1" applyFill="1" applyBorder="1" applyAlignment="1">
      <alignment horizontal="right" vertical="center"/>
    </xf>
    <xf numFmtId="4" fontId="18" fillId="0" borderId="10" xfId="17" applyNumberFormat="1" applyFont="1" applyFill="1" applyBorder="1" applyAlignment="1">
      <alignment horizontal="right" vertical="center"/>
    </xf>
    <xf numFmtId="4" fontId="18" fillId="0" borderId="12" xfId="17" applyNumberFormat="1" applyFont="1" applyFill="1" applyBorder="1" applyAlignment="1">
      <alignment horizontal="right" vertical="center"/>
    </xf>
    <xf numFmtId="166" fontId="133" fillId="5" borderId="85" xfId="2711" applyNumberFormat="1" applyFont="1" applyFill="1" applyBorder="1" applyAlignment="1">
      <alignment horizontal="center" vertical="center"/>
    </xf>
    <xf numFmtId="4" fontId="18" fillId="0" borderId="11" xfId="17" applyNumberFormat="1" applyFont="1" applyFill="1" applyBorder="1" applyAlignment="1">
      <alignment horizontal="right" vertical="center"/>
    </xf>
    <xf numFmtId="4" fontId="18" fillId="0" borderId="98" xfId="17" applyNumberFormat="1" applyFont="1" applyFill="1" applyBorder="1" applyAlignment="1">
      <alignment horizontal="right" vertical="center"/>
    </xf>
    <xf numFmtId="0" fontId="14" fillId="0" borderId="11" xfId="17" applyFont="1" applyFill="1" applyBorder="1" applyAlignment="1">
      <alignment horizontal="left" vertical="center" wrapText="1"/>
    </xf>
    <xf numFmtId="0" fontId="14" fillId="0" borderId="12" xfId="17" applyFont="1" applyFill="1" applyBorder="1" applyAlignment="1">
      <alignment horizontal="center" vertical="center"/>
    </xf>
    <xf numFmtId="4" fontId="14" fillId="0" borderId="99" xfId="17" applyNumberFormat="1" applyFont="1" applyFill="1" applyBorder="1" applyAlignment="1">
      <alignment horizontal="center" vertical="center"/>
    </xf>
    <xf numFmtId="4" fontId="14" fillId="0" borderId="10" xfId="17" applyNumberFormat="1" applyFont="1" applyFill="1" applyBorder="1" applyAlignment="1">
      <alignment horizontal="center" vertical="center"/>
    </xf>
    <xf numFmtId="4" fontId="14" fillId="0" borderId="12" xfId="17" applyNumberFormat="1" applyFont="1" applyFill="1" applyBorder="1" applyAlignment="1">
      <alignment horizontal="center" vertical="center"/>
    </xf>
    <xf numFmtId="4" fontId="14" fillId="0" borderId="11" xfId="17" applyNumberFormat="1" applyFont="1" applyFill="1" applyBorder="1" applyAlignment="1">
      <alignment horizontal="center" vertical="center"/>
    </xf>
    <xf numFmtId="4" fontId="14" fillId="0" borderId="98" xfId="17" applyNumberFormat="1" applyFont="1" applyFill="1" applyBorder="1" applyAlignment="1">
      <alignment horizontal="center" vertical="center"/>
    </xf>
    <xf numFmtId="0" fontId="133" fillId="0" borderId="104" xfId="17" applyFont="1" applyFill="1" applyBorder="1" applyAlignment="1">
      <alignment horizontal="right" vertical="center" wrapText="1"/>
    </xf>
    <xf numFmtId="0" fontId="20" fillId="0" borderId="105" xfId="17" applyFont="1" applyFill="1" applyBorder="1" applyAlignment="1">
      <alignment horizontal="center" vertical="center"/>
    </xf>
    <xf numFmtId="4" fontId="18" fillId="0" borderId="100" xfId="17" applyNumberFormat="1" applyFont="1" applyFill="1" applyBorder="1" applyAlignment="1">
      <alignment horizontal="right" vertical="center"/>
    </xf>
    <xf numFmtId="4" fontId="18" fillId="0" borderId="97" xfId="17" applyNumberFormat="1" applyFont="1" applyFill="1" applyBorder="1" applyAlignment="1">
      <alignment horizontal="right" vertical="center"/>
    </xf>
    <xf numFmtId="4" fontId="18" fillId="0" borderId="105" xfId="17" applyNumberFormat="1" applyFont="1" applyFill="1" applyBorder="1" applyAlignment="1">
      <alignment horizontal="right" vertical="center"/>
    </xf>
    <xf numFmtId="166" fontId="133" fillId="5" borderId="84" xfId="2711" applyNumberFormat="1" applyFont="1" applyFill="1" applyBorder="1" applyAlignment="1">
      <alignment horizontal="center" vertical="center"/>
    </xf>
    <xf numFmtId="4" fontId="18" fillId="0" borderId="104" xfId="17" applyNumberFormat="1" applyFont="1" applyFill="1" applyBorder="1" applyAlignment="1">
      <alignment horizontal="right" vertical="center"/>
    </xf>
    <xf numFmtId="4" fontId="18" fillId="0" borderId="96" xfId="17" applyNumberFormat="1" applyFont="1" applyFill="1" applyBorder="1" applyAlignment="1">
      <alignment horizontal="right" vertical="center"/>
    </xf>
    <xf numFmtId="0" fontId="255" fillId="2" borderId="0" xfId="2391" applyFont="1" applyFill="1" applyBorder="1" applyAlignment="1">
      <alignment horizontal="center"/>
    </xf>
    <xf numFmtId="0" fontId="256" fillId="2" borderId="0" xfId="17" applyFont="1" applyFill="1" applyBorder="1" applyAlignment="1">
      <alignment horizontal="right" vertical="center"/>
    </xf>
    <xf numFmtId="0" fontId="255" fillId="2" borderId="0" xfId="2391" applyFont="1" applyFill="1" applyBorder="1"/>
    <xf numFmtId="0" fontId="14" fillId="2" borderId="0" xfId="17" applyFont="1" applyFill="1" applyBorder="1" applyAlignment="1">
      <alignment horizontal="left"/>
    </xf>
    <xf numFmtId="4" fontId="20" fillId="0" borderId="108" xfId="17" applyNumberFormat="1" applyFont="1" applyFill="1" applyBorder="1" applyAlignment="1">
      <alignment horizontal="center" vertical="center"/>
    </xf>
    <xf numFmtId="4" fontId="20" fillId="44" borderId="16" xfId="17" applyNumberFormat="1" applyFont="1" applyFill="1" applyBorder="1" applyAlignment="1">
      <alignment horizontal="center" vertical="center"/>
    </xf>
    <xf numFmtId="0" fontId="257" fillId="0" borderId="0" xfId="2391" applyFont="1"/>
    <xf numFmtId="0" fontId="258" fillId="2" borderId="0" xfId="2391" applyFont="1" applyFill="1" applyAlignment="1">
      <alignment horizontal="center" vertical="center"/>
    </xf>
    <xf numFmtId="0" fontId="20" fillId="2" borderId="0" xfId="17" applyFont="1" applyFill="1" applyBorder="1" applyAlignment="1">
      <alignment horizontal="left"/>
    </xf>
    <xf numFmtId="4" fontId="259" fillId="0" borderId="1" xfId="17" applyNumberFormat="1" applyFont="1" applyFill="1" applyBorder="1" applyAlignment="1">
      <alignment horizontal="center" vertical="center"/>
    </xf>
    <xf numFmtId="4" fontId="20" fillId="0" borderId="96" xfId="17" applyNumberFormat="1" applyFont="1" applyFill="1" applyBorder="1" applyAlignment="1">
      <alignment horizontal="center" vertical="center"/>
    </xf>
    <xf numFmtId="0" fontId="20" fillId="0" borderId="0" xfId="2391" applyFont="1" applyFill="1" applyBorder="1"/>
    <xf numFmtId="0" fontId="20" fillId="0" borderId="8" xfId="17" applyFont="1" applyFill="1" applyBorder="1" applyAlignment="1">
      <alignment horizontal="center" vertical="center" wrapText="1"/>
    </xf>
    <xf numFmtId="0" fontId="20" fillId="0" borderId="9" xfId="17" applyFont="1" applyFill="1" applyBorder="1" applyAlignment="1">
      <alignment horizontal="center" vertical="center"/>
    </xf>
    <xf numFmtId="166" fontId="20" fillId="0" borderId="8" xfId="17" applyNumberFormat="1" applyFont="1" applyFill="1" applyBorder="1" applyAlignment="1">
      <alignment horizontal="center" vertical="center"/>
    </xf>
    <xf numFmtId="166" fontId="20" fillId="0" borderId="7" xfId="17" applyNumberFormat="1" applyFont="1" applyFill="1" applyBorder="1" applyAlignment="1">
      <alignment horizontal="center" vertical="center"/>
    </xf>
    <xf numFmtId="166" fontId="20" fillId="0" borderId="9" xfId="17" applyNumberFormat="1" applyFont="1" applyFill="1" applyBorder="1" applyAlignment="1">
      <alignment horizontal="center" vertical="center"/>
    </xf>
    <xf numFmtId="166" fontId="133" fillId="47" borderId="7" xfId="2711" applyNumberFormat="1" applyFont="1" applyFill="1" applyBorder="1" applyAlignment="1">
      <alignment horizontal="center" vertical="center"/>
    </xf>
    <xf numFmtId="166" fontId="133" fillId="5" borderId="50" xfId="2711" applyNumberFormat="1" applyFont="1" applyFill="1" applyBorder="1" applyAlignment="1">
      <alignment horizontal="center" vertical="center"/>
    </xf>
    <xf numFmtId="166" fontId="133" fillId="5" borderId="107" xfId="2711" applyNumberFormat="1" applyFont="1" applyFill="1" applyBorder="1" applyAlignment="1">
      <alignment horizontal="center" vertical="center"/>
    </xf>
    <xf numFmtId="166" fontId="133" fillId="5" borderId="56" xfId="2711" applyNumberFormat="1" applyFont="1" applyFill="1" applyBorder="1" applyAlignment="1">
      <alignment horizontal="center" vertical="center"/>
    </xf>
    <xf numFmtId="4" fontId="22" fillId="0" borderId="0" xfId="6" applyNumberFormat="1" applyFont="1" applyAlignment="1">
      <alignment horizontal="center" wrapText="1"/>
    </xf>
    <xf numFmtId="0" fontId="260" fillId="97" borderId="98" xfId="0" applyFont="1" applyFill="1" applyBorder="1" applyAlignment="1">
      <alignment horizontal="center" vertical="center" wrapText="1"/>
    </xf>
    <xf numFmtId="0" fontId="263" fillId="0" borderId="11" xfId="0" applyFont="1" applyFill="1" applyBorder="1" applyAlignment="1">
      <alignment horizontal="center" vertical="center" wrapText="1"/>
    </xf>
    <xf numFmtId="0" fontId="261" fillId="0" borderId="10" xfId="0" applyFont="1" applyFill="1" applyBorder="1" applyAlignment="1">
      <alignment horizontal="center" vertical="center" wrapText="1"/>
    </xf>
    <xf numFmtId="0" fontId="266" fillId="0" borderId="2" xfId="0" applyFont="1" applyFill="1" applyBorder="1" applyAlignment="1">
      <alignment vertical="center" wrapText="1"/>
    </xf>
    <xf numFmtId="4" fontId="267" fillId="97" borderId="21" xfId="0" applyNumberFormat="1" applyFont="1" applyFill="1" applyBorder="1" applyAlignment="1">
      <alignment horizontal="right" vertical="center" wrapText="1"/>
    </xf>
    <xf numFmtId="4" fontId="268" fillId="0" borderId="1" xfId="0" applyNumberFormat="1" applyFont="1" applyFill="1" applyBorder="1" applyAlignment="1">
      <alignment horizontal="right" vertical="center" wrapText="1"/>
    </xf>
    <xf numFmtId="4" fontId="268" fillId="98" borderId="2" xfId="0" applyNumberFormat="1" applyFont="1" applyFill="1" applyBorder="1" applyAlignment="1">
      <alignment horizontal="right" vertical="center" wrapText="1"/>
    </xf>
    <xf numFmtId="4" fontId="269" fillId="99" borderId="2" xfId="0" applyNumberFormat="1" applyFont="1" applyFill="1" applyBorder="1" applyAlignment="1">
      <alignment horizontal="right" vertical="center" wrapText="1"/>
    </xf>
    <xf numFmtId="0" fontId="266" fillId="0" borderId="10" xfId="0" applyFont="1" applyFill="1" applyBorder="1" applyAlignment="1">
      <alignment vertical="center" wrapText="1"/>
    </xf>
    <xf numFmtId="4" fontId="267" fillId="97" borderId="98" xfId="0" applyNumberFormat="1" applyFont="1" applyFill="1" applyBorder="1" applyAlignment="1">
      <alignment horizontal="right" vertical="center" wrapText="1"/>
    </xf>
    <xf numFmtId="4" fontId="267" fillId="0" borderId="11" xfId="0" applyNumberFormat="1" applyFont="1" applyFill="1" applyBorder="1" applyAlignment="1">
      <alignment horizontal="right" vertical="center" wrapText="1"/>
    </xf>
    <xf numFmtId="4" fontId="267" fillId="99" borderId="10" xfId="0" applyNumberFormat="1" applyFont="1" applyFill="1" applyBorder="1" applyAlignment="1">
      <alignment horizontal="right" vertical="center" wrapText="1"/>
    </xf>
    <xf numFmtId="4" fontId="271" fillId="100" borderId="10" xfId="0" applyNumberFormat="1" applyFont="1" applyFill="1" applyBorder="1" applyAlignment="1">
      <alignment horizontal="right" vertical="center" wrapText="1"/>
    </xf>
    <xf numFmtId="4" fontId="267" fillId="101" borderId="98" xfId="0" applyNumberFormat="1" applyFont="1" applyFill="1" applyBorder="1" applyAlignment="1">
      <alignment horizontal="right" vertical="center" wrapText="1"/>
    </xf>
    <xf numFmtId="4" fontId="267" fillId="98" borderId="11" xfId="0" applyNumberFormat="1" applyFont="1" applyFill="1" applyBorder="1" applyAlignment="1">
      <alignment horizontal="right" vertical="center" wrapText="1"/>
    </xf>
    <xf numFmtId="4" fontId="271" fillId="99" borderId="10" xfId="0" applyNumberFormat="1" applyFont="1" applyFill="1" applyBorder="1" applyAlignment="1">
      <alignment horizontal="right" vertical="center" wrapText="1"/>
    </xf>
    <xf numFmtId="0" fontId="272" fillId="0" borderId="10" xfId="0" applyFont="1" applyFill="1" applyBorder="1" applyAlignment="1">
      <alignment vertical="center" wrapText="1"/>
    </xf>
    <xf numFmtId="4" fontId="273" fillId="97" borderId="98" xfId="0" applyNumberFormat="1" applyFont="1" applyFill="1" applyBorder="1" applyAlignment="1">
      <alignment horizontal="right" vertical="center" wrapText="1"/>
    </xf>
    <xf numFmtId="4" fontId="273" fillId="0" borderId="11" xfId="0" applyNumberFormat="1" applyFont="1" applyFill="1" applyBorder="1" applyAlignment="1">
      <alignment horizontal="right" vertical="center" wrapText="1"/>
    </xf>
    <xf numFmtId="4" fontId="273" fillId="99" borderId="10" xfId="0" applyNumberFormat="1" applyFont="1" applyFill="1" applyBorder="1" applyAlignment="1">
      <alignment horizontal="right" vertical="center" wrapText="1"/>
    </xf>
    <xf numFmtId="0" fontId="266" fillId="0" borderId="5" xfId="0" applyFont="1" applyFill="1" applyBorder="1" applyAlignment="1">
      <alignment vertical="center" wrapText="1"/>
    </xf>
    <xf numFmtId="4" fontId="267" fillId="97" borderId="22" xfId="0" applyNumberFormat="1" applyFont="1" applyFill="1" applyBorder="1" applyAlignment="1">
      <alignment horizontal="right" vertical="center" wrapText="1"/>
    </xf>
    <xf numFmtId="4" fontId="267" fillId="0" borderId="4" xfId="0" applyNumberFormat="1" applyFont="1" applyFill="1" applyBorder="1" applyAlignment="1">
      <alignment horizontal="right" vertical="center" wrapText="1"/>
    </xf>
    <xf numFmtId="4" fontId="267" fillId="99" borderId="5" xfId="0" applyNumberFormat="1" applyFont="1" applyFill="1" applyBorder="1" applyAlignment="1">
      <alignment horizontal="right" vertical="center" wrapText="1"/>
    </xf>
    <xf numFmtId="4" fontId="133" fillId="2" borderId="0" xfId="17" applyNumberFormat="1" applyFont="1" applyFill="1" applyBorder="1" applyAlignment="1">
      <alignment horizontal="right" vertical="center"/>
    </xf>
    <xf numFmtId="169" fontId="137" fillId="0" borderId="0" xfId="0" applyNumberFormat="1" applyFont="1" applyBorder="1" applyAlignment="1"/>
    <xf numFmtId="2" fontId="249" fillId="0" borderId="0" xfId="2391" applyNumberFormat="1" applyFont="1"/>
    <xf numFmtId="164" fontId="275" fillId="47" borderId="10" xfId="0" applyNumberFormat="1" applyFont="1" applyFill="1" applyBorder="1" applyAlignment="1">
      <alignment horizontal="center" vertical="center"/>
    </xf>
    <xf numFmtId="164" fontId="275" fillId="47" borderId="12" xfId="0" applyNumberFormat="1" applyFont="1" applyFill="1" applyBorder="1" applyAlignment="1">
      <alignment horizontal="center" vertical="center"/>
    </xf>
    <xf numFmtId="164" fontId="16" fillId="47" borderId="10" xfId="0" applyNumberFormat="1" applyFont="1" applyFill="1" applyBorder="1" applyAlignment="1">
      <alignment horizontal="center" vertical="center"/>
    </xf>
    <xf numFmtId="164" fontId="16" fillId="47" borderId="12" xfId="0" applyNumberFormat="1" applyFont="1" applyFill="1" applyBorder="1" applyAlignment="1">
      <alignment horizontal="center" vertical="center"/>
    </xf>
    <xf numFmtId="164" fontId="16" fillId="47" borderId="6" xfId="0" applyNumberFormat="1" applyFont="1" applyFill="1" applyBorder="1" applyAlignment="1">
      <alignment horizontal="center" vertical="center"/>
    </xf>
    <xf numFmtId="164" fontId="16" fillId="47" borderId="4" xfId="0" applyNumberFormat="1" applyFont="1" applyFill="1" applyBorder="1" applyAlignment="1">
      <alignment horizontal="center" vertical="center"/>
    </xf>
    <xf numFmtId="164" fontId="16" fillId="47" borderId="5" xfId="0" applyNumberFormat="1" applyFont="1" applyFill="1" applyBorder="1" applyAlignment="1">
      <alignment horizontal="center" vertical="center"/>
    </xf>
    <xf numFmtId="164" fontId="16" fillId="47" borderId="87" xfId="0" applyNumberFormat="1" applyFont="1" applyFill="1" applyBorder="1" applyAlignment="1">
      <alignment horizontal="center" vertical="center"/>
    </xf>
    <xf numFmtId="164" fontId="29" fillId="0" borderId="0" xfId="0" applyNumberFormat="1" applyFont="1"/>
    <xf numFmtId="43" fontId="207" fillId="0" borderId="0" xfId="0" applyNumberFormat="1" applyFont="1"/>
    <xf numFmtId="0" fontId="141" fillId="0" borderId="0" xfId="3532" applyFont="1" applyAlignment="1">
      <alignment horizontal="center" vertical="center"/>
    </xf>
    <xf numFmtId="0" fontId="141" fillId="0" borderId="0" xfId="3532" applyFont="1" applyAlignment="1">
      <alignment vertical="center"/>
    </xf>
    <xf numFmtId="0" fontId="23" fillId="0" borderId="0" xfId="3532" applyFont="1" applyAlignment="1">
      <alignment vertical="center"/>
    </xf>
    <xf numFmtId="0" fontId="23" fillId="0" borderId="7" xfId="3532" applyFont="1" applyBorder="1" applyAlignment="1">
      <alignment horizontal="center" vertical="center" wrapText="1"/>
    </xf>
    <xf numFmtId="0" fontId="277" fillId="0" borderId="95" xfId="3532" applyFont="1" applyBorder="1" applyAlignment="1">
      <alignment horizontal="center" vertical="center"/>
    </xf>
    <xf numFmtId="0" fontId="277" fillId="0" borderId="95" xfId="3532" applyFont="1" applyBorder="1" applyAlignment="1">
      <alignment horizontal="center" vertical="center" wrapText="1"/>
    </xf>
    <xf numFmtId="0" fontId="277" fillId="0" borderId="0" xfId="3532" applyFont="1" applyAlignment="1">
      <alignment horizontal="center" vertical="center"/>
    </xf>
    <xf numFmtId="0" fontId="29" fillId="0" borderId="95" xfId="3532" applyNumberFormat="1" applyFont="1" applyBorder="1" applyAlignment="1">
      <alignment horizontal="center" vertical="center"/>
    </xf>
    <xf numFmtId="4" fontId="29" fillId="0" borderId="95" xfId="3532" applyNumberFormat="1" applyFont="1" applyBorder="1" applyAlignment="1">
      <alignment vertical="center" wrapText="1"/>
    </xf>
    <xf numFmtId="0" fontId="141" fillId="0" borderId="95" xfId="3533" applyFont="1" applyBorder="1" applyAlignment="1">
      <alignment horizontal="center" vertical="center" wrapText="1"/>
    </xf>
    <xf numFmtId="4" fontId="29" fillId="0" borderId="95" xfId="3532" applyNumberFormat="1" applyFont="1" applyBorder="1" applyAlignment="1">
      <alignment horizontal="center" vertical="center" wrapText="1"/>
    </xf>
    <xf numFmtId="0" fontId="29" fillId="0" borderId="0" xfId="3532" applyFont="1" applyAlignment="1">
      <alignment horizontal="center" vertical="center"/>
    </xf>
    <xf numFmtId="4" fontId="141" fillId="0" borderId="95" xfId="3532" applyNumberFormat="1" applyFont="1" applyBorder="1" applyAlignment="1">
      <alignment horizontal="center" vertical="center" wrapText="1"/>
    </xf>
    <xf numFmtId="4" fontId="278" fillId="0" borderId="95" xfId="3532" applyNumberFormat="1" applyFont="1" applyBorder="1" applyAlignment="1">
      <alignment horizontal="center" vertical="center" wrapText="1"/>
    </xf>
    <xf numFmtId="4" fontId="29" fillId="0" borderId="95" xfId="3532" applyNumberFormat="1" applyFont="1" applyBorder="1" applyAlignment="1">
      <alignment horizontal="center" vertical="center"/>
    </xf>
    <xf numFmtId="0" fontId="29" fillId="0" borderId="0" xfId="3532" applyFont="1" applyAlignment="1">
      <alignment vertical="center"/>
    </xf>
    <xf numFmtId="4" fontId="29" fillId="0" borderId="95" xfId="3532" applyNumberFormat="1" applyFont="1" applyBorder="1" applyAlignment="1">
      <alignment horizontal="left" vertical="center" wrapText="1"/>
    </xf>
    <xf numFmtId="4" fontId="29" fillId="0" borderId="95" xfId="3428" applyNumberFormat="1" applyFont="1" applyBorder="1" applyAlignment="1">
      <alignment horizontal="center" vertical="center" wrapText="1"/>
    </xf>
    <xf numFmtId="4" fontId="29" fillId="2" borderId="95" xfId="3532" applyNumberFormat="1" applyFont="1" applyFill="1" applyBorder="1" applyAlignment="1">
      <alignment vertical="center" wrapText="1"/>
    </xf>
    <xf numFmtId="4" fontId="29" fillId="2" borderId="95" xfId="3532" applyNumberFormat="1" applyFont="1" applyFill="1" applyBorder="1" applyAlignment="1">
      <alignment horizontal="center" vertical="center" wrapText="1"/>
    </xf>
    <xf numFmtId="0" fontId="29" fillId="2" borderId="0" xfId="3532" applyFont="1" applyFill="1" applyAlignment="1">
      <alignment vertical="center"/>
    </xf>
    <xf numFmtId="4" fontId="29" fillId="0" borderId="95" xfId="3532" applyNumberFormat="1" applyFont="1" applyBorder="1" applyAlignment="1">
      <alignment vertical="center"/>
    </xf>
    <xf numFmtId="4" fontId="29" fillId="0" borderId="95" xfId="3432" applyNumberFormat="1" applyFont="1" applyBorder="1" applyAlignment="1">
      <alignment horizontal="center" vertical="center"/>
    </xf>
    <xf numFmtId="4" fontId="29" fillId="0" borderId="95" xfId="3432" applyNumberFormat="1" applyFont="1" applyBorder="1" applyAlignment="1">
      <alignment vertical="center" wrapText="1"/>
    </xf>
    <xf numFmtId="4" fontId="29" fillId="0" borderId="95" xfId="3432" applyNumberFormat="1" applyFont="1" applyBorder="1" applyAlignment="1">
      <alignment horizontal="center" vertical="center" wrapText="1"/>
    </xf>
    <xf numFmtId="0" fontId="29" fillId="0" borderId="95" xfId="3432" applyNumberFormat="1" applyFont="1" applyBorder="1" applyAlignment="1">
      <alignment horizontal="center" vertical="center"/>
    </xf>
    <xf numFmtId="0" fontId="29" fillId="0" borderId="95" xfId="3432" applyNumberFormat="1" applyFont="1" applyBorder="1" applyAlignment="1">
      <alignment vertical="center" wrapText="1"/>
    </xf>
    <xf numFmtId="0" fontId="29" fillId="0" borderId="95" xfId="3432" applyNumberFormat="1" applyFont="1" applyBorder="1" applyAlignment="1">
      <alignment vertical="center"/>
    </xf>
    <xf numFmtId="0" fontId="29" fillId="0" borderId="95" xfId="3532" applyFont="1" applyBorder="1" applyAlignment="1">
      <alignment horizontal="center" vertical="center"/>
    </xf>
    <xf numFmtId="0" fontId="29" fillId="0" borderId="95" xfId="3532" applyFont="1" applyBorder="1" applyAlignment="1">
      <alignment vertical="center" wrapText="1"/>
    </xf>
    <xf numFmtId="0" fontId="29" fillId="0" borderId="95" xfId="3532" applyFont="1" applyBorder="1" applyAlignment="1">
      <alignment vertical="center"/>
    </xf>
    <xf numFmtId="4" fontId="29" fillId="0" borderId="0" xfId="3532" applyNumberFormat="1" applyFont="1" applyAlignment="1">
      <alignment vertical="center"/>
    </xf>
    <xf numFmtId="0" fontId="141" fillId="0" borderId="0" xfId="3532" applyFont="1" applyAlignment="1">
      <alignment vertical="center" wrapText="1"/>
    </xf>
    <xf numFmtId="0" fontId="279" fillId="0" borderId="0" xfId="3532" applyFont="1" applyAlignment="1">
      <alignment vertical="center"/>
    </xf>
    <xf numFmtId="0" fontId="279" fillId="2" borderId="7" xfId="3532" applyFont="1" applyFill="1" applyBorder="1" applyAlignment="1">
      <alignment horizontal="center" vertical="center" wrapText="1"/>
    </xf>
    <xf numFmtId="0" fontId="279" fillId="0" borderId="7" xfId="3532" applyFont="1" applyBorder="1" applyAlignment="1">
      <alignment horizontal="center" vertical="center" wrapText="1"/>
    </xf>
    <xf numFmtId="0" fontId="23" fillId="0" borderId="95" xfId="3532" applyFont="1" applyBorder="1" applyAlignment="1">
      <alignment horizontal="center" vertical="center"/>
    </xf>
    <xf numFmtId="0" fontId="23" fillId="2" borderId="95" xfId="3532" applyFont="1" applyFill="1" applyBorder="1" applyAlignment="1">
      <alignment horizontal="center" vertical="center"/>
    </xf>
    <xf numFmtId="0" fontId="23" fillId="2" borderId="95" xfId="3532" applyFont="1" applyFill="1" applyBorder="1" applyAlignment="1">
      <alignment horizontal="center" vertical="center" wrapText="1"/>
    </xf>
    <xf numFmtId="0" fontId="23" fillId="0" borderId="0" xfId="3532" applyFont="1" applyAlignment="1">
      <alignment horizontal="center" vertical="center"/>
    </xf>
    <xf numFmtId="0" fontId="141" fillId="2" borderId="95" xfId="3532" applyFont="1" applyFill="1" applyBorder="1" applyAlignment="1">
      <alignment horizontal="center" vertical="center" wrapText="1"/>
    </xf>
    <xf numFmtId="10" fontId="141" fillId="2" borderId="95" xfId="3532" applyNumberFormat="1" applyFont="1" applyFill="1" applyBorder="1" applyAlignment="1">
      <alignment horizontal="center" vertical="center"/>
    </xf>
    <xf numFmtId="0" fontId="141" fillId="2" borderId="95" xfId="3532" applyFont="1" applyFill="1" applyBorder="1" applyAlignment="1">
      <alignment horizontal="center" vertical="center"/>
    </xf>
    <xf numFmtId="0" fontId="29" fillId="0" borderId="0" xfId="0" applyFont="1" applyFill="1"/>
    <xf numFmtId="164" fontId="29" fillId="0" borderId="0" xfId="0" applyNumberFormat="1" applyFont="1" applyFill="1" applyAlignment="1">
      <alignment horizontal="center" vertical="center"/>
    </xf>
    <xf numFmtId="0" fontId="135" fillId="0" borderId="95" xfId="9" applyFont="1" applyFill="1" applyBorder="1" applyAlignment="1">
      <alignment vertical="center" wrapText="1"/>
    </xf>
    <xf numFmtId="0" fontId="135" fillId="0" borderId="109" xfId="9" applyFont="1" applyFill="1" applyBorder="1" applyAlignment="1">
      <alignment vertical="center" wrapText="1"/>
    </xf>
    <xf numFmtId="0" fontId="135" fillId="0" borderId="99" xfId="9" applyFont="1" applyFill="1" applyBorder="1" applyAlignment="1">
      <alignment vertical="center" wrapText="1"/>
    </xf>
    <xf numFmtId="0" fontId="21" fillId="0" borderId="0" xfId="0" applyFont="1" applyFill="1"/>
    <xf numFmtId="0" fontId="135" fillId="0" borderId="95" xfId="9" applyFont="1" applyFill="1" applyBorder="1" applyAlignment="1">
      <alignment horizontal="center" vertical="center" wrapText="1"/>
    </xf>
    <xf numFmtId="0" fontId="135" fillId="0" borderId="99" xfId="9" applyFont="1" applyFill="1" applyBorder="1" applyAlignment="1">
      <alignment horizontal="center" vertical="center" wrapText="1"/>
    </xf>
    <xf numFmtId="49" fontId="135" fillId="0" borderId="95" xfId="0" applyNumberFormat="1" applyFont="1" applyFill="1" applyBorder="1" applyAlignment="1">
      <alignment horizontal="center" vertical="center"/>
    </xf>
    <xf numFmtId="4" fontId="135" fillId="0" borderId="95" xfId="0" applyNumberFormat="1" applyFont="1" applyFill="1" applyBorder="1" applyAlignment="1">
      <alignment horizontal="center" vertical="center"/>
    </xf>
    <xf numFmtId="49" fontId="280" fillId="0" borderId="95" xfId="0" applyNumberFormat="1" applyFont="1" applyFill="1" applyBorder="1" applyAlignment="1">
      <alignment horizontal="center" vertical="center"/>
    </xf>
    <xf numFmtId="166" fontId="280" fillId="0" borderId="95" xfId="0" applyNumberFormat="1" applyFont="1" applyFill="1" applyBorder="1" applyAlignment="1">
      <alignment horizontal="center" vertical="center"/>
    </xf>
    <xf numFmtId="166" fontId="280" fillId="0" borderId="99" xfId="0" applyNumberFormat="1" applyFont="1" applyFill="1" applyBorder="1" applyAlignment="1">
      <alignment horizontal="center" vertical="center"/>
    </xf>
    <xf numFmtId="166" fontId="149" fillId="0" borderId="95" xfId="2" applyNumberFormat="1" applyFont="1" applyFill="1" applyBorder="1" applyAlignment="1" applyProtection="1">
      <alignment horizontal="right" vertical="center" wrapText="1"/>
      <protection locked="0"/>
    </xf>
    <xf numFmtId="0" fontId="281" fillId="0" borderId="0" xfId="0" applyFont="1" applyFill="1"/>
    <xf numFmtId="49" fontId="21" fillId="0" borderId="95" xfId="0" applyNumberFormat="1" applyFont="1" applyFill="1" applyBorder="1" applyAlignment="1">
      <alignment horizontal="center" vertical="center" wrapText="1"/>
    </xf>
    <xf numFmtId="0" fontId="217" fillId="0" borderId="95" xfId="0" applyFont="1" applyFill="1" applyBorder="1" applyAlignment="1">
      <alignment horizontal="left" vertical="center" wrapText="1"/>
    </xf>
    <xf numFmtId="164" fontId="217" fillId="0" borderId="95" xfId="0" applyNumberFormat="1" applyFont="1" applyFill="1" applyBorder="1" applyAlignment="1">
      <alignment horizontal="center" vertical="center"/>
    </xf>
    <xf numFmtId="10" fontId="217" fillId="0" borderId="95" xfId="0" applyNumberFormat="1" applyFont="1" applyFill="1" applyBorder="1" applyAlignment="1">
      <alignment horizontal="center" vertical="center"/>
    </xf>
    <xf numFmtId="10" fontId="135" fillId="0" borderId="95" xfId="1" applyNumberFormat="1" applyFont="1" applyFill="1" applyBorder="1" applyAlignment="1">
      <alignment horizontal="center" vertical="center" wrapText="1"/>
    </xf>
    <xf numFmtId="171" fontId="15" fillId="0" borderId="95" xfId="3535" applyNumberFormat="1" applyFont="1" applyFill="1" applyBorder="1" applyAlignment="1">
      <alignment horizontal="center" vertical="center"/>
    </xf>
    <xf numFmtId="171" fontId="15" fillId="0" borderId="99" xfId="3535" applyNumberFormat="1" applyFont="1" applyFill="1" applyBorder="1" applyAlignment="1">
      <alignment horizontal="center" vertical="center"/>
    </xf>
    <xf numFmtId="9" fontId="217" fillId="0" borderId="95" xfId="0" applyNumberFormat="1" applyFont="1" applyFill="1" applyBorder="1" applyAlignment="1">
      <alignment horizontal="center" vertical="center"/>
    </xf>
    <xf numFmtId="9" fontId="135" fillId="0" borderId="95" xfId="1" applyFont="1" applyFill="1" applyBorder="1" applyAlignment="1">
      <alignment horizontal="center" vertical="center" wrapText="1"/>
    </xf>
    <xf numFmtId="2" fontId="135" fillId="0" borderId="95" xfId="9" applyNumberFormat="1" applyFont="1" applyFill="1" applyBorder="1" applyAlignment="1">
      <alignment horizontal="center" vertical="center" wrapText="1"/>
    </xf>
    <xf numFmtId="2" fontId="135" fillId="0" borderId="99" xfId="9" applyNumberFormat="1" applyFont="1" applyFill="1" applyBorder="1" applyAlignment="1">
      <alignment horizontal="center" vertical="center" wrapText="1"/>
    </xf>
    <xf numFmtId="259" fontId="217" fillId="0" borderId="95" xfId="0" applyNumberFormat="1" applyFont="1" applyFill="1" applyBorder="1" applyAlignment="1">
      <alignment horizontal="center" vertical="center"/>
    </xf>
    <xf numFmtId="168" fontId="135" fillId="0" borderId="95" xfId="9" applyNumberFormat="1" applyFont="1" applyFill="1" applyBorder="1" applyAlignment="1">
      <alignment horizontal="center" vertical="center" wrapText="1"/>
    </xf>
    <xf numFmtId="0" fontId="21" fillId="0" borderId="95" xfId="0" applyFont="1" applyFill="1" applyBorder="1"/>
    <xf numFmtId="168" fontId="30" fillId="0" borderId="95" xfId="9" applyNumberFormat="1" applyFont="1" applyFill="1" applyBorder="1" applyAlignment="1">
      <alignment horizontal="center" vertical="center" wrapText="1"/>
    </xf>
    <xf numFmtId="49" fontId="135" fillId="0" borderId="95" xfId="0" applyNumberFormat="1" applyFont="1" applyFill="1" applyBorder="1" applyAlignment="1">
      <alignment horizontal="center" vertical="center" wrapText="1"/>
    </xf>
    <xf numFmtId="4" fontId="280" fillId="0" borderId="95" xfId="0" applyNumberFormat="1" applyFont="1" applyFill="1" applyBorder="1" applyAlignment="1">
      <alignment horizontal="right" vertical="center"/>
    </xf>
    <xf numFmtId="4" fontId="280" fillId="0" borderId="95" xfId="0" applyNumberFormat="1" applyFont="1" applyFill="1" applyBorder="1" applyAlignment="1">
      <alignment horizontal="center" vertical="center"/>
    </xf>
    <xf numFmtId="4" fontId="280" fillId="0" borderId="99" xfId="0" applyNumberFormat="1" applyFont="1" applyFill="1" applyBorder="1" applyAlignment="1">
      <alignment horizontal="right" vertical="center"/>
    </xf>
    <xf numFmtId="0" fontId="21" fillId="0" borderId="95" xfId="0" applyFont="1" applyFill="1" applyBorder="1" applyAlignment="1">
      <alignment horizontal="left" vertical="center" wrapText="1"/>
    </xf>
    <xf numFmtId="165" fontId="21" fillId="0" borderId="95" xfId="3" applyFont="1" applyFill="1" applyBorder="1" applyAlignment="1">
      <alignment horizontal="center" vertical="center" wrapText="1"/>
    </xf>
    <xf numFmtId="171" fontId="21" fillId="0" borderId="95" xfId="3" applyNumberFormat="1" applyFont="1" applyFill="1" applyBorder="1" applyAlignment="1">
      <alignment horizontal="right" vertical="center" wrapText="1"/>
    </xf>
    <xf numFmtId="171" fontId="21" fillId="0" borderId="95" xfId="3" applyNumberFormat="1" applyFont="1" applyFill="1" applyBorder="1" applyAlignment="1">
      <alignment horizontal="center" vertical="center" wrapText="1"/>
    </xf>
    <xf numFmtId="4" fontId="135" fillId="0" borderId="95" xfId="9" applyNumberFormat="1" applyFont="1" applyFill="1" applyBorder="1" applyAlignment="1">
      <alignment horizontal="center" vertical="center" wrapText="1"/>
    </xf>
    <xf numFmtId="4" fontId="26" fillId="0" borderId="95" xfId="0" applyNumberFormat="1" applyFont="1" applyFill="1" applyBorder="1" applyAlignment="1">
      <alignment horizontal="center" vertical="center"/>
    </xf>
    <xf numFmtId="4" fontId="26" fillId="0" borderId="99" xfId="0" applyNumberFormat="1" applyFont="1" applyFill="1" applyBorder="1" applyAlignment="1">
      <alignment horizontal="right" vertical="center"/>
    </xf>
    <xf numFmtId="4" fontId="26" fillId="0" borderId="95" xfId="0" applyNumberFormat="1" applyFont="1" applyFill="1" applyBorder="1" applyAlignment="1">
      <alignment horizontal="right" vertical="center"/>
    </xf>
    <xf numFmtId="4" fontId="21" fillId="0" borderId="95" xfId="9" applyNumberFormat="1" applyFont="1" applyFill="1" applyBorder="1" applyAlignment="1">
      <alignment horizontal="center" vertical="center" wrapText="1"/>
    </xf>
    <xf numFmtId="49" fontId="21" fillId="0" borderId="95" xfId="3" applyNumberFormat="1" applyFont="1" applyFill="1" applyBorder="1" applyAlignment="1">
      <alignment horizontal="center" vertical="center"/>
    </xf>
    <xf numFmtId="165" fontId="21" fillId="0" borderId="95" xfId="3" applyFont="1" applyFill="1" applyBorder="1" applyAlignment="1">
      <alignment horizontal="left" vertical="center" wrapText="1"/>
    </xf>
    <xf numFmtId="49" fontId="280" fillId="0" borderId="95" xfId="0" applyNumberFormat="1" applyFont="1" applyFill="1" applyBorder="1" applyAlignment="1">
      <alignment horizontal="left" vertical="center" wrapText="1"/>
    </xf>
    <xf numFmtId="165" fontId="149" fillId="0" borderId="95" xfId="3" applyFont="1" applyFill="1" applyBorder="1" applyAlignment="1">
      <alignment horizontal="left" vertical="center" wrapText="1"/>
    </xf>
    <xf numFmtId="166" fontId="283" fillId="0" borderId="95" xfId="0" applyNumberFormat="1" applyFont="1" applyFill="1" applyBorder="1" applyAlignment="1">
      <alignment horizontal="center" vertical="center"/>
    </xf>
    <xf numFmtId="0" fontId="21" fillId="0" borderId="95" xfId="0" applyFont="1" applyFill="1" applyBorder="1" applyAlignment="1">
      <alignment horizontal="center" vertical="center" wrapText="1"/>
    </xf>
    <xf numFmtId="168" fontId="135" fillId="0" borderId="95" xfId="18" applyNumberFormat="1" applyFont="1" applyFill="1" applyBorder="1" applyAlignment="1">
      <alignment horizontal="center" vertical="center"/>
    </xf>
    <xf numFmtId="4" fontId="23" fillId="0" borderId="95" xfId="0" applyNumberFormat="1" applyFont="1" applyFill="1" applyBorder="1" applyAlignment="1">
      <alignment horizontal="right" vertical="center"/>
    </xf>
    <xf numFmtId="0" fontId="21" fillId="0" borderId="0" xfId="0" applyFont="1" applyFill="1" applyAlignment="1">
      <alignment vertical="center"/>
    </xf>
    <xf numFmtId="4" fontId="23" fillId="0" borderId="99" xfId="0" applyNumberFormat="1" applyFont="1" applyFill="1" applyBorder="1" applyAlignment="1">
      <alignment horizontal="right" vertical="center"/>
    </xf>
    <xf numFmtId="165" fontId="21" fillId="0" borderId="95" xfId="3" applyFont="1" applyFill="1" applyBorder="1" applyAlignment="1">
      <alignment horizontal="left" vertical="center" wrapText="1" indent="2"/>
    </xf>
    <xf numFmtId="2" fontId="21" fillId="0" borderId="95" xfId="9" applyNumberFormat="1" applyFont="1" applyFill="1" applyBorder="1" applyAlignment="1">
      <alignment horizontal="right" vertical="center" wrapText="1"/>
    </xf>
    <xf numFmtId="2" fontId="21" fillId="0" borderId="95" xfId="9" applyNumberFormat="1" applyFont="1" applyFill="1" applyBorder="1" applyAlignment="1">
      <alignment horizontal="center" vertical="center" wrapText="1"/>
    </xf>
    <xf numFmtId="4" fontId="141" fillId="0" borderId="95" xfId="0" applyNumberFormat="1" applyFont="1" applyFill="1" applyBorder="1" applyAlignment="1">
      <alignment horizontal="center" vertical="center"/>
    </xf>
    <xf numFmtId="4" fontId="23" fillId="0" borderId="95" xfId="0" applyNumberFormat="1" applyFont="1" applyFill="1" applyBorder="1" applyAlignment="1">
      <alignment horizontal="center" vertical="center"/>
    </xf>
    <xf numFmtId="0" fontId="21" fillId="0" borderId="95" xfId="9" applyFont="1" applyFill="1" applyBorder="1" applyAlignment="1">
      <alignment horizontal="left" vertical="center" wrapText="1"/>
    </xf>
    <xf numFmtId="0" fontId="284" fillId="0" borderId="95" xfId="9" applyFont="1" applyFill="1" applyBorder="1" applyAlignment="1">
      <alignment horizontal="center" vertical="center" wrapText="1"/>
    </xf>
    <xf numFmtId="4" fontId="141" fillId="0" borderId="95" xfId="0" applyNumberFormat="1" applyFont="1" applyFill="1" applyBorder="1" applyAlignment="1">
      <alignment horizontal="right" vertical="center"/>
    </xf>
    <xf numFmtId="4" fontId="141" fillId="0" borderId="99" xfId="0" applyNumberFormat="1" applyFont="1" applyFill="1" applyBorder="1" applyAlignment="1">
      <alignment horizontal="right" vertical="center"/>
    </xf>
    <xf numFmtId="0" fontId="21" fillId="0" borderId="95" xfId="9" applyFont="1" applyFill="1" applyBorder="1" applyAlignment="1">
      <alignment horizontal="left" vertical="center" wrapText="1" indent="2"/>
    </xf>
    <xf numFmtId="0" fontId="284" fillId="0" borderId="95" xfId="9" applyFont="1" applyFill="1" applyBorder="1" applyAlignment="1">
      <alignment horizontal="right" vertical="center" wrapText="1"/>
    </xf>
    <xf numFmtId="4" fontId="284" fillId="0" borderId="95" xfId="9" applyNumberFormat="1" applyFont="1" applyFill="1" applyBorder="1" applyAlignment="1">
      <alignment horizontal="center" vertical="center" wrapText="1"/>
    </xf>
    <xf numFmtId="4" fontId="204" fillId="0" borderId="95" xfId="0" applyNumberFormat="1" applyFont="1" applyFill="1" applyBorder="1" applyAlignment="1">
      <alignment horizontal="right" vertical="center"/>
    </xf>
    <xf numFmtId="4" fontId="204" fillId="0" borderId="99" xfId="0" applyNumberFormat="1" applyFont="1" applyFill="1" applyBorder="1" applyAlignment="1">
      <alignment horizontal="right" vertical="center"/>
    </xf>
    <xf numFmtId="49" fontId="284" fillId="0" borderId="95" xfId="10" applyNumberFormat="1" applyFont="1" applyFill="1" applyBorder="1" applyAlignment="1">
      <alignment horizontal="left" vertical="center" wrapText="1" indent="2"/>
    </xf>
    <xf numFmtId="165" fontId="284" fillId="0" borderId="95" xfId="3" applyFont="1" applyFill="1" applyBorder="1" applyAlignment="1">
      <alignment horizontal="center" vertical="center" wrapText="1"/>
    </xf>
    <xf numFmtId="4" fontId="26" fillId="0" borderId="95" xfId="9" applyNumberFormat="1" applyFont="1" applyFill="1" applyBorder="1" applyAlignment="1">
      <alignment horizontal="center" vertical="center" wrapText="1"/>
    </xf>
    <xf numFmtId="165" fontId="284" fillId="0" borderId="95" xfId="3" applyFont="1" applyFill="1" applyBorder="1" applyAlignment="1">
      <alignment horizontal="right" vertical="center" wrapText="1"/>
    </xf>
    <xf numFmtId="4" fontId="284" fillId="0" borderId="95" xfId="3" applyNumberFormat="1" applyFont="1" applyFill="1" applyBorder="1" applyAlignment="1">
      <alignment horizontal="center" vertical="center" wrapText="1"/>
    </xf>
    <xf numFmtId="4" fontId="21" fillId="0" borderId="95" xfId="9" applyNumberFormat="1" applyFont="1" applyFill="1" applyBorder="1" applyAlignment="1">
      <alignment horizontal="right" vertical="center" wrapText="1"/>
    </xf>
    <xf numFmtId="49" fontId="284" fillId="0" borderId="95" xfId="3" applyNumberFormat="1" applyFont="1" applyFill="1" applyBorder="1" applyAlignment="1">
      <alignment horizontal="center" vertical="center"/>
    </xf>
    <xf numFmtId="165" fontId="21" fillId="0" borderId="95" xfId="3" applyFont="1" applyFill="1" applyBorder="1" applyAlignment="1">
      <alignment vertical="center" wrapText="1"/>
    </xf>
    <xf numFmtId="49" fontId="21" fillId="0" borderId="95" xfId="0" applyNumberFormat="1" applyFont="1" applyFill="1" applyBorder="1"/>
    <xf numFmtId="10" fontId="217" fillId="0" borderId="95" xfId="3" applyNumberFormat="1" applyFont="1" applyFill="1" applyBorder="1" applyAlignment="1">
      <alignment vertical="center" wrapText="1"/>
    </xf>
    <xf numFmtId="165" fontId="217" fillId="0" borderId="95" xfId="3" applyFont="1" applyFill="1" applyBorder="1" applyAlignment="1">
      <alignment horizontal="center" vertical="center"/>
    </xf>
    <xf numFmtId="171" fontId="217" fillId="0" borderId="95" xfId="3" applyNumberFormat="1" applyFont="1" applyFill="1" applyBorder="1" applyAlignment="1">
      <alignment horizontal="right" vertical="center"/>
    </xf>
    <xf numFmtId="171" fontId="217" fillId="0" borderId="95" xfId="3" applyNumberFormat="1" applyFont="1" applyFill="1" applyBorder="1" applyAlignment="1">
      <alignment horizontal="center" vertical="center"/>
    </xf>
    <xf numFmtId="49" fontId="217" fillId="0" borderId="95" xfId="3" applyNumberFormat="1" applyFont="1" applyFill="1" applyBorder="1" applyAlignment="1">
      <alignment vertical="center" wrapText="1"/>
    </xf>
    <xf numFmtId="49" fontId="21" fillId="0" borderId="0" xfId="0" applyNumberFormat="1" applyFont="1" applyFill="1" applyBorder="1"/>
    <xf numFmtId="10" fontId="142" fillId="0" borderId="0" xfId="3" applyNumberFormat="1" applyFont="1" applyFill="1" applyBorder="1" applyAlignment="1">
      <alignment vertical="center" wrapText="1"/>
    </xf>
    <xf numFmtId="165" fontId="217" fillId="0" borderId="0" xfId="3" applyFont="1" applyFill="1" applyBorder="1" applyAlignment="1">
      <alignment horizontal="center" vertical="center"/>
    </xf>
    <xf numFmtId="4" fontId="135" fillId="0" borderId="0" xfId="9" applyNumberFormat="1" applyFont="1" applyFill="1" applyBorder="1" applyAlignment="1">
      <alignment horizontal="center" vertical="center" wrapText="1"/>
    </xf>
    <xf numFmtId="4" fontId="26" fillId="0" borderId="0" xfId="0" applyNumberFormat="1" applyFont="1" applyFill="1" applyBorder="1" applyAlignment="1">
      <alignment horizontal="center" vertical="center"/>
    </xf>
    <xf numFmtId="4" fontId="141" fillId="0" borderId="0" xfId="0" applyNumberFormat="1" applyFont="1" applyFill="1" applyBorder="1" applyAlignment="1">
      <alignment horizontal="center" vertical="center"/>
    </xf>
    <xf numFmtId="4" fontId="141" fillId="0" borderId="0" xfId="0" applyNumberFormat="1" applyFont="1" applyFill="1" applyBorder="1" applyAlignment="1">
      <alignment vertical="center"/>
    </xf>
    <xf numFmtId="166" fontId="149" fillId="0" borderId="0" xfId="2" applyNumberFormat="1" applyFont="1" applyFill="1" applyBorder="1" applyAlignment="1" applyProtection="1">
      <alignment horizontal="center" vertical="center" wrapText="1"/>
      <protection locked="0"/>
    </xf>
    <xf numFmtId="49" fontId="21" fillId="0" borderId="95" xfId="0" applyNumberFormat="1" applyFont="1" applyFill="1" applyBorder="1" applyAlignment="1">
      <alignment horizontal="center" vertical="center"/>
    </xf>
    <xf numFmtId="0" fontId="149" fillId="0" borderId="95" xfId="0" applyFont="1" applyFill="1" applyBorder="1" applyAlignment="1">
      <alignment horizontal="center" vertical="center" wrapText="1"/>
    </xf>
    <xf numFmtId="0" fontId="140" fillId="0" borderId="95" xfId="0" applyFont="1" applyFill="1" applyBorder="1" applyAlignment="1">
      <alignment horizontal="center" vertical="center" wrapText="1"/>
    </xf>
    <xf numFmtId="0" fontId="21" fillId="0" borderId="95" xfId="0" applyFont="1" applyFill="1" applyBorder="1" applyAlignment="1">
      <alignment horizontal="center" vertical="center"/>
    </xf>
    <xf numFmtId="10" fontId="217" fillId="0" borderId="95" xfId="3" applyNumberFormat="1" applyFont="1" applyFill="1" applyBorder="1" applyAlignment="1">
      <alignment horizontal="center" vertical="center"/>
    </xf>
    <xf numFmtId="10" fontId="26" fillId="0" borderId="95" xfId="0" applyNumberFormat="1" applyFont="1" applyFill="1" applyBorder="1" applyAlignment="1">
      <alignment horizontal="center" vertical="center"/>
    </xf>
    <xf numFmtId="10" fontId="141" fillId="0" borderId="95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0" fontId="217" fillId="0" borderId="95" xfId="18" applyNumberFormat="1" applyFont="1" applyFill="1" applyBorder="1" applyAlignment="1">
      <alignment horizontal="center" vertical="center"/>
    </xf>
    <xf numFmtId="10" fontId="141" fillId="0" borderId="0" xfId="0" applyNumberFormat="1" applyFont="1" applyFill="1" applyBorder="1" applyAlignment="1">
      <alignment horizontal="center" vertical="center"/>
    </xf>
    <xf numFmtId="10" fontId="149" fillId="0" borderId="95" xfId="2" applyNumberFormat="1" applyFont="1" applyFill="1" applyBorder="1" applyAlignment="1" applyProtection="1">
      <alignment horizontal="center" vertical="center" wrapText="1"/>
      <protection locked="0"/>
    </xf>
    <xf numFmtId="4" fontId="135" fillId="0" borderId="95" xfId="9" applyNumberFormat="1" applyFont="1" applyFill="1" applyBorder="1" applyAlignment="1">
      <alignment horizontal="right" vertical="center" wrapText="1"/>
    </xf>
    <xf numFmtId="4" fontId="21" fillId="0" borderId="95" xfId="0" applyNumberFormat="1" applyFont="1" applyFill="1" applyBorder="1" applyAlignment="1">
      <alignment vertical="center"/>
    </xf>
    <xf numFmtId="4" fontId="26" fillId="0" borderId="95" xfId="0" applyNumberFormat="1" applyFont="1" applyFill="1" applyBorder="1" applyAlignment="1">
      <alignment vertical="center"/>
    </xf>
    <xf numFmtId="0" fontId="135" fillId="0" borderId="95" xfId="0" applyFont="1" applyFill="1" applyBorder="1" applyAlignment="1">
      <alignment horizontal="left" vertical="center" wrapText="1"/>
    </xf>
    <xf numFmtId="165" fontId="275" fillId="0" borderId="95" xfId="3" applyFont="1" applyFill="1" applyBorder="1" applyAlignment="1">
      <alignment horizontal="center" vertical="center"/>
    </xf>
    <xf numFmtId="4" fontId="23" fillId="0" borderId="95" xfId="0" applyNumberFormat="1" applyFont="1" applyFill="1" applyBorder="1" applyAlignment="1">
      <alignment vertical="center"/>
    </xf>
    <xf numFmtId="0" fontId="135" fillId="0" borderId="95" xfId="0" applyFont="1" applyFill="1" applyBorder="1" applyAlignment="1">
      <alignment horizontal="left" vertical="center"/>
    </xf>
    <xf numFmtId="0" fontId="285" fillId="0" borderId="95" xfId="0" applyFont="1" applyFill="1" applyBorder="1" applyAlignment="1">
      <alignment horizontal="right" vertical="center"/>
    </xf>
    <xf numFmtId="165" fontId="285" fillId="0" borderId="95" xfId="3" applyFont="1" applyFill="1" applyBorder="1" applyAlignment="1">
      <alignment horizontal="center" vertical="center"/>
    </xf>
    <xf numFmtId="4" fontId="285" fillId="0" borderId="95" xfId="0" applyNumberFormat="1" applyFont="1" applyFill="1" applyBorder="1" applyAlignment="1">
      <alignment vertical="center"/>
    </xf>
    <xf numFmtId="49" fontId="21" fillId="0" borderId="0" xfId="0" applyNumberFormat="1" applyFont="1" applyFill="1" applyBorder="1" applyAlignment="1">
      <alignment horizontal="center" vertical="center"/>
    </xf>
    <xf numFmtId="0" fontId="285" fillId="0" borderId="0" xfId="0" applyFont="1" applyFill="1" applyBorder="1" applyAlignment="1">
      <alignment horizontal="right" vertical="center"/>
    </xf>
    <xf numFmtId="165" fontId="285" fillId="0" borderId="0" xfId="3" applyFont="1" applyFill="1" applyBorder="1" applyAlignment="1">
      <alignment horizontal="center" vertical="center"/>
    </xf>
    <xf numFmtId="4" fontId="285" fillId="0" borderId="0" xfId="0" applyNumberFormat="1" applyFont="1" applyFill="1" applyBorder="1" applyAlignment="1">
      <alignment vertical="center"/>
    </xf>
    <xf numFmtId="4" fontId="29" fillId="0" borderId="0" xfId="0" applyNumberFormat="1" applyFont="1" applyFill="1"/>
    <xf numFmtId="166" fontId="149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1" fillId="0" borderId="0" xfId="0" applyFont="1" applyFill="1"/>
    <xf numFmtId="2" fontId="29" fillId="0" borderId="0" xfId="0" applyNumberFormat="1" applyFont="1" applyFill="1"/>
    <xf numFmtId="2" fontId="31" fillId="0" borderId="0" xfId="0" applyNumberFormat="1" applyFont="1" applyFill="1"/>
    <xf numFmtId="0" fontId="23" fillId="0" borderId="95" xfId="3532" applyFont="1" applyBorder="1" applyAlignment="1">
      <alignment horizontal="center" vertical="center" wrapText="1"/>
    </xf>
    <xf numFmtId="4" fontId="278" fillId="0" borderId="95" xfId="3532" applyNumberFormat="1" applyFont="1" applyFill="1" applyBorder="1" applyAlignment="1">
      <alignment horizontal="center" vertical="center" wrapText="1"/>
    </xf>
    <xf numFmtId="4" fontId="29" fillId="0" borderId="95" xfId="3537" applyNumberFormat="1" applyFont="1" applyBorder="1" applyAlignment="1">
      <alignment horizontal="center" vertical="center"/>
    </xf>
    <xf numFmtId="4" fontId="29" fillId="2" borderId="95" xfId="3537" applyNumberFormat="1" applyFont="1" applyFill="1" applyBorder="1" applyAlignment="1">
      <alignment horizontal="center" vertical="center"/>
    </xf>
    <xf numFmtId="171" fontId="141" fillId="2" borderId="95" xfId="5" applyNumberFormat="1" applyFont="1" applyFill="1" applyBorder="1" applyAlignment="1">
      <alignment horizontal="center" vertical="center"/>
    </xf>
    <xf numFmtId="0" fontId="21" fillId="0" borderId="95" xfId="0" applyFont="1" applyFill="1" applyBorder="1" applyAlignment="1">
      <alignment wrapText="1"/>
    </xf>
    <xf numFmtId="0" fontId="281" fillId="0" borderId="95" xfId="0" applyFont="1" applyFill="1" applyBorder="1" applyAlignment="1">
      <alignment wrapText="1"/>
    </xf>
    <xf numFmtId="0" fontId="135" fillId="0" borderId="95" xfId="0" applyFont="1" applyFill="1" applyBorder="1" applyAlignment="1">
      <alignment horizontal="center" vertical="center" wrapText="1"/>
    </xf>
    <xf numFmtId="4" fontId="281" fillId="0" borderId="95" xfId="0" applyNumberFormat="1" applyFont="1" applyFill="1" applyBorder="1" applyAlignment="1">
      <alignment horizontal="center" vertical="center" wrapText="1"/>
    </xf>
    <xf numFmtId="4" fontId="21" fillId="0" borderId="95" xfId="0" applyNumberFormat="1" applyFont="1" applyFill="1" applyBorder="1" applyAlignment="1">
      <alignment horizontal="center" vertical="center" wrapText="1"/>
    </xf>
    <xf numFmtId="4" fontId="21" fillId="0" borderId="99" xfId="9" applyNumberFormat="1" applyFont="1" applyFill="1" applyBorder="1" applyAlignment="1">
      <alignment horizontal="center" vertical="center" wrapText="1"/>
    </xf>
    <xf numFmtId="4" fontId="21" fillId="0" borderId="0" xfId="9" applyNumberFormat="1" applyFont="1" applyFill="1" applyBorder="1" applyAlignment="1">
      <alignment horizontal="center" vertical="center" wrapText="1"/>
    </xf>
    <xf numFmtId="4" fontId="280" fillId="0" borderId="95" xfId="0" applyNumberFormat="1" applyFont="1" applyFill="1" applyBorder="1" applyAlignment="1">
      <alignment horizontal="center" vertical="center" wrapText="1"/>
    </xf>
    <xf numFmtId="202" fontId="203" fillId="0" borderId="0" xfId="0" applyNumberFormat="1" applyFont="1" applyFill="1" applyAlignment="1">
      <alignment horizontal="center" vertical="center"/>
    </xf>
    <xf numFmtId="202" fontId="286" fillId="0" borderId="0" xfId="0" applyNumberFormat="1" applyFont="1" applyFill="1" applyBorder="1" applyAlignment="1"/>
    <xf numFmtId="202" fontId="203" fillId="0" borderId="0" xfId="0" applyNumberFormat="1" applyFont="1" applyFill="1" applyBorder="1" applyAlignment="1"/>
    <xf numFmtId="202" fontId="203" fillId="0" borderId="0" xfId="3" applyNumberFormat="1" applyFont="1" applyFill="1" applyBorder="1" applyAlignment="1">
      <alignment horizontal="center" vertical="center" wrapText="1"/>
    </xf>
    <xf numFmtId="202" fontId="283" fillId="0" borderId="0" xfId="2" applyNumberFormat="1" applyFont="1" applyFill="1" applyBorder="1" applyAlignment="1" applyProtection="1">
      <alignment horizontal="center" vertical="center" wrapText="1"/>
      <protection locked="0"/>
    </xf>
    <xf numFmtId="202" fontId="203" fillId="0" borderId="0" xfId="2" applyNumberFormat="1" applyFont="1" applyFill="1" applyBorder="1" applyAlignment="1" applyProtection="1">
      <alignment horizontal="center" vertical="center" wrapText="1"/>
      <protection locked="0"/>
    </xf>
    <xf numFmtId="202" fontId="287" fillId="0" borderId="0" xfId="2" applyNumberFormat="1" applyFont="1" applyFill="1" applyBorder="1" applyAlignment="1" applyProtection="1">
      <alignment horizontal="center" vertical="center" wrapText="1"/>
      <protection locked="0"/>
    </xf>
    <xf numFmtId="202" fontId="203" fillId="0" borderId="78" xfId="2" applyNumberFormat="1" applyFont="1" applyFill="1" applyBorder="1" applyAlignment="1" applyProtection="1">
      <alignment horizontal="center" vertical="center" wrapText="1"/>
      <protection locked="0"/>
    </xf>
    <xf numFmtId="202" fontId="203" fillId="0" borderId="0" xfId="2" applyNumberFormat="1" applyFont="1" applyFill="1" applyBorder="1" applyAlignment="1" applyProtection="1">
      <alignment horizontal="left" vertical="center" wrapText="1"/>
      <protection locked="0"/>
    </xf>
    <xf numFmtId="202" fontId="30" fillId="0" borderId="0" xfId="2" applyNumberFormat="1" applyFont="1" applyFill="1" applyBorder="1" applyAlignment="1" applyProtection="1">
      <alignment horizontal="center" vertical="center" wrapText="1"/>
      <protection locked="0"/>
    </xf>
    <xf numFmtId="164" fontId="203" fillId="0" borderId="0" xfId="0" applyNumberFormat="1" applyFont="1" applyFill="1" applyBorder="1" applyAlignment="1">
      <alignment horizontal="center" vertical="center"/>
    </xf>
    <xf numFmtId="202" fontId="203" fillId="0" borderId="0" xfId="2" applyNumberFormat="1" applyFont="1" applyFill="1" applyBorder="1" applyAlignment="1" applyProtection="1">
      <alignment vertical="center" wrapText="1"/>
      <protection locked="0"/>
    </xf>
    <xf numFmtId="202" fontId="288" fillId="0" borderId="0" xfId="2" applyNumberFormat="1" applyFont="1" applyFill="1" applyBorder="1" applyAlignment="1" applyProtection="1">
      <alignment horizontal="center" vertical="center" wrapText="1"/>
      <protection locked="0"/>
    </xf>
    <xf numFmtId="4" fontId="134" fillId="0" borderId="0" xfId="0" applyNumberFormat="1" applyFont="1" applyAlignment="1">
      <alignment horizontal="center" vertical="center"/>
    </xf>
    <xf numFmtId="43" fontId="134" fillId="0" borderId="0" xfId="0" applyNumberFormat="1" applyFont="1" applyAlignment="1">
      <alignment horizontal="center" vertical="center"/>
    </xf>
    <xf numFmtId="202" fontId="29" fillId="0" borderId="0" xfId="0" applyNumberFormat="1" applyFont="1" applyFill="1" applyAlignment="1">
      <alignment horizontal="center" vertical="center"/>
    </xf>
    <xf numFmtId="202" fontId="16" fillId="0" borderId="0" xfId="2" applyNumberFormat="1" applyFont="1" applyFill="1" applyBorder="1" applyAlignment="1" applyProtection="1">
      <alignment horizontal="center" vertical="center" wrapText="1"/>
      <protection locked="0"/>
    </xf>
    <xf numFmtId="202" fontId="150" fillId="0" borderId="0" xfId="2" applyNumberFormat="1" applyFont="1" applyFill="1" applyBorder="1" applyAlignment="1" applyProtection="1">
      <alignment horizontal="center" vertical="center" wrapText="1"/>
      <protection locked="0"/>
    </xf>
    <xf numFmtId="202" fontId="133" fillId="5" borderId="95" xfId="2" applyNumberFormat="1" applyFont="1" applyFill="1" applyBorder="1" applyAlignment="1" applyProtection="1">
      <alignment horizontal="center" vertical="center" wrapText="1"/>
      <protection locked="0"/>
    </xf>
    <xf numFmtId="222" fontId="152" fillId="44" borderId="95" xfId="0" applyNumberFormat="1" applyFont="1" applyFill="1" applyBorder="1" applyAlignment="1">
      <alignment vertical="center"/>
    </xf>
    <xf numFmtId="222" fontId="218" fillId="44" borderId="95" xfId="0" applyNumberFormat="1" applyFont="1" applyFill="1" applyBorder="1" applyAlignment="1">
      <alignment vertical="center"/>
    </xf>
    <xf numFmtId="0" fontId="151" fillId="2" borderId="95" xfId="0" applyFont="1" applyFill="1" applyBorder="1" applyAlignment="1">
      <alignment horizontal="left" vertical="center" wrapText="1"/>
    </xf>
    <xf numFmtId="4" fontId="29" fillId="0" borderId="95" xfId="0" applyNumberFormat="1" applyFont="1" applyFill="1" applyBorder="1" applyAlignment="1">
      <alignment vertical="center"/>
    </xf>
    <xf numFmtId="0" fontId="16" fillId="2" borderId="95" xfId="0" applyFont="1" applyFill="1" applyBorder="1" applyAlignment="1">
      <alignment horizontal="left" vertical="center" wrapText="1"/>
    </xf>
    <xf numFmtId="4" fontId="18" fillId="0" borderId="95" xfId="0" applyNumberFormat="1" applyFont="1" applyFill="1" applyBorder="1" applyAlignment="1">
      <alignment vertical="center"/>
    </xf>
    <xf numFmtId="0" fontId="18" fillId="2" borderId="95" xfId="0" applyFont="1" applyFill="1" applyBorder="1" applyAlignment="1">
      <alignment horizontal="left" vertical="center" wrapText="1"/>
    </xf>
    <xf numFmtId="4" fontId="16" fillId="0" borderId="95" xfId="0" applyNumberFormat="1" applyFont="1" applyFill="1" applyBorder="1" applyAlignment="1">
      <alignment vertical="center"/>
    </xf>
    <xf numFmtId="202" fontId="16" fillId="0" borderId="0" xfId="2" applyNumberFormat="1" applyFont="1" applyFill="1" applyBorder="1" applyAlignment="1" applyProtection="1">
      <alignment vertical="center" wrapText="1"/>
      <protection locked="0"/>
    </xf>
    <xf numFmtId="202" fontId="18" fillId="2" borderId="95" xfId="2" applyNumberFormat="1" applyFont="1" applyFill="1" applyBorder="1" applyAlignment="1" applyProtection="1">
      <alignment vertical="center" wrapText="1"/>
      <protection locked="0"/>
    </xf>
    <xf numFmtId="10" fontId="21" fillId="0" borderId="95" xfId="1" applyNumberFormat="1" applyFont="1" applyFill="1" applyBorder="1" applyAlignment="1">
      <alignment horizontal="center" vertical="center"/>
    </xf>
    <xf numFmtId="0" fontId="149" fillId="2" borderId="95" xfId="0" applyFont="1" applyFill="1" applyBorder="1" applyAlignment="1">
      <alignment horizontal="center" vertical="center" wrapText="1"/>
    </xf>
    <xf numFmtId="164" fontId="29" fillId="0" borderId="95" xfId="0" applyNumberFormat="1" applyFont="1" applyFill="1" applyBorder="1" applyAlignment="1">
      <alignment vertical="center"/>
    </xf>
    <xf numFmtId="0" fontId="18" fillId="2" borderId="95" xfId="0" applyFont="1" applyFill="1" applyBorder="1" applyAlignment="1">
      <alignment horizontal="center" vertical="center" wrapText="1"/>
    </xf>
    <xf numFmtId="164" fontId="16" fillId="0" borderId="95" xfId="0" applyNumberFormat="1" applyFont="1" applyFill="1" applyBorder="1" applyAlignment="1">
      <alignment vertical="center"/>
    </xf>
    <xf numFmtId="164" fontId="16" fillId="0" borderId="0" xfId="0" applyNumberFormat="1" applyFont="1" applyFill="1" applyBorder="1" applyAlignment="1">
      <alignment horizontal="center" vertical="center"/>
    </xf>
    <xf numFmtId="164" fontId="16" fillId="2" borderId="95" xfId="0" applyNumberFormat="1" applyFont="1" applyFill="1" applyBorder="1" applyAlignment="1">
      <alignment horizontal="center" vertical="center"/>
    </xf>
    <xf numFmtId="164" fontId="29" fillId="0" borderId="95" xfId="0" applyNumberFormat="1" applyFont="1" applyFill="1" applyBorder="1" applyAlignment="1">
      <alignment horizontal="center" vertical="center"/>
    </xf>
    <xf numFmtId="49" fontId="16" fillId="0" borderId="95" xfId="3" applyNumberFormat="1" applyFont="1" applyFill="1" applyBorder="1" applyAlignment="1">
      <alignment vertical="center" wrapText="1"/>
    </xf>
    <xf numFmtId="10" fontId="16" fillId="0" borderId="95" xfId="3" applyNumberFormat="1" applyFont="1" applyFill="1" applyBorder="1" applyAlignment="1">
      <alignment vertical="center" wrapText="1"/>
    </xf>
    <xf numFmtId="202" fontId="21" fillId="0" borderId="0" xfId="2" applyNumberFormat="1" applyFont="1" applyFill="1" applyBorder="1" applyAlignment="1" applyProtection="1">
      <alignment horizontal="center" vertical="center" wrapText="1"/>
      <protection locked="0"/>
    </xf>
    <xf numFmtId="202" fontId="20" fillId="0" borderId="0" xfId="2" applyNumberFormat="1" applyFont="1" applyFill="1" applyBorder="1" applyAlignment="1" applyProtection="1">
      <alignment horizontal="center" vertical="center" wrapText="1"/>
      <protection locked="0"/>
    </xf>
    <xf numFmtId="164" fontId="15" fillId="0" borderId="95" xfId="3" applyNumberFormat="1" applyFont="1" applyFill="1" applyBorder="1" applyAlignment="1">
      <alignment horizontal="center" vertical="center" wrapText="1"/>
    </xf>
    <xf numFmtId="0" fontId="16" fillId="0" borderId="95" xfId="9" applyFont="1" applyFill="1" applyBorder="1" applyAlignment="1">
      <alignment horizontal="left" vertical="center" wrapText="1"/>
    </xf>
    <xf numFmtId="164" fontId="29" fillId="47" borderId="95" xfId="0" applyNumberFormat="1" applyFont="1" applyFill="1" applyBorder="1" applyAlignment="1">
      <alignment horizontal="center" vertical="center"/>
    </xf>
    <xf numFmtId="164" fontId="31" fillId="2" borderId="95" xfId="0" applyNumberFormat="1" applyFont="1" applyFill="1" applyBorder="1" applyAlignment="1">
      <alignment horizontal="center" vertical="center"/>
    </xf>
    <xf numFmtId="0" fontId="31" fillId="2" borderId="95" xfId="0" applyFont="1" applyFill="1" applyBorder="1" applyAlignment="1">
      <alignment horizontal="left" vertical="center" wrapText="1"/>
    </xf>
    <xf numFmtId="164" fontId="31" fillId="47" borderId="95" xfId="0" applyNumberFormat="1" applyFont="1" applyFill="1" applyBorder="1" applyAlignment="1">
      <alignment horizontal="center" vertical="center"/>
    </xf>
    <xf numFmtId="165" fontId="15" fillId="0" borderId="95" xfId="3" applyFont="1" applyFill="1" applyBorder="1" applyAlignment="1">
      <alignment vertical="center" wrapText="1"/>
    </xf>
    <xf numFmtId="164" fontId="203" fillId="47" borderId="95" xfId="0" applyNumberFormat="1" applyFont="1" applyFill="1" applyBorder="1" applyAlignment="1">
      <alignment horizontal="center" vertical="center"/>
    </xf>
    <xf numFmtId="202" fontId="16" fillId="0" borderId="0" xfId="2" applyNumberFormat="1" applyFont="1" applyFill="1" applyBorder="1" applyAlignment="1" applyProtection="1">
      <alignment horizontal="left" vertical="center" wrapText="1"/>
      <protection locked="0"/>
    </xf>
    <xf numFmtId="164" fontId="15" fillId="47" borderId="95" xfId="0" applyNumberFormat="1" applyFont="1" applyFill="1" applyBorder="1" applyAlignment="1">
      <alignment horizontal="center" vertical="center"/>
    </xf>
    <xf numFmtId="0" fontId="15" fillId="0" borderId="95" xfId="9" applyFont="1" applyFill="1" applyBorder="1" applyAlignment="1">
      <alignment horizontal="left" vertical="center" wrapText="1"/>
    </xf>
    <xf numFmtId="202" fontId="217" fillId="0" borderId="0" xfId="2" applyNumberFormat="1" applyFont="1" applyFill="1" applyBorder="1" applyAlignment="1" applyProtection="1">
      <alignment horizontal="center" vertical="center" wrapText="1"/>
      <protection locked="0"/>
    </xf>
    <xf numFmtId="164" fontId="144" fillId="47" borderId="95" xfId="0" applyNumberFormat="1" applyFont="1" applyFill="1" applyBorder="1" applyAlignment="1">
      <alignment horizontal="center" vertical="center"/>
    </xf>
    <xf numFmtId="165" fontId="140" fillId="2" borderId="95" xfId="3" applyFont="1" applyFill="1" applyBorder="1" applyAlignment="1">
      <alignment horizontal="left" vertical="center" wrapText="1" indent="2"/>
    </xf>
    <xf numFmtId="49" fontId="16" fillId="0" borderId="95" xfId="10" applyNumberFormat="1" applyFont="1" applyFill="1" applyBorder="1" applyAlignment="1">
      <alignment horizontal="left" vertical="center" wrapText="1" indent="2"/>
    </xf>
    <xf numFmtId="164" fontId="16" fillId="47" borderId="95" xfId="0" applyNumberFormat="1" applyFont="1" applyFill="1" applyBorder="1" applyAlignment="1">
      <alignment horizontal="center" vertical="center"/>
    </xf>
    <xf numFmtId="164" fontId="134" fillId="47" borderId="95" xfId="0" applyNumberFormat="1" applyFont="1" applyFill="1" applyBorder="1" applyAlignment="1">
      <alignment horizontal="center" vertical="center"/>
    </xf>
    <xf numFmtId="164" fontId="31" fillId="0" borderId="95" xfId="0" applyNumberFormat="1" applyFont="1" applyFill="1" applyBorder="1" applyAlignment="1">
      <alignment horizontal="center" vertical="center"/>
    </xf>
    <xf numFmtId="0" fontId="16" fillId="0" borderId="95" xfId="9" applyFont="1" applyFill="1" applyBorder="1" applyAlignment="1">
      <alignment horizontal="left" vertical="center" wrapText="1" indent="2"/>
    </xf>
    <xf numFmtId="164" fontId="14" fillId="44" borderId="95" xfId="0" applyNumberFormat="1" applyFont="1" applyFill="1" applyBorder="1" applyAlignment="1">
      <alignment horizontal="center" vertical="center"/>
    </xf>
    <xf numFmtId="0" fontId="16" fillId="0" borderId="110" xfId="0" applyFont="1" applyBorder="1"/>
    <xf numFmtId="0" fontId="16" fillId="2" borderId="110" xfId="0" applyFont="1" applyFill="1" applyBorder="1"/>
    <xf numFmtId="202" fontId="16" fillId="0" borderId="110" xfId="2" applyNumberFormat="1" applyFont="1" applyFill="1" applyBorder="1" applyAlignment="1" applyProtection="1">
      <alignment horizontal="center" vertical="center" wrapText="1"/>
      <protection locked="0"/>
    </xf>
    <xf numFmtId="2" fontId="29" fillId="47" borderId="95" xfId="0" applyNumberFormat="1" applyFont="1" applyFill="1" applyBorder="1" applyAlignment="1">
      <alignment horizontal="center" vertical="center"/>
    </xf>
    <xf numFmtId="165" fontId="16" fillId="0" borderId="95" xfId="3" applyFont="1" applyFill="1" applyBorder="1" applyAlignment="1">
      <alignment horizontal="left" vertical="center" wrapText="1" indent="2"/>
    </xf>
    <xf numFmtId="165" fontId="15" fillId="0" borderId="95" xfId="3" applyFont="1" applyFill="1" applyBorder="1" applyAlignment="1">
      <alignment horizontal="left" vertical="center" wrapText="1"/>
    </xf>
    <xf numFmtId="2" fontId="31" fillId="47" borderId="95" xfId="0" applyNumberFormat="1" applyFont="1" applyFill="1" applyBorder="1" applyAlignment="1">
      <alignment horizontal="center" vertical="center"/>
    </xf>
    <xf numFmtId="2" fontId="15" fillId="47" borderId="95" xfId="0" applyNumberFormat="1" applyFont="1" applyFill="1" applyBorder="1" applyAlignment="1">
      <alignment horizontal="center" vertical="center"/>
    </xf>
    <xf numFmtId="164" fontId="275" fillId="47" borderId="95" xfId="0" applyNumberFormat="1" applyFont="1" applyFill="1" applyBorder="1" applyAlignment="1">
      <alignment horizontal="center" vertical="center"/>
    </xf>
    <xf numFmtId="164" fontId="204" fillId="47" borderId="95" xfId="0" applyNumberFormat="1" applyFont="1" applyFill="1" applyBorder="1" applyAlignment="1">
      <alignment horizontal="center" vertical="center"/>
    </xf>
    <xf numFmtId="165" fontId="15" fillId="2" borderId="95" xfId="3" applyFont="1" applyFill="1" applyBorder="1" applyAlignment="1">
      <alignment horizontal="left" vertical="center" wrapText="1"/>
    </xf>
    <xf numFmtId="164" fontId="142" fillId="0" borderId="95" xfId="0" applyNumberFormat="1" applyFont="1" applyFill="1" applyBorder="1" applyAlignment="1">
      <alignment horizontal="center" vertical="center"/>
    </xf>
    <xf numFmtId="164" fontId="143" fillId="0" borderId="95" xfId="0" applyNumberFormat="1" applyFont="1" applyFill="1" applyBorder="1" applyAlignment="1">
      <alignment horizontal="center" vertical="center"/>
    </xf>
    <xf numFmtId="165" fontId="140" fillId="2" borderId="95" xfId="3" applyFont="1" applyFill="1" applyBorder="1" applyAlignment="1">
      <alignment horizontal="left" vertical="center" wrapText="1"/>
    </xf>
    <xf numFmtId="2" fontId="207" fillId="47" borderId="95" xfId="0" applyNumberFormat="1" applyFont="1" applyFill="1" applyBorder="1" applyAlignment="1">
      <alignment horizontal="center" vertical="center"/>
    </xf>
    <xf numFmtId="165" fontId="16" fillId="2" borderId="95" xfId="3" applyFont="1" applyFill="1" applyBorder="1" applyAlignment="1">
      <alignment horizontal="left" vertical="center" wrapText="1" indent="2"/>
    </xf>
    <xf numFmtId="0" fontId="15" fillId="0" borderId="95" xfId="0" applyFont="1" applyBorder="1" applyAlignment="1">
      <alignment horizontal="left" vertical="center" wrapText="1"/>
    </xf>
    <xf numFmtId="171" fontId="15" fillId="75" borderId="6" xfId="3538" applyNumberFormat="1" applyFont="1" applyFill="1" applyBorder="1" applyAlignment="1">
      <alignment horizontal="center" vertical="center"/>
    </xf>
    <xf numFmtId="171" fontId="15" fillId="75" borderId="5" xfId="3538" applyNumberFormat="1" applyFont="1" applyFill="1" applyBorder="1" applyAlignment="1">
      <alignment horizontal="center" vertical="center"/>
    </xf>
    <xf numFmtId="171" fontId="15" fillId="75" borderId="4" xfId="3538" applyNumberFormat="1" applyFont="1" applyFill="1" applyBorder="1" applyAlignment="1">
      <alignment horizontal="center" vertical="center"/>
    </xf>
    <xf numFmtId="171" fontId="15" fillId="75" borderId="87" xfId="3538" applyNumberFormat="1" applyFont="1" applyFill="1" applyBorder="1" applyAlignment="1">
      <alignment horizontal="center" vertical="center"/>
    </xf>
    <xf numFmtId="202" fontId="18" fillId="5" borderId="95" xfId="2" applyNumberFormat="1" applyFont="1" applyFill="1" applyBorder="1" applyAlignment="1" applyProtection="1">
      <alignment horizontal="center" vertical="center" wrapText="1"/>
      <protection locked="0"/>
    </xf>
    <xf numFmtId="2" fontId="15" fillId="76" borderId="95" xfId="9" applyNumberFormat="1" applyFont="1" applyFill="1" applyBorder="1" applyAlignment="1">
      <alignment horizontal="center" vertical="center" wrapText="1"/>
    </xf>
    <xf numFmtId="171" fontId="15" fillId="75" borderId="12" xfId="3538" applyNumberFormat="1" applyFont="1" applyFill="1" applyBorder="1" applyAlignment="1">
      <alignment horizontal="center" vertical="center"/>
    </xf>
    <xf numFmtId="164" fontId="16" fillId="0" borderId="95" xfId="0" applyNumberFormat="1" applyFont="1" applyBorder="1" applyAlignment="1">
      <alignment horizontal="center" vertical="center"/>
    </xf>
    <xf numFmtId="0" fontId="16" fillId="0" borderId="95" xfId="0" applyFont="1" applyBorder="1" applyAlignment="1">
      <alignment horizontal="left" vertical="center" wrapText="1"/>
    </xf>
    <xf numFmtId="0" fontId="16" fillId="1" borderId="95" xfId="0" applyFont="1" applyFill="1" applyBorder="1" applyAlignment="1">
      <alignment horizontal="center" vertical="center"/>
    </xf>
    <xf numFmtId="10" fontId="15" fillId="75" borderId="12" xfId="3538" applyNumberFormat="1" applyFont="1" applyFill="1" applyBorder="1" applyAlignment="1">
      <alignment horizontal="center" vertical="center"/>
    </xf>
    <xf numFmtId="10" fontId="15" fillId="75" borderId="95" xfId="3538" applyNumberFormat="1" applyFont="1" applyFill="1" applyBorder="1" applyAlignment="1">
      <alignment horizontal="center" vertical="center"/>
    </xf>
    <xf numFmtId="10" fontId="15" fillId="75" borderId="11" xfId="3538" applyNumberFormat="1" applyFont="1" applyFill="1" applyBorder="1" applyAlignment="1">
      <alignment horizontal="center" vertical="center"/>
    </xf>
    <xf numFmtId="10" fontId="15" fillId="75" borderId="85" xfId="3538" applyNumberFormat="1" applyFont="1" applyFill="1" applyBorder="1" applyAlignment="1">
      <alignment horizontal="center" vertical="center"/>
    </xf>
    <xf numFmtId="202" fontId="16" fillId="0" borderId="0" xfId="3" applyNumberFormat="1" applyFont="1" applyFill="1" applyBorder="1" applyAlignment="1">
      <alignment horizontal="center" vertical="center" wrapText="1"/>
    </xf>
    <xf numFmtId="202" fontId="29" fillId="0" borderId="0" xfId="0" applyNumberFormat="1" applyFont="1" applyFill="1" applyBorder="1" applyAlignment="1"/>
    <xf numFmtId="202" fontId="289" fillId="0" borderId="0" xfId="0" applyNumberFormat="1" applyFont="1" applyFill="1" applyBorder="1" applyAlignment="1"/>
    <xf numFmtId="166" fontId="133" fillId="47" borderId="95" xfId="2711" applyNumberFormat="1" applyFont="1" applyFill="1" applyBorder="1" applyAlignment="1">
      <alignment horizontal="center" vertical="center"/>
    </xf>
    <xf numFmtId="4" fontId="18" fillId="0" borderId="95" xfId="17" applyNumberFormat="1" applyFont="1" applyFill="1" applyBorder="1" applyAlignment="1">
      <alignment horizontal="right" vertical="center"/>
    </xf>
    <xf numFmtId="4" fontId="14" fillId="0" borderId="95" xfId="17" applyNumberFormat="1" applyFont="1" applyFill="1" applyBorder="1" applyAlignment="1">
      <alignment horizontal="center" vertical="center"/>
    </xf>
    <xf numFmtId="4" fontId="255" fillId="2" borderId="0" xfId="2391" applyNumberFormat="1" applyFont="1" applyFill="1" applyBorder="1"/>
    <xf numFmtId="0" fontId="261" fillId="0" borderId="95" xfId="0" applyFont="1" applyFill="1" applyBorder="1" applyAlignment="1">
      <alignment horizontal="center" vertical="center" wrapText="1"/>
    </xf>
    <xf numFmtId="0" fontId="266" fillId="0" borderId="95" xfId="0" applyFont="1" applyFill="1" applyBorder="1" applyAlignment="1">
      <alignment vertical="center" wrapText="1"/>
    </xf>
    <xf numFmtId="4" fontId="267" fillId="99" borderId="95" xfId="0" applyNumberFormat="1" applyFont="1" applyFill="1" applyBorder="1" applyAlignment="1">
      <alignment horizontal="right" vertical="center" wrapText="1"/>
    </xf>
    <xf numFmtId="4" fontId="271" fillId="100" borderId="95" xfId="0" applyNumberFormat="1" applyFont="1" applyFill="1" applyBorder="1" applyAlignment="1">
      <alignment horizontal="right" vertical="center" wrapText="1"/>
    </xf>
    <xf numFmtId="4" fontId="271" fillId="99" borderId="95" xfId="0" applyNumberFormat="1" applyFont="1" applyFill="1" applyBorder="1" applyAlignment="1">
      <alignment horizontal="right" vertical="center" wrapText="1"/>
    </xf>
    <xf numFmtId="0" fontId="272" fillId="0" borderId="95" xfId="0" applyFont="1" applyFill="1" applyBorder="1" applyAlignment="1">
      <alignment vertical="center" wrapText="1"/>
    </xf>
    <xf numFmtId="4" fontId="273" fillId="99" borderId="95" xfId="0" applyNumberFormat="1" applyFont="1" applyFill="1" applyBorder="1" applyAlignment="1">
      <alignment horizontal="right" vertical="center" wrapText="1"/>
    </xf>
    <xf numFmtId="4" fontId="18" fillId="0" borderId="18" xfId="17" applyNumberFormat="1" applyFont="1" applyFill="1" applyBorder="1" applyAlignment="1">
      <alignment horizontal="right" vertical="center"/>
    </xf>
    <xf numFmtId="4" fontId="18" fillId="0" borderId="13" xfId="17" applyNumberFormat="1" applyFont="1" applyFill="1" applyBorder="1" applyAlignment="1">
      <alignment horizontal="right" vertical="center"/>
    </xf>
    <xf numFmtId="4" fontId="14" fillId="0" borderId="18" xfId="17" applyNumberFormat="1" applyFont="1" applyFill="1" applyBorder="1" applyAlignment="1">
      <alignment horizontal="center" vertical="center"/>
    </xf>
    <xf numFmtId="4" fontId="14" fillId="0" borderId="13" xfId="17" applyNumberFormat="1" applyFont="1" applyFill="1" applyBorder="1" applyAlignment="1">
      <alignment horizontal="center" vertical="center"/>
    </xf>
    <xf numFmtId="0" fontId="260" fillId="97" borderId="13" xfId="0" applyFont="1" applyFill="1" applyBorder="1" applyAlignment="1">
      <alignment horizontal="center" vertical="center" wrapText="1"/>
    </xf>
    <xf numFmtId="4" fontId="267" fillId="97" borderId="13" xfId="0" applyNumberFormat="1" applyFont="1" applyFill="1" applyBorder="1" applyAlignment="1">
      <alignment horizontal="right" vertical="center" wrapText="1"/>
    </xf>
    <xf numFmtId="4" fontId="267" fillId="101" borderId="13" xfId="0" applyNumberFormat="1" applyFont="1" applyFill="1" applyBorder="1" applyAlignment="1">
      <alignment horizontal="right" vertical="center" wrapText="1"/>
    </xf>
    <xf numFmtId="4" fontId="273" fillId="97" borderId="13" xfId="0" applyNumberFormat="1" applyFont="1" applyFill="1" applyBorder="1" applyAlignment="1">
      <alignment horizontal="right" vertical="center" wrapText="1"/>
    </xf>
    <xf numFmtId="10" fontId="15" fillId="75" borderId="11" xfId="3539" applyNumberFormat="1" applyFont="1" applyFill="1" applyBorder="1" applyAlignment="1">
      <alignment horizontal="center" vertical="center"/>
    </xf>
    <xf numFmtId="10" fontId="15" fillId="75" borderId="95" xfId="3539" applyNumberFormat="1" applyFont="1" applyFill="1" applyBorder="1" applyAlignment="1">
      <alignment horizontal="center" vertical="center"/>
    </xf>
    <xf numFmtId="10" fontId="15" fillId="75" borderId="12" xfId="3539" applyNumberFormat="1" applyFont="1" applyFill="1" applyBorder="1" applyAlignment="1">
      <alignment horizontal="center" vertical="center"/>
    </xf>
    <xf numFmtId="10" fontId="15" fillId="75" borderId="85" xfId="3539" applyNumberFormat="1" applyFont="1" applyFill="1" applyBorder="1" applyAlignment="1">
      <alignment horizontal="center" vertical="center"/>
    </xf>
    <xf numFmtId="171" fontId="15" fillId="75" borderId="12" xfId="3539" applyNumberFormat="1" applyFont="1" applyFill="1" applyBorder="1" applyAlignment="1">
      <alignment horizontal="center" vertical="center"/>
    </xf>
    <xf numFmtId="171" fontId="15" fillId="75" borderId="4" xfId="3539" applyNumberFormat="1" applyFont="1" applyFill="1" applyBorder="1" applyAlignment="1">
      <alignment horizontal="center" vertical="center"/>
    </xf>
    <xf numFmtId="171" fontId="15" fillId="75" borderId="5" xfId="3539" applyNumberFormat="1" applyFont="1" applyFill="1" applyBorder="1" applyAlignment="1">
      <alignment horizontal="center" vertical="center"/>
    </xf>
    <xf numFmtId="171" fontId="15" fillId="75" borderId="6" xfId="3539" applyNumberFormat="1" applyFont="1" applyFill="1" applyBorder="1" applyAlignment="1">
      <alignment horizontal="center" vertical="center"/>
    </xf>
    <xf numFmtId="171" fontId="15" fillId="75" borderId="87" xfId="3539" applyNumberFormat="1" applyFont="1" applyFill="1" applyBorder="1" applyAlignment="1">
      <alignment horizontal="center" vertical="center"/>
    </xf>
    <xf numFmtId="4" fontId="290" fillId="2" borderId="95" xfId="0" applyNumberFormat="1" applyFont="1" applyFill="1" applyBorder="1" applyAlignment="1">
      <alignment horizontal="center" vertical="center"/>
    </xf>
    <xf numFmtId="4" fontId="26" fillId="2" borderId="95" xfId="0" applyNumberFormat="1" applyFont="1" applyFill="1" applyBorder="1" applyAlignment="1">
      <alignment horizontal="center" vertical="center"/>
    </xf>
    <xf numFmtId="171" fontId="141" fillId="2" borderId="95" xfId="3534" applyNumberFormat="1" applyFont="1" applyFill="1" applyBorder="1" applyAlignment="1">
      <alignment horizontal="center" vertical="center" wrapText="1"/>
    </xf>
    <xf numFmtId="4" fontId="23" fillId="2" borderId="95" xfId="0" applyNumberFormat="1" applyFont="1" applyFill="1" applyBorder="1" applyAlignment="1">
      <alignment horizontal="center" vertical="center"/>
    </xf>
    <xf numFmtId="4" fontId="141" fillId="2" borderId="95" xfId="0" applyNumberFormat="1" applyFont="1" applyFill="1" applyBorder="1" applyAlignment="1">
      <alignment horizontal="center" vertical="center"/>
    </xf>
    <xf numFmtId="4" fontId="141" fillId="2" borderId="95" xfId="0" applyNumberFormat="1" applyFont="1" applyFill="1" applyBorder="1" applyAlignment="1">
      <alignment horizontal="center" vertical="center" wrapText="1"/>
    </xf>
    <xf numFmtId="0" fontId="141" fillId="2" borderId="95" xfId="0" applyFont="1" applyFill="1" applyBorder="1" applyAlignment="1">
      <alignment horizontal="center" vertical="center" wrapText="1"/>
    </xf>
    <xf numFmtId="4" fontId="141" fillId="2" borderId="95" xfId="0" applyNumberFormat="1" applyFont="1" applyFill="1" applyBorder="1" applyAlignment="1">
      <alignment vertical="center" wrapText="1"/>
    </xf>
    <xf numFmtId="0" fontId="141" fillId="2" borderId="95" xfId="3536" applyFont="1" applyFill="1" applyBorder="1" applyAlignment="1">
      <alignment horizontal="center" vertical="center" wrapText="1"/>
    </xf>
    <xf numFmtId="4" fontId="26" fillId="2" borderId="95" xfId="0" applyNumberFormat="1" applyFont="1" applyFill="1" applyBorder="1" applyAlignment="1">
      <alignment horizontal="center" vertical="center" wrapText="1"/>
    </xf>
    <xf numFmtId="0" fontId="279" fillId="2" borderId="7" xfId="3532" applyFont="1" applyFill="1" applyBorder="1" applyAlignment="1">
      <alignment horizontal="center" vertical="center" wrapText="1"/>
    </xf>
    <xf numFmtId="0" fontId="279" fillId="0" borderId="7" xfId="3532" applyFont="1" applyBorder="1" applyAlignment="1">
      <alignment horizontal="center" vertical="center" wrapText="1"/>
    </xf>
    <xf numFmtId="0" fontId="279" fillId="2" borderId="7" xfId="3532" applyFont="1" applyFill="1" applyBorder="1" applyAlignment="1">
      <alignment horizontal="center" vertical="center" wrapText="1"/>
    </xf>
    <xf numFmtId="0" fontId="21" fillId="0" borderId="24" xfId="6" applyFont="1" applyBorder="1" applyAlignment="1">
      <alignment horizontal="left" wrapText="1"/>
    </xf>
    <xf numFmtId="0" fontId="21" fillId="0" borderId="0" xfId="6" applyFont="1" applyBorder="1" applyAlignment="1">
      <alignment horizontal="left" wrapText="1"/>
    </xf>
    <xf numFmtId="0" fontId="15" fillId="73" borderId="0" xfId="6" applyFont="1" applyFill="1" applyBorder="1" applyAlignment="1">
      <alignment horizontal="center"/>
    </xf>
    <xf numFmtId="0" fontId="135" fillId="0" borderId="63" xfId="6" applyFont="1" applyBorder="1" applyAlignment="1">
      <alignment horizontal="center" vertical="center" wrapText="1"/>
    </xf>
    <xf numFmtId="0" fontId="135" fillId="0" borderId="62" xfId="6" applyFont="1" applyBorder="1" applyAlignment="1">
      <alignment horizontal="center" vertical="center" wrapText="1"/>
    </xf>
    <xf numFmtId="0" fontId="135" fillId="0" borderId="50" xfId="6" applyFont="1" applyBorder="1" applyAlignment="1">
      <alignment horizontal="center" vertical="center" wrapText="1"/>
    </xf>
    <xf numFmtId="0" fontId="135" fillId="0" borderId="1" xfId="6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21" fillId="0" borderId="36" xfId="6" applyFont="1" applyBorder="1" applyAlignment="1">
      <alignment horizontal="center"/>
    </xf>
    <xf numFmtId="202" fontId="16" fillId="5" borderId="3" xfId="3" applyNumberFormat="1" applyFont="1" applyFill="1" applyBorder="1" applyAlignment="1">
      <alignment horizontal="center" vertical="center" wrapText="1"/>
    </xf>
    <xf numFmtId="202" fontId="16" fillId="5" borderId="6" xfId="3" applyNumberFormat="1" applyFont="1" applyFill="1" applyBorder="1" applyAlignment="1">
      <alignment horizontal="center" vertical="center" wrapText="1"/>
    </xf>
    <xf numFmtId="202" fontId="16" fillId="5" borderId="2" xfId="3" applyNumberFormat="1" applyFont="1" applyFill="1" applyBorder="1" applyAlignment="1">
      <alignment horizontal="center" vertical="center" wrapText="1"/>
    </xf>
    <xf numFmtId="202" fontId="16" fillId="5" borderId="5" xfId="3" applyNumberFormat="1" applyFont="1" applyFill="1" applyBorder="1" applyAlignment="1">
      <alignment horizontal="center"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49" fontId="15" fillId="0" borderId="4" xfId="9" applyNumberFormat="1" applyFont="1" applyFill="1" applyBorder="1" applyAlignment="1">
      <alignment horizontal="center" vertical="center" wrapText="1"/>
    </xf>
    <xf numFmtId="49" fontId="15" fillId="0" borderId="2" xfId="9" applyNumberFormat="1" applyFont="1" applyFill="1" applyBorder="1" applyAlignment="1">
      <alignment horizontal="center" vertical="center" wrapText="1"/>
    </xf>
    <xf numFmtId="49" fontId="15" fillId="0" borderId="5" xfId="9" applyNumberFormat="1" applyFont="1" applyFill="1" applyBorder="1" applyAlignment="1">
      <alignment horizontal="center" vertical="center" wrapText="1"/>
    </xf>
    <xf numFmtId="49" fontId="15" fillId="0" borderId="21" xfId="9" applyNumberFormat="1" applyFont="1" applyFill="1" applyBorder="1" applyAlignment="1">
      <alignment horizontal="center" vertical="center" wrapText="1"/>
    </xf>
    <xf numFmtId="49" fontId="15" fillId="0" borderId="22" xfId="9" applyNumberFormat="1" applyFont="1" applyFill="1" applyBorder="1" applyAlignment="1">
      <alignment horizontal="center" vertical="center" wrapText="1"/>
    </xf>
    <xf numFmtId="0" fontId="15" fillId="45" borderId="1" xfId="9" applyFont="1" applyFill="1" applyBorder="1" applyAlignment="1">
      <alignment horizontal="center" vertical="center" wrapText="1"/>
    </xf>
    <xf numFmtId="0" fontId="15" fillId="45" borderId="2" xfId="9" applyFont="1" applyFill="1" applyBorder="1" applyAlignment="1">
      <alignment horizontal="center" vertical="center" wrapText="1"/>
    </xf>
    <xf numFmtId="0" fontId="15" fillId="45" borderId="3" xfId="9" applyFont="1" applyFill="1" applyBorder="1" applyAlignment="1">
      <alignment horizontal="center" vertical="center" wrapText="1"/>
    </xf>
    <xf numFmtId="0" fontId="15" fillId="44" borderId="1" xfId="9" applyFont="1" applyFill="1" applyBorder="1" applyAlignment="1">
      <alignment horizontal="center" vertical="center" wrapText="1"/>
    </xf>
    <xf numFmtId="0" fontId="15" fillId="44" borderId="2" xfId="9" applyFont="1" applyFill="1" applyBorder="1" applyAlignment="1">
      <alignment horizontal="center" vertical="center" wrapText="1"/>
    </xf>
    <xf numFmtId="0" fontId="15" fillId="44" borderId="3" xfId="9" applyFont="1" applyFill="1" applyBorder="1" applyAlignment="1">
      <alignment horizontal="center" vertical="center" wrapText="1"/>
    </xf>
    <xf numFmtId="49" fontId="15" fillId="0" borderId="48" xfId="9" applyNumberFormat="1" applyFont="1" applyFill="1" applyBorder="1" applyAlignment="1">
      <alignment horizontal="center" vertical="center" wrapText="1"/>
    </xf>
    <xf numFmtId="49" fontId="15" fillId="0" borderId="87" xfId="9" applyNumberFormat="1" applyFont="1" applyFill="1" applyBorder="1" applyAlignment="1">
      <alignment horizontal="center" vertical="center" wrapText="1"/>
    </xf>
    <xf numFmtId="202" fontId="16" fillId="5" borderId="1" xfId="3" applyNumberFormat="1" applyFont="1" applyFill="1" applyBorder="1" applyAlignment="1">
      <alignment horizontal="center" vertical="center" wrapText="1"/>
    </xf>
    <xf numFmtId="202" fontId="16" fillId="5" borderId="4" xfId="3" applyNumberFormat="1" applyFont="1" applyFill="1" applyBorder="1" applyAlignment="1">
      <alignment horizontal="center" vertical="center" wrapText="1"/>
    </xf>
    <xf numFmtId="49" fontId="14" fillId="44" borderId="15" xfId="0" applyNumberFormat="1" applyFont="1" applyFill="1" applyBorder="1" applyAlignment="1">
      <alignment horizontal="left" vertical="center" wrapText="1"/>
    </xf>
    <xf numFmtId="0" fontId="138" fillId="0" borderId="16" xfId="0" applyFont="1" applyBorder="1" applyAlignment="1">
      <alignment horizontal="left" vertical="center" wrapText="1"/>
    </xf>
    <xf numFmtId="49" fontId="14" fillId="44" borderId="1" xfId="0" applyNumberFormat="1" applyFont="1" applyFill="1" applyBorder="1" applyAlignment="1">
      <alignment horizontal="left" vertical="center" wrapText="1"/>
    </xf>
    <xf numFmtId="0" fontId="138" fillId="0" borderId="2" xfId="0" applyFont="1" applyBorder="1" applyAlignment="1">
      <alignment horizontal="left" vertical="center" wrapText="1"/>
    </xf>
    <xf numFmtId="49" fontId="14" fillId="44" borderId="11" xfId="0" applyNumberFormat="1" applyFont="1" applyFill="1" applyBorder="1" applyAlignment="1">
      <alignment horizontal="left" vertical="center" wrapText="1"/>
    </xf>
    <xf numFmtId="0" fontId="138" fillId="0" borderId="10" xfId="0" applyFont="1" applyBorder="1" applyAlignment="1">
      <alignment horizontal="left" vertical="center" wrapText="1"/>
    </xf>
    <xf numFmtId="49" fontId="14" fillId="44" borderId="68" xfId="0" applyNumberFormat="1" applyFont="1" applyFill="1" applyBorder="1" applyAlignment="1">
      <alignment horizontal="left" vertical="center" wrapText="1"/>
    </xf>
    <xf numFmtId="0" fontId="138" fillId="0" borderId="23" xfId="0" applyFont="1" applyBorder="1" applyAlignment="1">
      <alignment horizontal="left" vertical="center" wrapText="1"/>
    </xf>
    <xf numFmtId="0" fontId="138" fillId="0" borderId="95" xfId="0" applyFont="1" applyBorder="1" applyAlignment="1">
      <alignment horizontal="left" vertical="center" wrapText="1"/>
    </xf>
    <xf numFmtId="0" fontId="266" fillId="0" borderId="2" xfId="0" applyFont="1" applyFill="1" applyBorder="1" applyAlignment="1">
      <alignment horizontal="center" vertical="center" wrapText="1"/>
    </xf>
    <xf numFmtId="0" fontId="266" fillId="0" borderId="10" xfId="0" applyFont="1" applyFill="1" applyBorder="1" applyAlignment="1">
      <alignment horizontal="center" vertical="center" wrapText="1"/>
    </xf>
    <xf numFmtId="0" fontId="266" fillId="0" borderId="5" xfId="0" applyFont="1" applyFill="1" applyBorder="1" applyAlignment="1">
      <alignment horizontal="center" vertical="center" wrapText="1"/>
    </xf>
    <xf numFmtId="0" fontId="262" fillId="97" borderId="13" xfId="0" applyFont="1" applyFill="1" applyBorder="1" applyAlignment="1">
      <alignment horizontal="center" vertical="center" wrapText="1"/>
    </xf>
    <xf numFmtId="0" fontId="262" fillId="97" borderId="96" xfId="0" applyFont="1" applyFill="1" applyBorder="1" applyAlignment="1">
      <alignment horizontal="center" vertical="center" wrapText="1"/>
    </xf>
    <xf numFmtId="0" fontId="263" fillId="5" borderId="10" xfId="0" applyFont="1" applyFill="1" applyBorder="1" applyAlignment="1">
      <alignment horizontal="center" vertical="center" wrapText="1"/>
    </xf>
    <xf numFmtId="0" fontId="263" fillId="5" borderId="97" xfId="0" applyFont="1" applyFill="1" applyBorder="1" applyAlignment="1">
      <alignment horizontal="center" vertical="center" wrapText="1"/>
    </xf>
    <xf numFmtId="0" fontId="265" fillId="0" borderId="11" xfId="0" applyFont="1" applyFill="1" applyBorder="1" applyAlignment="1">
      <alignment horizontal="center" vertical="center" wrapText="1"/>
    </xf>
    <xf numFmtId="0" fontId="265" fillId="0" borderId="104" xfId="0" applyFont="1" applyFill="1" applyBorder="1" applyAlignment="1">
      <alignment horizontal="center" vertical="center" wrapText="1"/>
    </xf>
    <xf numFmtId="0" fontId="265" fillId="0" borderId="10" xfId="0" applyFont="1" applyFill="1" applyBorder="1" applyAlignment="1">
      <alignment horizontal="center" vertical="center" wrapText="1"/>
    </xf>
    <xf numFmtId="0" fontId="265" fillId="0" borderId="97" xfId="0" applyFont="1" applyFill="1" applyBorder="1" applyAlignment="1">
      <alignment horizontal="center" vertical="center" wrapText="1"/>
    </xf>
    <xf numFmtId="0" fontId="154" fillId="5" borderId="62" xfId="0" applyFont="1" applyFill="1" applyBorder="1" applyAlignment="1">
      <alignment horizontal="center" vertical="center" wrapText="1"/>
    </xf>
    <xf numFmtId="0" fontId="154" fillId="5" borderId="79" xfId="0" applyFont="1" applyFill="1" applyBorder="1" applyAlignment="1">
      <alignment horizontal="center" vertical="center" wrapText="1"/>
    </xf>
    <xf numFmtId="0" fontId="261" fillId="0" borderId="1" xfId="0" applyFont="1" applyFill="1" applyBorder="1" applyAlignment="1">
      <alignment horizontal="center" vertical="center" wrapText="1"/>
    </xf>
    <xf numFmtId="0" fontId="261" fillId="0" borderId="2" xfId="0" applyFont="1" applyFill="1" applyBorder="1" applyAlignment="1">
      <alignment horizontal="center" vertical="center" wrapText="1"/>
    </xf>
    <xf numFmtId="164" fontId="14" fillId="0" borderId="59" xfId="17" applyNumberFormat="1" applyFont="1" applyFill="1" applyBorder="1" applyAlignment="1">
      <alignment horizontal="center" vertical="center" wrapText="1"/>
    </xf>
    <xf numFmtId="0" fontId="14" fillId="0" borderId="58" xfId="17" applyFont="1" applyFill="1" applyBorder="1" applyAlignment="1">
      <alignment horizontal="center" vertical="center" wrapText="1"/>
    </xf>
    <xf numFmtId="0" fontId="14" fillId="0" borderId="60" xfId="17" applyFont="1" applyFill="1" applyBorder="1" applyAlignment="1">
      <alignment horizontal="center" vertical="center" wrapText="1"/>
    </xf>
    <xf numFmtId="0" fontId="14" fillId="0" borderId="20" xfId="17" applyFont="1" applyFill="1" applyBorder="1" applyAlignment="1">
      <alignment horizontal="center" vertical="center" wrapText="1"/>
    </xf>
    <xf numFmtId="0" fontId="252" fillId="0" borderId="57" xfId="2391" applyFont="1" applyFill="1" applyBorder="1" applyAlignment="1"/>
    <xf numFmtId="0" fontId="14" fillId="0" borderId="61" xfId="17" applyFont="1" applyFill="1" applyBorder="1" applyAlignment="1">
      <alignment horizontal="center" vertical="center" wrapText="1"/>
    </xf>
    <xf numFmtId="0" fontId="252" fillId="0" borderId="71" xfId="2391" applyFont="1" applyFill="1" applyBorder="1" applyAlignment="1"/>
    <xf numFmtId="0" fontId="14" fillId="0" borderId="59" xfId="17" applyFont="1" applyFill="1" applyBorder="1" applyAlignment="1">
      <alignment horizontal="center" vertical="center" wrapText="1"/>
    </xf>
    <xf numFmtId="0" fontId="263" fillId="5" borderId="95" xfId="0" applyFont="1" applyFill="1" applyBorder="1" applyAlignment="1">
      <alignment horizontal="center" vertical="center" wrapText="1"/>
    </xf>
    <xf numFmtId="0" fontId="265" fillId="0" borderId="95" xfId="0" applyFont="1" applyFill="1" applyBorder="1" applyAlignment="1">
      <alignment horizontal="center" vertical="center" wrapText="1"/>
    </xf>
    <xf numFmtId="0" fontId="262" fillId="97" borderId="98" xfId="0" applyFont="1" applyFill="1" applyBorder="1" applyAlignment="1">
      <alignment horizontal="center" vertical="center" wrapText="1"/>
    </xf>
    <xf numFmtId="0" fontId="266" fillId="0" borderId="95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49" fontId="135" fillId="44" borderId="13" xfId="0" applyNumberFormat="1" applyFont="1" applyFill="1" applyBorder="1" applyAlignment="1">
      <alignment horizontal="left" vertical="center" wrapText="1"/>
    </xf>
    <xf numFmtId="0" fontId="26" fillId="0" borderId="18" xfId="0" applyFont="1" applyBorder="1" applyAlignment="1">
      <alignment horizontal="left" vertical="center" wrapText="1"/>
    </xf>
    <xf numFmtId="0" fontId="141" fillId="0" borderId="0" xfId="3532" applyFont="1" applyAlignment="1">
      <alignment horizontal="left" vertical="center" wrapText="1" indent="14"/>
    </xf>
    <xf numFmtId="0" fontId="0" fillId="0" borderId="0" xfId="0" applyAlignment="1">
      <alignment horizontal="left" vertical="center" wrapText="1" indent="14"/>
    </xf>
    <xf numFmtId="4" fontId="29" fillId="0" borderId="95" xfId="3432" applyNumberFormat="1" applyFont="1" applyBorder="1" applyAlignment="1">
      <alignment horizontal="left" vertical="center"/>
    </xf>
    <xf numFmtId="0" fontId="23" fillId="0" borderId="98" xfId="3532" applyFont="1" applyBorder="1" applyAlignment="1">
      <alignment horizontal="center" vertical="center" wrapText="1"/>
    </xf>
    <xf numFmtId="0" fontId="23" fillId="0" borderId="109" xfId="3532" applyFont="1" applyBorder="1" applyAlignment="1">
      <alignment horizontal="center" vertical="center" wrapText="1"/>
    </xf>
    <xf numFmtId="0" fontId="0" fillId="0" borderId="109" xfId="0" applyBorder="1" applyAlignment="1">
      <alignment vertical="center" wrapText="1"/>
    </xf>
    <xf numFmtId="0" fontId="0" fillId="0" borderId="99" xfId="0" applyBorder="1" applyAlignment="1">
      <alignment vertical="center" wrapText="1"/>
    </xf>
    <xf numFmtId="0" fontId="31" fillId="0" borderId="36" xfId="3532" applyFont="1" applyBorder="1" applyAlignment="1">
      <alignment horizontal="center" vertical="center" wrapText="1"/>
    </xf>
    <xf numFmtId="0" fontId="0" fillId="0" borderId="36" xfId="0" applyBorder="1" applyAlignment="1">
      <alignment vertical="center" wrapText="1"/>
    </xf>
    <xf numFmtId="0" fontId="141" fillId="0" borderId="0" xfId="3532" applyFont="1" applyAlignment="1">
      <alignment horizontal="right" vertical="center" wrapText="1"/>
    </xf>
    <xf numFmtId="0" fontId="23" fillId="0" borderId="97" xfId="3532" applyFont="1" applyBorder="1" applyAlignment="1">
      <alignment horizontal="center" vertical="center"/>
    </xf>
    <xf numFmtId="0" fontId="23" fillId="0" borderId="7" xfId="3532" applyFont="1" applyBorder="1" applyAlignment="1">
      <alignment horizontal="center" vertical="center"/>
    </xf>
    <xf numFmtId="0" fontId="23" fillId="0" borderId="97" xfId="3532" applyFont="1" applyBorder="1" applyAlignment="1">
      <alignment horizontal="center" vertical="center" wrapText="1"/>
    </xf>
    <xf numFmtId="0" fontId="23" fillId="0" borderId="7" xfId="3532" applyFont="1" applyBorder="1" applyAlignment="1">
      <alignment horizontal="center" vertical="center" wrapText="1"/>
    </xf>
    <xf numFmtId="0" fontId="279" fillId="0" borderId="97" xfId="3532" applyFont="1" applyBorder="1" applyAlignment="1">
      <alignment horizontal="center" vertical="center" wrapText="1"/>
    </xf>
    <xf numFmtId="0" fontId="279" fillId="0" borderId="23" xfId="3532" applyFont="1" applyBorder="1" applyAlignment="1">
      <alignment horizontal="center" vertical="center" wrapText="1"/>
    </xf>
    <xf numFmtId="0" fontId="279" fillId="0" borderId="7" xfId="3532" applyFont="1" applyBorder="1" applyAlignment="1">
      <alignment horizontal="center" vertical="center" wrapText="1"/>
    </xf>
    <xf numFmtId="0" fontId="279" fillId="2" borderId="97" xfId="3532" applyFont="1" applyFill="1" applyBorder="1" applyAlignment="1">
      <alignment horizontal="center" vertical="center" wrapText="1"/>
    </xf>
    <xf numFmtId="0" fontId="279" fillId="2" borderId="7" xfId="3532" applyFont="1" applyFill="1" applyBorder="1" applyAlignment="1">
      <alignment horizontal="center" vertical="center" wrapText="1"/>
    </xf>
    <xf numFmtId="0" fontId="26" fillId="0" borderId="0" xfId="3532" applyFont="1" applyAlignment="1">
      <alignment horizontal="left" vertical="center" wrapText="1"/>
    </xf>
    <xf numFmtId="0" fontId="141" fillId="0" borderId="0" xfId="3532" applyFont="1" applyAlignment="1">
      <alignment horizontal="left" vertical="center" wrapText="1"/>
    </xf>
    <xf numFmtId="0" fontId="0" fillId="0" borderId="0" xfId="0" applyAlignment="1">
      <alignment vertical="center"/>
    </xf>
    <xf numFmtId="0" fontId="31" fillId="0" borderId="36" xfId="3532" applyFont="1" applyBorder="1" applyAlignment="1">
      <alignment horizontal="center" vertical="top" wrapText="1"/>
    </xf>
    <xf numFmtId="0" fontId="141" fillId="0" borderId="97" xfId="3532" applyFont="1" applyBorder="1" applyAlignment="1">
      <alignment horizontal="center" vertical="center"/>
    </xf>
    <xf numFmtId="0" fontId="141" fillId="0" borderId="23" xfId="3532" applyFont="1" applyBorder="1" applyAlignment="1">
      <alignment horizontal="center" vertical="center"/>
    </xf>
    <xf numFmtId="0" fontId="141" fillId="0" borderId="7" xfId="3532" applyFont="1" applyBorder="1" applyAlignment="1">
      <alignment horizontal="center" vertical="center"/>
    </xf>
    <xf numFmtId="0" fontId="141" fillId="2" borderId="97" xfId="3532" applyFont="1" applyFill="1" applyBorder="1" applyAlignment="1">
      <alignment horizontal="center" vertical="center" wrapText="1"/>
    </xf>
    <xf numFmtId="0" fontId="141" fillId="2" borderId="23" xfId="3532" applyFont="1" applyFill="1" applyBorder="1" applyAlignment="1">
      <alignment horizontal="center" vertical="center" wrapText="1"/>
    </xf>
    <xf numFmtId="0" fontId="141" fillId="2" borderId="7" xfId="3532" applyFont="1" applyFill="1" applyBorder="1" applyAlignment="1">
      <alignment horizontal="center" vertical="center" wrapText="1"/>
    </xf>
    <xf numFmtId="4" fontId="141" fillId="2" borderId="97" xfId="3532" applyNumberFormat="1" applyFont="1" applyFill="1" applyBorder="1" applyAlignment="1">
      <alignment horizontal="center" vertical="center" wrapText="1"/>
    </xf>
    <xf numFmtId="4" fontId="141" fillId="2" borderId="23" xfId="3532" applyNumberFormat="1" applyFont="1" applyFill="1" applyBorder="1" applyAlignment="1">
      <alignment horizontal="center" vertical="center" wrapText="1"/>
    </xf>
    <xf numFmtId="4" fontId="141" fillId="2" borderId="7" xfId="3532" applyNumberFormat="1" applyFont="1" applyFill="1" applyBorder="1" applyAlignment="1">
      <alignment horizontal="center" vertical="center" wrapText="1"/>
    </xf>
    <xf numFmtId="0" fontId="279" fillId="2" borderId="98" xfId="3532" applyFont="1" applyFill="1" applyBorder="1" applyAlignment="1">
      <alignment horizontal="center" vertical="center" wrapText="1"/>
    </xf>
    <xf numFmtId="0" fontId="279" fillId="2" borderId="109" xfId="3532" applyFont="1" applyFill="1" applyBorder="1" applyAlignment="1">
      <alignment horizontal="center" vertical="center" wrapText="1"/>
    </xf>
    <xf numFmtId="0" fontId="279" fillId="2" borderId="99" xfId="3532" applyFont="1" applyFill="1" applyBorder="1" applyAlignment="1">
      <alignment horizontal="center" vertical="center" wrapText="1"/>
    </xf>
    <xf numFmtId="0" fontId="279" fillId="0" borderId="7" xfId="3532" applyFont="1" applyBorder="1" applyAlignment="1">
      <alignment horizontal="center" vertical="center"/>
    </xf>
    <xf numFmtId="4" fontId="26" fillId="2" borderId="97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06" fillId="0" borderId="0" xfId="3534" applyFont="1" applyFill="1" applyBorder="1" applyAlignment="1">
      <alignment horizontal="center" vertical="center" wrapText="1"/>
    </xf>
    <xf numFmtId="0" fontId="276" fillId="0" borderId="36" xfId="3534" applyFont="1" applyFill="1" applyBorder="1" applyAlignment="1">
      <alignment horizontal="center" vertical="center" wrapText="1"/>
    </xf>
    <xf numFmtId="49" fontId="135" fillId="0" borderId="95" xfId="9" applyNumberFormat="1" applyFont="1" applyFill="1" applyBorder="1" applyAlignment="1">
      <alignment horizontal="center" vertical="center" wrapText="1"/>
    </xf>
    <xf numFmtId="49" fontId="21" fillId="0" borderId="95" xfId="0" applyNumberFormat="1" applyFont="1" applyFill="1" applyBorder="1" applyAlignment="1">
      <alignment horizontal="center" vertical="center" wrapText="1"/>
    </xf>
    <xf numFmtId="0" fontId="21" fillId="0" borderId="95" xfId="0" applyFont="1" applyFill="1" applyBorder="1" applyAlignment="1">
      <alignment horizontal="center" vertical="center" wrapText="1"/>
    </xf>
    <xf numFmtId="0" fontId="135" fillId="0" borderId="97" xfId="9" applyFont="1" applyFill="1" applyBorder="1" applyAlignment="1">
      <alignment horizontal="center" vertical="center" wrapText="1"/>
    </xf>
    <xf numFmtId="0" fontId="135" fillId="0" borderId="7" xfId="9" applyFont="1" applyFill="1" applyBorder="1" applyAlignment="1">
      <alignment horizontal="center" vertical="center" wrapText="1"/>
    </xf>
    <xf numFmtId="49" fontId="14" fillId="0" borderId="95" xfId="0" applyNumberFormat="1" applyFont="1" applyFill="1" applyBorder="1" applyAlignment="1">
      <alignment horizontal="left" vertical="center" wrapText="1"/>
    </xf>
    <xf numFmtId="0" fontId="252" fillId="0" borderId="95" xfId="0" applyFont="1" applyFill="1" applyBorder="1" applyAlignment="1">
      <alignment horizontal="left" vertical="center" wrapText="1"/>
    </xf>
    <xf numFmtId="49" fontId="280" fillId="0" borderId="95" xfId="0" applyNumberFormat="1" applyFont="1" applyFill="1" applyBorder="1" applyAlignment="1">
      <alignment horizontal="left" vertical="center" wrapText="1"/>
    </xf>
    <xf numFmtId="0" fontId="0" fillId="0" borderId="95" xfId="0" applyFill="1" applyBorder="1" applyAlignment="1">
      <alignment horizontal="left" vertical="center" wrapText="1"/>
    </xf>
    <xf numFmtId="49" fontId="135" fillId="0" borderId="95" xfId="0" applyNumberFormat="1" applyFont="1" applyFill="1" applyBorder="1" applyAlignment="1">
      <alignment horizontal="left" vertical="center" wrapText="1"/>
    </xf>
    <xf numFmtId="0" fontId="26" fillId="0" borderId="95" xfId="0" applyFont="1" applyFill="1" applyBorder="1" applyAlignment="1">
      <alignment horizontal="left" vertical="center" wrapText="1"/>
    </xf>
    <xf numFmtId="0" fontId="138" fillId="0" borderId="95" xfId="0" applyFont="1" applyFill="1" applyBorder="1" applyAlignment="1">
      <alignment horizontal="left" vertical="center" wrapText="1"/>
    </xf>
    <xf numFmtId="0" fontId="216" fillId="0" borderId="95" xfId="0" applyFont="1" applyFill="1" applyBorder="1" applyAlignment="1">
      <alignment horizontal="left" vertical="center" wrapText="1"/>
    </xf>
    <xf numFmtId="0" fontId="29" fillId="0" borderId="0" xfId="3432" applyNumberFormat="1" applyFont="1" applyFill="1" applyAlignment="1">
      <alignment horizontal="left" vertical="center" wrapText="1" indent="14"/>
    </xf>
    <xf numFmtId="0" fontId="0" fillId="0" borderId="0" xfId="0" applyAlignment="1">
      <alignment horizontal="left" wrapText="1" indent="14"/>
    </xf>
    <xf numFmtId="49" fontId="14" fillId="0" borderId="98" xfId="0" applyNumberFormat="1" applyFont="1" applyFill="1" applyBorder="1" applyAlignment="1">
      <alignment horizontal="left" vertical="center" wrapText="1"/>
    </xf>
    <xf numFmtId="0" fontId="0" fillId="0" borderId="99" xfId="0" applyBorder="1" applyAlignment="1">
      <alignment horizontal="left" vertical="center" wrapText="1"/>
    </xf>
    <xf numFmtId="49" fontId="21" fillId="0" borderId="95" xfId="3" applyNumberFormat="1" applyFont="1" applyFill="1" applyBorder="1" applyAlignment="1">
      <alignment horizontal="center" vertical="center" wrapText="1"/>
    </xf>
    <xf numFmtId="165" fontId="21" fillId="0" borderId="95" xfId="3" applyFont="1" applyFill="1" applyBorder="1" applyAlignment="1">
      <alignment horizontal="center" vertical="center" wrapText="1"/>
    </xf>
    <xf numFmtId="171" fontId="141" fillId="2" borderId="95" xfId="3534" applyNumberFormat="1" applyFont="1" applyFill="1" applyBorder="1" applyAlignment="1">
      <alignment horizontal="center" vertical="center" wrapText="1"/>
    </xf>
    <xf numFmtId="49" fontId="135" fillId="0" borderId="97" xfId="9" applyNumberFormat="1" applyFont="1" applyFill="1" applyBorder="1" applyAlignment="1">
      <alignment horizontal="center" vertical="center" wrapText="1"/>
    </xf>
    <xf numFmtId="49" fontId="135" fillId="0" borderId="7" xfId="9" applyNumberFormat="1" applyFont="1" applyFill="1" applyBorder="1" applyAlignment="1">
      <alignment horizontal="center" vertical="center" wrapText="1"/>
    </xf>
    <xf numFmtId="0" fontId="135" fillId="0" borderId="95" xfId="9" applyFont="1" applyFill="1" applyBorder="1" applyAlignment="1">
      <alignment horizontal="center" vertical="center" wrapText="1"/>
    </xf>
    <xf numFmtId="0" fontId="135" fillId="2" borderId="97" xfId="9" applyFont="1" applyFill="1" applyBorder="1" applyAlignment="1">
      <alignment horizontal="center" vertical="center" wrapText="1"/>
    </xf>
    <xf numFmtId="0" fontId="135" fillId="2" borderId="7" xfId="9" applyFont="1" applyFill="1" applyBorder="1" applyAlignment="1">
      <alignment horizontal="center" vertical="center" wrapText="1"/>
    </xf>
    <xf numFmtId="4" fontId="141" fillId="2" borderId="97" xfId="0" applyNumberFormat="1" applyFont="1" applyFill="1" applyBorder="1" applyAlignment="1">
      <alignment horizontal="center" vertical="center" wrapText="1"/>
    </xf>
    <xf numFmtId="4" fontId="141" fillId="2" borderId="23" xfId="0" applyNumberFormat="1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41" fillId="0" borderId="0" xfId="3532" applyFont="1" applyAlignment="1">
      <alignment horizontal="left" vertical="center" wrapText="1" indent="8"/>
    </xf>
    <xf numFmtId="0" fontId="0" fillId="0" borderId="0" xfId="0" applyAlignment="1">
      <alignment horizontal="left" vertical="center" indent="8"/>
    </xf>
    <xf numFmtId="0" fontId="23" fillId="4" borderId="1" xfId="6" applyFont="1" applyFill="1" applyBorder="1" applyAlignment="1">
      <alignment horizontal="center" vertical="center" wrapText="1"/>
    </xf>
    <xf numFmtId="0" fontId="23" fillId="4" borderId="2" xfId="6" applyFont="1" applyFill="1" applyBorder="1" applyAlignment="1">
      <alignment horizontal="center" vertical="center" wrapText="1"/>
    </xf>
    <xf numFmtId="0" fontId="23" fillId="4" borderId="3" xfId="6" applyFont="1" applyFill="1" applyBorder="1" applyAlignment="1">
      <alignment horizontal="center" vertical="center" wrapText="1"/>
    </xf>
    <xf numFmtId="0" fontId="29" fillId="0" borderId="83" xfId="2393" applyFont="1" applyBorder="1" applyAlignment="1">
      <alignment horizontal="center" vertical="center" wrapText="1"/>
    </xf>
    <xf numFmtId="0" fontId="29" fillId="0" borderId="37" xfId="2393" applyFont="1" applyBorder="1" applyAlignment="1">
      <alignment horizontal="center" vertical="center" wrapText="1"/>
    </xf>
    <xf numFmtId="0" fontId="206" fillId="0" borderId="15" xfId="2393" applyFont="1" applyBorder="1" applyAlignment="1">
      <alignment horizontal="center" vertical="center" wrapText="1"/>
    </xf>
    <xf numFmtId="0" fontId="206" fillId="0" borderId="16" xfId="2393" applyFont="1" applyBorder="1" applyAlignment="1">
      <alignment horizontal="center" vertical="center" wrapText="1"/>
    </xf>
    <xf numFmtId="0" fontId="29" fillId="0" borderId="10" xfId="2393" applyFont="1" applyBorder="1" applyAlignment="1">
      <alignment horizontal="center" vertical="center" wrapText="1"/>
    </xf>
    <xf numFmtId="0" fontId="29" fillId="0" borderId="14" xfId="2393" applyFont="1" applyBorder="1" applyAlignment="1">
      <alignment horizontal="center" vertical="center" wrapText="1"/>
    </xf>
    <xf numFmtId="0" fontId="29" fillId="0" borderId="7" xfId="2393" applyFont="1" applyBorder="1" applyAlignment="1">
      <alignment horizontal="center" vertical="center" wrapText="1"/>
    </xf>
    <xf numFmtId="0" fontId="29" fillId="0" borderId="47" xfId="2393" applyFont="1" applyBorder="1" applyAlignment="1">
      <alignment horizontal="center" vertical="center" wrapText="1"/>
    </xf>
    <xf numFmtId="0" fontId="29" fillId="0" borderId="19" xfId="2393" applyFont="1" applyBorder="1" applyAlignment="1">
      <alignment horizontal="center" vertical="center" wrapText="1"/>
    </xf>
    <xf numFmtId="0" fontId="29" fillId="0" borderId="64" xfId="2393" applyFont="1" applyBorder="1" applyAlignment="1">
      <alignment horizontal="center" vertical="center" wrapText="1"/>
    </xf>
    <xf numFmtId="0" fontId="29" fillId="0" borderId="77" xfId="2393" applyFont="1" applyBorder="1" applyAlignment="1">
      <alignment horizontal="center" vertical="center" wrapText="1"/>
    </xf>
    <xf numFmtId="0" fontId="29" fillId="0" borderId="56" xfId="2393" applyFont="1" applyBorder="1" applyAlignment="1">
      <alignment horizontal="center" vertical="center" wrapText="1"/>
    </xf>
  </cellXfs>
  <cellStyles count="3540">
    <cellStyle name="_x0012_" xfId="2788"/>
    <cellStyle name=" 1" xfId="424"/>
    <cellStyle name="_x000a_bidires=100_x000d_" xfId="20"/>
    <cellStyle name="_x000a_bidires=100_x000d_ 2" xfId="425"/>
    <cellStyle name="%" xfId="426"/>
    <cellStyle name="%_Inputs" xfId="427"/>
    <cellStyle name="%_Inputs (const)" xfId="428"/>
    <cellStyle name="%_Inputs Co" xfId="429"/>
    <cellStyle name="?_x0001_" xfId="21"/>
    <cellStyle name="?????? [0]_cogs" xfId="22"/>
    <cellStyle name="???????_??????? (2)" xfId="23"/>
    <cellStyle name="??????_cogs" xfId="24"/>
    <cellStyle name="??_PL-CF sheet" xfId="25"/>
    <cellStyle name="?…?ж?Ш?и [0.00]" xfId="26"/>
    <cellStyle name="?W??_‘O’с?р??" xfId="27"/>
    <cellStyle name="]_x000d__x000a_Zoomed=1_x000d__x000a_Row=0_x000d__x000a_Column=0_x000d__x000a_Height=0_x000d__x000a_Width=0_x000d__x000a_FontName=FoxFont_x000d__x000a_FontStyle=0_x000d__x000a_FontSize=9_x000d__x000a_PrtFontName=FoxPrin" xfId="2789"/>
    <cellStyle name="___________ __ ______ 2007_ (2)" xfId="2790"/>
    <cellStyle name="_051222_ОС_ГРЭС-24 (отчет от Эксперта)" xfId="2791"/>
    <cellStyle name="_051222_ОС_ГРЭС-24 (отчет от Эксперта)_НМА" xfId="2792"/>
    <cellStyle name="_051222_ОС_ГРЭС-24 (отчет от Эксперта)_ОС 2006" xfId="2793"/>
    <cellStyle name="_051222_ОС_ГРЭС-24 (отчет от Эксперта)_ОС_2" xfId="2794"/>
    <cellStyle name="_051228_сооружения" xfId="2795"/>
    <cellStyle name="_051228_сооружения_НМА" xfId="2796"/>
    <cellStyle name="_051228_сооружения_ОС 2006" xfId="2797"/>
    <cellStyle name="_051228_сооружения_ОС_2" xfId="2798"/>
    <cellStyle name="_060725 NEW модель баланс все Со" xfId="2799"/>
    <cellStyle name="_060821 n=10, Э2007 55, ИП 119, ЗС 07г 15" xfId="2800"/>
    <cellStyle name="_070130 model_strategy_18 12 06_Э07_324__Э09_292_(2)2" xfId="2801"/>
    <cellStyle name="_2011 часть1 1" xfId="2802"/>
    <cellStyle name="_5 БР по заявкам май" xfId="2803"/>
    <cellStyle name="_6.1." xfId="2804"/>
    <cellStyle name="_7.4.6Перечень платежей (метрол.) ФК на январь 2008г." xfId="2805"/>
    <cellStyle name="_7.6." xfId="2806"/>
    <cellStyle name="_7.6. Информационные службы" xfId="2807"/>
    <cellStyle name="_91 acc" xfId="2808"/>
    <cellStyle name="_91 приг р" xfId="2809"/>
    <cellStyle name="_ADJ&amp;RJE for the KZ and minor companies(рус)" xfId="2810"/>
    <cellStyle name="_ART1_09R" xfId="2811"/>
    <cellStyle name="_ART1_09R_Доходы-Расходы" xfId="2812"/>
    <cellStyle name="_ART12_00D" xfId="2813"/>
    <cellStyle name="_ART12_00D_Доходы-Расходы" xfId="2814"/>
    <cellStyle name="_ART2_03R" xfId="2815"/>
    <cellStyle name="_ART2_03R_Доходы-Расходы" xfId="2816"/>
    <cellStyle name="_ART2_05D" xfId="2817"/>
    <cellStyle name="_ART2_05D_Доходы-Расходы" xfId="2818"/>
    <cellStyle name="_ART2_07D" xfId="2819"/>
    <cellStyle name="_ART2_07D_Доходы-Расходы" xfId="2820"/>
    <cellStyle name="_CashFlow_2007_проект_02_02_final" xfId="28"/>
    <cellStyle name="_CashFlow_2007_проект_02_02_final 2" xfId="430"/>
    <cellStyle name="_Deloitte Славнефтехим" xfId="2821"/>
    <cellStyle name="_Final ADJ" xfId="2822"/>
    <cellStyle name="_Final отложен налог_Таня" xfId="2823"/>
    <cellStyle name="_INVGEN.G_TGC-1_NevTES_08" xfId="2824"/>
    <cellStyle name="_IPr_TGK_2005" xfId="2825"/>
    <cellStyle name="_IPr_TGK_2005_4q0" xfId="2826"/>
    <cellStyle name="_IPr_TGK_2005_4q0_КАЛЬК ТГК (ТО ЧТО НА МАХ ГЕННЕРАЦИЮ)" xfId="2827"/>
    <cellStyle name="_IPr_TGK_2005_КАЛЬК ТГК (ТО ЧТО НА МАХ ГЕННЕРАЦИЮ)" xfId="2828"/>
    <cellStyle name="_Iквартал 2008 г._7.1" xfId="2829"/>
    <cellStyle name="_Iквартал 2008 г._7.4.1" xfId="2830"/>
    <cellStyle name="_Iквартал 2008 г._9" xfId="2831"/>
    <cellStyle name="_Kirovski Consol_2006" xfId="2832"/>
    <cellStyle name="_Kirovski Consol_2006 без связей" xfId="2833"/>
    <cellStyle name="_KZ, KLT, CJSC Tetra" xfId="2834"/>
    <cellStyle name="_LTC_Sipat_2006" xfId="2835"/>
    <cellStyle name="_LTC_Sipat_20061" xfId="2836"/>
    <cellStyle name="_Model_RAB Мой" xfId="431"/>
    <cellStyle name="_Model_RAB Мой 2" xfId="432"/>
    <cellStyle name="_Model_RAB Мой 2_OREP.KU.2011.MONTHLY.02(v0.1)" xfId="433"/>
    <cellStyle name="_Model_RAB Мой 2_OREP.KU.2011.MONTHLY.02(v0.4)" xfId="434"/>
    <cellStyle name="_Model_RAB Мой 2_OREP.KU.2011.MONTHLY.11(v1.4)" xfId="435"/>
    <cellStyle name="_Model_RAB Мой 2_OREP.KU.2011.MONTHLY.11(v1.4)_UPDATE.BALANCE.WARM.2012YEAR.TO.1.1" xfId="436"/>
    <cellStyle name="_Model_RAB Мой 2_OREP.KU.2011.MONTHLY.11(v1.4)_UPDATE.CALC.WARM.2012YEAR.TO.1.1" xfId="437"/>
    <cellStyle name="_Model_RAB Мой 2_UPDATE.BALANCE.WARM.2012YEAR.TO.1.1" xfId="438"/>
    <cellStyle name="_Model_RAB Мой 2_UPDATE.CALC.WARM.2012YEAR.TO.1.1" xfId="439"/>
    <cellStyle name="_Model_RAB Мой 2_UPDATE.MONITORING.OS.EE.2.02.TO.1.3.64" xfId="440"/>
    <cellStyle name="_Model_RAB Мой 2_UPDATE.OREP.KU.2011.MONTHLY.02.TO.1.2" xfId="441"/>
    <cellStyle name="_Model_RAB Мой 3" xfId="2837"/>
    <cellStyle name="_Model_RAB Мой 4" xfId="2838"/>
    <cellStyle name="_Model_RAB Мой 5" xfId="2839"/>
    <cellStyle name="_Model_RAB Мой 6" xfId="2840"/>
    <cellStyle name="_Model_RAB Мой_46EE.2011(v1.0)" xfId="442"/>
    <cellStyle name="_Model_RAB Мой_46EE.2011(v1.0)_46TE.2011(v1.0)" xfId="443"/>
    <cellStyle name="_Model_RAB Мой_46EE.2011(v1.0)_INDEX.STATION.2012(v1.0)_" xfId="444"/>
    <cellStyle name="_Model_RAB Мой_46EE.2011(v1.0)_INDEX.STATION.2012(v2.0)" xfId="445"/>
    <cellStyle name="_Model_RAB Мой_46EE.2011(v1.0)_INDEX.STATION.2012(v2.1)" xfId="446"/>
    <cellStyle name="_Model_RAB Мой_46EE.2011(v1.0)_TEPLO.PREDEL.2012.M(v1.1)_test" xfId="447"/>
    <cellStyle name="_Model_RAB Мой_46EE.2011(v1.2)" xfId="448"/>
    <cellStyle name="_Model_RAB Мой_46EP.2011(v2.0)" xfId="449"/>
    <cellStyle name="_Model_RAB Мой_46EP.2012(v0.1)" xfId="450"/>
    <cellStyle name="_Model_RAB Мой_46TE.2011(v1.0)" xfId="451"/>
    <cellStyle name="_Model_RAB Мой_4DNS.UPDATE.EXAMPLE" xfId="452"/>
    <cellStyle name="_Model_RAB Мой_ARMRAZR" xfId="453"/>
    <cellStyle name="_Model_RAB Мой_BALANCE.WARM.2010.FACT(v1.0)" xfId="454"/>
    <cellStyle name="_Model_RAB Мой_BALANCE.WARM.2010.PLAN" xfId="455"/>
    <cellStyle name="_Model_RAB Мой_BALANCE.WARM.2011YEAR(v0.7)" xfId="456"/>
    <cellStyle name="_Model_RAB Мой_BALANCE.WARM.2011YEAR.NEW.UPDATE.SCHEME" xfId="457"/>
    <cellStyle name="_Model_RAB Мой_CALC.NORMATIV.KU(v0.2)" xfId="458"/>
    <cellStyle name="_Model_RAB Мой_EE.2REK.P2011.4.78(v0.3)" xfId="459"/>
    <cellStyle name="_Model_RAB Мой_FORM3.1.2013(v0.2)" xfId="460"/>
    <cellStyle name="_Model_RAB Мой_FORM3.2013(v1.0)" xfId="461"/>
    <cellStyle name="_Model_RAB Мой_FORM3.REG(v1.0)" xfId="462"/>
    <cellStyle name="_Model_RAB Мой_FORM910.2012(v1.1)" xfId="463"/>
    <cellStyle name="_Model_RAB Мой_INDEX.STATION.2012(v2.1)" xfId="464"/>
    <cellStyle name="_Model_RAB Мой_INDEX.STATION.2013(v1.0)_патч до 1.1" xfId="465"/>
    <cellStyle name="_Model_RAB Мой_INVEST.EE.PLAN.4.78(v0.1)" xfId="466"/>
    <cellStyle name="_Model_RAB Мой_INVEST.EE.PLAN.4.78(v0.3)" xfId="467"/>
    <cellStyle name="_Model_RAB Мой_INVEST.EE.PLAN.4.78(v1.0)" xfId="468"/>
    <cellStyle name="_Model_RAB Мой_INVEST.EE.PLAN.4.78(v1.0)_PASSPORT.TEPLO.PROIZV(v2.0)" xfId="469"/>
    <cellStyle name="_Model_RAB Мой_INVEST.EE.PLAN.4.78(v1.0)_PASSPORT.TEPLO.PROIZV(v2.0)_INDEX.STATION.2013(v1.0)_патч до 1.1" xfId="470"/>
    <cellStyle name="_Model_RAB Мой_INVEST.EE.PLAN.4.78(v1.0)_PASSPORT.TEPLO.PROIZV(v2.0)_TEPLO.PREDEL.2013(v2.0)" xfId="471"/>
    <cellStyle name="_Model_RAB Мой_INVEST.PLAN.4.78(v0.1)" xfId="472"/>
    <cellStyle name="_Model_RAB Мой_INVEST.WARM.PLAN.4.78(v0.1)" xfId="473"/>
    <cellStyle name="_Model_RAB Мой_INVEST_WARM_PLAN" xfId="474"/>
    <cellStyle name="_Model_RAB Мой_NADB.JNVLP.APTEKA.2012(v1.0)_21_02_12" xfId="475"/>
    <cellStyle name="_Model_RAB Мой_NADB.JNVLS.APTEKA.2011(v1.3.3)" xfId="476"/>
    <cellStyle name="_Model_RAB Мой_NADB.JNVLS.APTEKA.2011(v1.3.3)_46TE.2011(v1.0)" xfId="477"/>
    <cellStyle name="_Model_RAB Мой_NADB.JNVLS.APTEKA.2011(v1.3.3)_INDEX.STATION.2012(v1.0)_" xfId="478"/>
    <cellStyle name="_Model_RAB Мой_NADB.JNVLS.APTEKA.2011(v1.3.3)_INDEX.STATION.2012(v2.0)" xfId="479"/>
    <cellStyle name="_Model_RAB Мой_NADB.JNVLS.APTEKA.2011(v1.3.3)_INDEX.STATION.2012(v2.1)" xfId="480"/>
    <cellStyle name="_Model_RAB Мой_NADB.JNVLS.APTEKA.2011(v1.3.3)_TEPLO.PREDEL.2012.M(v1.1)_test" xfId="481"/>
    <cellStyle name="_Model_RAB Мой_NADB.JNVLS.APTEKA.2011(v1.3.4)" xfId="482"/>
    <cellStyle name="_Model_RAB Мой_NADB.JNVLS.APTEKA.2011(v1.3.4)_46TE.2011(v1.0)" xfId="483"/>
    <cellStyle name="_Model_RAB Мой_NADB.JNVLS.APTEKA.2011(v1.3.4)_INDEX.STATION.2012(v1.0)_" xfId="484"/>
    <cellStyle name="_Model_RAB Мой_NADB.JNVLS.APTEKA.2011(v1.3.4)_INDEX.STATION.2012(v2.0)" xfId="485"/>
    <cellStyle name="_Model_RAB Мой_NADB.JNVLS.APTEKA.2011(v1.3.4)_INDEX.STATION.2012(v2.1)" xfId="486"/>
    <cellStyle name="_Model_RAB Мой_NADB.JNVLS.APTEKA.2011(v1.3.4)_TEPLO.PREDEL.2012.M(v1.1)_test" xfId="487"/>
    <cellStyle name="_Model_RAB Мой_PASSPORT.TEPLO.PROIZV(v2.0)" xfId="488"/>
    <cellStyle name="_Model_RAB Мой_PASSPORT.TEPLO.PROIZV(v2.1)" xfId="489"/>
    <cellStyle name="_Model_RAB Мой_PASSPORT.TEPLO.SETI(v0.7)" xfId="490"/>
    <cellStyle name="_Model_RAB Мой_PASSPORT.TEPLO.SETI(v1.0)" xfId="491"/>
    <cellStyle name="_Model_RAB Мой_PREDEL.JKH.UTV.2011(v1.0.1)" xfId="492"/>
    <cellStyle name="_Model_RAB Мой_PREDEL.JKH.UTV.2011(v1.0.1)_46TE.2011(v1.0)" xfId="493"/>
    <cellStyle name="_Model_RAB Мой_PREDEL.JKH.UTV.2011(v1.0.1)_INDEX.STATION.2012(v1.0)_" xfId="494"/>
    <cellStyle name="_Model_RAB Мой_PREDEL.JKH.UTV.2011(v1.0.1)_INDEX.STATION.2012(v2.0)" xfId="495"/>
    <cellStyle name="_Model_RAB Мой_PREDEL.JKH.UTV.2011(v1.0.1)_INDEX.STATION.2012(v2.1)" xfId="496"/>
    <cellStyle name="_Model_RAB Мой_PREDEL.JKH.UTV.2011(v1.0.1)_TEPLO.PREDEL.2012.M(v1.1)_test" xfId="497"/>
    <cellStyle name="_Model_RAB Мой_PREDEL.JKH.UTV.2011(v1.1)" xfId="498"/>
    <cellStyle name="_Model_RAB Мой_REP.BLR.2012(v1.0)" xfId="499"/>
    <cellStyle name="_Model_RAB Мой_TEHSHEET" xfId="500"/>
    <cellStyle name="_Model_RAB Мой_TEPLO.PREDEL.2012.M(v1.1)" xfId="501"/>
    <cellStyle name="_Model_RAB Мой_TEPLO.PREDEL.2013(v2.0)" xfId="502"/>
    <cellStyle name="_Model_RAB Мой_TEST.TEMPLATE" xfId="503"/>
    <cellStyle name="_Model_RAB Мой_UPDATE.46EE.2011.TO.1.1" xfId="504"/>
    <cellStyle name="_Model_RAB Мой_UPDATE.46TE.2011.TO.1.1" xfId="505"/>
    <cellStyle name="_Model_RAB Мой_UPDATE.46TE.2011.TO.1.2" xfId="506"/>
    <cellStyle name="_Model_RAB Мой_UPDATE.BALANCE.WARM.2011YEAR.TO.1.1" xfId="507"/>
    <cellStyle name="_Model_RAB Мой_UPDATE.BALANCE.WARM.2011YEAR.TO.1.1_46TE.2011(v1.0)" xfId="508"/>
    <cellStyle name="_Model_RAB Мой_UPDATE.BALANCE.WARM.2011YEAR.TO.1.1_INDEX.STATION.2012(v1.0)_" xfId="509"/>
    <cellStyle name="_Model_RAB Мой_UPDATE.BALANCE.WARM.2011YEAR.TO.1.1_INDEX.STATION.2012(v2.0)" xfId="510"/>
    <cellStyle name="_Model_RAB Мой_UPDATE.BALANCE.WARM.2011YEAR.TO.1.1_INDEX.STATION.2012(v2.1)" xfId="511"/>
    <cellStyle name="_Model_RAB Мой_UPDATE.BALANCE.WARM.2011YEAR.TO.1.1_OREP.KU.2011.MONTHLY.02(v1.1)" xfId="512"/>
    <cellStyle name="_Model_RAB Мой_UPDATE.BALANCE.WARM.2011YEAR.TO.1.1_TEPLO.PREDEL.2012.M(v1.1)_test" xfId="513"/>
    <cellStyle name="_Model_RAB Мой_UPDATE.BALANCE.WARM.2011YEAR.TO.1.2" xfId="514"/>
    <cellStyle name="_Model_RAB Мой_UPDATE.BALANCE.WARM.2011YEAR.TO.1.4.64" xfId="515"/>
    <cellStyle name="_Model_RAB Мой_UPDATE.BALANCE.WARM.2011YEAR.TO.1.5.64" xfId="516"/>
    <cellStyle name="_Model_RAB Мой_UPDATE.MONITORING.OS.EE.2.02.TO.1.3.64" xfId="517"/>
    <cellStyle name="_Model_RAB Мой_UPDATE.NADB.JNVLS.APTEKA.2011.TO.1.3.4" xfId="518"/>
    <cellStyle name="_Model_RAB Мой_Вариант с макс ИК" xfId="2841"/>
    <cellStyle name="_Model_RAB Мой_Модель расчет отправка" xfId="2842"/>
    <cellStyle name="_Model_RAB_MRSK_svod" xfId="519"/>
    <cellStyle name="_Model_RAB_MRSK_svod 2" xfId="520"/>
    <cellStyle name="_Model_RAB_MRSK_svod 2_OREP.KU.2011.MONTHLY.02(v0.1)" xfId="521"/>
    <cellStyle name="_Model_RAB_MRSK_svod 2_OREP.KU.2011.MONTHLY.02(v0.4)" xfId="522"/>
    <cellStyle name="_Model_RAB_MRSK_svod 2_OREP.KU.2011.MONTHLY.11(v1.4)" xfId="523"/>
    <cellStyle name="_Model_RAB_MRSK_svod 2_OREP.KU.2011.MONTHLY.11(v1.4)_UPDATE.BALANCE.WARM.2012YEAR.TO.1.1" xfId="524"/>
    <cellStyle name="_Model_RAB_MRSK_svod 2_OREP.KU.2011.MONTHLY.11(v1.4)_UPDATE.CALC.WARM.2012YEAR.TO.1.1" xfId="525"/>
    <cellStyle name="_Model_RAB_MRSK_svod 2_UPDATE.BALANCE.WARM.2012YEAR.TO.1.1" xfId="526"/>
    <cellStyle name="_Model_RAB_MRSK_svod 2_UPDATE.CALC.WARM.2012YEAR.TO.1.1" xfId="527"/>
    <cellStyle name="_Model_RAB_MRSK_svod 2_UPDATE.MONITORING.OS.EE.2.02.TO.1.3.64" xfId="528"/>
    <cellStyle name="_Model_RAB_MRSK_svod 2_UPDATE.OREP.KU.2011.MONTHLY.02.TO.1.2" xfId="529"/>
    <cellStyle name="_Model_RAB_MRSK_svod 3" xfId="2843"/>
    <cellStyle name="_Model_RAB_MRSK_svod 4" xfId="2844"/>
    <cellStyle name="_Model_RAB_MRSK_svod 5" xfId="2845"/>
    <cellStyle name="_Model_RAB_MRSK_svod 6" xfId="2846"/>
    <cellStyle name="_Model_RAB_MRSK_svod_46EE.2011(v1.0)" xfId="530"/>
    <cellStyle name="_Model_RAB_MRSK_svod_46EE.2011(v1.0)_46TE.2011(v1.0)" xfId="531"/>
    <cellStyle name="_Model_RAB_MRSK_svod_46EE.2011(v1.0)_INDEX.STATION.2012(v1.0)_" xfId="532"/>
    <cellStyle name="_Model_RAB_MRSK_svod_46EE.2011(v1.0)_INDEX.STATION.2012(v2.0)" xfId="533"/>
    <cellStyle name="_Model_RAB_MRSK_svod_46EE.2011(v1.0)_INDEX.STATION.2012(v2.1)" xfId="534"/>
    <cellStyle name="_Model_RAB_MRSK_svod_46EE.2011(v1.0)_TEPLO.PREDEL.2012.M(v1.1)_test" xfId="535"/>
    <cellStyle name="_Model_RAB_MRSK_svod_46EE.2011(v1.2)" xfId="536"/>
    <cellStyle name="_Model_RAB_MRSK_svod_46EP.2011(v2.0)" xfId="537"/>
    <cellStyle name="_Model_RAB_MRSK_svod_46EP.2012(v0.1)" xfId="538"/>
    <cellStyle name="_Model_RAB_MRSK_svod_46TE.2011(v1.0)" xfId="539"/>
    <cellStyle name="_Model_RAB_MRSK_svod_4DNS.UPDATE.EXAMPLE" xfId="540"/>
    <cellStyle name="_Model_RAB_MRSK_svod_ARMRAZR" xfId="541"/>
    <cellStyle name="_Model_RAB_MRSK_svod_BALANCE.WARM.2010.FACT(v1.0)" xfId="542"/>
    <cellStyle name="_Model_RAB_MRSK_svod_BALANCE.WARM.2010.PLAN" xfId="543"/>
    <cellStyle name="_Model_RAB_MRSK_svod_BALANCE.WARM.2011YEAR(v0.7)" xfId="544"/>
    <cellStyle name="_Model_RAB_MRSK_svod_BALANCE.WARM.2011YEAR.NEW.UPDATE.SCHEME" xfId="545"/>
    <cellStyle name="_Model_RAB_MRSK_svod_CALC.NORMATIV.KU(v0.2)" xfId="546"/>
    <cellStyle name="_Model_RAB_MRSK_svod_EE.2REK.P2011.4.78(v0.3)" xfId="547"/>
    <cellStyle name="_Model_RAB_MRSK_svod_FORM3.1.2013(v0.2)" xfId="548"/>
    <cellStyle name="_Model_RAB_MRSK_svod_FORM3.2013(v1.0)" xfId="549"/>
    <cellStyle name="_Model_RAB_MRSK_svod_FORM3.REG(v1.0)" xfId="550"/>
    <cellStyle name="_Model_RAB_MRSK_svod_FORM910.2012(v1.1)" xfId="551"/>
    <cellStyle name="_Model_RAB_MRSK_svod_INDEX.STATION.2012(v2.1)" xfId="552"/>
    <cellStyle name="_Model_RAB_MRSK_svod_INDEX.STATION.2013(v1.0)_патч до 1.1" xfId="553"/>
    <cellStyle name="_Model_RAB_MRSK_svod_INVEST.EE.PLAN.4.78(v0.1)" xfId="554"/>
    <cellStyle name="_Model_RAB_MRSK_svod_INVEST.EE.PLAN.4.78(v0.3)" xfId="555"/>
    <cellStyle name="_Model_RAB_MRSK_svod_INVEST.EE.PLAN.4.78(v1.0)" xfId="556"/>
    <cellStyle name="_Model_RAB_MRSK_svod_INVEST.EE.PLAN.4.78(v1.0)_PASSPORT.TEPLO.PROIZV(v2.0)" xfId="557"/>
    <cellStyle name="_Model_RAB_MRSK_svod_INVEST.EE.PLAN.4.78(v1.0)_PASSPORT.TEPLO.PROIZV(v2.0)_INDEX.STATION.2013(v1.0)_патч до 1.1" xfId="558"/>
    <cellStyle name="_Model_RAB_MRSK_svod_INVEST.EE.PLAN.4.78(v1.0)_PASSPORT.TEPLO.PROIZV(v2.0)_TEPLO.PREDEL.2013(v2.0)" xfId="559"/>
    <cellStyle name="_Model_RAB_MRSK_svod_INVEST.PLAN.4.78(v0.1)" xfId="560"/>
    <cellStyle name="_Model_RAB_MRSK_svod_INVEST.WARM.PLAN.4.78(v0.1)" xfId="561"/>
    <cellStyle name="_Model_RAB_MRSK_svod_INVEST_WARM_PLAN" xfId="562"/>
    <cellStyle name="_Model_RAB_MRSK_svod_NADB.JNVLP.APTEKA.2012(v1.0)_21_02_12" xfId="563"/>
    <cellStyle name="_Model_RAB_MRSK_svod_NADB.JNVLS.APTEKA.2011(v1.3.3)" xfId="564"/>
    <cellStyle name="_Model_RAB_MRSK_svod_NADB.JNVLS.APTEKA.2011(v1.3.3)_46TE.2011(v1.0)" xfId="565"/>
    <cellStyle name="_Model_RAB_MRSK_svod_NADB.JNVLS.APTEKA.2011(v1.3.3)_INDEX.STATION.2012(v1.0)_" xfId="566"/>
    <cellStyle name="_Model_RAB_MRSK_svod_NADB.JNVLS.APTEKA.2011(v1.3.3)_INDEX.STATION.2012(v2.0)" xfId="567"/>
    <cellStyle name="_Model_RAB_MRSK_svod_NADB.JNVLS.APTEKA.2011(v1.3.3)_INDEX.STATION.2012(v2.1)" xfId="568"/>
    <cellStyle name="_Model_RAB_MRSK_svod_NADB.JNVLS.APTEKA.2011(v1.3.3)_TEPLO.PREDEL.2012.M(v1.1)_test" xfId="569"/>
    <cellStyle name="_Model_RAB_MRSK_svod_NADB.JNVLS.APTEKA.2011(v1.3.4)" xfId="570"/>
    <cellStyle name="_Model_RAB_MRSK_svod_NADB.JNVLS.APTEKA.2011(v1.3.4)_46TE.2011(v1.0)" xfId="571"/>
    <cellStyle name="_Model_RAB_MRSK_svod_NADB.JNVLS.APTEKA.2011(v1.3.4)_INDEX.STATION.2012(v1.0)_" xfId="572"/>
    <cellStyle name="_Model_RAB_MRSK_svod_NADB.JNVLS.APTEKA.2011(v1.3.4)_INDEX.STATION.2012(v2.0)" xfId="573"/>
    <cellStyle name="_Model_RAB_MRSK_svod_NADB.JNVLS.APTEKA.2011(v1.3.4)_INDEX.STATION.2012(v2.1)" xfId="574"/>
    <cellStyle name="_Model_RAB_MRSK_svod_NADB.JNVLS.APTEKA.2011(v1.3.4)_TEPLO.PREDEL.2012.M(v1.1)_test" xfId="575"/>
    <cellStyle name="_Model_RAB_MRSK_svod_PASSPORT.TEPLO.PROIZV(v2.0)" xfId="576"/>
    <cellStyle name="_Model_RAB_MRSK_svod_PASSPORT.TEPLO.PROIZV(v2.1)" xfId="577"/>
    <cellStyle name="_Model_RAB_MRSK_svod_PASSPORT.TEPLO.SETI(v0.7)" xfId="578"/>
    <cellStyle name="_Model_RAB_MRSK_svod_PASSPORT.TEPLO.SETI(v1.0)" xfId="579"/>
    <cellStyle name="_Model_RAB_MRSK_svod_PREDEL.JKH.UTV.2011(v1.0.1)" xfId="580"/>
    <cellStyle name="_Model_RAB_MRSK_svod_PREDEL.JKH.UTV.2011(v1.0.1)_46TE.2011(v1.0)" xfId="581"/>
    <cellStyle name="_Model_RAB_MRSK_svod_PREDEL.JKH.UTV.2011(v1.0.1)_INDEX.STATION.2012(v1.0)_" xfId="582"/>
    <cellStyle name="_Model_RAB_MRSK_svod_PREDEL.JKH.UTV.2011(v1.0.1)_INDEX.STATION.2012(v2.0)" xfId="583"/>
    <cellStyle name="_Model_RAB_MRSK_svod_PREDEL.JKH.UTV.2011(v1.0.1)_INDEX.STATION.2012(v2.1)" xfId="584"/>
    <cellStyle name="_Model_RAB_MRSK_svod_PREDEL.JKH.UTV.2011(v1.0.1)_TEPLO.PREDEL.2012.M(v1.1)_test" xfId="585"/>
    <cellStyle name="_Model_RAB_MRSK_svod_PREDEL.JKH.UTV.2011(v1.1)" xfId="586"/>
    <cellStyle name="_Model_RAB_MRSK_svod_REP.BLR.2012(v1.0)" xfId="587"/>
    <cellStyle name="_Model_RAB_MRSK_svod_TEHSHEET" xfId="588"/>
    <cellStyle name="_Model_RAB_MRSK_svod_TEPLO.PREDEL.2012.M(v1.1)" xfId="589"/>
    <cellStyle name="_Model_RAB_MRSK_svod_TEPLO.PREDEL.2013(v2.0)" xfId="590"/>
    <cellStyle name="_Model_RAB_MRSK_svod_TEST.TEMPLATE" xfId="591"/>
    <cellStyle name="_Model_RAB_MRSK_svod_UPDATE.46EE.2011.TO.1.1" xfId="592"/>
    <cellStyle name="_Model_RAB_MRSK_svod_UPDATE.46TE.2011.TO.1.1" xfId="593"/>
    <cellStyle name="_Model_RAB_MRSK_svod_UPDATE.46TE.2011.TO.1.2" xfId="594"/>
    <cellStyle name="_Model_RAB_MRSK_svod_UPDATE.BALANCE.WARM.2011YEAR.TO.1.1" xfId="595"/>
    <cellStyle name="_Model_RAB_MRSK_svod_UPDATE.BALANCE.WARM.2011YEAR.TO.1.1_46TE.2011(v1.0)" xfId="596"/>
    <cellStyle name="_Model_RAB_MRSK_svod_UPDATE.BALANCE.WARM.2011YEAR.TO.1.1_INDEX.STATION.2012(v1.0)_" xfId="597"/>
    <cellStyle name="_Model_RAB_MRSK_svod_UPDATE.BALANCE.WARM.2011YEAR.TO.1.1_INDEX.STATION.2012(v2.0)" xfId="598"/>
    <cellStyle name="_Model_RAB_MRSK_svod_UPDATE.BALANCE.WARM.2011YEAR.TO.1.1_INDEX.STATION.2012(v2.1)" xfId="599"/>
    <cellStyle name="_Model_RAB_MRSK_svod_UPDATE.BALANCE.WARM.2011YEAR.TO.1.1_OREP.KU.2011.MONTHLY.02(v1.1)" xfId="600"/>
    <cellStyle name="_Model_RAB_MRSK_svod_UPDATE.BALANCE.WARM.2011YEAR.TO.1.1_TEPLO.PREDEL.2012.M(v1.1)_test" xfId="601"/>
    <cellStyle name="_Model_RAB_MRSK_svod_UPDATE.BALANCE.WARM.2011YEAR.TO.1.2" xfId="602"/>
    <cellStyle name="_Model_RAB_MRSK_svod_UPDATE.BALANCE.WARM.2011YEAR.TO.1.4.64" xfId="603"/>
    <cellStyle name="_Model_RAB_MRSK_svod_UPDATE.BALANCE.WARM.2011YEAR.TO.1.5.64" xfId="604"/>
    <cellStyle name="_Model_RAB_MRSK_svod_UPDATE.MONITORING.OS.EE.2.02.TO.1.3.64" xfId="605"/>
    <cellStyle name="_Model_RAB_MRSK_svod_UPDATE.NADB.JNVLS.APTEKA.2011.TO.1.3.4" xfId="606"/>
    <cellStyle name="_Model_RAB_MRSK_svod_Вариант с макс ИК" xfId="2847"/>
    <cellStyle name="_Model_RAB_MRSK_svod_Модель расчет отправка" xfId="2848"/>
    <cellStyle name="_Plug" xfId="29"/>
    <cellStyle name="_Plug_4DNS.UPDATE.EXAMPLE" xfId="607"/>
    <cellStyle name="_Plug_4DNS.UPDATE.EXAMPLE_INDEX.STATION.2013(v1.0)_патч до 1.1" xfId="608"/>
    <cellStyle name="_Plug_4DNS.UPDATE.EXAMPLE_TEPLO.PREDEL.2013(v2.1)_FST" xfId="2849"/>
    <cellStyle name="_Plug_4DNS.UPDATE.EXAMPLE_TEPLO.PREDEL.2013.FST_update1" xfId="2850"/>
    <cellStyle name="_Plug_Б1-УТВ.ТАРИФЫ" xfId="30"/>
    <cellStyle name="_Plug_Б1-УТВ.ТАРИФЫ_ТАБЛ_ГСР_ТЭЦ_2011_1" xfId="31"/>
    <cellStyle name="_Plug_Б2-УТВ.ТАРИФЫ" xfId="32"/>
    <cellStyle name="_Plug_Б2-УТВ.ТАРИФЫ_ТАБЛ_ГСР_ТЭЦ_2011_1" xfId="33"/>
    <cellStyle name="_Plug_Б4" xfId="34"/>
    <cellStyle name="_Plug_Б4_ТАБЛ_ГСР_ТЭЦ_2011_1" xfId="35"/>
    <cellStyle name="_Plug_Б4-УТВЕРЖДЕНО" xfId="36"/>
    <cellStyle name="_Plug_Б4-УТВЕРЖДЕНО_ТАБЛ_ГСР_ТЭЦ_2011_1" xfId="37"/>
    <cellStyle name="_Plug_Б5-УТВ.ТАРИФЫ" xfId="38"/>
    <cellStyle name="_Plug_Б5-УТВ.ТАРИФЫ_ТАБЛ_ГСР_ТЭЦ_2011_1" xfId="39"/>
    <cellStyle name="_Plug_Бюджет капитальных вложений - по Группе - 2009" xfId="40"/>
    <cellStyle name="_Plug_Бюджет капитальных вложений - по Группе - 2009_ТАБЛ_ГСР_ТЭЦ_2011_1" xfId="41"/>
    <cellStyle name="_Plug_Бюджет ФОТ" xfId="42"/>
    <cellStyle name="_Plug_Бюджет ФОТ_ТАБЛ_ГСР_ТЭЦ_2011_1" xfId="43"/>
    <cellStyle name="_Plug_Бюджет_тариф 2009" xfId="44"/>
    <cellStyle name="_Plug_Бюджет_тариф 2009_ТАБЛ_ГСР_ТЭЦ_2011_1" xfId="45"/>
    <cellStyle name="_Plug_Консолидация-по-ЮЛ" xfId="46"/>
    <cellStyle name="_Plug_Консолидация-по-ЮЛ_ТАБЛ_ГСР_ТЭЦ_2011_1" xfId="47"/>
    <cellStyle name="_Plug_Консолидация-по-ЮЛ-УТВ.ТАРИФЫ" xfId="48"/>
    <cellStyle name="_Plug_Консолидация-по-ЮЛ-УТВ.ТАРИФЫ_ТАБЛ_ГСР_ТЭЦ_2011_1" xfId="49"/>
    <cellStyle name="_Plug_КПЭ-Формат-05.12" xfId="50"/>
    <cellStyle name="_Plug_КПЭ-Формат-05.12_Б4-УТВЕРЖДЕНО" xfId="51"/>
    <cellStyle name="_Plug_КПЭ-Формат-05.12_Б4-УТВЕРЖДЕНО_ТАБЛ_ГСР_ТЭЦ_2011_1" xfId="52"/>
    <cellStyle name="_Plug_КПЭ-Формат-05.12_ТАБЛ_ГСР_ТЭЦ_2011_1" xfId="53"/>
    <cellStyle name="_Plug_расчет % за пользование кредитом на 2011год" xfId="54"/>
    <cellStyle name="_Plug_Расшифровка для аудита 2011 КСК" xfId="55"/>
    <cellStyle name="_Plug_ТАБЛ_КСК_2011" xfId="56"/>
    <cellStyle name="_Plug_ФОТ 2009-2008" xfId="57"/>
    <cellStyle name="_Plug_ФОТ 2009-2008_ТАБЛ_ГСР_ТЭЦ_2011_1" xfId="58"/>
    <cellStyle name="_Plug_ЦФО-зам.директора по ремонтам-КРиТР" xfId="59"/>
    <cellStyle name="_Plug_ЦФО-зам.директора по ремонтам-КРиТР_ТАБЛ_ГСР_ТЭЦ_2011_1" xfId="60"/>
    <cellStyle name="_Plug_ЦФО-ИД Б8-2009-УТВЕРЖДЕНО." xfId="61"/>
    <cellStyle name="_Plug_ЦФО-ИД Б8-2009-УТВЕРЖДЕНО._ТАБЛ_ГСР_ТЭЦ_2011_1" xfId="62"/>
    <cellStyle name="_RP-2000" xfId="2851"/>
    <cellStyle name="_SZNP - Eqiuty Roll" xfId="2852"/>
    <cellStyle name="_SZNP - rasshifrovki-002000-333" xfId="2853"/>
    <cellStyle name="_SZNP - TRS-092000" xfId="2854"/>
    <cellStyle name="_Worksheet in   Deferred tax" xfId="2855"/>
    <cellStyle name="_Worksheet in   IFRS-RAS-TAX" xfId="2856"/>
    <cellStyle name="_Worksheet in   Reconciliation RAS" xfId="2857"/>
    <cellStyle name="_Worksheet in  XXX  Disclosures" xfId="2858"/>
    <cellStyle name="_Worksheet in (C) 5441-SNH Inventory Test" xfId="2859"/>
    <cellStyle name="_Worksheet in 5341-SNH Receivables Test" xfId="2860"/>
    <cellStyle name="_Worksheet in 6551 Deferred Tax Workpapers (RAS) - Template" xfId="2861"/>
    <cellStyle name="_Worksheet in 6551 KZ Deferred tax" xfId="2862"/>
    <cellStyle name="_Worksheet in 6551A Deferred Tax Workpapers (IFRS) - Template" xfId="2863"/>
    <cellStyle name="_Анализ Долговой позиции на 2005 г" xfId="2864"/>
    <cellStyle name="_Анализ Долговой позиции на 2005 г_КАЛЬК ТГК (ТО ЧТО НА МАХ ГЕННЕРАЦИЮ)" xfId="2865"/>
    <cellStyle name="_аполнение по ст. 19. и 7.10" xfId="2866"/>
    <cellStyle name="_Аренда земли и имущества 2010" xfId="2867"/>
    <cellStyle name="_АРМ_БП_РСК_V6.1.unprotec" xfId="63"/>
    <cellStyle name="_АТП_ второй (третий) вариант" xfId="2868"/>
    <cellStyle name="_Б1 упр вариант 28_02_08" xfId="64"/>
    <cellStyle name="_Б1 упр вариант 28_02_08_Анализ_Calc А2" xfId="65"/>
    <cellStyle name="_Б1 упр вариант 28_02_08_Б4-УТВЕРЖДЕНО" xfId="66"/>
    <cellStyle name="_Б1 упр вариант 28_02_08_ЦФО-ИД Б8-2009-УТВЕРЖДЕНО." xfId="67"/>
    <cellStyle name="_ББюджетные формы.Инвестиции" xfId="68"/>
    <cellStyle name="_ББюджетные формы.Расходы" xfId="69"/>
    <cellStyle name="_БДДС" xfId="2869"/>
    <cellStyle name="_Бизнес план 2007 мес. 21.03.2007" xfId="2870"/>
    <cellStyle name="_Бизнес-план 2007 по м-цам" xfId="2871"/>
    <cellStyle name="_бизнес-план на 2005 год" xfId="2872"/>
    <cellStyle name="_бизнес-план на 2005 год 2" xfId="2873"/>
    <cellStyle name="_Б-П 2006г по месяцам 27 03 06" xfId="2874"/>
    <cellStyle name="_Б-П 2006г по месяцам 27 03 06 первонач" xfId="2875"/>
    <cellStyle name="_Б-П 2006г по месяцам 27 03 06 первонач 2" xfId="2876"/>
    <cellStyle name="_Б-П 2006г по месяцам 27 03 06 первонач_Разбивка прибыли_12 мес_2010" xfId="2877"/>
    <cellStyle name="_Б-П 2006г по месяцам 27 03 06_Разбивка прибыли_12 мес_2010" xfId="2878"/>
    <cellStyle name="_Б-П 2006г по месяцам 31 05 06_2посл коорект" xfId="2879"/>
    <cellStyle name="_Б-П 2006г по месяцам 31 05 06_2посл коорект 2" xfId="2880"/>
    <cellStyle name="_Б-П 2006г по месяцам 31 05 06_2посл коорект_Разбивка прибыли_12 мес_2010" xfId="2881"/>
    <cellStyle name="_БП 2008 Филиала Кольский по приказу №12" xfId="2882"/>
    <cellStyle name="_БП КГК 4 кв_12-10" xfId="2883"/>
    <cellStyle name="_БП КГК 4 кв_12-10_КАЛЬК ТГК (ТО ЧТО НА МАХ ГЕННЕРАЦИЮ)" xfId="2884"/>
    <cellStyle name="_БП Невского филиала" xfId="2885"/>
    <cellStyle name="_БП прогн 2007 Операц. внер 1,075 1" xfId="2886"/>
    <cellStyle name="_БП прогн 2007 Операц. внер 1,075 1 (1)" xfId="2887"/>
    <cellStyle name="_БП прогн 2007 Операц. внер 1,075 1 (1)_КАЛЬК ТГК (ТО ЧТО НА МАХ ГЕННЕРАЦИЮ)" xfId="2888"/>
    <cellStyle name="_БП прогн 2007 Операц. внер 1,075 1_КАЛЬК ТГК (ТО ЧТО НА МАХ ГЕННЕРАЦИЮ)" xfId="2889"/>
    <cellStyle name="_БП_2006_НФ" xfId="2890"/>
    <cellStyle name="_БП_2006_НФ_КАЛЬК ТГК (ТО ЧТО НА МАХ ГЕННЕРАЦИЮ)" xfId="2891"/>
    <cellStyle name="_БР августа с наполнением" xfId="2892"/>
    <cellStyle name="_БР на сентябрь" xfId="2893"/>
    <cellStyle name="_бр октября" xfId="2894"/>
    <cellStyle name="_Бюджет 11111" xfId="2895"/>
    <cellStyle name="_Бюджет 2008г_КСК утвержденный МО" xfId="70"/>
    <cellStyle name="_Бюджет 2008г_КСК утвержденный МО_Анализ_Calc А2" xfId="71"/>
    <cellStyle name="_Бюджет 2008г_УК утвержденный МО" xfId="72"/>
    <cellStyle name="_Бюджет 2008г_УК утвержденный МО_Анализ_Calc А2" xfId="73"/>
    <cellStyle name="_БЮДЖЕТ декабрь  2007 с данными ТГК-1" xfId="2896"/>
    <cellStyle name="_Бюджет капитальных вложений - по Группе - 2009" xfId="74"/>
    <cellStyle name="_Бюджет капитальных вложений - по Группе - 2009_Анализ_Calc А2" xfId="75"/>
    <cellStyle name="_БЮДЖЕТ на сентябрь 2007" xfId="2897"/>
    <cellStyle name="_Бюджет ФОТ" xfId="76"/>
    <cellStyle name="_Бюджет ФОТ_Анализ_Calc А2" xfId="77"/>
    <cellStyle name="_Бюджет2006_ПОКАЗАТЕЛИ СВОДНЫЕ" xfId="78"/>
    <cellStyle name="_Бюджет2006_ПОКАЗАТЕЛИ СВОДНЫЕ 2" xfId="609"/>
    <cellStyle name="_Бюджет2006_ПОКАЗАТЕЛИ СВОДНЫЕ_Анализ_Calc А2" xfId="79"/>
    <cellStyle name="_Бюджет2006_ПОКАЗАТЕЛИ СВОДНЫЕ_Б4-УТВЕРЖДЕНО" xfId="80"/>
    <cellStyle name="_Бюджет2006_ПОКАЗАТЕЛИ СВОДНЫЕ_Бюджет_тариф 2009" xfId="81"/>
    <cellStyle name="_Бюджет2006_ПОКАЗАТЕЛИ СВОДНЫЕ_ЦФО-ИД Б8-2009-УТВЕРЖДЕНО." xfId="82"/>
    <cellStyle name="_Бюджетные формы. Закупки" xfId="83"/>
    <cellStyle name="_Бюджетные формы.Доходы" xfId="84"/>
    <cellStyle name="_Бюджетные формы.Расходы_19.10.07" xfId="85"/>
    <cellStyle name="_Бюджетные формы.Финансы" xfId="86"/>
    <cellStyle name="_Бюджетные формы.ФинБюджеты" xfId="87"/>
    <cellStyle name="_Внутригруппа Обороты расхождения" xfId="2898"/>
    <cellStyle name="_ВО ОП ТЭС-ОТ- 2007" xfId="610"/>
    <cellStyle name="_ВО ОП ТЭС-ОТ- 2007_Новая инструкция1_фст" xfId="611"/>
    <cellStyle name="_ВФ ОАО ТЭС-ОТ- 2009" xfId="612"/>
    <cellStyle name="_ВФ ОАО ТЭС-ОТ- 2009_Новая инструкция1_фст" xfId="613"/>
    <cellStyle name="_Выполнение. 2007" xfId="2899"/>
    <cellStyle name="_выручка по присоединениям2" xfId="88"/>
    <cellStyle name="_выручка по присоединениям2 2" xfId="614"/>
    <cellStyle name="_выручка по присоединениям2_Новая инструкция1_фст" xfId="615"/>
    <cellStyle name="_Выручка_анализ по филиалам_апрель" xfId="2900"/>
    <cellStyle name="_Выручка_анализ по филиалам_май" xfId="2901"/>
    <cellStyle name="_ГКПЗ 2009.Прочие" xfId="2902"/>
    <cellStyle name="_ГУП ТЭК 2010-2012 1" xfId="2903"/>
    <cellStyle name="_Договор аренды ЯЭ с разбивкой" xfId="616"/>
    <cellStyle name="_Договор аренды ЯЭ с разбивкой_Новая инструкция1_фст" xfId="617"/>
    <cellStyle name="_Доходы, финансовые бюджеты" xfId="89"/>
    <cellStyle name="_Ежемес разбивка по филиалам на 2009 г _февраль (2)" xfId="2904"/>
    <cellStyle name="_Ежемес разбивка по филиалам на 2009 г _февраль (3)" xfId="2905"/>
    <cellStyle name="_Ежемесячная квота 2007  тправка 09 апреля" xfId="2906"/>
    <cellStyle name="_Ежемесячный план 2008 помесячно" xfId="2907"/>
    <cellStyle name="_Ежемесячный план 2008 помесячно_Разбивка прибыли_12 мес_2010" xfId="2908"/>
    <cellStyle name="_Защита ФЗП" xfId="90"/>
    <cellStyle name="_Защита ФЗП 2" xfId="618"/>
    <cellStyle name="_Защита ФЗП_Анализ_Calc А2" xfId="91"/>
    <cellStyle name="_Защита ФЗП_Бюджет_тариф 2009" xfId="92"/>
    <cellStyle name="_Заявка на квоту по ст. 7.4.4. на июль 08._ф. Кольский" xfId="2909"/>
    <cellStyle name="_Заявка на квоту по ст. 7.4.6. на июль 08г._ф. Кольский" xfId="2910"/>
    <cellStyle name="_Инвест. программа-лизинг(Яковлев)" xfId="93"/>
    <cellStyle name="_Инвестиционная программа" xfId="94"/>
    <cellStyle name="_Инвестиционная программа_Анализ_Calc А2" xfId="95"/>
    <cellStyle name="_Инвестиционная программа_Б4-УТВЕРЖДЕНО" xfId="96"/>
    <cellStyle name="_Инвестиционная программа_ЦФО-ИД Б8-2009-УТВЕРЖДЕНО." xfId="97"/>
    <cellStyle name="_Инвестпрограмма на 2007 г." xfId="619"/>
    <cellStyle name="_Информация для филиалов" xfId="2911"/>
    <cellStyle name="_Информация для филиалов 2" xfId="2912"/>
    <cellStyle name="_Информация для филиалов_Разбивка прибыли_12 мес_2010" xfId="2913"/>
    <cellStyle name="_ИП" xfId="2914"/>
    <cellStyle name="_ИП, ПП для финмодели ВЭК" xfId="2915"/>
    <cellStyle name="_Исходные данные для модели" xfId="620"/>
    <cellStyle name="_Исходные данные для модели_Новая инструкция1_фст" xfId="621"/>
    <cellStyle name="_итоговый файл 1" xfId="98"/>
    <cellStyle name="_КАЛЬК ТГК (ТО ЧТО НА МАХ ГЕННЕРАЦИЮ)" xfId="2916"/>
    <cellStyle name="_Карельский филиал" xfId="2917"/>
    <cellStyle name="_Карельский филиал_приказ №12" xfId="2918"/>
    <cellStyle name="_Карельский филиал_Разбивка прибыли_12 мес_2010" xfId="2919"/>
    <cellStyle name="_Карельский_GES.2007.5_исп" xfId="2920"/>
    <cellStyle name="_Карельский_GES.2007.5_исп_КАЛЬК ТГК (ТО ЧТО НА МАХ ГЕННЕРАЦИЮ)" xfId="2921"/>
    <cellStyle name="_Карельский_GRES.2007.5_исп" xfId="2922"/>
    <cellStyle name="_Карельский_GRES.2007.5_исп_КАЛЬК ТГК (ТО ЧТО НА МАХ ГЕННЕРАЦИЮ)" xfId="2923"/>
    <cellStyle name="_КВОТА ОМТО к бюджету апрель" xfId="2924"/>
    <cellStyle name="_КВОТА ОМТО к бюджету май" xfId="2925"/>
    <cellStyle name="_КВОТА ОМТО к бюджету март " xfId="2926"/>
    <cellStyle name="_КВОТА ОМТО к бюджету февраль " xfId="2927"/>
    <cellStyle name="_квота_сентябрь" xfId="2928"/>
    <cellStyle name="_КЗ и прочие_Таня_с изменениями" xfId="2929"/>
    <cellStyle name="_Книга1" xfId="99"/>
    <cellStyle name="_Книга1 (5)" xfId="2930"/>
    <cellStyle name="_Книга1 2" xfId="2931"/>
    <cellStyle name="_Книга1_1" xfId="2932"/>
    <cellStyle name="_Книга3" xfId="2933"/>
    <cellStyle name="_Книга3_Доходы-Расходы" xfId="2934"/>
    <cellStyle name="_Книга4" xfId="2935"/>
    <cellStyle name="_Кольский филиал_На январь 2008 г._7.1" xfId="2936"/>
    <cellStyle name="_Кольский филиал_На январь 2008 г._9" xfId="2937"/>
    <cellStyle name="_Кольский филиал_приказ №12" xfId="2938"/>
    <cellStyle name="_Кольский филиал_ПТО  затраты по статье 6.1на январь" xfId="2939"/>
    <cellStyle name="_КОНВЕРТАТОР_15.02.06" xfId="2940"/>
    <cellStyle name="_КОНВЕРТАТОР_15.02.06_КАЛЬК ТГК (ТО ЧТО НА МАХ ГЕННЕРАЦИЮ)" xfId="2941"/>
    <cellStyle name="_Консолидация-2008-проект-new" xfId="100"/>
    <cellStyle name="_Консолидация-2008-проект-new 2" xfId="622"/>
    <cellStyle name="_Консолидация-2008-проект-new_Анализ_Calc А2" xfId="101"/>
    <cellStyle name="_Консолидация-2008-проект-new_Бюджет_тариф 2009" xfId="102"/>
    <cellStyle name="_Копия Программа первоочередных мер_(правка 18 05 06 Усаров_2А_3)" xfId="103"/>
    <cellStyle name="_Копия Форматы УУ15" xfId="104"/>
    <cellStyle name="_Лизинг" xfId="2942"/>
    <cellStyle name="_лимит по МТЭЦ согласованный" xfId="2943"/>
    <cellStyle name="_лимиты III кв 2007 раб" xfId="2944"/>
    <cellStyle name="_Лист2" xfId="2945"/>
    <cellStyle name="_Лист2_НМА" xfId="2946"/>
    <cellStyle name="_Лист2_ОС 2006" xfId="2947"/>
    <cellStyle name="_Лист2_ОС_2" xfId="2948"/>
    <cellStyle name="_МОДЕЛЬ_1 (2)" xfId="623"/>
    <cellStyle name="_МОДЕЛЬ_1 (2) 2" xfId="624"/>
    <cellStyle name="_МОДЕЛЬ_1 (2) 2_OREP.KU.2011.MONTHLY.02(v0.1)" xfId="625"/>
    <cellStyle name="_МОДЕЛЬ_1 (2) 2_OREP.KU.2011.MONTHLY.02(v0.4)" xfId="626"/>
    <cellStyle name="_МОДЕЛЬ_1 (2) 2_OREP.KU.2011.MONTHLY.11(v1.4)" xfId="627"/>
    <cellStyle name="_МОДЕЛЬ_1 (2) 2_OREP.KU.2011.MONTHLY.11(v1.4)_UPDATE.BALANCE.WARM.2012YEAR.TO.1.1" xfId="628"/>
    <cellStyle name="_МОДЕЛЬ_1 (2) 2_OREP.KU.2011.MONTHLY.11(v1.4)_UPDATE.CALC.WARM.2012YEAR.TO.1.1" xfId="629"/>
    <cellStyle name="_МОДЕЛЬ_1 (2) 2_UPDATE.BALANCE.WARM.2012YEAR.TO.1.1" xfId="630"/>
    <cellStyle name="_МОДЕЛЬ_1 (2) 2_UPDATE.CALC.WARM.2012YEAR.TO.1.1" xfId="631"/>
    <cellStyle name="_МОДЕЛЬ_1 (2) 2_UPDATE.MONITORING.OS.EE.2.02.TO.1.3.64" xfId="632"/>
    <cellStyle name="_МОДЕЛЬ_1 (2) 2_UPDATE.OREP.KU.2011.MONTHLY.02.TO.1.2" xfId="633"/>
    <cellStyle name="_МОДЕЛЬ_1 (2) 3" xfId="2949"/>
    <cellStyle name="_МОДЕЛЬ_1 (2) 4" xfId="2950"/>
    <cellStyle name="_МОДЕЛЬ_1 (2) 5" xfId="2951"/>
    <cellStyle name="_МОДЕЛЬ_1 (2) 6" xfId="2952"/>
    <cellStyle name="_МОДЕЛЬ_1 (2)_46EE.2011(v1.0)" xfId="634"/>
    <cellStyle name="_МОДЕЛЬ_1 (2)_46EE.2011(v1.0)_46TE.2011(v1.0)" xfId="635"/>
    <cellStyle name="_МОДЕЛЬ_1 (2)_46EE.2011(v1.0)_INDEX.STATION.2012(v1.0)_" xfId="636"/>
    <cellStyle name="_МОДЕЛЬ_1 (2)_46EE.2011(v1.0)_INDEX.STATION.2012(v2.0)" xfId="637"/>
    <cellStyle name="_МОДЕЛЬ_1 (2)_46EE.2011(v1.0)_INDEX.STATION.2012(v2.1)" xfId="638"/>
    <cellStyle name="_МОДЕЛЬ_1 (2)_46EE.2011(v1.0)_TEPLO.PREDEL.2012.M(v1.1)_test" xfId="639"/>
    <cellStyle name="_МОДЕЛЬ_1 (2)_46EE.2011(v1.2)" xfId="640"/>
    <cellStyle name="_МОДЕЛЬ_1 (2)_46EP.2011(v2.0)" xfId="641"/>
    <cellStyle name="_МОДЕЛЬ_1 (2)_46EP.2012(v0.1)" xfId="642"/>
    <cellStyle name="_МОДЕЛЬ_1 (2)_46TE.2011(v1.0)" xfId="643"/>
    <cellStyle name="_МОДЕЛЬ_1 (2)_4DNS.UPDATE.EXAMPLE" xfId="644"/>
    <cellStyle name="_МОДЕЛЬ_1 (2)_ARMRAZR" xfId="645"/>
    <cellStyle name="_МОДЕЛЬ_1 (2)_BALANCE.WARM.2010.FACT(v1.0)" xfId="646"/>
    <cellStyle name="_МОДЕЛЬ_1 (2)_BALANCE.WARM.2010.PLAN" xfId="647"/>
    <cellStyle name="_МОДЕЛЬ_1 (2)_BALANCE.WARM.2011YEAR(v0.7)" xfId="648"/>
    <cellStyle name="_МОДЕЛЬ_1 (2)_BALANCE.WARM.2011YEAR.NEW.UPDATE.SCHEME" xfId="649"/>
    <cellStyle name="_МОДЕЛЬ_1 (2)_CALC.NORMATIV.KU(v0.2)" xfId="650"/>
    <cellStyle name="_МОДЕЛЬ_1 (2)_EE.2REK.P2011.4.78(v0.3)" xfId="651"/>
    <cellStyle name="_МОДЕЛЬ_1 (2)_FORM3.1.2013(v0.2)" xfId="652"/>
    <cellStyle name="_МОДЕЛЬ_1 (2)_FORM3.2013(v1.0)" xfId="653"/>
    <cellStyle name="_МОДЕЛЬ_1 (2)_FORM3.REG(v1.0)" xfId="654"/>
    <cellStyle name="_МОДЕЛЬ_1 (2)_FORM910.2012(v1.1)" xfId="655"/>
    <cellStyle name="_МОДЕЛЬ_1 (2)_INDEX.STATION.2012(v2.1)" xfId="656"/>
    <cellStyle name="_МОДЕЛЬ_1 (2)_INDEX.STATION.2013(v1.0)_патч до 1.1" xfId="657"/>
    <cellStyle name="_МОДЕЛЬ_1 (2)_INVEST.EE.PLAN.4.78(v0.1)" xfId="658"/>
    <cellStyle name="_МОДЕЛЬ_1 (2)_INVEST.EE.PLAN.4.78(v0.3)" xfId="659"/>
    <cellStyle name="_МОДЕЛЬ_1 (2)_INVEST.EE.PLAN.4.78(v1.0)" xfId="660"/>
    <cellStyle name="_МОДЕЛЬ_1 (2)_INVEST.EE.PLAN.4.78(v1.0)_PASSPORT.TEPLO.PROIZV(v2.0)" xfId="661"/>
    <cellStyle name="_МОДЕЛЬ_1 (2)_INVEST.EE.PLAN.4.78(v1.0)_PASSPORT.TEPLO.PROIZV(v2.0)_INDEX.STATION.2013(v1.0)_патч до 1.1" xfId="662"/>
    <cellStyle name="_МОДЕЛЬ_1 (2)_INVEST.EE.PLAN.4.78(v1.0)_PASSPORT.TEPLO.PROIZV(v2.0)_TEPLO.PREDEL.2013(v2.0)" xfId="663"/>
    <cellStyle name="_МОДЕЛЬ_1 (2)_INVEST.PLAN.4.78(v0.1)" xfId="664"/>
    <cellStyle name="_МОДЕЛЬ_1 (2)_INVEST.WARM.PLAN.4.78(v0.1)" xfId="665"/>
    <cellStyle name="_МОДЕЛЬ_1 (2)_INVEST_WARM_PLAN" xfId="666"/>
    <cellStyle name="_МОДЕЛЬ_1 (2)_NADB.JNVLP.APTEKA.2012(v1.0)_21_02_12" xfId="667"/>
    <cellStyle name="_МОДЕЛЬ_1 (2)_NADB.JNVLS.APTEKA.2011(v1.3.3)" xfId="668"/>
    <cellStyle name="_МОДЕЛЬ_1 (2)_NADB.JNVLS.APTEKA.2011(v1.3.3)_46TE.2011(v1.0)" xfId="669"/>
    <cellStyle name="_МОДЕЛЬ_1 (2)_NADB.JNVLS.APTEKA.2011(v1.3.3)_INDEX.STATION.2012(v1.0)_" xfId="670"/>
    <cellStyle name="_МОДЕЛЬ_1 (2)_NADB.JNVLS.APTEKA.2011(v1.3.3)_INDEX.STATION.2012(v2.0)" xfId="671"/>
    <cellStyle name="_МОДЕЛЬ_1 (2)_NADB.JNVLS.APTEKA.2011(v1.3.3)_INDEX.STATION.2012(v2.1)" xfId="672"/>
    <cellStyle name="_МОДЕЛЬ_1 (2)_NADB.JNVLS.APTEKA.2011(v1.3.3)_TEPLO.PREDEL.2012.M(v1.1)_test" xfId="673"/>
    <cellStyle name="_МОДЕЛЬ_1 (2)_NADB.JNVLS.APTEKA.2011(v1.3.4)" xfId="674"/>
    <cellStyle name="_МОДЕЛЬ_1 (2)_NADB.JNVLS.APTEKA.2011(v1.3.4)_46TE.2011(v1.0)" xfId="675"/>
    <cellStyle name="_МОДЕЛЬ_1 (2)_NADB.JNVLS.APTEKA.2011(v1.3.4)_INDEX.STATION.2012(v1.0)_" xfId="676"/>
    <cellStyle name="_МОДЕЛЬ_1 (2)_NADB.JNVLS.APTEKA.2011(v1.3.4)_INDEX.STATION.2012(v2.0)" xfId="677"/>
    <cellStyle name="_МОДЕЛЬ_1 (2)_NADB.JNVLS.APTEKA.2011(v1.3.4)_INDEX.STATION.2012(v2.1)" xfId="678"/>
    <cellStyle name="_МОДЕЛЬ_1 (2)_NADB.JNVLS.APTEKA.2011(v1.3.4)_TEPLO.PREDEL.2012.M(v1.1)_test" xfId="679"/>
    <cellStyle name="_МОДЕЛЬ_1 (2)_PASSPORT.TEPLO.PROIZV(v2.0)" xfId="680"/>
    <cellStyle name="_МОДЕЛЬ_1 (2)_PASSPORT.TEPLO.PROIZV(v2.1)" xfId="681"/>
    <cellStyle name="_МОДЕЛЬ_1 (2)_PASSPORT.TEPLO.SETI(v0.7)" xfId="682"/>
    <cellStyle name="_МОДЕЛЬ_1 (2)_PASSPORT.TEPLO.SETI(v1.0)" xfId="683"/>
    <cellStyle name="_МОДЕЛЬ_1 (2)_PREDEL.JKH.UTV.2011(v1.0.1)" xfId="684"/>
    <cellStyle name="_МОДЕЛЬ_1 (2)_PREDEL.JKH.UTV.2011(v1.0.1)_46TE.2011(v1.0)" xfId="685"/>
    <cellStyle name="_МОДЕЛЬ_1 (2)_PREDEL.JKH.UTV.2011(v1.0.1)_INDEX.STATION.2012(v1.0)_" xfId="686"/>
    <cellStyle name="_МОДЕЛЬ_1 (2)_PREDEL.JKH.UTV.2011(v1.0.1)_INDEX.STATION.2012(v2.0)" xfId="687"/>
    <cellStyle name="_МОДЕЛЬ_1 (2)_PREDEL.JKH.UTV.2011(v1.0.1)_INDEX.STATION.2012(v2.1)" xfId="688"/>
    <cellStyle name="_МОДЕЛЬ_1 (2)_PREDEL.JKH.UTV.2011(v1.0.1)_TEPLO.PREDEL.2012.M(v1.1)_test" xfId="689"/>
    <cellStyle name="_МОДЕЛЬ_1 (2)_PREDEL.JKH.UTV.2011(v1.1)" xfId="690"/>
    <cellStyle name="_МОДЕЛЬ_1 (2)_REP.BLR.2012(v1.0)" xfId="691"/>
    <cellStyle name="_МОДЕЛЬ_1 (2)_TEHSHEET" xfId="692"/>
    <cellStyle name="_МОДЕЛЬ_1 (2)_TEPLO.PREDEL.2012.M(v1.1)" xfId="693"/>
    <cellStyle name="_МОДЕЛЬ_1 (2)_TEPLO.PREDEL.2013(v2.0)" xfId="694"/>
    <cellStyle name="_МОДЕЛЬ_1 (2)_TEST.TEMPLATE" xfId="695"/>
    <cellStyle name="_МОДЕЛЬ_1 (2)_UPDATE.46EE.2011.TO.1.1" xfId="696"/>
    <cellStyle name="_МОДЕЛЬ_1 (2)_UPDATE.46TE.2011.TO.1.1" xfId="697"/>
    <cellStyle name="_МОДЕЛЬ_1 (2)_UPDATE.46TE.2011.TO.1.2" xfId="698"/>
    <cellStyle name="_МОДЕЛЬ_1 (2)_UPDATE.BALANCE.WARM.2011YEAR.TO.1.1" xfId="699"/>
    <cellStyle name="_МОДЕЛЬ_1 (2)_UPDATE.BALANCE.WARM.2011YEAR.TO.1.1_46TE.2011(v1.0)" xfId="700"/>
    <cellStyle name="_МОДЕЛЬ_1 (2)_UPDATE.BALANCE.WARM.2011YEAR.TO.1.1_INDEX.STATION.2012(v1.0)_" xfId="701"/>
    <cellStyle name="_МОДЕЛЬ_1 (2)_UPDATE.BALANCE.WARM.2011YEAR.TO.1.1_INDEX.STATION.2012(v2.0)" xfId="702"/>
    <cellStyle name="_МОДЕЛЬ_1 (2)_UPDATE.BALANCE.WARM.2011YEAR.TO.1.1_INDEX.STATION.2012(v2.1)" xfId="703"/>
    <cellStyle name="_МОДЕЛЬ_1 (2)_UPDATE.BALANCE.WARM.2011YEAR.TO.1.1_OREP.KU.2011.MONTHLY.02(v1.1)" xfId="704"/>
    <cellStyle name="_МОДЕЛЬ_1 (2)_UPDATE.BALANCE.WARM.2011YEAR.TO.1.1_TEPLO.PREDEL.2012.M(v1.1)_test" xfId="705"/>
    <cellStyle name="_МОДЕЛЬ_1 (2)_UPDATE.BALANCE.WARM.2011YEAR.TO.1.2" xfId="706"/>
    <cellStyle name="_МОДЕЛЬ_1 (2)_UPDATE.BALANCE.WARM.2011YEAR.TO.1.4.64" xfId="707"/>
    <cellStyle name="_МОДЕЛЬ_1 (2)_UPDATE.BALANCE.WARM.2011YEAR.TO.1.5.64" xfId="708"/>
    <cellStyle name="_МОДЕЛЬ_1 (2)_UPDATE.MONITORING.OS.EE.2.02.TO.1.3.64" xfId="709"/>
    <cellStyle name="_МОДЕЛЬ_1 (2)_UPDATE.NADB.JNVLS.APTEKA.2011.TO.1.3.4" xfId="710"/>
    <cellStyle name="_МОДЕЛЬ_1 (2)_Вариант с макс ИК" xfId="2953"/>
    <cellStyle name="_МОДЕЛЬ_1 (2)_Модель расчет отправка" xfId="2954"/>
    <cellStyle name="_наполенение апрель 2008" xfId="2955"/>
    <cellStyle name="_наполенение май 2008" xfId="2956"/>
    <cellStyle name="_Наполнение за декабрь 2007г (2)" xfId="2957"/>
    <cellStyle name="_Наполнение за октябрь (1)" xfId="2958"/>
    <cellStyle name="_Наполнение на апрель_2008" xfId="2959"/>
    <cellStyle name="_Наполнение на март_2008" xfId="2960"/>
    <cellStyle name="_наполнение статей  отделов и лимиты ТГК" xfId="2961"/>
    <cellStyle name="_НВВ 2009 постатейно свод по филиалам_09_02_09" xfId="711"/>
    <cellStyle name="_НВВ 2009 постатейно свод по филиалам_09_02_09_Новая инструкция1_фст" xfId="712"/>
    <cellStyle name="_НВВ 2009 постатейно свод по филиалам_для Валентина" xfId="713"/>
    <cellStyle name="_НВВ 2009 постатейно свод по филиалам_для Валентина_Новая инструкция1_фст" xfId="714"/>
    <cellStyle name="_НФ_2008 (version 2)" xfId="2962"/>
    <cellStyle name="_НФ_2008 (version 2) 2" xfId="2963"/>
    <cellStyle name="_НФ_2008 (version 2)_Разбивка прибыли_12 мес_2010" xfId="2964"/>
    <cellStyle name="_Обсужденные корректировочные проводки - последняя версия" xfId="2965"/>
    <cellStyle name="_Ожид 3 и 4 квартал" xfId="2966"/>
    <cellStyle name="_Ожид 3 и 4 квартал_Разбивка прибыли_12 мес_2010" xfId="2967"/>
    <cellStyle name="_Ожидаемые прочие доходы и расходы и топливо" xfId="2968"/>
    <cellStyle name="_Омск" xfId="715"/>
    <cellStyle name="_Омск_Новая инструкция1_фст" xfId="716"/>
    <cellStyle name="_ОТ ИД 2009" xfId="717"/>
    <cellStyle name="_ОТ ИД 2009_Новая инструкция1_фст" xfId="718"/>
    <cellStyle name="_ответственные" xfId="2969"/>
    <cellStyle name="_ответственные_Разбивка прибыли_12 мес_2010" xfId="2970"/>
    <cellStyle name="_Отчет 1 кв_КарелФ" xfId="2971"/>
    <cellStyle name="_Отчет 1 кв_КарелФ_Вариант многолетней сметы_15%_20.04.2011" xfId="2972"/>
    <cellStyle name="_Отчет 1 кв_КарелФ_Варианты сметы 2011" xfId="2973"/>
    <cellStyle name="_Отчет 1 кв_КарелФ_Доли КРЕДИТНЫХ СРЕДСТВ_2008-2010" xfId="2974"/>
    <cellStyle name="_Отчет 1 кв_КарелФ_Кредитные ср-ва (доли по плану-факту 2010)" xfId="2975"/>
    <cellStyle name="_Отчет 1 кв_КарелФ_ПРИБЫЛЬ_2012_в тарифы" xfId="2976"/>
    <cellStyle name="_Отчет 1 кв_КарелФ_Разбивка прибыли_12 мес_2010" xfId="2977"/>
    <cellStyle name="_Отчет 1 кв_КарелФ_Смета затрат ТЕПЛОСЕТЬ Область 2011г" xfId="2978"/>
    <cellStyle name="_Отчет 1 кв_КарелФ_Смета ОАО Теплосеть СПб и приложения_к тарифу 2011_28.04.2010_корр ДЭ" xfId="2979"/>
    <cellStyle name="_Отчет за март 2007" xfId="2980"/>
    <cellStyle name="_Отчет об исполнении бюджета за I квартал 2008-РСБУ" xfId="105"/>
    <cellStyle name="_Отчет об исполнении бюджета за I квартал 2008-РСБУ_Анализ_Calc А2" xfId="106"/>
    <cellStyle name="_Отчет об исполнении бюджета за I полугодие 2008-УО" xfId="107"/>
    <cellStyle name="_Отчет об исполнении бюджета за I полугодие 2008-УО_Анализ_Calc А2" xfId="108"/>
    <cellStyle name="_Отчет по мес 2007г_9мес_07_врем" xfId="2981"/>
    <cellStyle name="_Отчет февраль" xfId="2982"/>
    <cellStyle name="_Перечень платежей (метрол.) ФК на сентябрь 2007г" xfId="2983"/>
    <cellStyle name="_Перечень платежей по ст. 4.6 ФК на август 2007г" xfId="2984"/>
    <cellStyle name="_Перечень платежей по ст. 4.6 ФК на июль 2008г." xfId="2985"/>
    <cellStyle name="_Перечень платежей по ст. 4.6 ФК на июнь 2008г." xfId="2986"/>
    <cellStyle name="_Перечень платежей по ст. 4.6 ФК на сентябрь 2007г" xfId="2987"/>
    <cellStyle name="_Перечень платежей по ст. 4.6 ФК на январь 2008г." xfId="2988"/>
    <cellStyle name="_Перечень платежей по ст. 7.4.4 и 7.4.6_ФК_июль 2008г." xfId="2989"/>
    <cellStyle name="_Перечень платежей по ст. 7.4.4 и 7.4.6_ФК_июнь 2008г." xfId="2990"/>
    <cellStyle name="_Перечень платежей по ст. 7.4.4 ФК на август 2007г" xfId="2991"/>
    <cellStyle name="_Перечень платежей по ст. 7.4.4 ФК на сентябрь 2007г" xfId="2992"/>
    <cellStyle name="_Перечень платежей по ст. 7.4.4 ФК на январь 2008г." xfId="2993"/>
    <cellStyle name="_Перечень платежей по ст. 7.4.5 ФК на июль  2008г." xfId="2994"/>
    <cellStyle name="_Перечень платежей по ст. 7.4.5 ФК на июнь  2008г." xfId="2995"/>
    <cellStyle name="_Перечень платежей по ст. 7.4.6 ФК на август 2007г" xfId="2996"/>
    <cellStyle name="_Перечень платежей по ст. 7.4.6 ФК на сентябрь 2007г" xfId="2997"/>
    <cellStyle name="_Перечень платежей по ст. 7.4.6 ФК на январь 2008г." xfId="2998"/>
    <cellStyle name="_план 2007 КПГЭС соц.сфера смета оконч к БП 2007 октябрь." xfId="2999"/>
    <cellStyle name="_План 2008 года с разбивкой по месяцам" xfId="3000"/>
    <cellStyle name="_План платежей на август месяц (ремонты, 7-4-6, ОТ, ПБ)" xfId="3001"/>
    <cellStyle name="_План платежей на июль_08 по ст. 7.9.2 и 7.9.3" xfId="3002"/>
    <cellStyle name="_План платежей на июнь_08 по ст. 7.9.2 и 7.9.3" xfId="3003"/>
    <cellStyle name="_План платежей на сентябрь по ст. 7.9.2 и 7.9.3" xfId="3004"/>
    <cellStyle name="_План платежей на январь (ремонты, 7-4-6, ОТ, ПБ)" xfId="3005"/>
    <cellStyle name="_План ремонтов на 2010 г. 29.04.09_в тарифах" xfId="3006"/>
    <cellStyle name="_План сметы АТП _общая_по видам деят-ти 2010_03.02.10." xfId="3007"/>
    <cellStyle name="_План сметы АТП _общая_по видам деят-ти 2010_05.02.10." xfId="3008"/>
    <cellStyle name="_Планы расходования денежных средств ИП 2008_согласованный Трибус" xfId="3009"/>
    <cellStyle name="_по 24 приказу 12  мес" xfId="3010"/>
    <cellStyle name="_по 24 приказу 12  мес (прил 1)" xfId="3011"/>
    <cellStyle name="_по 24 приказу 12  мес (прил 1)_Разбивка прибыли_12 мес_2010" xfId="3012"/>
    <cellStyle name="_по 24 приказу 12  мес_Разбивка прибыли_12 мес_2010" xfId="3013"/>
    <cellStyle name="_пр 5 тариф RAB" xfId="719"/>
    <cellStyle name="_пр 5 тариф RAB 2" xfId="720"/>
    <cellStyle name="_пр 5 тариф RAB 2_OREP.KU.2011.MONTHLY.02(v0.1)" xfId="721"/>
    <cellStyle name="_пр 5 тариф RAB 2_OREP.KU.2011.MONTHLY.02(v0.4)" xfId="722"/>
    <cellStyle name="_пр 5 тариф RAB 2_OREP.KU.2011.MONTHLY.11(v1.4)" xfId="723"/>
    <cellStyle name="_пр 5 тариф RAB 2_OREP.KU.2011.MONTHLY.11(v1.4)_UPDATE.BALANCE.WARM.2012YEAR.TO.1.1" xfId="724"/>
    <cellStyle name="_пр 5 тариф RAB 2_OREP.KU.2011.MONTHLY.11(v1.4)_UPDATE.CALC.WARM.2012YEAR.TO.1.1" xfId="725"/>
    <cellStyle name="_пр 5 тариф RAB 2_UPDATE.BALANCE.WARM.2012YEAR.TO.1.1" xfId="726"/>
    <cellStyle name="_пр 5 тариф RAB 2_UPDATE.CALC.WARM.2012YEAR.TO.1.1" xfId="727"/>
    <cellStyle name="_пр 5 тариф RAB 2_UPDATE.MONITORING.OS.EE.2.02.TO.1.3.64" xfId="728"/>
    <cellStyle name="_пр 5 тариф RAB 2_UPDATE.OREP.KU.2011.MONTHLY.02.TO.1.2" xfId="729"/>
    <cellStyle name="_пр 5 тариф RAB 3" xfId="3014"/>
    <cellStyle name="_пр 5 тариф RAB 4" xfId="3015"/>
    <cellStyle name="_пр 5 тариф RAB 5" xfId="3016"/>
    <cellStyle name="_пр 5 тариф RAB 6" xfId="3017"/>
    <cellStyle name="_пр 5 тариф RAB_46EE.2011(v1.0)" xfId="730"/>
    <cellStyle name="_пр 5 тариф RAB_46EE.2011(v1.0)_46TE.2011(v1.0)" xfId="731"/>
    <cellStyle name="_пр 5 тариф RAB_46EE.2011(v1.0)_INDEX.STATION.2012(v1.0)_" xfId="732"/>
    <cellStyle name="_пр 5 тариф RAB_46EE.2011(v1.0)_INDEX.STATION.2012(v2.0)" xfId="733"/>
    <cellStyle name="_пр 5 тариф RAB_46EE.2011(v1.0)_INDEX.STATION.2012(v2.1)" xfId="734"/>
    <cellStyle name="_пр 5 тариф RAB_46EE.2011(v1.0)_TEPLO.PREDEL.2012.M(v1.1)_test" xfId="735"/>
    <cellStyle name="_пр 5 тариф RAB_46EE.2011(v1.2)" xfId="736"/>
    <cellStyle name="_пр 5 тариф RAB_46EP.2011(v2.0)" xfId="737"/>
    <cellStyle name="_пр 5 тариф RAB_46EP.2012(v0.1)" xfId="738"/>
    <cellStyle name="_пр 5 тариф RAB_46TE.2011(v1.0)" xfId="739"/>
    <cellStyle name="_пр 5 тариф RAB_4DNS.UPDATE.EXAMPLE" xfId="740"/>
    <cellStyle name="_пр 5 тариф RAB_ARMRAZR" xfId="741"/>
    <cellStyle name="_пр 5 тариф RAB_BALANCE.WARM.2010.FACT(v1.0)" xfId="742"/>
    <cellStyle name="_пр 5 тариф RAB_BALANCE.WARM.2010.PLAN" xfId="743"/>
    <cellStyle name="_пр 5 тариф RAB_BALANCE.WARM.2011YEAR(v0.7)" xfId="744"/>
    <cellStyle name="_пр 5 тариф RAB_BALANCE.WARM.2011YEAR.NEW.UPDATE.SCHEME" xfId="745"/>
    <cellStyle name="_пр 5 тариф RAB_CALC.NORMATIV.KU(v0.2)" xfId="746"/>
    <cellStyle name="_пр 5 тариф RAB_EE.2REK.P2011.4.78(v0.3)" xfId="747"/>
    <cellStyle name="_пр 5 тариф RAB_FORM3.1.2013(v0.2)" xfId="748"/>
    <cellStyle name="_пр 5 тариф RAB_FORM3.2013(v1.0)" xfId="749"/>
    <cellStyle name="_пр 5 тариф RAB_FORM3.REG(v1.0)" xfId="750"/>
    <cellStyle name="_пр 5 тариф RAB_FORM910.2012(v1.1)" xfId="751"/>
    <cellStyle name="_пр 5 тариф RAB_INDEX.STATION.2012(v2.1)" xfId="752"/>
    <cellStyle name="_пр 5 тариф RAB_INDEX.STATION.2013(v1.0)_патч до 1.1" xfId="753"/>
    <cellStyle name="_пр 5 тариф RAB_INVEST.EE.PLAN.4.78(v0.1)" xfId="754"/>
    <cellStyle name="_пр 5 тариф RAB_INVEST.EE.PLAN.4.78(v0.3)" xfId="755"/>
    <cellStyle name="_пр 5 тариф RAB_INVEST.EE.PLAN.4.78(v1.0)" xfId="756"/>
    <cellStyle name="_пр 5 тариф RAB_INVEST.EE.PLAN.4.78(v1.0)_PASSPORT.TEPLO.PROIZV(v2.0)" xfId="757"/>
    <cellStyle name="_пр 5 тариф RAB_INVEST.EE.PLAN.4.78(v1.0)_PASSPORT.TEPLO.PROIZV(v2.0)_INDEX.STATION.2013(v1.0)_патч до 1.1" xfId="758"/>
    <cellStyle name="_пр 5 тариф RAB_INVEST.EE.PLAN.4.78(v1.0)_PASSPORT.TEPLO.PROIZV(v2.0)_TEPLO.PREDEL.2013(v2.0)" xfId="759"/>
    <cellStyle name="_пр 5 тариф RAB_INVEST.PLAN.4.78(v0.1)" xfId="760"/>
    <cellStyle name="_пр 5 тариф RAB_INVEST.WARM.PLAN.4.78(v0.1)" xfId="761"/>
    <cellStyle name="_пр 5 тариф RAB_INVEST_WARM_PLAN" xfId="762"/>
    <cellStyle name="_пр 5 тариф RAB_NADB.JNVLP.APTEKA.2012(v1.0)_21_02_12" xfId="763"/>
    <cellStyle name="_пр 5 тариф RAB_NADB.JNVLS.APTEKA.2011(v1.3.3)" xfId="764"/>
    <cellStyle name="_пр 5 тариф RAB_NADB.JNVLS.APTEKA.2011(v1.3.3)_46TE.2011(v1.0)" xfId="765"/>
    <cellStyle name="_пр 5 тариф RAB_NADB.JNVLS.APTEKA.2011(v1.3.3)_INDEX.STATION.2012(v1.0)_" xfId="766"/>
    <cellStyle name="_пр 5 тариф RAB_NADB.JNVLS.APTEKA.2011(v1.3.3)_INDEX.STATION.2012(v2.0)" xfId="767"/>
    <cellStyle name="_пр 5 тариф RAB_NADB.JNVLS.APTEKA.2011(v1.3.3)_INDEX.STATION.2012(v2.1)" xfId="768"/>
    <cellStyle name="_пр 5 тариф RAB_NADB.JNVLS.APTEKA.2011(v1.3.3)_TEPLO.PREDEL.2012.M(v1.1)_test" xfId="769"/>
    <cellStyle name="_пр 5 тариф RAB_NADB.JNVLS.APTEKA.2011(v1.3.4)" xfId="770"/>
    <cellStyle name="_пр 5 тариф RAB_NADB.JNVLS.APTEKA.2011(v1.3.4)_46TE.2011(v1.0)" xfId="771"/>
    <cellStyle name="_пр 5 тариф RAB_NADB.JNVLS.APTEKA.2011(v1.3.4)_INDEX.STATION.2012(v1.0)_" xfId="772"/>
    <cellStyle name="_пр 5 тариф RAB_NADB.JNVLS.APTEKA.2011(v1.3.4)_INDEX.STATION.2012(v2.0)" xfId="773"/>
    <cellStyle name="_пр 5 тариф RAB_NADB.JNVLS.APTEKA.2011(v1.3.4)_INDEX.STATION.2012(v2.1)" xfId="774"/>
    <cellStyle name="_пр 5 тариф RAB_NADB.JNVLS.APTEKA.2011(v1.3.4)_TEPLO.PREDEL.2012.M(v1.1)_test" xfId="775"/>
    <cellStyle name="_пр 5 тариф RAB_PASSPORT.TEPLO.PROIZV(v2.0)" xfId="776"/>
    <cellStyle name="_пр 5 тариф RAB_PASSPORT.TEPLO.PROIZV(v2.1)" xfId="777"/>
    <cellStyle name="_пр 5 тариф RAB_PASSPORT.TEPLO.SETI(v0.7)" xfId="778"/>
    <cellStyle name="_пр 5 тариф RAB_PASSPORT.TEPLO.SETI(v1.0)" xfId="779"/>
    <cellStyle name="_пр 5 тариф RAB_PREDEL.JKH.UTV.2011(v1.0.1)" xfId="780"/>
    <cellStyle name="_пр 5 тариф RAB_PREDEL.JKH.UTV.2011(v1.0.1)_46TE.2011(v1.0)" xfId="781"/>
    <cellStyle name="_пр 5 тариф RAB_PREDEL.JKH.UTV.2011(v1.0.1)_INDEX.STATION.2012(v1.0)_" xfId="782"/>
    <cellStyle name="_пр 5 тариф RAB_PREDEL.JKH.UTV.2011(v1.0.1)_INDEX.STATION.2012(v2.0)" xfId="783"/>
    <cellStyle name="_пр 5 тариф RAB_PREDEL.JKH.UTV.2011(v1.0.1)_INDEX.STATION.2012(v2.1)" xfId="784"/>
    <cellStyle name="_пр 5 тариф RAB_PREDEL.JKH.UTV.2011(v1.0.1)_TEPLO.PREDEL.2012.M(v1.1)_test" xfId="785"/>
    <cellStyle name="_пр 5 тариф RAB_PREDEL.JKH.UTV.2011(v1.1)" xfId="786"/>
    <cellStyle name="_пр 5 тариф RAB_REP.BLR.2012(v1.0)" xfId="787"/>
    <cellStyle name="_пр 5 тариф RAB_TEHSHEET" xfId="788"/>
    <cellStyle name="_пр 5 тариф RAB_TEPLO.PREDEL.2012.M(v1.1)" xfId="789"/>
    <cellStyle name="_пр 5 тариф RAB_TEPLO.PREDEL.2013(v2.0)" xfId="790"/>
    <cellStyle name="_пр 5 тариф RAB_TEST.TEMPLATE" xfId="791"/>
    <cellStyle name="_пр 5 тариф RAB_UPDATE.46EE.2011.TO.1.1" xfId="792"/>
    <cellStyle name="_пр 5 тариф RAB_UPDATE.46TE.2011.TO.1.1" xfId="793"/>
    <cellStyle name="_пр 5 тариф RAB_UPDATE.46TE.2011.TO.1.2" xfId="794"/>
    <cellStyle name="_пр 5 тариф RAB_UPDATE.BALANCE.WARM.2011YEAR.TO.1.1" xfId="795"/>
    <cellStyle name="_пр 5 тариф RAB_UPDATE.BALANCE.WARM.2011YEAR.TO.1.1_46TE.2011(v1.0)" xfId="796"/>
    <cellStyle name="_пр 5 тариф RAB_UPDATE.BALANCE.WARM.2011YEAR.TO.1.1_INDEX.STATION.2012(v1.0)_" xfId="797"/>
    <cellStyle name="_пр 5 тариф RAB_UPDATE.BALANCE.WARM.2011YEAR.TO.1.1_INDEX.STATION.2012(v2.0)" xfId="798"/>
    <cellStyle name="_пр 5 тариф RAB_UPDATE.BALANCE.WARM.2011YEAR.TO.1.1_INDEX.STATION.2012(v2.1)" xfId="799"/>
    <cellStyle name="_пр 5 тариф RAB_UPDATE.BALANCE.WARM.2011YEAR.TO.1.1_OREP.KU.2011.MONTHLY.02(v1.1)" xfId="800"/>
    <cellStyle name="_пр 5 тариф RAB_UPDATE.BALANCE.WARM.2011YEAR.TO.1.1_TEPLO.PREDEL.2012.M(v1.1)_test" xfId="801"/>
    <cellStyle name="_пр 5 тариф RAB_UPDATE.BALANCE.WARM.2011YEAR.TO.1.2" xfId="802"/>
    <cellStyle name="_пр 5 тариф RAB_UPDATE.BALANCE.WARM.2011YEAR.TO.1.4.64" xfId="803"/>
    <cellStyle name="_пр 5 тариф RAB_UPDATE.BALANCE.WARM.2011YEAR.TO.1.5.64" xfId="804"/>
    <cellStyle name="_пр 5 тариф RAB_UPDATE.MONITORING.OS.EE.2.02.TO.1.3.64" xfId="805"/>
    <cellStyle name="_пр 5 тариф RAB_UPDATE.NADB.JNVLS.APTEKA.2011.TO.1.3.4" xfId="806"/>
    <cellStyle name="_пр 5 тариф RAB_Вариант с макс ИК" xfId="3018"/>
    <cellStyle name="_пр 5 тариф RAB_Модель расчет отправка" xfId="3019"/>
    <cellStyle name="_Предожение _ДБП_2009 г ( согласованные БП)  (2)" xfId="807"/>
    <cellStyle name="_Предожение _ДБП_2009 г ( согласованные БП)  (2)_Новая инструкция1_фст" xfId="808"/>
    <cellStyle name="_Приказ_форматы_2006_08.02.06" xfId="3020"/>
    <cellStyle name="_Прил 3_Пакет форм  бюджета_ год" xfId="109"/>
    <cellStyle name="_Прил 3_Пакет форм  бюджета_ год_Анализ_Calc А2" xfId="110"/>
    <cellStyle name="_Прил 4,4б_ИПсентябрь" xfId="3021"/>
    <cellStyle name="_Прил 4_Формат-РСК_29.11.06_new finalприм" xfId="111"/>
    <cellStyle name="_прил 6 6" xfId="3022"/>
    <cellStyle name="_Прил. 2 к расп.РАО" xfId="3023"/>
    <cellStyle name="_Приложение _5 (прочие доходы и расходы)" xfId="3024"/>
    <cellStyle name="_Приложение 1 ИП на 2005" xfId="3025"/>
    <cellStyle name="_Приложение 1 ИП на 2005 2" xfId="3026"/>
    <cellStyle name="_Приложение 1 к Соглашению за 2007" xfId="112"/>
    <cellStyle name="_Приложение 2 0806 факт" xfId="113"/>
    <cellStyle name="_Приложение 2 0806 факт 2" xfId="809"/>
    <cellStyle name="_Приложение 2 ТГК" xfId="3027"/>
    <cellStyle name="_Приложение 4,4б_август" xfId="3028"/>
    <cellStyle name="_Приложение 8 ИП на 2005 для РАО ОКС" xfId="3029"/>
    <cellStyle name="_Приложение 8 ИП на 2005 для РАО ОКС_КАЛЬК ТГК (ТО ЧТО НА МАХ ГЕННЕРАЦИЮ)" xfId="3030"/>
    <cellStyle name="_Приложение №1-смета 2009г пятый вариант после снятия 6 мл. Газпром (1)" xfId="3031"/>
    <cellStyle name="_Приложение МТС-3-КС" xfId="114"/>
    <cellStyle name="_Приложение МТС-3-КС 2" xfId="810"/>
    <cellStyle name="_Приложение МТС-3-КС_Новая инструкция1_фст" xfId="811"/>
    <cellStyle name="_Приложение-МТС--2-1" xfId="115"/>
    <cellStyle name="_Приложение-МТС--2-1 2" xfId="812"/>
    <cellStyle name="_Приложение-МТС--2-1_Новая инструкция1_фст" xfId="813"/>
    <cellStyle name="_Приложения" xfId="116"/>
    <cellStyle name="_Приложения 3,4,5" xfId="117"/>
    <cellStyle name="_Приложения к приказу" xfId="3032"/>
    <cellStyle name="_Приложения к приказу _ БП2007_согласование" xfId="3033"/>
    <cellStyle name="_Приложения к приказу_ бюджет_2008_год_в приказ_30.01" xfId="3034"/>
    <cellStyle name="_Приложения к приказу_КАЛЬК ТГК (ТО ЧТО НА МАХ ГЕННЕРАЦИЮ)" xfId="3035"/>
    <cellStyle name="_Проект ГКПЗ 2008 год по ст. 2.22. ОТПРАВКА 08_09_08" xfId="3036"/>
    <cellStyle name="_Проект_бизнесплана ТГК-1_ для филиалов" xfId="3037"/>
    <cellStyle name="_Проект_бизнесплана ТГК-1_ для филиалов_Разбивка прибыли_12 мес_2010" xfId="3038"/>
    <cellStyle name="_ПТО  затраты по статье 6.1на сентябрь" xfId="3039"/>
    <cellStyle name="_ПТО АТЭЦ  затраты по статье 6.1на август" xfId="3040"/>
    <cellStyle name="_Расходы" xfId="118"/>
    <cellStyle name="_Расходы 2007 с коррект НДС для БП" xfId="3041"/>
    <cellStyle name="_Расходы 2007 с коррект НДС для БП_ОБЩ.СВОД" xfId="3042"/>
    <cellStyle name="_Расходы 2007 с коррект НДС для БП_Реестр" xfId="3043"/>
    <cellStyle name="_Расходы 2007 с коррект НДС для БП_Реестр_ОБЩ.СВОД" xfId="3044"/>
    <cellStyle name="_Расходы 2007 с коррект НДС для БП_свод" xfId="3045"/>
    <cellStyle name="_Расходы 2007 с коррект НДС для БП_СВОД_ОБЩИЙ СВОД ПО РЕЕСТРУ ЗА ИЮЛЬ" xfId="3046"/>
    <cellStyle name="_Расчет RAB_22072008" xfId="814"/>
    <cellStyle name="_Расчет RAB_22072008 2" xfId="815"/>
    <cellStyle name="_Расчет RAB_22072008 2_OREP.KU.2011.MONTHLY.02(v0.1)" xfId="816"/>
    <cellStyle name="_Расчет RAB_22072008 2_OREP.KU.2011.MONTHLY.02(v0.4)" xfId="817"/>
    <cellStyle name="_Расчет RAB_22072008 2_OREP.KU.2011.MONTHLY.11(v1.4)" xfId="818"/>
    <cellStyle name="_Расчет RAB_22072008 2_OREP.KU.2011.MONTHLY.11(v1.4)_UPDATE.BALANCE.WARM.2012YEAR.TO.1.1" xfId="819"/>
    <cellStyle name="_Расчет RAB_22072008 2_OREP.KU.2011.MONTHLY.11(v1.4)_UPDATE.CALC.WARM.2012YEAR.TO.1.1" xfId="820"/>
    <cellStyle name="_Расчет RAB_22072008 2_UPDATE.BALANCE.WARM.2012YEAR.TO.1.1" xfId="821"/>
    <cellStyle name="_Расчет RAB_22072008 2_UPDATE.CALC.WARM.2012YEAR.TO.1.1" xfId="822"/>
    <cellStyle name="_Расчет RAB_22072008 2_UPDATE.MONITORING.OS.EE.2.02.TO.1.3.64" xfId="823"/>
    <cellStyle name="_Расчет RAB_22072008 2_UPDATE.OREP.KU.2011.MONTHLY.02.TO.1.2" xfId="824"/>
    <cellStyle name="_Расчет RAB_22072008 3" xfId="3047"/>
    <cellStyle name="_Расчет RAB_22072008 4" xfId="3048"/>
    <cellStyle name="_Расчет RAB_22072008 5" xfId="3049"/>
    <cellStyle name="_Расчет RAB_22072008 6" xfId="3050"/>
    <cellStyle name="_Расчет RAB_22072008_46EE.2011(v1.0)" xfId="825"/>
    <cellStyle name="_Расчет RAB_22072008_46EE.2011(v1.0)_46TE.2011(v1.0)" xfId="826"/>
    <cellStyle name="_Расчет RAB_22072008_46EE.2011(v1.0)_INDEX.STATION.2012(v1.0)_" xfId="827"/>
    <cellStyle name="_Расчет RAB_22072008_46EE.2011(v1.0)_INDEX.STATION.2012(v2.0)" xfId="828"/>
    <cellStyle name="_Расчет RAB_22072008_46EE.2011(v1.0)_INDEX.STATION.2012(v2.1)" xfId="829"/>
    <cellStyle name="_Расчет RAB_22072008_46EE.2011(v1.0)_TEPLO.PREDEL.2012.M(v1.1)_test" xfId="830"/>
    <cellStyle name="_Расчет RAB_22072008_46EE.2011(v1.2)" xfId="831"/>
    <cellStyle name="_Расчет RAB_22072008_46EP.2011(v2.0)" xfId="832"/>
    <cellStyle name="_Расчет RAB_22072008_46EP.2012(v0.1)" xfId="833"/>
    <cellStyle name="_Расчет RAB_22072008_46TE.2011(v1.0)" xfId="834"/>
    <cellStyle name="_Расчет RAB_22072008_4DNS.UPDATE.EXAMPLE" xfId="835"/>
    <cellStyle name="_Расчет RAB_22072008_ARMRAZR" xfId="836"/>
    <cellStyle name="_Расчет RAB_22072008_BALANCE.WARM.2010.FACT(v1.0)" xfId="837"/>
    <cellStyle name="_Расчет RAB_22072008_BALANCE.WARM.2010.PLAN" xfId="838"/>
    <cellStyle name="_Расчет RAB_22072008_BALANCE.WARM.2011YEAR(v0.7)" xfId="839"/>
    <cellStyle name="_Расчет RAB_22072008_BALANCE.WARM.2011YEAR.NEW.UPDATE.SCHEME" xfId="840"/>
    <cellStyle name="_Расчет RAB_22072008_CALC.NORMATIV.KU(v0.2)" xfId="841"/>
    <cellStyle name="_Расчет RAB_22072008_EE.2REK.P2011.4.78(v0.3)" xfId="842"/>
    <cellStyle name="_Расчет RAB_22072008_FORM3.1.2013(v0.2)" xfId="843"/>
    <cellStyle name="_Расчет RAB_22072008_FORM3.2013(v1.0)" xfId="844"/>
    <cellStyle name="_Расчет RAB_22072008_FORM3.REG(v1.0)" xfId="845"/>
    <cellStyle name="_Расчет RAB_22072008_FORM910.2012(v1.1)" xfId="846"/>
    <cellStyle name="_Расчет RAB_22072008_INDEX.STATION.2012(v2.1)" xfId="847"/>
    <cellStyle name="_Расчет RAB_22072008_INDEX.STATION.2013(v1.0)_патч до 1.1" xfId="848"/>
    <cellStyle name="_Расчет RAB_22072008_INVEST.EE.PLAN.4.78(v0.1)" xfId="849"/>
    <cellStyle name="_Расчет RAB_22072008_INVEST.EE.PLAN.4.78(v0.3)" xfId="850"/>
    <cellStyle name="_Расчет RAB_22072008_INVEST.EE.PLAN.4.78(v1.0)" xfId="851"/>
    <cellStyle name="_Расчет RAB_22072008_INVEST.EE.PLAN.4.78(v1.0)_PASSPORT.TEPLO.PROIZV(v2.0)" xfId="852"/>
    <cellStyle name="_Расчет RAB_22072008_INVEST.EE.PLAN.4.78(v1.0)_PASSPORT.TEPLO.PROIZV(v2.0)_INDEX.STATION.2013(v1.0)_патч до 1.1" xfId="853"/>
    <cellStyle name="_Расчет RAB_22072008_INVEST.EE.PLAN.4.78(v1.0)_PASSPORT.TEPLO.PROIZV(v2.0)_TEPLO.PREDEL.2013(v2.0)" xfId="854"/>
    <cellStyle name="_Расчет RAB_22072008_INVEST.PLAN.4.78(v0.1)" xfId="855"/>
    <cellStyle name="_Расчет RAB_22072008_INVEST.WARM.PLAN.4.78(v0.1)" xfId="856"/>
    <cellStyle name="_Расчет RAB_22072008_INVEST_WARM_PLAN" xfId="857"/>
    <cellStyle name="_Расчет RAB_22072008_NADB.JNVLP.APTEKA.2012(v1.0)_21_02_12" xfId="858"/>
    <cellStyle name="_Расчет RAB_22072008_NADB.JNVLS.APTEKA.2011(v1.3.3)" xfId="859"/>
    <cellStyle name="_Расчет RAB_22072008_NADB.JNVLS.APTEKA.2011(v1.3.3)_46TE.2011(v1.0)" xfId="860"/>
    <cellStyle name="_Расчет RAB_22072008_NADB.JNVLS.APTEKA.2011(v1.3.3)_INDEX.STATION.2012(v1.0)_" xfId="861"/>
    <cellStyle name="_Расчет RAB_22072008_NADB.JNVLS.APTEKA.2011(v1.3.3)_INDEX.STATION.2012(v2.0)" xfId="862"/>
    <cellStyle name="_Расчет RAB_22072008_NADB.JNVLS.APTEKA.2011(v1.3.3)_INDEX.STATION.2012(v2.1)" xfId="863"/>
    <cellStyle name="_Расчет RAB_22072008_NADB.JNVLS.APTEKA.2011(v1.3.3)_TEPLO.PREDEL.2012.M(v1.1)_test" xfId="864"/>
    <cellStyle name="_Расчет RAB_22072008_NADB.JNVLS.APTEKA.2011(v1.3.4)" xfId="865"/>
    <cellStyle name="_Расчет RAB_22072008_NADB.JNVLS.APTEKA.2011(v1.3.4)_46TE.2011(v1.0)" xfId="866"/>
    <cellStyle name="_Расчет RAB_22072008_NADB.JNVLS.APTEKA.2011(v1.3.4)_INDEX.STATION.2012(v1.0)_" xfId="867"/>
    <cellStyle name="_Расчет RAB_22072008_NADB.JNVLS.APTEKA.2011(v1.3.4)_INDEX.STATION.2012(v2.0)" xfId="868"/>
    <cellStyle name="_Расчет RAB_22072008_NADB.JNVLS.APTEKA.2011(v1.3.4)_INDEX.STATION.2012(v2.1)" xfId="869"/>
    <cellStyle name="_Расчет RAB_22072008_NADB.JNVLS.APTEKA.2011(v1.3.4)_TEPLO.PREDEL.2012.M(v1.1)_test" xfId="870"/>
    <cellStyle name="_Расчет RAB_22072008_PASSPORT.TEPLO.PROIZV(v2.0)" xfId="871"/>
    <cellStyle name="_Расчет RAB_22072008_PASSPORT.TEPLO.PROIZV(v2.1)" xfId="872"/>
    <cellStyle name="_Расчет RAB_22072008_PASSPORT.TEPLO.SETI(v0.7)" xfId="873"/>
    <cellStyle name="_Расчет RAB_22072008_PASSPORT.TEPLO.SETI(v1.0)" xfId="874"/>
    <cellStyle name="_Расчет RAB_22072008_PREDEL.JKH.UTV.2011(v1.0.1)" xfId="875"/>
    <cellStyle name="_Расчет RAB_22072008_PREDEL.JKH.UTV.2011(v1.0.1)_46TE.2011(v1.0)" xfId="876"/>
    <cellStyle name="_Расчет RAB_22072008_PREDEL.JKH.UTV.2011(v1.0.1)_INDEX.STATION.2012(v1.0)_" xfId="877"/>
    <cellStyle name="_Расчет RAB_22072008_PREDEL.JKH.UTV.2011(v1.0.1)_INDEX.STATION.2012(v2.0)" xfId="878"/>
    <cellStyle name="_Расчет RAB_22072008_PREDEL.JKH.UTV.2011(v1.0.1)_INDEX.STATION.2012(v2.1)" xfId="879"/>
    <cellStyle name="_Расчет RAB_22072008_PREDEL.JKH.UTV.2011(v1.0.1)_TEPLO.PREDEL.2012.M(v1.1)_test" xfId="880"/>
    <cellStyle name="_Расчет RAB_22072008_PREDEL.JKH.UTV.2011(v1.1)" xfId="881"/>
    <cellStyle name="_Расчет RAB_22072008_REP.BLR.2012(v1.0)" xfId="882"/>
    <cellStyle name="_Расчет RAB_22072008_TEHSHEET" xfId="883"/>
    <cellStyle name="_Расчет RAB_22072008_TEPLO.PREDEL.2012.M(v1.1)" xfId="884"/>
    <cellStyle name="_Расчет RAB_22072008_TEPLO.PREDEL.2013(v2.0)" xfId="885"/>
    <cellStyle name="_Расчет RAB_22072008_TEST.TEMPLATE" xfId="886"/>
    <cellStyle name="_Расчет RAB_22072008_UPDATE.46EE.2011.TO.1.1" xfId="887"/>
    <cellStyle name="_Расчет RAB_22072008_UPDATE.46TE.2011.TO.1.1" xfId="888"/>
    <cellStyle name="_Расчет RAB_22072008_UPDATE.46TE.2011.TO.1.2" xfId="889"/>
    <cellStyle name="_Расчет RAB_22072008_UPDATE.BALANCE.WARM.2011YEAR.TO.1.1" xfId="890"/>
    <cellStyle name="_Расчет RAB_22072008_UPDATE.BALANCE.WARM.2011YEAR.TO.1.1_46TE.2011(v1.0)" xfId="891"/>
    <cellStyle name="_Расчет RAB_22072008_UPDATE.BALANCE.WARM.2011YEAR.TO.1.1_INDEX.STATION.2012(v1.0)_" xfId="892"/>
    <cellStyle name="_Расчет RAB_22072008_UPDATE.BALANCE.WARM.2011YEAR.TO.1.1_INDEX.STATION.2012(v2.0)" xfId="893"/>
    <cellStyle name="_Расчет RAB_22072008_UPDATE.BALANCE.WARM.2011YEAR.TO.1.1_INDEX.STATION.2012(v2.1)" xfId="894"/>
    <cellStyle name="_Расчет RAB_22072008_UPDATE.BALANCE.WARM.2011YEAR.TO.1.1_OREP.KU.2011.MONTHLY.02(v1.1)" xfId="895"/>
    <cellStyle name="_Расчет RAB_22072008_UPDATE.BALANCE.WARM.2011YEAR.TO.1.1_TEPLO.PREDEL.2012.M(v1.1)_test" xfId="896"/>
    <cellStyle name="_Расчет RAB_22072008_UPDATE.BALANCE.WARM.2011YEAR.TO.1.2" xfId="897"/>
    <cellStyle name="_Расчет RAB_22072008_UPDATE.BALANCE.WARM.2011YEAR.TO.1.4.64" xfId="898"/>
    <cellStyle name="_Расчет RAB_22072008_UPDATE.BALANCE.WARM.2011YEAR.TO.1.5.64" xfId="899"/>
    <cellStyle name="_Расчет RAB_22072008_UPDATE.MONITORING.OS.EE.2.02.TO.1.3.64" xfId="900"/>
    <cellStyle name="_Расчет RAB_22072008_UPDATE.NADB.JNVLS.APTEKA.2011.TO.1.3.4" xfId="901"/>
    <cellStyle name="_Расчет RAB_22072008_Вариант с макс ИК" xfId="3051"/>
    <cellStyle name="_Расчет RAB_22072008_Модель расчет отправка" xfId="3052"/>
    <cellStyle name="_Расчет RAB_Лен и МОЭСК_с 2010 года_14.04.2009_со сглаж_version 3.0_без ФСК" xfId="902"/>
    <cellStyle name="_Расчет RAB_Лен и МОЭСК_с 2010 года_14.04.2009_со сглаж_version 3.0_без ФСК 2" xfId="903"/>
    <cellStyle name="_Расчет RAB_Лен и МОЭСК_с 2010 года_14.04.2009_со сглаж_version 3.0_без ФСК 2_OREP.KU.2011.MONTHLY.02(v0.1)" xfId="904"/>
    <cellStyle name="_Расчет RAB_Лен и МОЭСК_с 2010 года_14.04.2009_со сглаж_version 3.0_без ФСК 2_OREP.KU.2011.MONTHLY.02(v0.4)" xfId="905"/>
    <cellStyle name="_Расчет RAB_Лен и МОЭСК_с 2010 года_14.04.2009_со сглаж_version 3.0_без ФСК 2_OREP.KU.2011.MONTHLY.11(v1.4)" xfId="906"/>
    <cellStyle name="_Расчет RAB_Лен и МОЭСК_с 2010 года_14.04.2009_со сглаж_version 3.0_без ФСК 2_OREP.KU.2011.MONTHLY.11(v1.4)_UPDATE.BALANCE.WARM.2012YEAR.TO.1.1" xfId="907"/>
    <cellStyle name="_Расчет RAB_Лен и МОЭСК_с 2010 года_14.04.2009_со сглаж_version 3.0_без ФСК 2_OREP.KU.2011.MONTHLY.11(v1.4)_UPDATE.CALC.WARM.2012YEAR.TO.1.1" xfId="908"/>
    <cellStyle name="_Расчет RAB_Лен и МОЭСК_с 2010 года_14.04.2009_со сглаж_version 3.0_без ФСК 2_UPDATE.BALANCE.WARM.2012YEAR.TO.1.1" xfId="909"/>
    <cellStyle name="_Расчет RAB_Лен и МОЭСК_с 2010 года_14.04.2009_со сглаж_version 3.0_без ФСК 2_UPDATE.CALC.WARM.2012YEAR.TO.1.1" xfId="910"/>
    <cellStyle name="_Расчет RAB_Лен и МОЭСК_с 2010 года_14.04.2009_со сглаж_version 3.0_без ФСК 2_UPDATE.MONITORING.OS.EE.2.02.TO.1.3.64" xfId="911"/>
    <cellStyle name="_Расчет RAB_Лен и МОЭСК_с 2010 года_14.04.2009_со сглаж_version 3.0_без ФСК 2_UPDATE.OREP.KU.2011.MONTHLY.02.TO.1.2" xfId="912"/>
    <cellStyle name="_Расчет RAB_Лен и МОЭСК_с 2010 года_14.04.2009_со сглаж_version 3.0_без ФСК 3" xfId="3053"/>
    <cellStyle name="_Расчет RAB_Лен и МОЭСК_с 2010 года_14.04.2009_со сглаж_version 3.0_без ФСК 4" xfId="3054"/>
    <cellStyle name="_Расчет RAB_Лен и МОЭСК_с 2010 года_14.04.2009_со сглаж_version 3.0_без ФСК 5" xfId="3055"/>
    <cellStyle name="_Расчет RAB_Лен и МОЭСК_с 2010 года_14.04.2009_со сглаж_version 3.0_без ФСК 6" xfId="3056"/>
    <cellStyle name="_Расчет RAB_Лен и МОЭСК_с 2010 года_14.04.2009_со сглаж_version 3.0_без ФСК_46EE.2011(v1.0)" xfId="913"/>
    <cellStyle name="_Расчет RAB_Лен и МОЭСК_с 2010 года_14.04.2009_со сглаж_version 3.0_без ФСК_46EE.2011(v1.0)_46TE.2011(v1.0)" xfId="914"/>
    <cellStyle name="_Расчет RAB_Лен и МОЭСК_с 2010 года_14.04.2009_со сглаж_version 3.0_без ФСК_46EE.2011(v1.0)_INDEX.STATION.2012(v1.0)_" xfId="915"/>
    <cellStyle name="_Расчет RAB_Лен и МОЭСК_с 2010 года_14.04.2009_со сглаж_version 3.0_без ФСК_46EE.2011(v1.0)_INDEX.STATION.2012(v2.0)" xfId="916"/>
    <cellStyle name="_Расчет RAB_Лен и МОЭСК_с 2010 года_14.04.2009_со сглаж_version 3.0_без ФСК_46EE.2011(v1.0)_INDEX.STATION.2012(v2.1)" xfId="917"/>
    <cellStyle name="_Расчет RAB_Лен и МОЭСК_с 2010 года_14.04.2009_со сглаж_version 3.0_без ФСК_46EE.2011(v1.0)_TEPLO.PREDEL.2012.M(v1.1)_test" xfId="918"/>
    <cellStyle name="_Расчет RAB_Лен и МОЭСК_с 2010 года_14.04.2009_со сглаж_version 3.0_без ФСК_46EE.2011(v1.2)" xfId="919"/>
    <cellStyle name="_Расчет RAB_Лен и МОЭСК_с 2010 года_14.04.2009_со сглаж_version 3.0_без ФСК_46EP.2011(v2.0)" xfId="920"/>
    <cellStyle name="_Расчет RAB_Лен и МОЭСК_с 2010 года_14.04.2009_со сглаж_version 3.0_без ФСК_46EP.2012(v0.1)" xfId="921"/>
    <cellStyle name="_Расчет RAB_Лен и МОЭСК_с 2010 года_14.04.2009_со сглаж_version 3.0_без ФСК_46TE.2011(v1.0)" xfId="922"/>
    <cellStyle name="_Расчет RAB_Лен и МОЭСК_с 2010 года_14.04.2009_со сглаж_version 3.0_без ФСК_4DNS.UPDATE.EXAMPLE" xfId="923"/>
    <cellStyle name="_Расчет RAB_Лен и МОЭСК_с 2010 года_14.04.2009_со сглаж_version 3.0_без ФСК_ARMRAZR" xfId="924"/>
    <cellStyle name="_Расчет RAB_Лен и МОЭСК_с 2010 года_14.04.2009_со сглаж_version 3.0_без ФСК_BALANCE.WARM.2010.FACT(v1.0)" xfId="925"/>
    <cellStyle name="_Расчет RAB_Лен и МОЭСК_с 2010 года_14.04.2009_со сглаж_version 3.0_без ФСК_BALANCE.WARM.2010.PLAN" xfId="926"/>
    <cellStyle name="_Расчет RAB_Лен и МОЭСК_с 2010 года_14.04.2009_со сглаж_version 3.0_без ФСК_BALANCE.WARM.2011YEAR(v0.7)" xfId="927"/>
    <cellStyle name="_Расчет RAB_Лен и МОЭСК_с 2010 года_14.04.2009_со сглаж_version 3.0_без ФСК_BALANCE.WARM.2011YEAR.NEW.UPDATE.SCHEME" xfId="928"/>
    <cellStyle name="_Расчет RAB_Лен и МОЭСК_с 2010 года_14.04.2009_со сглаж_version 3.0_без ФСК_CALC.NORMATIV.KU(v0.2)" xfId="929"/>
    <cellStyle name="_Расчет RAB_Лен и МОЭСК_с 2010 года_14.04.2009_со сглаж_version 3.0_без ФСК_EE.2REK.P2011.4.78(v0.3)" xfId="930"/>
    <cellStyle name="_Расчет RAB_Лен и МОЭСК_с 2010 года_14.04.2009_со сглаж_version 3.0_без ФСК_FORM3.1.2013(v0.2)" xfId="931"/>
    <cellStyle name="_Расчет RAB_Лен и МОЭСК_с 2010 года_14.04.2009_со сглаж_version 3.0_без ФСК_FORM3.2013(v1.0)" xfId="932"/>
    <cellStyle name="_Расчет RAB_Лен и МОЭСК_с 2010 года_14.04.2009_со сглаж_version 3.0_без ФСК_FORM3.REG(v1.0)" xfId="933"/>
    <cellStyle name="_Расчет RAB_Лен и МОЭСК_с 2010 года_14.04.2009_со сглаж_version 3.0_без ФСК_FORM910.2012(v1.1)" xfId="934"/>
    <cellStyle name="_Расчет RAB_Лен и МОЭСК_с 2010 года_14.04.2009_со сглаж_version 3.0_без ФСК_INDEX.STATION.2012(v2.1)" xfId="935"/>
    <cellStyle name="_Расчет RAB_Лен и МОЭСК_с 2010 года_14.04.2009_со сглаж_version 3.0_без ФСК_INDEX.STATION.2013(v1.0)_патч до 1.1" xfId="936"/>
    <cellStyle name="_Расчет RAB_Лен и МОЭСК_с 2010 года_14.04.2009_со сглаж_version 3.0_без ФСК_INVEST.EE.PLAN.4.78(v0.1)" xfId="937"/>
    <cellStyle name="_Расчет RAB_Лен и МОЭСК_с 2010 года_14.04.2009_со сглаж_version 3.0_без ФСК_INVEST.EE.PLAN.4.78(v0.3)" xfId="938"/>
    <cellStyle name="_Расчет RAB_Лен и МОЭСК_с 2010 года_14.04.2009_со сглаж_version 3.0_без ФСК_INVEST.EE.PLAN.4.78(v1.0)" xfId="939"/>
    <cellStyle name="_Расчет RAB_Лен и МОЭСК_с 2010 года_14.04.2009_со сглаж_version 3.0_без ФСК_INVEST.EE.PLAN.4.78(v1.0)_PASSPORT.TEPLO.PROIZV(v2.0)" xfId="940"/>
    <cellStyle name="_Расчет RAB_Лен и МОЭСК_с 2010 года_14.04.2009_со сглаж_version 3.0_без ФСК_INVEST.EE.PLAN.4.78(v1.0)_PASSPORT.TEPLO.PROIZV(v2.0)_INDEX.STATION.2013(v1.0)_патч до 1.1" xfId="941"/>
    <cellStyle name="_Расчет RAB_Лен и МОЭСК_с 2010 года_14.04.2009_со сглаж_version 3.0_без ФСК_INVEST.EE.PLAN.4.78(v1.0)_PASSPORT.TEPLO.PROIZV(v2.0)_TEPLO.PREDEL.2013(v2.0)" xfId="942"/>
    <cellStyle name="_Расчет RAB_Лен и МОЭСК_с 2010 года_14.04.2009_со сглаж_version 3.0_без ФСК_INVEST.PLAN.4.78(v0.1)" xfId="943"/>
    <cellStyle name="_Расчет RAB_Лен и МОЭСК_с 2010 года_14.04.2009_со сглаж_version 3.0_без ФСК_INVEST.WARM.PLAN.4.78(v0.1)" xfId="944"/>
    <cellStyle name="_Расчет RAB_Лен и МОЭСК_с 2010 года_14.04.2009_со сглаж_version 3.0_без ФСК_INVEST_WARM_PLAN" xfId="945"/>
    <cellStyle name="_Расчет RAB_Лен и МОЭСК_с 2010 года_14.04.2009_со сглаж_version 3.0_без ФСК_NADB.JNVLP.APTEKA.2012(v1.0)_21_02_12" xfId="946"/>
    <cellStyle name="_Расчет RAB_Лен и МОЭСК_с 2010 года_14.04.2009_со сглаж_version 3.0_без ФСК_NADB.JNVLS.APTEKA.2011(v1.3.3)" xfId="947"/>
    <cellStyle name="_Расчет RAB_Лен и МОЭСК_с 2010 года_14.04.2009_со сглаж_version 3.0_без ФСК_NADB.JNVLS.APTEKA.2011(v1.3.3)_46TE.2011(v1.0)" xfId="948"/>
    <cellStyle name="_Расчет RAB_Лен и МОЭСК_с 2010 года_14.04.2009_со сглаж_version 3.0_без ФСК_NADB.JNVLS.APTEKA.2011(v1.3.3)_INDEX.STATION.2012(v1.0)_" xfId="949"/>
    <cellStyle name="_Расчет RAB_Лен и МОЭСК_с 2010 года_14.04.2009_со сглаж_version 3.0_без ФСК_NADB.JNVLS.APTEKA.2011(v1.3.3)_INDEX.STATION.2012(v2.0)" xfId="950"/>
    <cellStyle name="_Расчет RAB_Лен и МОЭСК_с 2010 года_14.04.2009_со сглаж_version 3.0_без ФСК_NADB.JNVLS.APTEKA.2011(v1.3.3)_INDEX.STATION.2012(v2.1)" xfId="951"/>
    <cellStyle name="_Расчет RAB_Лен и МОЭСК_с 2010 года_14.04.2009_со сглаж_version 3.0_без ФСК_NADB.JNVLS.APTEKA.2011(v1.3.3)_TEPLO.PREDEL.2012.M(v1.1)_test" xfId="952"/>
    <cellStyle name="_Расчет RAB_Лен и МОЭСК_с 2010 года_14.04.2009_со сглаж_version 3.0_без ФСК_NADB.JNVLS.APTEKA.2011(v1.3.4)" xfId="953"/>
    <cellStyle name="_Расчет RAB_Лен и МОЭСК_с 2010 года_14.04.2009_со сглаж_version 3.0_без ФСК_NADB.JNVLS.APTEKA.2011(v1.3.4)_46TE.2011(v1.0)" xfId="954"/>
    <cellStyle name="_Расчет RAB_Лен и МОЭСК_с 2010 года_14.04.2009_со сглаж_version 3.0_без ФСК_NADB.JNVLS.APTEKA.2011(v1.3.4)_INDEX.STATION.2012(v1.0)_" xfId="955"/>
    <cellStyle name="_Расчет RAB_Лен и МОЭСК_с 2010 года_14.04.2009_со сглаж_version 3.0_без ФСК_NADB.JNVLS.APTEKA.2011(v1.3.4)_INDEX.STATION.2012(v2.0)" xfId="956"/>
    <cellStyle name="_Расчет RAB_Лен и МОЭСК_с 2010 года_14.04.2009_со сглаж_version 3.0_без ФСК_NADB.JNVLS.APTEKA.2011(v1.3.4)_INDEX.STATION.2012(v2.1)" xfId="957"/>
    <cellStyle name="_Расчет RAB_Лен и МОЭСК_с 2010 года_14.04.2009_со сглаж_version 3.0_без ФСК_NADB.JNVLS.APTEKA.2011(v1.3.4)_TEPLO.PREDEL.2012.M(v1.1)_test" xfId="958"/>
    <cellStyle name="_Расчет RAB_Лен и МОЭСК_с 2010 года_14.04.2009_со сглаж_version 3.0_без ФСК_PASSPORT.TEPLO.PROIZV(v2.0)" xfId="959"/>
    <cellStyle name="_Расчет RAB_Лен и МОЭСК_с 2010 года_14.04.2009_со сглаж_version 3.0_без ФСК_PASSPORT.TEPLO.PROIZV(v2.1)" xfId="960"/>
    <cellStyle name="_Расчет RAB_Лен и МОЭСК_с 2010 года_14.04.2009_со сглаж_version 3.0_без ФСК_PASSPORT.TEPLO.SETI(v0.7)" xfId="961"/>
    <cellStyle name="_Расчет RAB_Лен и МОЭСК_с 2010 года_14.04.2009_со сглаж_version 3.0_без ФСК_PASSPORT.TEPLO.SETI(v1.0)" xfId="962"/>
    <cellStyle name="_Расчет RAB_Лен и МОЭСК_с 2010 года_14.04.2009_со сглаж_version 3.0_без ФСК_PREDEL.JKH.UTV.2011(v1.0.1)" xfId="963"/>
    <cellStyle name="_Расчет RAB_Лен и МОЭСК_с 2010 года_14.04.2009_со сглаж_version 3.0_без ФСК_PREDEL.JKH.UTV.2011(v1.0.1)_46TE.2011(v1.0)" xfId="964"/>
    <cellStyle name="_Расчет RAB_Лен и МОЭСК_с 2010 года_14.04.2009_со сглаж_version 3.0_без ФСК_PREDEL.JKH.UTV.2011(v1.0.1)_INDEX.STATION.2012(v1.0)_" xfId="965"/>
    <cellStyle name="_Расчет RAB_Лен и МОЭСК_с 2010 года_14.04.2009_со сглаж_version 3.0_без ФСК_PREDEL.JKH.UTV.2011(v1.0.1)_INDEX.STATION.2012(v2.0)" xfId="966"/>
    <cellStyle name="_Расчет RAB_Лен и МОЭСК_с 2010 года_14.04.2009_со сглаж_version 3.0_без ФСК_PREDEL.JKH.UTV.2011(v1.0.1)_INDEX.STATION.2012(v2.1)" xfId="967"/>
    <cellStyle name="_Расчет RAB_Лен и МОЭСК_с 2010 года_14.04.2009_со сглаж_version 3.0_без ФСК_PREDEL.JKH.UTV.2011(v1.0.1)_TEPLO.PREDEL.2012.M(v1.1)_test" xfId="968"/>
    <cellStyle name="_Расчет RAB_Лен и МОЭСК_с 2010 года_14.04.2009_со сглаж_version 3.0_без ФСК_PREDEL.JKH.UTV.2011(v1.1)" xfId="969"/>
    <cellStyle name="_Расчет RAB_Лен и МОЭСК_с 2010 года_14.04.2009_со сглаж_version 3.0_без ФСК_REP.BLR.2012(v1.0)" xfId="970"/>
    <cellStyle name="_Расчет RAB_Лен и МОЭСК_с 2010 года_14.04.2009_со сглаж_version 3.0_без ФСК_TEHSHEET" xfId="971"/>
    <cellStyle name="_Расчет RAB_Лен и МОЭСК_с 2010 года_14.04.2009_со сглаж_version 3.0_без ФСК_TEPLO.PREDEL.2012.M(v1.1)" xfId="972"/>
    <cellStyle name="_Расчет RAB_Лен и МОЭСК_с 2010 года_14.04.2009_со сглаж_version 3.0_без ФСК_TEPLO.PREDEL.2013(v2.0)" xfId="973"/>
    <cellStyle name="_Расчет RAB_Лен и МОЭСК_с 2010 года_14.04.2009_со сглаж_version 3.0_без ФСК_TEST.TEMPLATE" xfId="974"/>
    <cellStyle name="_Расчет RAB_Лен и МОЭСК_с 2010 года_14.04.2009_со сглаж_version 3.0_без ФСК_UPDATE.46EE.2011.TO.1.1" xfId="975"/>
    <cellStyle name="_Расчет RAB_Лен и МОЭСК_с 2010 года_14.04.2009_со сглаж_version 3.0_без ФСК_UPDATE.46TE.2011.TO.1.1" xfId="976"/>
    <cellStyle name="_Расчет RAB_Лен и МОЭСК_с 2010 года_14.04.2009_со сглаж_version 3.0_без ФСК_UPDATE.46TE.2011.TO.1.2" xfId="977"/>
    <cellStyle name="_Расчет RAB_Лен и МОЭСК_с 2010 года_14.04.2009_со сглаж_version 3.0_без ФСК_UPDATE.BALANCE.WARM.2011YEAR.TO.1.1" xfId="978"/>
    <cellStyle name="_Расчет RAB_Лен и МОЭСК_с 2010 года_14.04.2009_со сглаж_version 3.0_без ФСК_UPDATE.BALANCE.WARM.2011YEAR.TO.1.1_46TE.2011(v1.0)" xfId="979"/>
    <cellStyle name="_Расчет RAB_Лен и МОЭСК_с 2010 года_14.04.2009_со сглаж_version 3.0_без ФСК_UPDATE.BALANCE.WARM.2011YEAR.TO.1.1_INDEX.STATION.2012(v1.0)_" xfId="980"/>
    <cellStyle name="_Расчет RAB_Лен и МОЭСК_с 2010 года_14.04.2009_со сглаж_version 3.0_без ФСК_UPDATE.BALANCE.WARM.2011YEAR.TO.1.1_INDEX.STATION.2012(v2.0)" xfId="981"/>
    <cellStyle name="_Расчет RAB_Лен и МОЭСК_с 2010 года_14.04.2009_со сглаж_version 3.0_без ФСК_UPDATE.BALANCE.WARM.2011YEAR.TO.1.1_INDEX.STATION.2012(v2.1)" xfId="982"/>
    <cellStyle name="_Расчет RAB_Лен и МОЭСК_с 2010 года_14.04.2009_со сглаж_version 3.0_без ФСК_UPDATE.BALANCE.WARM.2011YEAR.TO.1.1_OREP.KU.2011.MONTHLY.02(v1.1)" xfId="983"/>
    <cellStyle name="_Расчет RAB_Лен и МОЭСК_с 2010 года_14.04.2009_со сглаж_version 3.0_без ФСК_UPDATE.BALANCE.WARM.2011YEAR.TO.1.1_TEPLO.PREDEL.2012.M(v1.1)_test" xfId="984"/>
    <cellStyle name="_Расчет RAB_Лен и МОЭСК_с 2010 года_14.04.2009_со сглаж_version 3.0_без ФСК_UPDATE.BALANCE.WARM.2011YEAR.TO.1.2" xfId="985"/>
    <cellStyle name="_Расчет RAB_Лен и МОЭСК_с 2010 года_14.04.2009_со сглаж_version 3.0_без ФСК_UPDATE.BALANCE.WARM.2011YEAR.TO.1.4.64" xfId="986"/>
    <cellStyle name="_Расчет RAB_Лен и МОЭСК_с 2010 года_14.04.2009_со сглаж_version 3.0_без ФСК_UPDATE.BALANCE.WARM.2011YEAR.TO.1.5.64" xfId="987"/>
    <cellStyle name="_Расчет RAB_Лен и МОЭСК_с 2010 года_14.04.2009_со сглаж_version 3.0_без ФСК_UPDATE.MONITORING.OS.EE.2.02.TO.1.3.64" xfId="988"/>
    <cellStyle name="_Расчет RAB_Лен и МОЭСК_с 2010 года_14.04.2009_со сглаж_version 3.0_без ФСК_UPDATE.NADB.JNVLS.APTEKA.2011.TO.1.3.4" xfId="989"/>
    <cellStyle name="_Расчет RAB_Лен и МОЭСК_с 2010 года_14.04.2009_со сглаж_version 3.0_без ФСК_Вариант с макс ИК" xfId="3057"/>
    <cellStyle name="_Расчет RAB_Лен и МОЭСК_с 2010 года_14.04.2009_со сглаж_version 3.0_без ФСК_Модель расчет отправка" xfId="3058"/>
    <cellStyle name="_Расчет платы за воду по факту 2006года" xfId="3059"/>
    <cellStyle name="_Расшифровка прочих_Бойцова_29.01.08" xfId="3060"/>
    <cellStyle name="_Ремонты_24 02 10" xfId="3061"/>
    <cellStyle name="_Сб-macro 2020" xfId="990"/>
    <cellStyle name="_Свод ожидаемое 3 и 4 квартал" xfId="3062"/>
    <cellStyle name="_Свод по ИПР (2)" xfId="991"/>
    <cellStyle name="_Свод по ИПР (2)_Новая инструкция1_фст" xfId="992"/>
    <cellStyle name="_СВОД_1 2007" xfId="3063"/>
    <cellStyle name="_СВОДНЫЙ3" xfId="119"/>
    <cellStyle name="_смета" xfId="3064"/>
    <cellStyle name="_смета 2" xfId="3065"/>
    <cellStyle name="_Смета АТП_снятие 6млн_04.03.09." xfId="3066"/>
    <cellStyle name="_Смета по варианту от тгк 19 янв+ 9 февр" xfId="3067"/>
    <cellStyle name="_Смета по варианту от тгк 19 янв+ 9 февр 2" xfId="3068"/>
    <cellStyle name="_Смета по варианту от тгк 19 янв+ 9 февр_Разбивка прибыли_12 мес_2010" xfId="3069"/>
    <cellStyle name="_Смета расходов консолидир" xfId="120"/>
    <cellStyle name="_Смета расходов на 2010 год (на сумму 3084 млн руб)" xfId="3070"/>
    <cellStyle name="_Смета расходов на содержание соц.сферы 2008" xfId="3071"/>
    <cellStyle name="_Смета ТГК по филиалам _2007" xfId="3072"/>
    <cellStyle name="_Смета ТГК по филиалам _2007_Разбивка прибыли_12 мес_2010" xfId="3073"/>
    <cellStyle name="_Смета ф-л Кольский АТЭЦ(формат ТГК)" xfId="3074"/>
    <cellStyle name="_Смета ф-л Кольский АТЭЦ(формат ТГК)_КАЛЬК ТГК (ТО ЧТО НА МАХ ГЕННЕРАЦИЮ)" xfId="3075"/>
    <cellStyle name="_смета_Разбивка прибыли_12 мес_2010" xfId="3076"/>
    <cellStyle name="_СМЕТА_ТГК-1_2007(помес.)" xfId="3077"/>
    <cellStyle name="_СМЕТА_ТГК-1_2007(помес.)_Разбивка прибыли_12 мес_2010" xfId="3078"/>
    <cellStyle name="_Смета1кв_2006" xfId="3079"/>
    <cellStyle name="_Смета1кв_2006_КАЛЬК ТГК (ТО ЧТО НА МАХ ГЕННЕРАЦИЮ)" xfId="3080"/>
    <cellStyle name="_сметы ТЭЦ-21" xfId="3081"/>
    <cellStyle name="_СПБ_прибыль_2008-2010" xfId="3082"/>
    <cellStyle name="_Справочник затрат_ЛХ_20.10.05" xfId="121"/>
    <cellStyle name="_Справочник затрат_ЛХ_20.10.05 2" xfId="993"/>
    <cellStyle name="_Ссылка" xfId="3083"/>
    <cellStyle name="_статьи 19 и 7.10" xfId="3084"/>
    <cellStyle name="_СТАТЬИ 7.10.И 8.10 И 19" xfId="3085"/>
    <cellStyle name="_т 14" xfId="3086"/>
    <cellStyle name="_т 14_КАЛЬК ТГК (ТО ЧТО НА МАХ ГЕННЕРАЦИЮ)" xfId="3087"/>
    <cellStyle name="_таб.4-5 Указ._84-У" xfId="122"/>
    <cellStyle name="_табл. 14" xfId="3088"/>
    <cellStyle name="_табл. 14_КАЛЬК ТГК (ТО ЧТО НА МАХ ГЕННЕРАЦИЮ)" xfId="3089"/>
    <cellStyle name="_таблицы для расчетов28-04-08_2006-2009_прибыль корр_по ИА" xfId="994"/>
    <cellStyle name="_таблицы для расчетов28-04-08_2006-2009_прибыль корр_по ИА_Новая инструкция1_фст" xfId="995"/>
    <cellStyle name="_таблицы для расчетов28-04-08_2006-2009с ИА" xfId="996"/>
    <cellStyle name="_таблицы для расчетов28-04-08_2006-2009с ИА_Новая инструкция1_фст" xfId="997"/>
    <cellStyle name="_таблицы для ЮН" xfId="3090"/>
    <cellStyle name="_ТГК_ приказ №12_смета_помесячно" xfId="3091"/>
    <cellStyle name="_ТГК_бизнесплан_2006_27.01.06" xfId="3092"/>
    <cellStyle name="_ТГК_бизнесплан_2006_27.01.06_Разбивка прибыли_12 мес_2010" xfId="3093"/>
    <cellStyle name="_ТГК_бизнесплан_2006_АРМ" xfId="3094"/>
    <cellStyle name="_ТГК_бизнесплан_2006_АРМ_КАЛЬК ТГК (ТО ЧТО НА МАХ ГЕННЕРАЦИЮ)" xfId="3095"/>
    <cellStyle name="_ТГК_приказ №12_доходы по неосновной_помесячно" xfId="3096"/>
    <cellStyle name="_ТГК_приказ №12_приложения_помесячно" xfId="3097"/>
    <cellStyle name="_ТЭП по планированию доходов на передачу ээ" xfId="123"/>
    <cellStyle name="_ТЭЦ-5" xfId="3098"/>
    <cellStyle name="_Ф13" xfId="3099"/>
    <cellStyle name="_Ф13_КАЛЬК ТГК (ТО ЧТО НА МАХ ГЕННЕРАЦИЮ)" xfId="3100"/>
    <cellStyle name="_Ф2_1 кв_анализ_ожид год" xfId="3101"/>
    <cellStyle name="_филиал Кольский ст.6.1 июнь" xfId="3102"/>
    <cellStyle name="_фин модель ТГК-1_до2015 г_14.09.06 (1)" xfId="3103"/>
    <cellStyle name="_Фин.план" xfId="3104"/>
    <cellStyle name="_Финансирование ИП ЗАЯВКА ИЮЛЬ" xfId="3105"/>
    <cellStyle name="_Финансирование_2008_01.10.2007_БП" xfId="3106"/>
    <cellStyle name="_Финансирование_2008_01.10.2007_БП 2" xfId="3107"/>
    <cellStyle name="_Финансирование_2008_01.10.2007_БП_Разбивка прибыли_12 мес_2010" xfId="3108"/>
    <cellStyle name="_Финансирование_24.08.2007" xfId="3109"/>
    <cellStyle name="_Финансирование_29.01.2007" xfId="3110"/>
    <cellStyle name="_Финансирование_29.01.2007_Разбивка прибыли_12 мес_2010" xfId="3111"/>
    <cellStyle name="_ФК форматы  ОМТО к бюджету декабрь " xfId="3112"/>
    <cellStyle name="_ФК форматы к бюджету 10.05.07 " xfId="3113"/>
    <cellStyle name="_Форма 6  РТК.xls(отчет по Адр пр. ЛО)" xfId="124"/>
    <cellStyle name="_Форма 6  РТК.xls(отчет по Адр пр. ЛО) 2" xfId="998"/>
    <cellStyle name="_Форма 6  РТК.xls(отчет по Адр пр. ЛО)_Новая инструкция1_фст" xfId="999"/>
    <cellStyle name="_Формат разбивки по МРСК_РСК" xfId="1000"/>
    <cellStyle name="_Формат разбивки по МРСК_РСК_Новая инструкция1_фст" xfId="1001"/>
    <cellStyle name="_Формат_для Согласования" xfId="1002"/>
    <cellStyle name="_Формат_для Согласования_Новая инструкция1_фст" xfId="1003"/>
    <cellStyle name="_Формат_материалы_2009" xfId="3114"/>
    <cellStyle name="_Формат_произв. прогр" xfId="3115"/>
    <cellStyle name="_Формат_произв. прогр 2" xfId="3116"/>
    <cellStyle name="_Формат_произв. прогр_Разбивка прибыли_12 мес_2010" xfId="3117"/>
    <cellStyle name="_Форматы УУ_12 _1_1_1_1" xfId="125"/>
    <cellStyle name="_Форматы УУ_резерв" xfId="126"/>
    <cellStyle name="_формы Ленэнерго -изменения2" xfId="127"/>
    <cellStyle name="_фск, выручка, потери" xfId="128"/>
    <cellStyle name="_ХХХ Прил 2 Формы бюджетных документов 2007" xfId="129"/>
    <cellStyle name="_ХХХ Прил 2 Формы бюджетных документов 2007 2" xfId="1004"/>
    <cellStyle name="_ХХХ Прил 2 Формы бюджетных документов 2007_Расшифровка для аудита 2011 КСК" xfId="130"/>
    <cellStyle name="_ХХХ Прил 2 Формы бюджетных документов 2007_ТАБЛ_КСК_2011" xfId="131"/>
    <cellStyle name="_экон.форм-т ВО 1 с разбивкой" xfId="1005"/>
    <cellStyle name="_экон.форм-т ВО 1 с разбивкой_Новая инструкция1_фст" xfId="1006"/>
    <cellStyle name="_энергия на хоз нужды" xfId="3118"/>
    <cellStyle name="’К‰Э [0.00]" xfId="132"/>
    <cellStyle name="”€ќђќ‘ћ‚›‰" xfId="133"/>
    <cellStyle name="”€ќђќ‘ћ‚›‰ 2" xfId="1007"/>
    <cellStyle name="”€љ‘€ђћ‚ђќќ›‰" xfId="134"/>
    <cellStyle name="”€љ‘€ђћ‚ђќќ›‰ 2" xfId="1008"/>
    <cellStyle name="”ќђќ‘ћ‚›‰" xfId="135"/>
    <cellStyle name="”ќђќ‘ћ‚›‰ 2" xfId="1009"/>
    <cellStyle name="”ќђќ‘ћ‚›‰ 2 2" xfId="3119"/>
    <cellStyle name="”ќђќ‘ћ‚›‰ 3" xfId="1010"/>
    <cellStyle name="”љ‘ђћ‚ђќќ›‰" xfId="136"/>
    <cellStyle name="”љ‘ђћ‚ђќќ›‰ 2" xfId="1011"/>
    <cellStyle name="”љ‘ђћ‚ђќќ›‰ 2 2" xfId="3120"/>
    <cellStyle name="”љ‘ђћ‚ђќќ›‰ 3" xfId="1012"/>
    <cellStyle name="„…ќ…†ќ›‰" xfId="137"/>
    <cellStyle name="„…ќ…†ќ›‰ 2" xfId="1013"/>
    <cellStyle name="„…ќ…†ќ›‰ 2 2" xfId="3121"/>
    <cellStyle name="„…ќ…†ќ›‰ 3" xfId="1014"/>
    <cellStyle name="€’ћѓћ‚›‰" xfId="138"/>
    <cellStyle name="€’ћѓћ‚›‰ 2" xfId="1015"/>
    <cellStyle name="‡ђѓћ‹ћ‚ћљ1" xfId="139"/>
    <cellStyle name="‡ђѓћ‹ћ‚ћљ1 2" xfId="1016"/>
    <cellStyle name="‡ђѓћ‹ћ‚ћљ1 2 2" xfId="3122"/>
    <cellStyle name="‡ђѓћ‹ћ‚ћљ1 3" xfId="1017"/>
    <cellStyle name="‡ђѓћ‹ћ‚ћљ2" xfId="140"/>
    <cellStyle name="‡ђѓћ‹ћ‚ћљ2 2" xfId="1018"/>
    <cellStyle name="‡ђѓћ‹ћ‚ћљ2 2 2" xfId="3123"/>
    <cellStyle name="‡ђѓћ‹ћ‚ћљ2 3" xfId="1019"/>
    <cellStyle name="’ћѓћ‚›‰" xfId="141"/>
    <cellStyle name="’ћѓћ‚›‰ 2" xfId="1020"/>
    <cellStyle name="’ћѓћ‚›‰ 2 2" xfId="3124"/>
    <cellStyle name="’ћѓћ‚›‰ 3" xfId="1021"/>
    <cellStyle name="0,0_x000d__x000a_NA_x000d__x000a_" xfId="3125"/>
    <cellStyle name="0,00;0;" xfId="3126"/>
    <cellStyle name="1Normal" xfId="142"/>
    <cellStyle name="1Normal 2" xfId="1022"/>
    <cellStyle name="20% - Accent1" xfId="143"/>
    <cellStyle name="20% - Accent1 2" xfId="1023"/>
    <cellStyle name="20% - Accent1 3" xfId="1024"/>
    <cellStyle name="20% - Accent1 4" xfId="1025"/>
    <cellStyle name="20% - Accent1_46EE.2011(v1.0)" xfId="1026"/>
    <cellStyle name="20% - Accent2" xfId="144"/>
    <cellStyle name="20% - Accent2 2" xfId="1027"/>
    <cellStyle name="20% - Accent2 3" xfId="1028"/>
    <cellStyle name="20% - Accent2 4" xfId="1029"/>
    <cellStyle name="20% - Accent2_46EE.2011(v1.0)" xfId="1030"/>
    <cellStyle name="20% - Accent3" xfId="145"/>
    <cellStyle name="20% - Accent3 2" xfId="1031"/>
    <cellStyle name="20% - Accent3 3" xfId="1032"/>
    <cellStyle name="20% - Accent3 4" xfId="1033"/>
    <cellStyle name="20% - Accent3_46EE.2011(v1.0)" xfId="1034"/>
    <cellStyle name="20% - Accent4" xfId="146"/>
    <cellStyle name="20% - Accent4 2" xfId="1035"/>
    <cellStyle name="20% - Accent4 3" xfId="1036"/>
    <cellStyle name="20% - Accent4 4" xfId="1037"/>
    <cellStyle name="20% - Accent4_46EE.2011(v1.0)" xfId="1038"/>
    <cellStyle name="20% - Accent5" xfId="147"/>
    <cellStyle name="20% - Accent5 2" xfId="1039"/>
    <cellStyle name="20% - Accent5 3" xfId="1040"/>
    <cellStyle name="20% - Accent5 4" xfId="1041"/>
    <cellStyle name="20% - Accent5_46EE.2011(v1.0)" xfId="1042"/>
    <cellStyle name="20% - Accent6" xfId="148"/>
    <cellStyle name="20% - Accent6 2" xfId="1043"/>
    <cellStyle name="20% - Accent6 3" xfId="1044"/>
    <cellStyle name="20% - Accent6 4" xfId="1045"/>
    <cellStyle name="20% - Accent6_46EE.2011(v1.0)" xfId="1046"/>
    <cellStyle name="20% — Акцент1" xfId="3127"/>
    <cellStyle name="20% - Акцент1 10" xfId="1047"/>
    <cellStyle name="20% - Акцент1 2" xfId="1048"/>
    <cellStyle name="20% - Акцент1 2 2" xfId="1049"/>
    <cellStyle name="20% - Акцент1 2 3" xfId="1050"/>
    <cellStyle name="20% - Акцент1 2_46EE.2011(v1.0)" xfId="1051"/>
    <cellStyle name="20% - Акцент1 3" xfId="1052"/>
    <cellStyle name="20% - Акцент1 3 2" xfId="1053"/>
    <cellStyle name="20% - Акцент1 3 3" xfId="1054"/>
    <cellStyle name="20% - Акцент1 3_46EE.2011(v1.0)" xfId="1055"/>
    <cellStyle name="20% - Акцент1 4" xfId="1056"/>
    <cellStyle name="20% - Акцент1 4 2" xfId="1057"/>
    <cellStyle name="20% - Акцент1 4 3" xfId="1058"/>
    <cellStyle name="20% - Акцент1 4_46EE.2011(v1.0)" xfId="1059"/>
    <cellStyle name="20% - Акцент1 5" xfId="1060"/>
    <cellStyle name="20% - Акцент1 5 2" xfId="1061"/>
    <cellStyle name="20% - Акцент1 5 3" xfId="1062"/>
    <cellStyle name="20% - Акцент1 5_46EE.2011(v1.0)" xfId="1063"/>
    <cellStyle name="20% - Акцент1 6" xfId="1064"/>
    <cellStyle name="20% - Акцент1 6 2" xfId="1065"/>
    <cellStyle name="20% - Акцент1 6 3" xfId="1066"/>
    <cellStyle name="20% - Акцент1 6_46EE.2011(v1.0)" xfId="1067"/>
    <cellStyle name="20% - Акцент1 7" xfId="1068"/>
    <cellStyle name="20% - Акцент1 7 2" xfId="1069"/>
    <cellStyle name="20% - Акцент1 7 3" xfId="1070"/>
    <cellStyle name="20% - Акцент1 7_46EE.2011(v1.0)" xfId="1071"/>
    <cellStyle name="20% - Акцент1 8" xfId="1072"/>
    <cellStyle name="20% - Акцент1 8 2" xfId="1073"/>
    <cellStyle name="20% - Акцент1 8 3" xfId="1074"/>
    <cellStyle name="20% - Акцент1 8_46EE.2011(v1.0)" xfId="1075"/>
    <cellStyle name="20% - Акцент1 9" xfId="1076"/>
    <cellStyle name="20% - Акцент1 9 2" xfId="1077"/>
    <cellStyle name="20% - Акцент1 9 3" xfId="1078"/>
    <cellStyle name="20% - Акцент1 9_46EE.2011(v1.0)" xfId="1079"/>
    <cellStyle name="20% — Акцент2" xfId="3128"/>
    <cellStyle name="20% - Акцент2 10" xfId="1080"/>
    <cellStyle name="20% - Акцент2 2" xfId="1081"/>
    <cellStyle name="20% - Акцент2 2 2" xfId="1082"/>
    <cellStyle name="20% - Акцент2 2 3" xfId="1083"/>
    <cellStyle name="20% - Акцент2 2_46EE.2011(v1.0)" xfId="1084"/>
    <cellStyle name="20% - Акцент2 3" xfId="1085"/>
    <cellStyle name="20% - Акцент2 3 2" xfId="1086"/>
    <cellStyle name="20% - Акцент2 3 3" xfId="1087"/>
    <cellStyle name="20% - Акцент2 3_46EE.2011(v1.0)" xfId="1088"/>
    <cellStyle name="20% - Акцент2 4" xfId="1089"/>
    <cellStyle name="20% - Акцент2 4 2" xfId="1090"/>
    <cellStyle name="20% - Акцент2 4 3" xfId="1091"/>
    <cellStyle name="20% - Акцент2 4_46EE.2011(v1.0)" xfId="1092"/>
    <cellStyle name="20% - Акцент2 5" xfId="1093"/>
    <cellStyle name="20% - Акцент2 5 2" xfId="1094"/>
    <cellStyle name="20% - Акцент2 5 3" xfId="1095"/>
    <cellStyle name="20% - Акцент2 5_46EE.2011(v1.0)" xfId="1096"/>
    <cellStyle name="20% - Акцент2 6" xfId="1097"/>
    <cellStyle name="20% - Акцент2 6 2" xfId="1098"/>
    <cellStyle name="20% - Акцент2 6 3" xfId="1099"/>
    <cellStyle name="20% - Акцент2 6_46EE.2011(v1.0)" xfId="1100"/>
    <cellStyle name="20% - Акцент2 7" xfId="1101"/>
    <cellStyle name="20% - Акцент2 7 2" xfId="1102"/>
    <cellStyle name="20% - Акцент2 7 3" xfId="1103"/>
    <cellStyle name="20% - Акцент2 7_46EE.2011(v1.0)" xfId="1104"/>
    <cellStyle name="20% - Акцент2 8" xfId="1105"/>
    <cellStyle name="20% - Акцент2 8 2" xfId="1106"/>
    <cellStyle name="20% - Акцент2 8 3" xfId="1107"/>
    <cellStyle name="20% - Акцент2 8_46EE.2011(v1.0)" xfId="1108"/>
    <cellStyle name="20% - Акцент2 9" xfId="1109"/>
    <cellStyle name="20% - Акцент2 9 2" xfId="1110"/>
    <cellStyle name="20% - Акцент2 9 3" xfId="1111"/>
    <cellStyle name="20% - Акцент2 9_46EE.2011(v1.0)" xfId="1112"/>
    <cellStyle name="20% — Акцент3" xfId="3129"/>
    <cellStyle name="20% - Акцент3 10" xfId="1113"/>
    <cellStyle name="20% - Акцент3 2" xfId="1114"/>
    <cellStyle name="20% - Акцент3 2 2" xfId="1115"/>
    <cellStyle name="20% - Акцент3 2 3" xfId="1116"/>
    <cellStyle name="20% - Акцент3 2_46EE.2011(v1.0)" xfId="1117"/>
    <cellStyle name="20% - Акцент3 3" xfId="1118"/>
    <cellStyle name="20% - Акцент3 3 2" xfId="1119"/>
    <cellStyle name="20% - Акцент3 3 3" xfId="1120"/>
    <cellStyle name="20% - Акцент3 3_46EE.2011(v1.0)" xfId="1121"/>
    <cellStyle name="20% - Акцент3 4" xfId="1122"/>
    <cellStyle name="20% - Акцент3 4 2" xfId="1123"/>
    <cellStyle name="20% - Акцент3 4 3" xfId="1124"/>
    <cellStyle name="20% - Акцент3 4_46EE.2011(v1.0)" xfId="1125"/>
    <cellStyle name="20% - Акцент3 5" xfId="1126"/>
    <cellStyle name="20% - Акцент3 5 2" xfId="1127"/>
    <cellStyle name="20% - Акцент3 5 3" xfId="1128"/>
    <cellStyle name="20% - Акцент3 5_46EE.2011(v1.0)" xfId="1129"/>
    <cellStyle name="20% - Акцент3 6" xfId="1130"/>
    <cellStyle name="20% - Акцент3 6 2" xfId="1131"/>
    <cellStyle name="20% - Акцент3 6 3" xfId="1132"/>
    <cellStyle name="20% - Акцент3 6_46EE.2011(v1.0)" xfId="1133"/>
    <cellStyle name="20% - Акцент3 7" xfId="1134"/>
    <cellStyle name="20% - Акцент3 7 2" xfId="1135"/>
    <cellStyle name="20% - Акцент3 7 3" xfId="1136"/>
    <cellStyle name="20% - Акцент3 7_46EE.2011(v1.0)" xfId="1137"/>
    <cellStyle name="20% - Акцент3 8" xfId="1138"/>
    <cellStyle name="20% - Акцент3 8 2" xfId="1139"/>
    <cellStyle name="20% - Акцент3 8 3" xfId="1140"/>
    <cellStyle name="20% - Акцент3 8_46EE.2011(v1.0)" xfId="1141"/>
    <cellStyle name="20% - Акцент3 9" xfId="1142"/>
    <cellStyle name="20% - Акцент3 9 2" xfId="1143"/>
    <cellStyle name="20% - Акцент3 9 3" xfId="1144"/>
    <cellStyle name="20% - Акцент3 9_46EE.2011(v1.0)" xfId="1145"/>
    <cellStyle name="20% — Акцент4" xfId="3130"/>
    <cellStyle name="20% - Акцент4 10" xfId="1146"/>
    <cellStyle name="20% - Акцент4 2" xfId="1147"/>
    <cellStyle name="20% - Акцент4 2 2" xfId="1148"/>
    <cellStyle name="20% - Акцент4 2 3" xfId="1149"/>
    <cellStyle name="20% - Акцент4 2_46EE.2011(v1.0)" xfId="1150"/>
    <cellStyle name="20% - Акцент4 3" xfId="1151"/>
    <cellStyle name="20% - Акцент4 3 2" xfId="1152"/>
    <cellStyle name="20% - Акцент4 3 3" xfId="1153"/>
    <cellStyle name="20% - Акцент4 3_46EE.2011(v1.0)" xfId="1154"/>
    <cellStyle name="20% - Акцент4 4" xfId="1155"/>
    <cellStyle name="20% - Акцент4 4 2" xfId="1156"/>
    <cellStyle name="20% - Акцент4 4 3" xfId="1157"/>
    <cellStyle name="20% - Акцент4 4_46EE.2011(v1.0)" xfId="1158"/>
    <cellStyle name="20% - Акцент4 5" xfId="1159"/>
    <cellStyle name="20% - Акцент4 5 2" xfId="1160"/>
    <cellStyle name="20% - Акцент4 5 3" xfId="1161"/>
    <cellStyle name="20% - Акцент4 5_46EE.2011(v1.0)" xfId="1162"/>
    <cellStyle name="20% - Акцент4 6" xfId="1163"/>
    <cellStyle name="20% - Акцент4 6 2" xfId="1164"/>
    <cellStyle name="20% - Акцент4 6 3" xfId="1165"/>
    <cellStyle name="20% - Акцент4 6_46EE.2011(v1.0)" xfId="1166"/>
    <cellStyle name="20% - Акцент4 7" xfId="1167"/>
    <cellStyle name="20% - Акцент4 7 2" xfId="1168"/>
    <cellStyle name="20% - Акцент4 7 3" xfId="1169"/>
    <cellStyle name="20% - Акцент4 7_46EE.2011(v1.0)" xfId="1170"/>
    <cellStyle name="20% - Акцент4 8" xfId="1171"/>
    <cellStyle name="20% - Акцент4 8 2" xfId="1172"/>
    <cellStyle name="20% - Акцент4 8 3" xfId="1173"/>
    <cellStyle name="20% - Акцент4 8_46EE.2011(v1.0)" xfId="1174"/>
    <cellStyle name="20% - Акцент4 9" xfId="1175"/>
    <cellStyle name="20% - Акцент4 9 2" xfId="1176"/>
    <cellStyle name="20% - Акцент4 9 3" xfId="1177"/>
    <cellStyle name="20% - Акцент4 9_46EE.2011(v1.0)" xfId="1178"/>
    <cellStyle name="20% — Акцент5" xfId="3131"/>
    <cellStyle name="20% - Акцент5 10" xfId="1179"/>
    <cellStyle name="20% - Акцент5 2" xfId="1180"/>
    <cellStyle name="20% - Акцент5 2 2" xfId="1181"/>
    <cellStyle name="20% - Акцент5 2 3" xfId="1182"/>
    <cellStyle name="20% - Акцент5 2_46EE.2011(v1.0)" xfId="1183"/>
    <cellStyle name="20% - Акцент5 3" xfId="1184"/>
    <cellStyle name="20% - Акцент5 3 2" xfId="1185"/>
    <cellStyle name="20% - Акцент5 3 3" xfId="1186"/>
    <cellStyle name="20% - Акцент5 3_46EE.2011(v1.0)" xfId="1187"/>
    <cellStyle name="20% - Акцент5 4" xfId="1188"/>
    <cellStyle name="20% - Акцент5 4 2" xfId="1189"/>
    <cellStyle name="20% - Акцент5 4 3" xfId="1190"/>
    <cellStyle name="20% - Акцент5 4_46EE.2011(v1.0)" xfId="1191"/>
    <cellStyle name="20% - Акцент5 5" xfId="1192"/>
    <cellStyle name="20% - Акцент5 5 2" xfId="1193"/>
    <cellStyle name="20% - Акцент5 5 3" xfId="1194"/>
    <cellStyle name="20% - Акцент5 5_46EE.2011(v1.0)" xfId="1195"/>
    <cellStyle name="20% - Акцент5 6" xfId="1196"/>
    <cellStyle name="20% - Акцент5 6 2" xfId="1197"/>
    <cellStyle name="20% - Акцент5 6 3" xfId="1198"/>
    <cellStyle name="20% - Акцент5 6_46EE.2011(v1.0)" xfId="1199"/>
    <cellStyle name="20% - Акцент5 7" xfId="1200"/>
    <cellStyle name="20% - Акцент5 7 2" xfId="1201"/>
    <cellStyle name="20% - Акцент5 7 3" xfId="1202"/>
    <cellStyle name="20% - Акцент5 7_46EE.2011(v1.0)" xfId="1203"/>
    <cellStyle name="20% - Акцент5 8" xfId="1204"/>
    <cellStyle name="20% - Акцент5 8 2" xfId="1205"/>
    <cellStyle name="20% - Акцент5 8 3" xfId="1206"/>
    <cellStyle name="20% - Акцент5 8_46EE.2011(v1.0)" xfId="1207"/>
    <cellStyle name="20% - Акцент5 9" xfId="1208"/>
    <cellStyle name="20% - Акцент5 9 2" xfId="1209"/>
    <cellStyle name="20% - Акцент5 9 3" xfId="1210"/>
    <cellStyle name="20% - Акцент5 9_46EE.2011(v1.0)" xfId="1211"/>
    <cellStyle name="20% — Акцент6" xfId="3132"/>
    <cellStyle name="20% - Акцент6 10" xfId="1212"/>
    <cellStyle name="20% - Акцент6 2" xfId="1213"/>
    <cellStyle name="20% - Акцент6 2 2" xfId="1214"/>
    <cellStyle name="20% - Акцент6 2 3" xfId="1215"/>
    <cellStyle name="20% - Акцент6 2_46EE.2011(v1.0)" xfId="1216"/>
    <cellStyle name="20% - Акцент6 3" xfId="1217"/>
    <cellStyle name="20% - Акцент6 3 2" xfId="1218"/>
    <cellStyle name="20% - Акцент6 3 3" xfId="1219"/>
    <cellStyle name="20% - Акцент6 3_46EE.2011(v1.0)" xfId="1220"/>
    <cellStyle name="20% - Акцент6 4" xfId="1221"/>
    <cellStyle name="20% - Акцент6 4 2" xfId="1222"/>
    <cellStyle name="20% - Акцент6 4 3" xfId="1223"/>
    <cellStyle name="20% - Акцент6 4_46EE.2011(v1.0)" xfId="1224"/>
    <cellStyle name="20% - Акцент6 5" xfId="1225"/>
    <cellStyle name="20% - Акцент6 5 2" xfId="1226"/>
    <cellStyle name="20% - Акцент6 5 3" xfId="1227"/>
    <cellStyle name="20% - Акцент6 5_46EE.2011(v1.0)" xfId="1228"/>
    <cellStyle name="20% - Акцент6 6" xfId="1229"/>
    <cellStyle name="20% - Акцент6 6 2" xfId="1230"/>
    <cellStyle name="20% - Акцент6 6 3" xfId="1231"/>
    <cellStyle name="20% - Акцент6 6_46EE.2011(v1.0)" xfId="1232"/>
    <cellStyle name="20% - Акцент6 7" xfId="1233"/>
    <cellStyle name="20% - Акцент6 7 2" xfId="1234"/>
    <cellStyle name="20% - Акцент6 7 3" xfId="1235"/>
    <cellStyle name="20% - Акцент6 7_46EE.2011(v1.0)" xfId="1236"/>
    <cellStyle name="20% - Акцент6 8" xfId="1237"/>
    <cellStyle name="20% - Акцент6 8 2" xfId="1238"/>
    <cellStyle name="20% - Акцент6 8 3" xfId="1239"/>
    <cellStyle name="20% - Акцент6 8_46EE.2011(v1.0)" xfId="1240"/>
    <cellStyle name="20% - Акцент6 9" xfId="1241"/>
    <cellStyle name="20% - Акцент6 9 2" xfId="1242"/>
    <cellStyle name="20% - Акцент6 9 3" xfId="1243"/>
    <cellStyle name="20% - Акцент6 9_46EE.2011(v1.0)" xfId="1244"/>
    <cellStyle name="40% - Accent1" xfId="149"/>
    <cellStyle name="40% - Accent1 2" xfId="1245"/>
    <cellStyle name="40% - Accent1 3" xfId="1246"/>
    <cellStyle name="40% - Accent1 4" xfId="1247"/>
    <cellStyle name="40% - Accent1_46EE.2011(v1.0)" xfId="1248"/>
    <cellStyle name="40% - Accent2" xfId="150"/>
    <cellStyle name="40% - Accent2 2" xfId="1249"/>
    <cellStyle name="40% - Accent2 3" xfId="1250"/>
    <cellStyle name="40% - Accent2 4" xfId="1251"/>
    <cellStyle name="40% - Accent2_46EE.2011(v1.0)" xfId="1252"/>
    <cellStyle name="40% - Accent3" xfId="151"/>
    <cellStyle name="40% - Accent3 2" xfId="1253"/>
    <cellStyle name="40% - Accent3 3" xfId="1254"/>
    <cellStyle name="40% - Accent3 4" xfId="1255"/>
    <cellStyle name="40% - Accent3_46EE.2011(v1.0)" xfId="1256"/>
    <cellStyle name="40% - Accent4" xfId="152"/>
    <cellStyle name="40% - Accent4 2" xfId="1257"/>
    <cellStyle name="40% - Accent4 3" xfId="1258"/>
    <cellStyle name="40% - Accent4 4" xfId="1259"/>
    <cellStyle name="40% - Accent4_46EE.2011(v1.0)" xfId="1260"/>
    <cellStyle name="40% - Accent5" xfId="153"/>
    <cellStyle name="40% - Accent5 2" xfId="1261"/>
    <cellStyle name="40% - Accent5 3" xfId="1262"/>
    <cellStyle name="40% - Accent5 4" xfId="1263"/>
    <cellStyle name="40% - Accent5_46EE.2011(v1.0)" xfId="1264"/>
    <cellStyle name="40% - Accent6" xfId="154"/>
    <cellStyle name="40% - Accent6 2" xfId="1265"/>
    <cellStyle name="40% - Accent6 3" xfId="1266"/>
    <cellStyle name="40% - Accent6 4" xfId="1267"/>
    <cellStyle name="40% - Accent6_46EE.2011(v1.0)" xfId="1268"/>
    <cellStyle name="40% — Акцент1" xfId="3133"/>
    <cellStyle name="40% - Акцент1 10" xfId="1269"/>
    <cellStyle name="40% - Акцент1 2" xfId="1270"/>
    <cellStyle name="40% - Акцент1 2 2" xfId="1271"/>
    <cellStyle name="40% - Акцент1 2 3" xfId="1272"/>
    <cellStyle name="40% - Акцент1 2_46EE.2011(v1.0)" xfId="1273"/>
    <cellStyle name="40% - Акцент1 3" xfId="1274"/>
    <cellStyle name="40% - Акцент1 3 2" xfId="1275"/>
    <cellStyle name="40% - Акцент1 3 3" xfId="1276"/>
    <cellStyle name="40% - Акцент1 3_46EE.2011(v1.0)" xfId="1277"/>
    <cellStyle name="40% - Акцент1 4" xfId="1278"/>
    <cellStyle name="40% - Акцент1 4 2" xfId="1279"/>
    <cellStyle name="40% - Акцент1 4 3" xfId="1280"/>
    <cellStyle name="40% - Акцент1 4_46EE.2011(v1.0)" xfId="1281"/>
    <cellStyle name="40% - Акцент1 5" xfId="1282"/>
    <cellStyle name="40% - Акцент1 5 2" xfId="1283"/>
    <cellStyle name="40% - Акцент1 5 3" xfId="1284"/>
    <cellStyle name="40% - Акцент1 5_46EE.2011(v1.0)" xfId="1285"/>
    <cellStyle name="40% - Акцент1 6" xfId="1286"/>
    <cellStyle name="40% - Акцент1 6 2" xfId="1287"/>
    <cellStyle name="40% - Акцент1 6 3" xfId="1288"/>
    <cellStyle name="40% - Акцент1 6_46EE.2011(v1.0)" xfId="1289"/>
    <cellStyle name="40% - Акцент1 7" xfId="1290"/>
    <cellStyle name="40% - Акцент1 7 2" xfId="1291"/>
    <cellStyle name="40% - Акцент1 7 3" xfId="1292"/>
    <cellStyle name="40% - Акцент1 7_46EE.2011(v1.0)" xfId="1293"/>
    <cellStyle name="40% - Акцент1 8" xfId="1294"/>
    <cellStyle name="40% - Акцент1 8 2" xfId="1295"/>
    <cellStyle name="40% - Акцент1 8 3" xfId="1296"/>
    <cellStyle name="40% - Акцент1 8_46EE.2011(v1.0)" xfId="1297"/>
    <cellStyle name="40% - Акцент1 9" xfId="1298"/>
    <cellStyle name="40% - Акцент1 9 2" xfId="1299"/>
    <cellStyle name="40% - Акцент1 9 3" xfId="1300"/>
    <cellStyle name="40% - Акцент1 9_46EE.2011(v1.0)" xfId="1301"/>
    <cellStyle name="40% — Акцент2" xfId="3134"/>
    <cellStyle name="40% - Акцент2 10" xfId="1302"/>
    <cellStyle name="40% - Акцент2 2" xfId="1303"/>
    <cellStyle name="40% - Акцент2 2 2" xfId="1304"/>
    <cellStyle name="40% - Акцент2 2 3" xfId="1305"/>
    <cellStyle name="40% - Акцент2 2_46EE.2011(v1.0)" xfId="1306"/>
    <cellStyle name="40% - Акцент2 3" xfId="1307"/>
    <cellStyle name="40% - Акцент2 3 2" xfId="1308"/>
    <cellStyle name="40% - Акцент2 3 3" xfId="1309"/>
    <cellStyle name="40% - Акцент2 3_46EE.2011(v1.0)" xfId="1310"/>
    <cellStyle name="40% - Акцент2 4" xfId="1311"/>
    <cellStyle name="40% - Акцент2 4 2" xfId="1312"/>
    <cellStyle name="40% - Акцент2 4 3" xfId="1313"/>
    <cellStyle name="40% - Акцент2 4_46EE.2011(v1.0)" xfId="1314"/>
    <cellStyle name="40% - Акцент2 5" xfId="1315"/>
    <cellStyle name="40% - Акцент2 5 2" xfId="1316"/>
    <cellStyle name="40% - Акцент2 5 3" xfId="1317"/>
    <cellStyle name="40% - Акцент2 5_46EE.2011(v1.0)" xfId="1318"/>
    <cellStyle name="40% - Акцент2 6" xfId="1319"/>
    <cellStyle name="40% - Акцент2 6 2" xfId="1320"/>
    <cellStyle name="40% - Акцент2 6 3" xfId="1321"/>
    <cellStyle name="40% - Акцент2 6_46EE.2011(v1.0)" xfId="1322"/>
    <cellStyle name="40% - Акцент2 7" xfId="1323"/>
    <cellStyle name="40% - Акцент2 7 2" xfId="1324"/>
    <cellStyle name="40% - Акцент2 7 3" xfId="1325"/>
    <cellStyle name="40% - Акцент2 7_46EE.2011(v1.0)" xfId="1326"/>
    <cellStyle name="40% - Акцент2 8" xfId="1327"/>
    <cellStyle name="40% - Акцент2 8 2" xfId="1328"/>
    <cellStyle name="40% - Акцент2 8 3" xfId="1329"/>
    <cellStyle name="40% - Акцент2 8_46EE.2011(v1.0)" xfId="1330"/>
    <cellStyle name="40% - Акцент2 9" xfId="1331"/>
    <cellStyle name="40% - Акцент2 9 2" xfId="1332"/>
    <cellStyle name="40% - Акцент2 9 3" xfId="1333"/>
    <cellStyle name="40% - Акцент2 9_46EE.2011(v1.0)" xfId="1334"/>
    <cellStyle name="40% — Акцент3" xfId="3135"/>
    <cellStyle name="40% - Акцент3 10" xfId="1335"/>
    <cellStyle name="40% - Акцент3 2" xfId="1336"/>
    <cellStyle name="40% - Акцент3 2 2" xfId="1337"/>
    <cellStyle name="40% - Акцент3 2 3" xfId="1338"/>
    <cellStyle name="40% - Акцент3 2_46EE.2011(v1.0)" xfId="1339"/>
    <cellStyle name="40% - Акцент3 3" xfId="1340"/>
    <cellStyle name="40% - Акцент3 3 2" xfId="1341"/>
    <cellStyle name="40% - Акцент3 3 3" xfId="1342"/>
    <cellStyle name="40% - Акцент3 3_46EE.2011(v1.0)" xfId="1343"/>
    <cellStyle name="40% - Акцент3 4" xfId="1344"/>
    <cellStyle name="40% - Акцент3 4 2" xfId="1345"/>
    <cellStyle name="40% - Акцент3 4 3" xfId="1346"/>
    <cellStyle name="40% - Акцент3 4_46EE.2011(v1.0)" xfId="1347"/>
    <cellStyle name="40% - Акцент3 5" xfId="1348"/>
    <cellStyle name="40% - Акцент3 5 2" xfId="1349"/>
    <cellStyle name="40% - Акцент3 5 3" xfId="1350"/>
    <cellStyle name="40% - Акцент3 5_46EE.2011(v1.0)" xfId="1351"/>
    <cellStyle name="40% - Акцент3 6" xfId="1352"/>
    <cellStyle name="40% - Акцент3 6 2" xfId="1353"/>
    <cellStyle name="40% - Акцент3 6 3" xfId="1354"/>
    <cellStyle name="40% - Акцент3 6_46EE.2011(v1.0)" xfId="1355"/>
    <cellStyle name="40% - Акцент3 7" xfId="1356"/>
    <cellStyle name="40% - Акцент3 7 2" xfId="1357"/>
    <cellStyle name="40% - Акцент3 7 3" xfId="1358"/>
    <cellStyle name="40% - Акцент3 7_46EE.2011(v1.0)" xfId="1359"/>
    <cellStyle name="40% - Акцент3 8" xfId="1360"/>
    <cellStyle name="40% - Акцент3 8 2" xfId="1361"/>
    <cellStyle name="40% - Акцент3 8 3" xfId="1362"/>
    <cellStyle name="40% - Акцент3 8_46EE.2011(v1.0)" xfId="1363"/>
    <cellStyle name="40% - Акцент3 9" xfId="1364"/>
    <cellStyle name="40% - Акцент3 9 2" xfId="1365"/>
    <cellStyle name="40% - Акцент3 9 3" xfId="1366"/>
    <cellStyle name="40% - Акцент3 9_46EE.2011(v1.0)" xfId="1367"/>
    <cellStyle name="40% — Акцент4" xfId="3136"/>
    <cellStyle name="40% - Акцент4 10" xfId="1368"/>
    <cellStyle name="40% - Акцент4 2" xfId="1369"/>
    <cellStyle name="40% - Акцент4 2 2" xfId="1370"/>
    <cellStyle name="40% - Акцент4 2 3" xfId="1371"/>
    <cellStyle name="40% - Акцент4 2_46EE.2011(v1.0)" xfId="1372"/>
    <cellStyle name="40% - Акцент4 3" xfId="1373"/>
    <cellStyle name="40% - Акцент4 3 2" xfId="1374"/>
    <cellStyle name="40% - Акцент4 3 3" xfId="1375"/>
    <cellStyle name="40% - Акцент4 3_46EE.2011(v1.0)" xfId="1376"/>
    <cellStyle name="40% - Акцент4 4" xfId="1377"/>
    <cellStyle name="40% - Акцент4 4 2" xfId="1378"/>
    <cellStyle name="40% - Акцент4 4 3" xfId="1379"/>
    <cellStyle name="40% - Акцент4 4_46EE.2011(v1.0)" xfId="1380"/>
    <cellStyle name="40% - Акцент4 5" xfId="1381"/>
    <cellStyle name="40% - Акцент4 5 2" xfId="1382"/>
    <cellStyle name="40% - Акцент4 5 3" xfId="1383"/>
    <cellStyle name="40% - Акцент4 5_46EE.2011(v1.0)" xfId="1384"/>
    <cellStyle name="40% - Акцент4 6" xfId="1385"/>
    <cellStyle name="40% - Акцент4 6 2" xfId="1386"/>
    <cellStyle name="40% - Акцент4 6 3" xfId="1387"/>
    <cellStyle name="40% - Акцент4 6_46EE.2011(v1.0)" xfId="1388"/>
    <cellStyle name="40% - Акцент4 7" xfId="1389"/>
    <cellStyle name="40% - Акцент4 7 2" xfId="1390"/>
    <cellStyle name="40% - Акцент4 7 3" xfId="1391"/>
    <cellStyle name="40% - Акцент4 7_46EE.2011(v1.0)" xfId="1392"/>
    <cellStyle name="40% - Акцент4 8" xfId="1393"/>
    <cellStyle name="40% - Акцент4 8 2" xfId="1394"/>
    <cellStyle name="40% - Акцент4 8 3" xfId="1395"/>
    <cellStyle name="40% - Акцент4 8_46EE.2011(v1.0)" xfId="1396"/>
    <cellStyle name="40% - Акцент4 9" xfId="1397"/>
    <cellStyle name="40% - Акцент4 9 2" xfId="1398"/>
    <cellStyle name="40% - Акцент4 9 3" xfId="1399"/>
    <cellStyle name="40% - Акцент4 9_46EE.2011(v1.0)" xfId="1400"/>
    <cellStyle name="40% — Акцент5" xfId="3137"/>
    <cellStyle name="40% - Акцент5 10" xfId="1401"/>
    <cellStyle name="40% - Акцент5 2" xfId="1402"/>
    <cellStyle name="40% - Акцент5 2 2" xfId="1403"/>
    <cellStyle name="40% - Акцент5 2 3" xfId="1404"/>
    <cellStyle name="40% - Акцент5 2_46EE.2011(v1.0)" xfId="1405"/>
    <cellStyle name="40% - Акцент5 3" xfId="1406"/>
    <cellStyle name="40% - Акцент5 3 2" xfId="1407"/>
    <cellStyle name="40% - Акцент5 3 3" xfId="1408"/>
    <cellStyle name="40% - Акцент5 3_46EE.2011(v1.0)" xfId="1409"/>
    <cellStyle name="40% - Акцент5 4" xfId="1410"/>
    <cellStyle name="40% - Акцент5 4 2" xfId="1411"/>
    <cellStyle name="40% - Акцент5 4 3" xfId="1412"/>
    <cellStyle name="40% - Акцент5 4_46EE.2011(v1.0)" xfId="1413"/>
    <cellStyle name="40% - Акцент5 5" xfId="1414"/>
    <cellStyle name="40% - Акцент5 5 2" xfId="1415"/>
    <cellStyle name="40% - Акцент5 5 3" xfId="1416"/>
    <cellStyle name="40% - Акцент5 5_46EE.2011(v1.0)" xfId="1417"/>
    <cellStyle name="40% - Акцент5 6" xfId="1418"/>
    <cellStyle name="40% - Акцент5 6 2" xfId="1419"/>
    <cellStyle name="40% - Акцент5 6 3" xfId="1420"/>
    <cellStyle name="40% - Акцент5 6_46EE.2011(v1.0)" xfId="1421"/>
    <cellStyle name="40% - Акцент5 7" xfId="1422"/>
    <cellStyle name="40% - Акцент5 7 2" xfId="1423"/>
    <cellStyle name="40% - Акцент5 7 3" xfId="1424"/>
    <cellStyle name="40% - Акцент5 7_46EE.2011(v1.0)" xfId="1425"/>
    <cellStyle name="40% - Акцент5 8" xfId="1426"/>
    <cellStyle name="40% - Акцент5 8 2" xfId="1427"/>
    <cellStyle name="40% - Акцент5 8 3" xfId="1428"/>
    <cellStyle name="40% - Акцент5 8_46EE.2011(v1.0)" xfId="1429"/>
    <cellStyle name="40% - Акцент5 9" xfId="1430"/>
    <cellStyle name="40% - Акцент5 9 2" xfId="1431"/>
    <cellStyle name="40% - Акцент5 9 3" xfId="1432"/>
    <cellStyle name="40% - Акцент5 9_46EE.2011(v1.0)" xfId="1433"/>
    <cellStyle name="40% — Акцент6" xfId="3138"/>
    <cellStyle name="40% - Акцент6 10" xfId="1434"/>
    <cellStyle name="40% - Акцент6 2" xfId="1435"/>
    <cellStyle name="40% - Акцент6 2 2" xfId="1436"/>
    <cellStyle name="40% - Акцент6 2 3" xfId="1437"/>
    <cellStyle name="40% - Акцент6 2_46EE.2011(v1.0)" xfId="1438"/>
    <cellStyle name="40% - Акцент6 3" xfId="1439"/>
    <cellStyle name="40% - Акцент6 3 2" xfId="1440"/>
    <cellStyle name="40% - Акцент6 3 3" xfId="1441"/>
    <cellStyle name="40% - Акцент6 3_46EE.2011(v1.0)" xfId="1442"/>
    <cellStyle name="40% - Акцент6 4" xfId="1443"/>
    <cellStyle name="40% - Акцент6 4 2" xfId="1444"/>
    <cellStyle name="40% - Акцент6 4 3" xfId="1445"/>
    <cellStyle name="40% - Акцент6 4_46EE.2011(v1.0)" xfId="1446"/>
    <cellStyle name="40% - Акцент6 5" xfId="1447"/>
    <cellStyle name="40% - Акцент6 5 2" xfId="1448"/>
    <cellStyle name="40% - Акцент6 5 3" xfId="1449"/>
    <cellStyle name="40% - Акцент6 5_46EE.2011(v1.0)" xfId="1450"/>
    <cellStyle name="40% - Акцент6 6" xfId="1451"/>
    <cellStyle name="40% - Акцент6 6 2" xfId="1452"/>
    <cellStyle name="40% - Акцент6 6 3" xfId="1453"/>
    <cellStyle name="40% - Акцент6 6_46EE.2011(v1.0)" xfId="1454"/>
    <cellStyle name="40% - Акцент6 7" xfId="1455"/>
    <cellStyle name="40% - Акцент6 7 2" xfId="1456"/>
    <cellStyle name="40% - Акцент6 7 3" xfId="1457"/>
    <cellStyle name="40% - Акцент6 7_46EE.2011(v1.0)" xfId="1458"/>
    <cellStyle name="40% - Акцент6 8" xfId="1459"/>
    <cellStyle name="40% - Акцент6 8 2" xfId="1460"/>
    <cellStyle name="40% - Акцент6 8 3" xfId="1461"/>
    <cellStyle name="40% - Акцент6 8_46EE.2011(v1.0)" xfId="1462"/>
    <cellStyle name="40% - Акцент6 9" xfId="1463"/>
    <cellStyle name="40% - Акцент6 9 2" xfId="1464"/>
    <cellStyle name="40% - Акцент6 9 3" xfId="1465"/>
    <cellStyle name="40% - Акцент6 9_46EE.2011(v1.0)" xfId="1466"/>
    <cellStyle name="50%" xfId="1467"/>
    <cellStyle name="50% 2" xfId="3139"/>
    <cellStyle name="60% - Accent1" xfId="155"/>
    <cellStyle name="60% - Accent1 2" xfId="1468"/>
    <cellStyle name="60% - Accent2" xfId="156"/>
    <cellStyle name="60% - Accent2 2" xfId="1469"/>
    <cellStyle name="60% - Accent3" xfId="157"/>
    <cellStyle name="60% - Accent3 2" xfId="1470"/>
    <cellStyle name="60% - Accent4" xfId="158"/>
    <cellStyle name="60% - Accent4 2" xfId="1471"/>
    <cellStyle name="60% - Accent5" xfId="159"/>
    <cellStyle name="60% - Accent5 2" xfId="1472"/>
    <cellStyle name="60% - Accent6" xfId="160"/>
    <cellStyle name="60% - Accent6 2" xfId="1473"/>
    <cellStyle name="60% — Акцент1" xfId="3140"/>
    <cellStyle name="60% - Акцент1 10" xfId="1474"/>
    <cellStyle name="60% - Акцент1 2" xfId="1475"/>
    <cellStyle name="60% - Акцент1 2 2" xfId="1476"/>
    <cellStyle name="60% - Акцент1 3" xfId="1477"/>
    <cellStyle name="60% - Акцент1 3 2" xfId="1478"/>
    <cellStyle name="60% - Акцент1 4" xfId="1479"/>
    <cellStyle name="60% - Акцент1 4 2" xfId="1480"/>
    <cellStyle name="60% - Акцент1 5" xfId="1481"/>
    <cellStyle name="60% - Акцент1 5 2" xfId="1482"/>
    <cellStyle name="60% - Акцент1 6" xfId="1483"/>
    <cellStyle name="60% - Акцент1 6 2" xfId="1484"/>
    <cellStyle name="60% - Акцент1 7" xfId="1485"/>
    <cellStyle name="60% - Акцент1 7 2" xfId="1486"/>
    <cellStyle name="60% - Акцент1 8" xfId="1487"/>
    <cellStyle name="60% - Акцент1 8 2" xfId="1488"/>
    <cellStyle name="60% - Акцент1 9" xfId="1489"/>
    <cellStyle name="60% - Акцент1 9 2" xfId="1490"/>
    <cellStyle name="60% — Акцент2" xfId="3141"/>
    <cellStyle name="60% - Акцент2 10" xfId="1491"/>
    <cellStyle name="60% - Акцент2 2" xfId="1492"/>
    <cellStyle name="60% - Акцент2 2 2" xfId="1493"/>
    <cellStyle name="60% - Акцент2 3" xfId="1494"/>
    <cellStyle name="60% - Акцент2 3 2" xfId="1495"/>
    <cellStyle name="60% - Акцент2 4" xfId="1496"/>
    <cellStyle name="60% - Акцент2 4 2" xfId="1497"/>
    <cellStyle name="60% - Акцент2 5" xfId="1498"/>
    <cellStyle name="60% - Акцент2 5 2" xfId="1499"/>
    <cellStyle name="60% - Акцент2 6" xfId="1500"/>
    <cellStyle name="60% - Акцент2 6 2" xfId="1501"/>
    <cellStyle name="60% - Акцент2 7" xfId="1502"/>
    <cellStyle name="60% - Акцент2 7 2" xfId="1503"/>
    <cellStyle name="60% - Акцент2 8" xfId="1504"/>
    <cellStyle name="60% - Акцент2 8 2" xfId="1505"/>
    <cellStyle name="60% - Акцент2 9" xfId="1506"/>
    <cellStyle name="60% - Акцент2 9 2" xfId="1507"/>
    <cellStyle name="60% — Акцент3" xfId="3142"/>
    <cellStyle name="60% - Акцент3 10" xfId="1508"/>
    <cellStyle name="60% - Акцент3 2" xfId="1509"/>
    <cellStyle name="60% - Акцент3 2 2" xfId="1510"/>
    <cellStyle name="60% - Акцент3 3" xfId="1511"/>
    <cellStyle name="60% - Акцент3 3 2" xfId="1512"/>
    <cellStyle name="60% - Акцент3 4" xfId="1513"/>
    <cellStyle name="60% - Акцент3 4 2" xfId="1514"/>
    <cellStyle name="60% - Акцент3 5" xfId="1515"/>
    <cellStyle name="60% - Акцент3 5 2" xfId="1516"/>
    <cellStyle name="60% - Акцент3 6" xfId="1517"/>
    <cellStyle name="60% - Акцент3 6 2" xfId="1518"/>
    <cellStyle name="60% - Акцент3 7" xfId="1519"/>
    <cellStyle name="60% - Акцент3 7 2" xfId="1520"/>
    <cellStyle name="60% - Акцент3 8" xfId="1521"/>
    <cellStyle name="60% - Акцент3 8 2" xfId="1522"/>
    <cellStyle name="60% - Акцент3 9" xfId="1523"/>
    <cellStyle name="60% - Акцент3 9 2" xfId="1524"/>
    <cellStyle name="60% — Акцент4" xfId="3143"/>
    <cellStyle name="60% - Акцент4 10" xfId="1525"/>
    <cellStyle name="60% - Акцент4 2" xfId="1526"/>
    <cellStyle name="60% - Акцент4 2 2" xfId="1527"/>
    <cellStyle name="60% - Акцент4 3" xfId="1528"/>
    <cellStyle name="60% - Акцент4 3 2" xfId="1529"/>
    <cellStyle name="60% - Акцент4 4" xfId="1530"/>
    <cellStyle name="60% - Акцент4 4 2" xfId="1531"/>
    <cellStyle name="60% - Акцент4 5" xfId="1532"/>
    <cellStyle name="60% - Акцент4 5 2" xfId="1533"/>
    <cellStyle name="60% - Акцент4 6" xfId="1534"/>
    <cellStyle name="60% - Акцент4 6 2" xfId="1535"/>
    <cellStyle name="60% - Акцент4 7" xfId="1536"/>
    <cellStyle name="60% - Акцент4 7 2" xfId="1537"/>
    <cellStyle name="60% - Акцент4 8" xfId="1538"/>
    <cellStyle name="60% - Акцент4 8 2" xfId="1539"/>
    <cellStyle name="60% - Акцент4 9" xfId="1540"/>
    <cellStyle name="60% - Акцент4 9 2" xfId="1541"/>
    <cellStyle name="60% — Акцент5" xfId="3144"/>
    <cellStyle name="60% - Акцент5 10" xfId="1542"/>
    <cellStyle name="60% - Акцент5 2" xfId="1543"/>
    <cellStyle name="60% - Акцент5 2 2" xfId="1544"/>
    <cellStyle name="60% - Акцент5 3" xfId="1545"/>
    <cellStyle name="60% - Акцент5 3 2" xfId="1546"/>
    <cellStyle name="60% - Акцент5 4" xfId="1547"/>
    <cellStyle name="60% - Акцент5 4 2" xfId="1548"/>
    <cellStyle name="60% - Акцент5 5" xfId="1549"/>
    <cellStyle name="60% - Акцент5 5 2" xfId="1550"/>
    <cellStyle name="60% - Акцент5 6" xfId="1551"/>
    <cellStyle name="60% - Акцент5 6 2" xfId="1552"/>
    <cellStyle name="60% - Акцент5 7" xfId="1553"/>
    <cellStyle name="60% - Акцент5 7 2" xfId="1554"/>
    <cellStyle name="60% - Акцент5 8" xfId="1555"/>
    <cellStyle name="60% - Акцент5 8 2" xfId="1556"/>
    <cellStyle name="60% - Акцент5 9" xfId="1557"/>
    <cellStyle name="60% - Акцент5 9 2" xfId="1558"/>
    <cellStyle name="60% — Акцент6" xfId="3145"/>
    <cellStyle name="60% - Акцент6 10" xfId="1559"/>
    <cellStyle name="60% - Акцент6 2" xfId="1560"/>
    <cellStyle name="60% - Акцент6 2 2" xfId="1561"/>
    <cellStyle name="60% - Акцент6 3" xfId="1562"/>
    <cellStyle name="60% - Акцент6 3 2" xfId="1563"/>
    <cellStyle name="60% - Акцент6 4" xfId="1564"/>
    <cellStyle name="60% - Акцент6 4 2" xfId="1565"/>
    <cellStyle name="60% - Акцент6 5" xfId="1566"/>
    <cellStyle name="60% - Акцент6 5 2" xfId="1567"/>
    <cellStyle name="60% - Акцент6 6" xfId="1568"/>
    <cellStyle name="60% - Акцент6 6 2" xfId="1569"/>
    <cellStyle name="60% - Акцент6 7" xfId="1570"/>
    <cellStyle name="60% - Акцент6 7 2" xfId="1571"/>
    <cellStyle name="60% - Акцент6 8" xfId="1572"/>
    <cellStyle name="60% - Акцент6 8 2" xfId="1573"/>
    <cellStyle name="60% - Акцент6 9" xfId="1574"/>
    <cellStyle name="60% - Акцент6 9 2" xfId="1575"/>
    <cellStyle name="6Code" xfId="3146"/>
    <cellStyle name="75%" xfId="1576"/>
    <cellStyle name="75% 2" xfId="3147"/>
    <cellStyle name="8pt" xfId="3148"/>
    <cellStyle name="930" xfId="161"/>
    <cellStyle name="Accent1" xfId="162"/>
    <cellStyle name="Accent1 2" xfId="1577"/>
    <cellStyle name="Accent2" xfId="163"/>
    <cellStyle name="Accent2 2" xfId="1578"/>
    <cellStyle name="Accent3" xfId="164"/>
    <cellStyle name="Accent3 2" xfId="1579"/>
    <cellStyle name="Accent4" xfId="165"/>
    <cellStyle name="Accent4 2" xfId="1580"/>
    <cellStyle name="Accent5" xfId="166"/>
    <cellStyle name="Accent5 2" xfId="1581"/>
    <cellStyle name="Accent6" xfId="167"/>
    <cellStyle name="Accent6 2" xfId="1582"/>
    <cellStyle name="Ăčďĺđńńűëęŕ" xfId="1583"/>
    <cellStyle name="AFE" xfId="168"/>
    <cellStyle name="AFE 2" xfId="1584"/>
    <cellStyle name="Áĺççŕůčňíűé" xfId="1585"/>
    <cellStyle name="Äĺíĺćíűé [0]_(ňŕá 3č)" xfId="1586"/>
    <cellStyle name="Äĺíĺćíűé_(ňŕá 3č)" xfId="1587"/>
    <cellStyle name="Bad" xfId="169"/>
    <cellStyle name="Bad 2" xfId="1588"/>
    <cellStyle name="Balance" xfId="1589"/>
    <cellStyle name="Balance 2" xfId="3149"/>
    <cellStyle name="BalanceBold" xfId="1590"/>
    <cellStyle name="Blue" xfId="170"/>
    <cellStyle name="Body_$Dollars" xfId="171"/>
    <cellStyle name="Calculation" xfId="172"/>
    <cellStyle name="Calculation 2" xfId="1591"/>
    <cellStyle name="Centered Heading" xfId="3150"/>
    <cellStyle name="Check" xfId="3151"/>
    <cellStyle name="Check Cell" xfId="173"/>
    <cellStyle name="Check Cell 2" xfId="1592"/>
    <cellStyle name="Chek" xfId="174"/>
    <cellStyle name="Chek 2" xfId="1593"/>
    <cellStyle name="Chek 2 2" xfId="3152"/>
    <cellStyle name="Chek 3" xfId="3153"/>
    <cellStyle name="Code" xfId="3154"/>
    <cellStyle name="Comma" xfId="3155"/>
    <cellStyle name="Comma [0]_Adjusted FS 1299" xfId="175"/>
    <cellStyle name="Comma 0" xfId="176"/>
    <cellStyle name="Comma 0 2" xfId="1594"/>
    <cellStyle name="Comma 0*" xfId="177"/>
    <cellStyle name="Comma 0* 2" xfId="1595"/>
    <cellStyle name="Comma 0.0" xfId="3156"/>
    <cellStyle name="Comma 0.00" xfId="3157"/>
    <cellStyle name="Comma 0.000" xfId="3158"/>
    <cellStyle name="Comma 2" xfId="178"/>
    <cellStyle name="Comma 2 2" xfId="1596"/>
    <cellStyle name="Comma 3*" xfId="179"/>
    <cellStyle name="Comma 3* 2" xfId="1597"/>
    <cellStyle name="Comma_Adjusted FS 1299" xfId="180"/>
    <cellStyle name="Comma0" xfId="181"/>
    <cellStyle name="Company Name" xfId="3159"/>
    <cellStyle name="Credit" xfId="3160"/>
    <cellStyle name="Credit subtotal" xfId="3161"/>
    <cellStyle name="Credit subtotal 2" xfId="3162"/>
    <cellStyle name="Credit Total" xfId="3163"/>
    <cellStyle name="Çŕůčňíűé" xfId="1598"/>
    <cellStyle name="Currency" xfId="3164"/>
    <cellStyle name="Currency [0]" xfId="182"/>
    <cellStyle name="Currency [0] 2" xfId="1599"/>
    <cellStyle name="Currency [0] 2 10" xfId="1600"/>
    <cellStyle name="Currency [0] 2 11" xfId="1601"/>
    <cellStyle name="Currency [0] 2 2" xfId="1602"/>
    <cellStyle name="Currency [0] 2 2 2" xfId="1603"/>
    <cellStyle name="Currency [0] 2 2 3" xfId="1604"/>
    <cellStyle name="Currency [0] 2 2 4" xfId="1605"/>
    <cellStyle name="Currency [0] 2 3" xfId="1606"/>
    <cellStyle name="Currency [0] 2 3 2" xfId="1607"/>
    <cellStyle name="Currency [0] 2 3 3" xfId="1608"/>
    <cellStyle name="Currency [0] 2 3 4" xfId="1609"/>
    <cellStyle name="Currency [0] 2 4" xfId="1610"/>
    <cellStyle name="Currency [0] 2 4 2" xfId="1611"/>
    <cellStyle name="Currency [0] 2 4 3" xfId="1612"/>
    <cellStyle name="Currency [0] 2 4 4" xfId="1613"/>
    <cellStyle name="Currency [0] 2 5" xfId="1614"/>
    <cellStyle name="Currency [0] 2 5 2" xfId="1615"/>
    <cellStyle name="Currency [0] 2 5 3" xfId="1616"/>
    <cellStyle name="Currency [0] 2 5 4" xfId="1617"/>
    <cellStyle name="Currency [0] 2 6" xfId="1618"/>
    <cellStyle name="Currency [0] 2 6 2" xfId="1619"/>
    <cellStyle name="Currency [0] 2 6 3" xfId="1620"/>
    <cellStyle name="Currency [0] 2 6 4" xfId="1621"/>
    <cellStyle name="Currency [0] 2 7" xfId="1622"/>
    <cellStyle name="Currency [0] 2 7 2" xfId="1623"/>
    <cellStyle name="Currency [0] 2 7 3" xfId="1624"/>
    <cellStyle name="Currency [0] 2 7 4" xfId="1625"/>
    <cellStyle name="Currency [0] 2 8" xfId="1626"/>
    <cellStyle name="Currency [0] 2 8 2" xfId="1627"/>
    <cellStyle name="Currency [0] 2 8 3" xfId="1628"/>
    <cellStyle name="Currency [0] 2 8 4" xfId="1629"/>
    <cellStyle name="Currency [0] 2 9" xfId="1630"/>
    <cellStyle name="Currency [0] 3" xfId="1631"/>
    <cellStyle name="Currency [0] 3 10" xfId="1632"/>
    <cellStyle name="Currency [0] 3 11" xfId="1633"/>
    <cellStyle name="Currency [0] 3 2" xfId="1634"/>
    <cellStyle name="Currency [0] 3 2 2" xfId="1635"/>
    <cellStyle name="Currency [0] 3 2 3" xfId="1636"/>
    <cellStyle name="Currency [0] 3 2 4" xfId="1637"/>
    <cellStyle name="Currency [0] 3 3" xfId="1638"/>
    <cellStyle name="Currency [0] 3 3 2" xfId="1639"/>
    <cellStyle name="Currency [0] 3 3 3" xfId="1640"/>
    <cellStyle name="Currency [0] 3 3 4" xfId="1641"/>
    <cellStyle name="Currency [0] 3 4" xfId="1642"/>
    <cellStyle name="Currency [0] 3 4 2" xfId="1643"/>
    <cellStyle name="Currency [0] 3 4 3" xfId="1644"/>
    <cellStyle name="Currency [0] 3 4 4" xfId="1645"/>
    <cellStyle name="Currency [0] 3 5" xfId="1646"/>
    <cellStyle name="Currency [0] 3 5 2" xfId="1647"/>
    <cellStyle name="Currency [0] 3 5 3" xfId="1648"/>
    <cellStyle name="Currency [0] 3 5 4" xfId="1649"/>
    <cellStyle name="Currency [0] 3 6" xfId="1650"/>
    <cellStyle name="Currency [0] 3 6 2" xfId="1651"/>
    <cellStyle name="Currency [0] 3 6 3" xfId="1652"/>
    <cellStyle name="Currency [0] 3 6 4" xfId="1653"/>
    <cellStyle name="Currency [0] 3 7" xfId="1654"/>
    <cellStyle name="Currency [0] 3 7 2" xfId="1655"/>
    <cellStyle name="Currency [0] 3 7 3" xfId="1656"/>
    <cellStyle name="Currency [0] 3 7 4" xfId="1657"/>
    <cellStyle name="Currency [0] 3 8" xfId="1658"/>
    <cellStyle name="Currency [0] 3 8 2" xfId="1659"/>
    <cellStyle name="Currency [0] 3 8 3" xfId="1660"/>
    <cellStyle name="Currency [0] 3 8 4" xfId="1661"/>
    <cellStyle name="Currency [0] 3 9" xfId="1662"/>
    <cellStyle name="Currency [0] 4" xfId="1663"/>
    <cellStyle name="Currency [0] 4 10" xfId="1664"/>
    <cellStyle name="Currency [0] 4 11" xfId="1665"/>
    <cellStyle name="Currency [0] 4 2" xfId="1666"/>
    <cellStyle name="Currency [0] 4 2 2" xfId="1667"/>
    <cellStyle name="Currency [0] 4 2 3" xfId="1668"/>
    <cellStyle name="Currency [0] 4 2 4" xfId="1669"/>
    <cellStyle name="Currency [0] 4 3" xfId="1670"/>
    <cellStyle name="Currency [0] 4 3 2" xfId="1671"/>
    <cellStyle name="Currency [0] 4 3 3" xfId="1672"/>
    <cellStyle name="Currency [0] 4 3 4" xfId="1673"/>
    <cellStyle name="Currency [0] 4 4" xfId="1674"/>
    <cellStyle name="Currency [0] 4 4 2" xfId="1675"/>
    <cellStyle name="Currency [0] 4 4 3" xfId="1676"/>
    <cellStyle name="Currency [0] 4 4 4" xfId="1677"/>
    <cellStyle name="Currency [0] 4 5" xfId="1678"/>
    <cellStyle name="Currency [0] 4 5 2" xfId="1679"/>
    <cellStyle name="Currency [0] 4 5 3" xfId="1680"/>
    <cellStyle name="Currency [0] 4 5 4" xfId="1681"/>
    <cellStyle name="Currency [0] 4 6" xfId="1682"/>
    <cellStyle name="Currency [0] 4 6 2" xfId="1683"/>
    <cellStyle name="Currency [0] 4 6 3" xfId="1684"/>
    <cellStyle name="Currency [0] 4 6 4" xfId="1685"/>
    <cellStyle name="Currency [0] 4 7" xfId="1686"/>
    <cellStyle name="Currency [0] 4 7 2" xfId="1687"/>
    <cellStyle name="Currency [0] 4 7 3" xfId="1688"/>
    <cellStyle name="Currency [0] 4 7 4" xfId="1689"/>
    <cellStyle name="Currency [0] 4 8" xfId="1690"/>
    <cellStyle name="Currency [0] 4 8 2" xfId="1691"/>
    <cellStyle name="Currency [0] 4 8 3" xfId="1692"/>
    <cellStyle name="Currency [0] 4 8 4" xfId="1693"/>
    <cellStyle name="Currency [0] 4 9" xfId="1694"/>
    <cellStyle name="Currency [0] 5" xfId="1695"/>
    <cellStyle name="Currency [0] 5 10" xfId="1696"/>
    <cellStyle name="Currency [0] 5 11" xfId="1697"/>
    <cellStyle name="Currency [0] 5 2" xfId="1698"/>
    <cellStyle name="Currency [0] 5 2 2" xfId="1699"/>
    <cellStyle name="Currency [0] 5 2 3" xfId="1700"/>
    <cellStyle name="Currency [0] 5 2 4" xfId="1701"/>
    <cellStyle name="Currency [0] 5 3" xfId="1702"/>
    <cellStyle name="Currency [0] 5 3 2" xfId="1703"/>
    <cellStyle name="Currency [0] 5 3 3" xfId="1704"/>
    <cellStyle name="Currency [0] 5 3 4" xfId="1705"/>
    <cellStyle name="Currency [0] 5 4" xfId="1706"/>
    <cellStyle name="Currency [0] 5 4 2" xfId="1707"/>
    <cellStyle name="Currency [0] 5 4 3" xfId="1708"/>
    <cellStyle name="Currency [0] 5 4 4" xfId="1709"/>
    <cellStyle name="Currency [0] 5 5" xfId="1710"/>
    <cellStyle name="Currency [0] 5 5 2" xfId="1711"/>
    <cellStyle name="Currency [0] 5 5 3" xfId="1712"/>
    <cellStyle name="Currency [0] 5 5 4" xfId="1713"/>
    <cellStyle name="Currency [0] 5 6" xfId="1714"/>
    <cellStyle name="Currency [0] 5 6 2" xfId="1715"/>
    <cellStyle name="Currency [0] 5 6 3" xfId="1716"/>
    <cellStyle name="Currency [0] 5 6 4" xfId="1717"/>
    <cellStyle name="Currency [0] 5 7" xfId="1718"/>
    <cellStyle name="Currency [0] 5 7 2" xfId="1719"/>
    <cellStyle name="Currency [0] 5 7 3" xfId="1720"/>
    <cellStyle name="Currency [0] 5 7 4" xfId="1721"/>
    <cellStyle name="Currency [0] 5 8" xfId="1722"/>
    <cellStyle name="Currency [0] 5 8 2" xfId="1723"/>
    <cellStyle name="Currency [0] 5 8 3" xfId="1724"/>
    <cellStyle name="Currency [0] 5 8 4" xfId="1725"/>
    <cellStyle name="Currency [0] 5 9" xfId="1726"/>
    <cellStyle name="Currency [0] 6" xfId="1727"/>
    <cellStyle name="Currency [0] 6 2" xfId="1728"/>
    <cellStyle name="Currency [0] 6 3" xfId="1729"/>
    <cellStyle name="Currency [0] 6 4" xfId="1730"/>
    <cellStyle name="Currency [0] 7" xfId="1731"/>
    <cellStyle name="Currency [0] 7 2" xfId="1732"/>
    <cellStyle name="Currency [0] 7 3" xfId="1733"/>
    <cellStyle name="Currency [0] 7 4" xfId="1734"/>
    <cellStyle name="Currency [0] 8" xfId="1735"/>
    <cellStyle name="Currency [0] 8 2" xfId="1736"/>
    <cellStyle name="Currency [0] 8 3" xfId="1737"/>
    <cellStyle name="Currency [0] 8 4" xfId="1738"/>
    <cellStyle name="Currency [0]_06_9m" xfId="3165"/>
    <cellStyle name="Currency 0" xfId="183"/>
    <cellStyle name="Currency 0 2" xfId="1739"/>
    <cellStyle name="Currency 0.0" xfId="3166"/>
    <cellStyle name="Currency 0.00" xfId="3167"/>
    <cellStyle name="Currency 0.000" xfId="3168"/>
    <cellStyle name="Currency 2" xfId="184"/>
    <cellStyle name="Currency 2 2" xfId="1740"/>
    <cellStyle name="Currency EN" xfId="3169"/>
    <cellStyle name="Currency RU" xfId="3170"/>
    <cellStyle name="Currency RU calc" xfId="3171"/>
    <cellStyle name="Currency RU calc 2" xfId="3172"/>
    <cellStyle name="Currency RU_CP-P (2)" xfId="3173"/>
    <cellStyle name="Currency_06_9m" xfId="185"/>
    <cellStyle name="Currency0" xfId="186"/>
    <cellStyle name="Currency2" xfId="187"/>
    <cellStyle name="Currency2 2" xfId="1741"/>
    <cellStyle name="d" xfId="3174"/>
    <cellStyle name="Data" xfId="1742"/>
    <cellStyle name="Data 2" xfId="3175"/>
    <cellStyle name="DataBold" xfId="1743"/>
    <cellStyle name="Date" xfId="188"/>
    <cellStyle name="Date 2" xfId="1744"/>
    <cellStyle name="Date Aligned" xfId="189"/>
    <cellStyle name="Date Aligned 2" xfId="1745"/>
    <cellStyle name="Date EN" xfId="3176"/>
    <cellStyle name="Date RU" xfId="3177"/>
    <cellStyle name="Date_Доходы-Расходы" xfId="3178"/>
    <cellStyle name="Dates" xfId="1746"/>
    <cellStyle name="Debit" xfId="3179"/>
    <cellStyle name="Debit subtotal" xfId="3180"/>
    <cellStyle name="Debit subtotal 2" xfId="3181"/>
    <cellStyle name="Debit Total" xfId="3182"/>
    <cellStyle name="Dezimal [0]_NEGS" xfId="190"/>
    <cellStyle name="Dezimal_NEGS" xfId="191"/>
    <cellStyle name="Dotted Line" xfId="192"/>
    <cellStyle name="Dotted Line 2" xfId="1747"/>
    <cellStyle name="E&amp;Y House" xfId="193"/>
    <cellStyle name="E&amp;Y House 2" xfId="1748"/>
    <cellStyle name="E-mail" xfId="1749"/>
    <cellStyle name="E-mail 2" xfId="1750"/>
    <cellStyle name="E-mail 3" xfId="3183"/>
    <cellStyle name="E-mail_46EP.2011(v2.0)" xfId="1751"/>
    <cellStyle name="Euro" xfId="194"/>
    <cellStyle name="Euro 2" xfId="1752"/>
    <cellStyle name="Euro 3" xfId="1753"/>
    <cellStyle name="ew" xfId="195"/>
    <cellStyle name="Explanatory Text" xfId="196"/>
    <cellStyle name="Explanatory Text 2" xfId="1754"/>
    <cellStyle name="F2" xfId="1755"/>
    <cellStyle name="F3" xfId="1756"/>
    <cellStyle name="F4" xfId="1757"/>
    <cellStyle name="F5" xfId="1758"/>
    <cellStyle name="F6" xfId="1759"/>
    <cellStyle name="F7" xfId="1760"/>
    <cellStyle name="F8" xfId="1761"/>
    <cellStyle name="Fixed" xfId="197"/>
    <cellStyle name="fo]_x000d__x000a_UserName=Murat Zelef_x000d__x000a_UserCompany=Bumerang_x000d__x000a__x000d__x000a_[File Paths]_x000d__x000a_WorkingDirectory=C:\EQUIS\DLWIN_x000d__x000a_DownLoader=C" xfId="198"/>
    <cellStyle name="fo]_x000d__x000a_UserName=Murat Zelef_x000d__x000a_UserCompany=Bumerang_x000d__x000a__x000d__x000a_[File Paths]_x000d__x000a_WorkingDirectory=C:\EQUIS\DLWIN_x000d__x000a_DownLoader=C 2" xfId="1762"/>
    <cellStyle name="Followed Hyperlink" xfId="199"/>
    <cellStyle name="Followed Hyperlink 2" xfId="1763"/>
    <cellStyle name="Footnote" xfId="200"/>
    <cellStyle name="Footnote 2" xfId="1764"/>
    <cellStyle name="g" xfId="3184"/>
    <cellStyle name="g_CoA-Era-CO_v1" xfId="3185"/>
    <cellStyle name="g_Invoice GI" xfId="3186"/>
    <cellStyle name="g_Затр_RUB1-12" xfId="3187"/>
    <cellStyle name="g_Затр_RUB1-4" xfId="3188"/>
    <cellStyle name="Good" xfId="201"/>
    <cellStyle name="Good 2" xfId="1765"/>
    <cellStyle name="hard no" xfId="202"/>
    <cellStyle name="hard no 2" xfId="3189"/>
    <cellStyle name="Hard Percent" xfId="203"/>
    <cellStyle name="Hard Percent 2" xfId="1766"/>
    <cellStyle name="hardno" xfId="204"/>
    <cellStyle name="Header" xfId="205"/>
    <cellStyle name="Header 2" xfId="1767"/>
    <cellStyle name="Header1" xfId="3190"/>
    <cellStyle name="Heading" xfId="206"/>
    <cellStyle name="Heading 1" xfId="207"/>
    <cellStyle name="Heading 1 2" xfId="1768"/>
    <cellStyle name="Heading 1 3" xfId="1769"/>
    <cellStyle name="Heading 2" xfId="208"/>
    <cellStyle name="Heading 2 2" xfId="1770"/>
    <cellStyle name="Heading 2 3" xfId="1771"/>
    <cellStyle name="Heading 3" xfId="209"/>
    <cellStyle name="Heading 3 2" xfId="1772"/>
    <cellStyle name="Heading 4" xfId="210"/>
    <cellStyle name="Heading 4 2" xfId="1773"/>
    <cellStyle name="Heading 5" xfId="1774"/>
    <cellStyle name="Heading No Underline" xfId="3191"/>
    <cellStyle name="Heading With Underline" xfId="3192"/>
    <cellStyle name="Heading_GP.ITOG.4.78(v1.0) - для разделения" xfId="1775"/>
    <cellStyle name="Heading1" xfId="3193"/>
    <cellStyle name="Heading2" xfId="1776"/>
    <cellStyle name="Heading2 2" xfId="1777"/>
    <cellStyle name="Heading2 3" xfId="3194"/>
    <cellStyle name="Heading2_46EP.2011(v2.0)" xfId="1778"/>
    <cellStyle name="Hyperlink" xfId="211"/>
    <cellStyle name="Hyperlink 2" xfId="1779"/>
    <cellStyle name="Hyperlink_расчет Ригель на 2009 под экспертное заключение" xfId="1780"/>
    <cellStyle name="Iau?iue1" xfId="1781"/>
    <cellStyle name="Îáű÷íűé__FES" xfId="1782"/>
    <cellStyle name="Îáû÷íûé_cogs" xfId="212"/>
    <cellStyle name="Îňęđűâŕâřŕ˙ń˙ ăčďĺđńńűëęŕ" xfId="1783"/>
    <cellStyle name="Info" xfId="213"/>
    <cellStyle name="Info 2" xfId="3195"/>
    <cellStyle name="Input" xfId="214"/>
    <cellStyle name="Input 2" xfId="1784"/>
    <cellStyle name="InputCurrency" xfId="215"/>
    <cellStyle name="InputCurrency 2" xfId="1785"/>
    <cellStyle name="InputCurrency2" xfId="216"/>
    <cellStyle name="InputCurrency2 2" xfId="1786"/>
    <cellStyle name="InputMultiple1" xfId="217"/>
    <cellStyle name="InputMultiple1 2" xfId="1787"/>
    <cellStyle name="InputPercent1" xfId="218"/>
    <cellStyle name="InputPercent1 2" xfId="1788"/>
    <cellStyle name="Inputs" xfId="1789"/>
    <cellStyle name="Inputs (const)" xfId="1790"/>
    <cellStyle name="Inputs (const) 2" xfId="1791"/>
    <cellStyle name="Inputs (const) 3" xfId="3196"/>
    <cellStyle name="Inputs (const)_46EP.2011(v2.0)" xfId="1792"/>
    <cellStyle name="Inputs 2" xfId="1793"/>
    <cellStyle name="Inputs 3" xfId="1794"/>
    <cellStyle name="Inputs 4" xfId="3197"/>
    <cellStyle name="Inputs 5" xfId="3198"/>
    <cellStyle name="Inputs 6" xfId="3199"/>
    <cellStyle name="Inputs 7" xfId="3200"/>
    <cellStyle name="Inputs Co" xfId="1795"/>
    <cellStyle name="Inputs_46EE.2011(v1.0)" xfId="1796"/>
    <cellStyle name="Linked Cell" xfId="219"/>
    <cellStyle name="Linked Cell 2" xfId="1797"/>
    <cellStyle name="Millares [0]_FINAL-10" xfId="220"/>
    <cellStyle name="Millares_FINAL-10" xfId="221"/>
    <cellStyle name="Milliers [0]_Conversion Summary" xfId="3201"/>
    <cellStyle name="Milliers_Conversion Summary" xfId="3202"/>
    <cellStyle name="mnb" xfId="222"/>
    <cellStyle name="mnb 2" xfId="3203"/>
    <cellStyle name="Mon?taire [0]_RESULTS" xfId="223"/>
    <cellStyle name="Mon?taire_RESULTS" xfId="224"/>
    <cellStyle name="Moneda [0]_FINAL-10" xfId="225"/>
    <cellStyle name="Moneda_FINAL-10" xfId="226"/>
    <cellStyle name="Monétaire [0]_RESULTS" xfId="227"/>
    <cellStyle name="Monétaire_RESULTS" xfId="228"/>
    <cellStyle name="Monйtaire [0]_Conversion Summary" xfId="3204"/>
    <cellStyle name="Monйtaire_Conversion Summary" xfId="3205"/>
    <cellStyle name="Multiple" xfId="229"/>
    <cellStyle name="Multiple 2" xfId="1798"/>
    <cellStyle name="Multiple1" xfId="230"/>
    <cellStyle name="Multiple1 2" xfId="1799"/>
    <cellStyle name="MultipleBelow" xfId="231"/>
    <cellStyle name="MultipleBelow 2" xfId="1800"/>
    <cellStyle name="namber" xfId="232"/>
    <cellStyle name="Neutral" xfId="233"/>
    <cellStyle name="Neutral 2" xfId="1801"/>
    <cellStyle name="No_Input" xfId="3206"/>
    <cellStyle name="Norma11l" xfId="234"/>
    <cellStyle name="Norma11l 2" xfId="1802"/>
    <cellStyle name="normal" xfId="1803"/>
    <cellStyle name="Normal - Style1" xfId="235"/>
    <cellStyle name="normal 10" xfId="1804"/>
    <cellStyle name="normal 11" xfId="1805"/>
    <cellStyle name="normal 12" xfId="1806"/>
    <cellStyle name="normal 13" xfId="1807"/>
    <cellStyle name="normal 14" xfId="1808"/>
    <cellStyle name="normal 15" xfId="1809"/>
    <cellStyle name="normal 16" xfId="1810"/>
    <cellStyle name="normal 17" xfId="1811"/>
    <cellStyle name="normal 18" xfId="1812"/>
    <cellStyle name="normal 19" xfId="1813"/>
    <cellStyle name="Normal 2" xfId="1814"/>
    <cellStyle name="Normal 2 2" xfId="1815"/>
    <cellStyle name="Normal 2 3" xfId="1816"/>
    <cellStyle name="Normal 2 4" xfId="1817"/>
    <cellStyle name="Normal 2_Общехоз." xfId="1818"/>
    <cellStyle name="normal 20" xfId="1819"/>
    <cellStyle name="normal 21" xfId="1820"/>
    <cellStyle name="normal 22" xfId="1821"/>
    <cellStyle name="normal 23" xfId="1822"/>
    <cellStyle name="normal 24" xfId="1823"/>
    <cellStyle name="normal 25" xfId="1824"/>
    <cellStyle name="normal 26" xfId="1825"/>
    <cellStyle name="normal 3" xfId="1826"/>
    <cellStyle name="normal 4" xfId="1827"/>
    <cellStyle name="normal 5" xfId="1828"/>
    <cellStyle name="normal 6" xfId="1829"/>
    <cellStyle name="normal 7" xfId="1830"/>
    <cellStyle name="normal 8" xfId="1831"/>
    <cellStyle name="normal 9" xfId="1832"/>
    <cellStyle name="Normal." xfId="236"/>
    <cellStyle name="Normal. 2" xfId="1833"/>
    <cellStyle name="Normal__СВОД ОС. Расчет 2006" xfId="3207"/>
    <cellStyle name="Normal1" xfId="237"/>
    <cellStyle name="Normal1 2" xfId="1834"/>
    <cellStyle name="Normal1 2 2" xfId="3208"/>
    <cellStyle name="Normal1 3" xfId="3209"/>
    <cellStyle name="Normal2" xfId="238"/>
    <cellStyle name="Normal2 2" xfId="1835"/>
    <cellStyle name="NormalGB" xfId="239"/>
    <cellStyle name="NormalGB 2" xfId="1836"/>
    <cellStyle name="Normalny_24. 02. 97." xfId="240"/>
    <cellStyle name="normбlnм_laroux" xfId="241"/>
    <cellStyle name="normбlnн_laroux" xfId="1837"/>
    <cellStyle name="Note" xfId="242"/>
    <cellStyle name="Note 2" xfId="1838"/>
    <cellStyle name="number" xfId="243"/>
    <cellStyle name="Ôčíŕíńîâűé [0]_(ňŕá 3č)" xfId="1839"/>
    <cellStyle name="Ociriniaue [0]_5-C" xfId="1840"/>
    <cellStyle name="Ôčíŕíńîâűé_(ňŕá 3č)" xfId="1841"/>
    <cellStyle name="Ociriniaue_5-C" xfId="1842"/>
    <cellStyle name="Option" xfId="244"/>
    <cellStyle name="Option 2" xfId="1843"/>
    <cellStyle name="Òûñÿ÷è [0]_cogs" xfId="245"/>
    <cellStyle name="Òûñÿ÷è_cogs" xfId="246"/>
    <cellStyle name="Output" xfId="247"/>
    <cellStyle name="Output 2" xfId="1844"/>
    <cellStyle name="Page Number" xfId="248"/>
    <cellStyle name="pb_page_heading_LS" xfId="249"/>
    <cellStyle name="Percent" xfId="3210"/>
    <cellStyle name="Percent %" xfId="3211"/>
    <cellStyle name="Percent % Long Underline" xfId="3212"/>
    <cellStyle name="Percent (0)" xfId="3213"/>
    <cellStyle name="Percent 0.0%" xfId="3214"/>
    <cellStyle name="Percent 0.0% Long Underline" xfId="3215"/>
    <cellStyle name="Percent 0.00%" xfId="3216"/>
    <cellStyle name="Percent 0.00% Long Underline" xfId="3217"/>
    <cellStyle name="Percent 0.000%" xfId="3218"/>
    <cellStyle name="Percent 0.000% Long Underline" xfId="3219"/>
    <cellStyle name="Percent_FA register working" xfId="250"/>
    <cellStyle name="Percent1" xfId="251"/>
    <cellStyle name="Percent1 2" xfId="1845"/>
    <cellStyle name="Piug" xfId="252"/>
    <cellStyle name="Plug" xfId="253"/>
    <cellStyle name="Price_Body" xfId="254"/>
    <cellStyle name="prochrek" xfId="255"/>
    <cellStyle name="Protected" xfId="256"/>
    <cellStyle name="Protected 2" xfId="3220"/>
    <cellStyle name="Q" xfId="3221"/>
    <cellStyle name="qqqq" xfId="3222"/>
    <cellStyle name="qqqq 2" xfId="3223"/>
    <cellStyle name="QTitle" xfId="1846"/>
    <cellStyle name="QTitle 2" xfId="3224"/>
    <cellStyle name="range" xfId="1847"/>
    <cellStyle name="Salomon Logo" xfId="257"/>
    <cellStyle name="Salomon Logo 2" xfId="1848"/>
    <cellStyle name="SAPBEXaggData" xfId="1849"/>
    <cellStyle name="SAPBEXaggData 2" xfId="3225"/>
    <cellStyle name="SAPBEXaggDataEmph" xfId="1850"/>
    <cellStyle name="SAPBEXaggDataEmph 2" xfId="3226"/>
    <cellStyle name="SAPBEXaggItem" xfId="1851"/>
    <cellStyle name="SAPBEXaggItem 2" xfId="3227"/>
    <cellStyle name="SAPBEXaggItemX" xfId="1852"/>
    <cellStyle name="SAPBEXaggItemX 2" xfId="3228"/>
    <cellStyle name="SAPBEXchaText" xfId="1853"/>
    <cellStyle name="SAPBEXchaText 2" xfId="3229"/>
    <cellStyle name="SAPBEXexcBad7" xfId="1854"/>
    <cellStyle name="SAPBEXexcBad7 2" xfId="3230"/>
    <cellStyle name="SAPBEXexcBad8" xfId="1855"/>
    <cellStyle name="SAPBEXexcBad8 2" xfId="3231"/>
    <cellStyle name="SAPBEXexcBad9" xfId="1856"/>
    <cellStyle name="SAPBEXexcBad9 2" xfId="3232"/>
    <cellStyle name="SAPBEXexcCritical4" xfId="1857"/>
    <cellStyle name="SAPBEXexcCritical4 2" xfId="3233"/>
    <cellStyle name="SAPBEXexcCritical5" xfId="1858"/>
    <cellStyle name="SAPBEXexcCritical5 2" xfId="3234"/>
    <cellStyle name="SAPBEXexcCritical6" xfId="1859"/>
    <cellStyle name="SAPBEXexcCritical6 2" xfId="3235"/>
    <cellStyle name="SAPBEXexcGood1" xfId="1860"/>
    <cellStyle name="SAPBEXexcGood1 2" xfId="3236"/>
    <cellStyle name="SAPBEXexcGood2" xfId="1861"/>
    <cellStyle name="SAPBEXexcGood2 2" xfId="3237"/>
    <cellStyle name="SAPBEXexcGood3" xfId="1862"/>
    <cellStyle name="SAPBEXexcGood3 2" xfId="3238"/>
    <cellStyle name="SAPBEXfilterDrill" xfId="1863"/>
    <cellStyle name="SAPBEXfilterDrill 2" xfId="3239"/>
    <cellStyle name="SAPBEXfilterItem" xfId="1864"/>
    <cellStyle name="SAPBEXfilterItem 2" xfId="3240"/>
    <cellStyle name="SAPBEXfilterText" xfId="1865"/>
    <cellStyle name="SAPBEXformats" xfId="1866"/>
    <cellStyle name="SAPBEXformats 2" xfId="3241"/>
    <cellStyle name="SAPBEXheaderItem" xfId="1867"/>
    <cellStyle name="SAPBEXheaderItem 2" xfId="3242"/>
    <cellStyle name="SAPBEXheaderText" xfId="1868"/>
    <cellStyle name="SAPBEXheaderText 2" xfId="3243"/>
    <cellStyle name="SAPBEXHLevel0" xfId="1869"/>
    <cellStyle name="SAPBEXHLevel0 2" xfId="3244"/>
    <cellStyle name="SAPBEXHLevel0X" xfId="1870"/>
    <cellStyle name="SAPBEXHLevel0X 2" xfId="3245"/>
    <cellStyle name="SAPBEXHLevel1" xfId="1871"/>
    <cellStyle name="SAPBEXHLevel1 2" xfId="3246"/>
    <cellStyle name="SAPBEXHLevel1X" xfId="1872"/>
    <cellStyle name="SAPBEXHLevel1X 2" xfId="3247"/>
    <cellStyle name="SAPBEXHLevel2" xfId="1873"/>
    <cellStyle name="SAPBEXHLevel2 2" xfId="3248"/>
    <cellStyle name="SAPBEXHLevel2X" xfId="1874"/>
    <cellStyle name="SAPBEXHLevel2X 2" xfId="3249"/>
    <cellStyle name="SAPBEXHLevel3" xfId="1875"/>
    <cellStyle name="SAPBEXHLevel3 2" xfId="3250"/>
    <cellStyle name="SAPBEXHLevel3X" xfId="1876"/>
    <cellStyle name="SAPBEXHLevel3X 2" xfId="3251"/>
    <cellStyle name="SAPBEXinputData" xfId="1877"/>
    <cellStyle name="SAPBEXinputData 2" xfId="1878"/>
    <cellStyle name="SAPBEXinputData 3" xfId="1879"/>
    <cellStyle name="SAPBEXinputData 4" xfId="1880"/>
    <cellStyle name="SAPBEXresData" xfId="1881"/>
    <cellStyle name="SAPBEXresData 2" xfId="3252"/>
    <cellStyle name="SAPBEXresDataEmph" xfId="1882"/>
    <cellStyle name="SAPBEXresDataEmph 2" xfId="3253"/>
    <cellStyle name="SAPBEXresItem" xfId="1883"/>
    <cellStyle name="SAPBEXresItem 2" xfId="3254"/>
    <cellStyle name="SAPBEXresItemX" xfId="1884"/>
    <cellStyle name="SAPBEXresItemX 2" xfId="3255"/>
    <cellStyle name="SAPBEXstdData" xfId="1885"/>
    <cellStyle name="SAPBEXstdData 2" xfId="3256"/>
    <cellStyle name="SAPBEXstdDataEmph" xfId="1886"/>
    <cellStyle name="SAPBEXstdDataEmph 2" xfId="3257"/>
    <cellStyle name="SAPBEXstdItem" xfId="1887"/>
    <cellStyle name="SAPBEXstdItem 2" xfId="3258"/>
    <cellStyle name="SAPBEXstdItemX" xfId="1888"/>
    <cellStyle name="SAPBEXstdItemX 2" xfId="3259"/>
    <cellStyle name="SAPBEXtitle" xfId="1889"/>
    <cellStyle name="SAPBEXtitle 2" xfId="3260"/>
    <cellStyle name="SAPBEXundefined" xfId="1890"/>
    <cellStyle name="SAPBEXundefined 2" xfId="3261"/>
    <cellStyle name="SEM-BPS-data" xfId="3262"/>
    <cellStyle name="SEM-BPS-head" xfId="3263"/>
    <cellStyle name="SEM-BPS-headdata" xfId="3264"/>
    <cellStyle name="SEM-BPS-headkey" xfId="3265"/>
    <cellStyle name="SEM-BPS-input-on" xfId="3266"/>
    <cellStyle name="SEM-BPS-key" xfId="3267"/>
    <cellStyle name="SEM-BPS-sub1" xfId="3268"/>
    <cellStyle name="SEM-BPS-sub2" xfId="3269"/>
    <cellStyle name="SEM-BPS-total" xfId="3270"/>
    <cellStyle name="Show_Sell" xfId="1891"/>
    <cellStyle name="small" xfId="3271"/>
    <cellStyle name="st1" xfId="258"/>
    <cellStyle name="st1 2" xfId="1892"/>
    <cellStyle name="Standard_NEGS" xfId="259"/>
    <cellStyle name="String_15" xfId="3272"/>
    <cellStyle name="String15" xfId="3273"/>
    <cellStyle name="Style 1" xfId="1893"/>
    <cellStyle name="SubTotal1" xfId="3274"/>
    <cellStyle name="SubTotal2" xfId="3275"/>
    <cellStyle name="SubTotal3" xfId="3276"/>
    <cellStyle name="Subtotal4" xfId="3277"/>
    <cellStyle name="Table Head" xfId="260"/>
    <cellStyle name="Table Head 2" xfId="1894"/>
    <cellStyle name="Table Head Aligned" xfId="261"/>
    <cellStyle name="Table Head Aligned 2" xfId="1895"/>
    <cellStyle name="Table Head Blue" xfId="262"/>
    <cellStyle name="Table Head Blue 2" xfId="1896"/>
    <cellStyle name="Table Head Green" xfId="263"/>
    <cellStyle name="Table Head Green 2" xfId="1897"/>
    <cellStyle name="Table Head_Val_Sum_Graph" xfId="264"/>
    <cellStyle name="Table Heading" xfId="265"/>
    <cellStyle name="Table Heading 2" xfId="1898"/>
    <cellStyle name="Table Heading 3" xfId="1899"/>
    <cellStyle name="Table Heading_46EP.2011(v2.0)" xfId="1900"/>
    <cellStyle name="Table Text" xfId="266"/>
    <cellStyle name="Table Text 2" xfId="1901"/>
    <cellStyle name="Table Title" xfId="267"/>
    <cellStyle name="Table Title 2" xfId="1902"/>
    <cellStyle name="Table Units" xfId="268"/>
    <cellStyle name="Table Units 2" xfId="1903"/>
    <cellStyle name="Table_Header" xfId="269"/>
    <cellStyle name="Text" xfId="270"/>
    <cellStyle name="Text 1" xfId="271"/>
    <cellStyle name="Text 1 2" xfId="1904"/>
    <cellStyle name="Text 2" xfId="1905"/>
    <cellStyle name="Text Head" xfId="272"/>
    <cellStyle name="Text Head 1" xfId="273"/>
    <cellStyle name="Text Head 1 2" xfId="1906"/>
    <cellStyle name="Text Head 2" xfId="1907"/>
    <cellStyle name="Text Head_Б4-УТВЕРЖДЕНО" xfId="274"/>
    <cellStyle name="Text_Б4-УТВЕРЖДЕНО" xfId="275"/>
    <cellStyle name="Tickmark" xfId="3278"/>
    <cellStyle name="Title" xfId="276"/>
    <cellStyle name="Title 2" xfId="1908"/>
    <cellStyle name="Total" xfId="277"/>
    <cellStyle name="Total 2" xfId="1909"/>
    <cellStyle name="Total 3" xfId="1910"/>
    <cellStyle name="TOTALAVERAGE" xfId="3279"/>
    <cellStyle name="TOTALAVERAGE 2" xfId="3280"/>
    <cellStyle name="TotalCurrency" xfId="278"/>
    <cellStyle name="TotalCurrency 2" xfId="1911"/>
    <cellStyle name="Underline_Single" xfId="279"/>
    <cellStyle name="Unit" xfId="280"/>
    <cellStyle name="Unit 2" xfId="1912"/>
    <cellStyle name="Validation" xfId="1913"/>
    <cellStyle name="Warning Text" xfId="281"/>
    <cellStyle name="Warning Text 2" xfId="1914"/>
    <cellStyle name="XComma" xfId="3281"/>
    <cellStyle name="XComma 0.0" xfId="3282"/>
    <cellStyle name="XComma 0.00" xfId="3283"/>
    <cellStyle name="XComma 0.000" xfId="3284"/>
    <cellStyle name="XCurrency" xfId="3285"/>
    <cellStyle name="XCurrency 0.0" xfId="3286"/>
    <cellStyle name="XCurrency 0.00" xfId="3287"/>
    <cellStyle name="XCurrency 0.000" xfId="3288"/>
    <cellStyle name="year" xfId="282"/>
    <cellStyle name="year 2" xfId="1915"/>
    <cellStyle name="Year EN" xfId="3289"/>
    <cellStyle name="Year RU" xfId="3290"/>
    <cellStyle name="YelNumbersCurr" xfId="1916"/>
    <cellStyle name="YelNumbersCurr 2" xfId="3291"/>
    <cellStyle name="Акцент1 10" xfId="1917"/>
    <cellStyle name="Акцент1 2" xfId="1918"/>
    <cellStyle name="Акцент1 2 2" xfId="1919"/>
    <cellStyle name="Акцент1 3" xfId="1920"/>
    <cellStyle name="Акцент1 3 2" xfId="1921"/>
    <cellStyle name="Акцент1 4" xfId="1922"/>
    <cellStyle name="Акцент1 4 2" xfId="1923"/>
    <cellStyle name="Акцент1 5" xfId="1924"/>
    <cellStyle name="Акцент1 5 2" xfId="1925"/>
    <cellStyle name="Акцент1 6" xfId="1926"/>
    <cellStyle name="Акцент1 6 2" xfId="1927"/>
    <cellStyle name="Акцент1 7" xfId="1928"/>
    <cellStyle name="Акцент1 7 2" xfId="1929"/>
    <cellStyle name="Акцент1 8" xfId="1930"/>
    <cellStyle name="Акцент1 8 2" xfId="1931"/>
    <cellStyle name="Акцент1 9" xfId="1932"/>
    <cellStyle name="Акцент1 9 2" xfId="1933"/>
    <cellStyle name="Акцент2 10" xfId="1934"/>
    <cellStyle name="Акцент2 2" xfId="1935"/>
    <cellStyle name="Акцент2 2 2" xfId="1936"/>
    <cellStyle name="Акцент2 3" xfId="1937"/>
    <cellStyle name="Акцент2 3 2" xfId="1938"/>
    <cellStyle name="Акцент2 4" xfId="1939"/>
    <cellStyle name="Акцент2 4 2" xfId="1940"/>
    <cellStyle name="Акцент2 5" xfId="1941"/>
    <cellStyle name="Акцент2 5 2" xfId="1942"/>
    <cellStyle name="Акцент2 6" xfId="1943"/>
    <cellStyle name="Акцент2 6 2" xfId="1944"/>
    <cellStyle name="Акцент2 7" xfId="1945"/>
    <cellStyle name="Акцент2 7 2" xfId="1946"/>
    <cellStyle name="Акцент2 8" xfId="1947"/>
    <cellStyle name="Акцент2 8 2" xfId="1948"/>
    <cellStyle name="Акцент2 9" xfId="1949"/>
    <cellStyle name="Акцент2 9 2" xfId="1950"/>
    <cellStyle name="Акцент3 10" xfId="1951"/>
    <cellStyle name="Акцент3 2" xfId="1952"/>
    <cellStyle name="Акцент3 2 2" xfId="1953"/>
    <cellStyle name="Акцент3 3" xfId="1954"/>
    <cellStyle name="Акцент3 3 2" xfId="1955"/>
    <cellStyle name="Акцент3 4" xfId="1956"/>
    <cellStyle name="Акцент3 4 2" xfId="1957"/>
    <cellStyle name="Акцент3 5" xfId="1958"/>
    <cellStyle name="Акцент3 5 2" xfId="1959"/>
    <cellStyle name="Акцент3 6" xfId="1960"/>
    <cellStyle name="Акцент3 6 2" xfId="1961"/>
    <cellStyle name="Акцент3 7" xfId="1962"/>
    <cellStyle name="Акцент3 7 2" xfId="1963"/>
    <cellStyle name="Акцент3 8" xfId="1964"/>
    <cellStyle name="Акцент3 8 2" xfId="1965"/>
    <cellStyle name="Акцент3 9" xfId="1966"/>
    <cellStyle name="Акцент3 9 2" xfId="1967"/>
    <cellStyle name="Акцент4 10" xfId="1968"/>
    <cellStyle name="Акцент4 2" xfId="1969"/>
    <cellStyle name="Акцент4 2 2" xfId="1970"/>
    <cellStyle name="Акцент4 3" xfId="1971"/>
    <cellStyle name="Акцент4 3 2" xfId="1972"/>
    <cellStyle name="Акцент4 4" xfId="1973"/>
    <cellStyle name="Акцент4 4 2" xfId="1974"/>
    <cellStyle name="Акцент4 5" xfId="1975"/>
    <cellStyle name="Акцент4 5 2" xfId="1976"/>
    <cellStyle name="Акцент4 6" xfId="1977"/>
    <cellStyle name="Акцент4 6 2" xfId="1978"/>
    <cellStyle name="Акцент4 7" xfId="1979"/>
    <cellStyle name="Акцент4 7 2" xfId="1980"/>
    <cellStyle name="Акцент4 8" xfId="1981"/>
    <cellStyle name="Акцент4 8 2" xfId="1982"/>
    <cellStyle name="Акцент4 9" xfId="1983"/>
    <cellStyle name="Акцент4 9 2" xfId="1984"/>
    <cellStyle name="Акцент5 10" xfId="1985"/>
    <cellStyle name="Акцент5 2" xfId="1986"/>
    <cellStyle name="Акцент5 2 2" xfId="1987"/>
    <cellStyle name="Акцент5 3" xfId="1988"/>
    <cellStyle name="Акцент5 3 2" xfId="1989"/>
    <cellStyle name="Акцент5 4" xfId="1990"/>
    <cellStyle name="Акцент5 4 2" xfId="1991"/>
    <cellStyle name="Акцент5 5" xfId="1992"/>
    <cellStyle name="Акцент5 5 2" xfId="1993"/>
    <cellStyle name="Акцент5 6" xfId="1994"/>
    <cellStyle name="Акцент5 6 2" xfId="1995"/>
    <cellStyle name="Акцент5 7" xfId="1996"/>
    <cellStyle name="Акцент5 7 2" xfId="1997"/>
    <cellStyle name="Акцент5 8" xfId="1998"/>
    <cellStyle name="Акцент5 8 2" xfId="1999"/>
    <cellStyle name="Акцент5 9" xfId="2000"/>
    <cellStyle name="Акцент5 9 2" xfId="2001"/>
    <cellStyle name="Акцент6 10" xfId="2002"/>
    <cellStyle name="Акцент6 2" xfId="2003"/>
    <cellStyle name="Акцент6 2 2" xfId="2004"/>
    <cellStyle name="Акцент6 3" xfId="2005"/>
    <cellStyle name="Акцент6 3 2" xfId="2006"/>
    <cellStyle name="Акцент6 4" xfId="2007"/>
    <cellStyle name="Акцент6 4 2" xfId="2008"/>
    <cellStyle name="Акцент6 5" xfId="2009"/>
    <cellStyle name="Акцент6 5 2" xfId="2010"/>
    <cellStyle name="Акцент6 6" xfId="2011"/>
    <cellStyle name="Акцент6 6 2" xfId="2012"/>
    <cellStyle name="Акцент6 7" xfId="2013"/>
    <cellStyle name="Акцент6 7 2" xfId="2014"/>
    <cellStyle name="Акцент6 8" xfId="2015"/>
    <cellStyle name="Акцент6 8 2" xfId="2016"/>
    <cellStyle name="Акцент6 9" xfId="2017"/>
    <cellStyle name="Акцент6 9 2" xfId="2018"/>
    <cellStyle name="Беззащитный" xfId="283"/>
    <cellStyle name="Ввод" xfId="3292"/>
    <cellStyle name="Ввод  10" xfId="2019"/>
    <cellStyle name="Ввод  2" xfId="2020"/>
    <cellStyle name="Ввод  2 2" xfId="2021"/>
    <cellStyle name="Ввод  2_46EE.2011(v1.0)" xfId="2022"/>
    <cellStyle name="Ввод  3" xfId="2023"/>
    <cellStyle name="Ввод  3 2" xfId="2024"/>
    <cellStyle name="Ввод  3_46EE.2011(v1.0)" xfId="2025"/>
    <cellStyle name="Ввод  4" xfId="2026"/>
    <cellStyle name="Ввод  4 2" xfId="2027"/>
    <cellStyle name="Ввод  4_46EE.2011(v1.0)" xfId="2028"/>
    <cellStyle name="Ввод  5" xfId="2029"/>
    <cellStyle name="Ввод  5 2" xfId="2030"/>
    <cellStyle name="Ввод  5_46EE.2011(v1.0)" xfId="2031"/>
    <cellStyle name="Ввод  6" xfId="2032"/>
    <cellStyle name="Ввод  6 2" xfId="2033"/>
    <cellStyle name="Ввод  6_46EE.2011(v1.0)" xfId="2034"/>
    <cellStyle name="Ввод  7" xfId="2035"/>
    <cellStyle name="Ввод  7 2" xfId="2036"/>
    <cellStyle name="Ввод  7_46EE.2011(v1.0)" xfId="2037"/>
    <cellStyle name="Ввод  8" xfId="2038"/>
    <cellStyle name="Ввод  8 2" xfId="2039"/>
    <cellStyle name="Ввод  8_46EE.2011(v1.0)" xfId="2040"/>
    <cellStyle name="Ввод  9" xfId="2041"/>
    <cellStyle name="Ввод  9 2" xfId="2042"/>
    <cellStyle name="Ввод  9_46EE.2011(v1.0)" xfId="2043"/>
    <cellStyle name="Ввод 2" xfId="3293"/>
    <cellStyle name="Ввод данных" xfId="3294"/>
    <cellStyle name="Верт. заголовок" xfId="284"/>
    <cellStyle name="Вес_продукта" xfId="285"/>
    <cellStyle name="Вывод 10" xfId="2044"/>
    <cellStyle name="Вывод 2" xfId="2045"/>
    <cellStyle name="Вывод 2 2" xfId="2046"/>
    <cellStyle name="Вывод 2_46EE.2011(v1.0)" xfId="2047"/>
    <cellStyle name="Вывод 3" xfId="2048"/>
    <cellStyle name="Вывод 3 2" xfId="2049"/>
    <cellStyle name="Вывод 3_46EE.2011(v1.0)" xfId="2050"/>
    <cellStyle name="Вывод 4" xfId="2051"/>
    <cellStyle name="Вывод 4 2" xfId="2052"/>
    <cellStyle name="Вывод 4_46EE.2011(v1.0)" xfId="2053"/>
    <cellStyle name="Вывод 5" xfId="2054"/>
    <cellStyle name="Вывод 5 2" xfId="2055"/>
    <cellStyle name="Вывод 5_46EE.2011(v1.0)" xfId="2056"/>
    <cellStyle name="Вывод 6" xfId="2057"/>
    <cellStyle name="Вывод 6 2" xfId="2058"/>
    <cellStyle name="Вывод 6_46EE.2011(v1.0)" xfId="2059"/>
    <cellStyle name="Вывод 7" xfId="2060"/>
    <cellStyle name="Вывод 7 2" xfId="2061"/>
    <cellStyle name="Вывод 7_46EE.2011(v1.0)" xfId="2062"/>
    <cellStyle name="Вывод 8" xfId="2063"/>
    <cellStyle name="Вывод 8 2" xfId="2064"/>
    <cellStyle name="Вывод 8_46EE.2011(v1.0)" xfId="2065"/>
    <cellStyle name="Вывод 9" xfId="2066"/>
    <cellStyle name="Вывод 9 2" xfId="2067"/>
    <cellStyle name="Вывод 9_46EE.2011(v1.0)" xfId="2068"/>
    <cellStyle name="Вычисление 10" xfId="2069"/>
    <cellStyle name="Вычисление 2" xfId="2070"/>
    <cellStyle name="Вычисление 2 2" xfId="2071"/>
    <cellStyle name="Вычисление 2_46EE.2011(v1.0)" xfId="2072"/>
    <cellStyle name="Вычисление 3" xfId="2073"/>
    <cellStyle name="Вычисление 3 2" xfId="2074"/>
    <cellStyle name="Вычисление 3_46EE.2011(v1.0)" xfId="2075"/>
    <cellStyle name="Вычисление 4" xfId="2076"/>
    <cellStyle name="Вычисление 4 2" xfId="2077"/>
    <cellStyle name="Вычисление 4_46EE.2011(v1.0)" xfId="2078"/>
    <cellStyle name="Вычисление 5" xfId="2079"/>
    <cellStyle name="Вычисление 5 2" xfId="2080"/>
    <cellStyle name="Вычисление 5_46EE.2011(v1.0)" xfId="2081"/>
    <cellStyle name="Вычисление 6" xfId="2082"/>
    <cellStyle name="Вычисление 6 2" xfId="2083"/>
    <cellStyle name="Вычисление 6_46EE.2011(v1.0)" xfId="2084"/>
    <cellStyle name="Вычисление 7" xfId="2085"/>
    <cellStyle name="Вычисление 7 2" xfId="2086"/>
    <cellStyle name="Вычисление 7_46EE.2011(v1.0)" xfId="2087"/>
    <cellStyle name="Вычисление 8" xfId="2088"/>
    <cellStyle name="Вычисление 8 2" xfId="2089"/>
    <cellStyle name="Вычисление 8_46EE.2011(v1.0)" xfId="2090"/>
    <cellStyle name="Вычисление 9" xfId="2091"/>
    <cellStyle name="Вычисление 9 2" xfId="2092"/>
    <cellStyle name="Вычисление 9_46EE.2011(v1.0)" xfId="2093"/>
    <cellStyle name="Гиперссылка 2" xfId="12"/>
    <cellStyle name="Гиперссылка 2 2" xfId="2094"/>
    <cellStyle name="Гиперссылка 2 3" xfId="2095"/>
    <cellStyle name="Гиперссылка 3" xfId="286"/>
    <cellStyle name="Гиперссылка 3 2" xfId="2096"/>
    <cellStyle name="Гиперссылка 3 3" xfId="2097"/>
    <cellStyle name="Гиперссылка 4" xfId="287"/>
    <cellStyle name="Гиперссылка 4 2" xfId="288"/>
    <cellStyle name="Гиперссылка 4 2 2" xfId="2098"/>
    <cellStyle name="Гиперссылка 4 3" xfId="2099"/>
    <cellStyle name="Гиперссылка 5" xfId="2100"/>
    <cellStyle name="Гиперссылка 6" xfId="2101"/>
    <cellStyle name="Гиперссылка 7" xfId="3295"/>
    <cellStyle name="горизонтальный" xfId="289"/>
    <cellStyle name="Группа" xfId="290"/>
    <cellStyle name="Группа 0" xfId="291"/>
    <cellStyle name="Группа 0 2" xfId="3296"/>
    <cellStyle name="Группа 1" xfId="292"/>
    <cellStyle name="Группа 1 2" xfId="3297"/>
    <cellStyle name="Группа 2" xfId="293"/>
    <cellStyle name="Группа 2 2" xfId="3298"/>
    <cellStyle name="Группа 3" xfId="294"/>
    <cellStyle name="Группа 3 2" xfId="3299"/>
    <cellStyle name="Группа 4" xfId="295"/>
    <cellStyle name="Группа 4 2" xfId="3300"/>
    <cellStyle name="Группа 5" xfId="296"/>
    <cellStyle name="Группа 5 2" xfId="3301"/>
    <cellStyle name="Группа 6" xfId="297"/>
    <cellStyle name="Группа 6 2" xfId="3302"/>
    <cellStyle name="Группа 7" xfId="298"/>
    <cellStyle name="Группа 7 2" xfId="3303"/>
    <cellStyle name="Группа 8" xfId="299"/>
    <cellStyle name="Группа 8 2" xfId="3304"/>
    <cellStyle name="Группа 9" xfId="3305"/>
    <cellStyle name="Группа_4DNS.UPDATE.EXAMPLE" xfId="2102"/>
    <cellStyle name="Данные прайса" xfId="300"/>
    <cellStyle name="Дата" xfId="301"/>
    <cellStyle name="ДАТА 10" xfId="2103"/>
    <cellStyle name="ДАТА 2" xfId="2104"/>
    <cellStyle name="ДАТА 3" xfId="2105"/>
    <cellStyle name="ДАТА 4" xfId="2106"/>
    <cellStyle name="ДАТА 5" xfId="2107"/>
    <cellStyle name="ДАТА 6" xfId="2108"/>
    <cellStyle name="ДАТА 7" xfId="2109"/>
    <cellStyle name="ДАТА 8" xfId="2110"/>
    <cellStyle name="ДАТА 9" xfId="2111"/>
    <cellStyle name="ДАТА_1" xfId="2112"/>
    <cellStyle name="Денежный 2" xfId="302"/>
    <cellStyle name="Денежный 2 2" xfId="303"/>
    <cellStyle name="Денежный 2 2 2" xfId="2113"/>
    <cellStyle name="Денежный 2 3" xfId="304"/>
    <cellStyle name="Денежный 2 4" xfId="2114"/>
    <cellStyle name="Денежный 2_INDEX.STATION.2012(v1.0)_" xfId="2115"/>
    <cellStyle name="Денежный 3" xfId="305"/>
    <cellStyle name="Заголовок" xfId="10"/>
    <cellStyle name="Заголовок 1 1" xfId="306"/>
    <cellStyle name="Заголовок 1 10" xfId="2116"/>
    <cellStyle name="Заголовок 1 2" xfId="2117"/>
    <cellStyle name="Заголовок 1 2 2" xfId="2118"/>
    <cellStyle name="Заголовок 1 2_46EE.2011(v1.0)" xfId="2119"/>
    <cellStyle name="Заголовок 1 3" xfId="2120"/>
    <cellStyle name="Заголовок 1 3 2" xfId="2121"/>
    <cellStyle name="Заголовок 1 3_46EE.2011(v1.0)" xfId="2122"/>
    <cellStyle name="Заголовок 1 4" xfId="2123"/>
    <cellStyle name="Заголовок 1 4 2" xfId="2124"/>
    <cellStyle name="Заголовок 1 4_46EE.2011(v1.0)" xfId="2125"/>
    <cellStyle name="Заголовок 1 5" xfId="2126"/>
    <cellStyle name="Заголовок 1 5 2" xfId="2127"/>
    <cellStyle name="Заголовок 1 5_46EE.2011(v1.0)" xfId="2128"/>
    <cellStyle name="Заголовок 1 6" xfId="2129"/>
    <cellStyle name="Заголовок 1 6 2" xfId="2130"/>
    <cellStyle name="Заголовок 1 6_46EE.2011(v1.0)" xfId="2131"/>
    <cellStyle name="Заголовок 1 7" xfId="2132"/>
    <cellStyle name="Заголовок 1 7 2" xfId="2133"/>
    <cellStyle name="Заголовок 1 7_46EE.2011(v1.0)" xfId="2134"/>
    <cellStyle name="Заголовок 1 8" xfId="2135"/>
    <cellStyle name="Заголовок 1 8 2" xfId="2136"/>
    <cellStyle name="Заголовок 1 8_46EE.2011(v1.0)" xfId="2137"/>
    <cellStyle name="Заголовок 1 9" xfId="2138"/>
    <cellStyle name="Заголовок 1 9 2" xfId="2139"/>
    <cellStyle name="Заголовок 1 9_46EE.2011(v1.0)" xfId="2140"/>
    <cellStyle name="Заголовок 2 10" xfId="2141"/>
    <cellStyle name="Заголовок 2 2" xfId="2142"/>
    <cellStyle name="Заголовок 2 2 2" xfId="2143"/>
    <cellStyle name="Заголовок 2 2_46EE.2011(v1.0)" xfId="2144"/>
    <cellStyle name="Заголовок 2 3" xfId="2145"/>
    <cellStyle name="Заголовок 2 3 2" xfId="2146"/>
    <cellStyle name="Заголовок 2 3_46EE.2011(v1.0)" xfId="2147"/>
    <cellStyle name="Заголовок 2 4" xfId="2148"/>
    <cellStyle name="Заголовок 2 4 2" xfId="2149"/>
    <cellStyle name="Заголовок 2 4_46EE.2011(v1.0)" xfId="2150"/>
    <cellStyle name="Заголовок 2 5" xfId="2151"/>
    <cellStyle name="Заголовок 2 5 2" xfId="2152"/>
    <cellStyle name="Заголовок 2 5_46EE.2011(v1.0)" xfId="2153"/>
    <cellStyle name="Заголовок 2 6" xfId="2154"/>
    <cellStyle name="Заголовок 2 6 2" xfId="2155"/>
    <cellStyle name="Заголовок 2 6_46EE.2011(v1.0)" xfId="2156"/>
    <cellStyle name="Заголовок 2 7" xfId="2157"/>
    <cellStyle name="Заголовок 2 7 2" xfId="2158"/>
    <cellStyle name="Заголовок 2 7_46EE.2011(v1.0)" xfId="2159"/>
    <cellStyle name="Заголовок 2 8" xfId="2160"/>
    <cellStyle name="Заголовок 2 8 2" xfId="2161"/>
    <cellStyle name="Заголовок 2 8_46EE.2011(v1.0)" xfId="2162"/>
    <cellStyle name="Заголовок 2 9" xfId="2163"/>
    <cellStyle name="Заголовок 2 9 2" xfId="2164"/>
    <cellStyle name="Заголовок 2 9_46EE.2011(v1.0)" xfId="2165"/>
    <cellStyle name="Заголовок 3 10" xfId="2166"/>
    <cellStyle name="Заголовок 3 2" xfId="2167"/>
    <cellStyle name="Заголовок 3 2 2" xfId="2168"/>
    <cellStyle name="Заголовок 3 2_46EE.2011(v1.0)" xfId="2169"/>
    <cellStyle name="Заголовок 3 3" xfId="2170"/>
    <cellStyle name="Заголовок 3 3 2" xfId="2171"/>
    <cellStyle name="Заголовок 3 3_46EE.2011(v1.0)" xfId="2172"/>
    <cellStyle name="Заголовок 3 4" xfId="2173"/>
    <cellStyle name="Заголовок 3 4 2" xfId="2174"/>
    <cellStyle name="Заголовок 3 4_46EE.2011(v1.0)" xfId="2175"/>
    <cellStyle name="Заголовок 3 5" xfId="2176"/>
    <cellStyle name="Заголовок 3 5 2" xfId="2177"/>
    <cellStyle name="Заголовок 3 5_46EE.2011(v1.0)" xfId="2178"/>
    <cellStyle name="Заголовок 3 6" xfId="2179"/>
    <cellStyle name="Заголовок 3 6 2" xfId="2180"/>
    <cellStyle name="Заголовок 3 6_46EE.2011(v1.0)" xfId="2181"/>
    <cellStyle name="Заголовок 3 7" xfId="2182"/>
    <cellStyle name="Заголовок 3 7 2" xfId="2183"/>
    <cellStyle name="Заголовок 3 7_46EE.2011(v1.0)" xfId="2184"/>
    <cellStyle name="Заголовок 3 8" xfId="2185"/>
    <cellStyle name="Заголовок 3 8 2" xfId="2186"/>
    <cellStyle name="Заголовок 3 8_46EE.2011(v1.0)" xfId="2187"/>
    <cellStyle name="Заголовок 3 9" xfId="2188"/>
    <cellStyle name="Заголовок 3 9 2" xfId="2189"/>
    <cellStyle name="Заголовок 3 9_46EE.2011(v1.0)" xfId="2190"/>
    <cellStyle name="Заголовок 4 10" xfId="2191"/>
    <cellStyle name="Заголовок 4 2" xfId="2192"/>
    <cellStyle name="Заголовок 4 2 2" xfId="2193"/>
    <cellStyle name="Заголовок 4 3" xfId="2194"/>
    <cellStyle name="Заголовок 4 3 2" xfId="2195"/>
    <cellStyle name="Заголовок 4 4" xfId="2196"/>
    <cellStyle name="Заголовок 4 4 2" xfId="2197"/>
    <cellStyle name="Заголовок 4 5" xfId="2198"/>
    <cellStyle name="Заголовок 4 5 2" xfId="2199"/>
    <cellStyle name="Заголовок 4 6" xfId="2200"/>
    <cellStyle name="Заголовок 4 6 2" xfId="2201"/>
    <cellStyle name="Заголовок 4 7" xfId="2202"/>
    <cellStyle name="Заголовок 4 7 2" xfId="2203"/>
    <cellStyle name="Заголовок 4 8" xfId="2204"/>
    <cellStyle name="Заголовок 4 8 2" xfId="2205"/>
    <cellStyle name="Заголовок 4 9" xfId="2206"/>
    <cellStyle name="Заголовок 4 9 2" xfId="2207"/>
    <cellStyle name="Заголовок 5" xfId="2208"/>
    <cellStyle name="Заголовок 6" xfId="2209"/>
    <cellStyle name="Заголовок таблицы" xfId="3306"/>
    <cellStyle name="Заголовок таблицы 2" xfId="3307"/>
    <cellStyle name="Заголовок1" xfId="2210"/>
    <cellStyle name="ЗАГОЛОВОК1 2" xfId="3308"/>
    <cellStyle name="ЗАГОЛОВОК2" xfId="2211"/>
    <cellStyle name="ЗаголовокСтолбца" xfId="9"/>
    <cellStyle name="ЗаголовокСтолбца 2" xfId="2212"/>
    <cellStyle name="ЗаголовокСтолбца 3" xfId="2213"/>
    <cellStyle name="ЗаголовокСтолбца 4" xfId="3309"/>
    <cellStyle name="ЗаголовокСтолбца 4 2" xfId="3310"/>
    <cellStyle name="ЗаголовокСтолбца 5" xfId="3311"/>
    <cellStyle name="Заметка" xfId="3312"/>
    <cellStyle name="Заметка 2" xfId="3313"/>
    <cellStyle name="Защитный" xfId="307"/>
    <cellStyle name="Значение" xfId="308"/>
    <cellStyle name="Значение 2" xfId="3314"/>
    <cellStyle name="Зоголовок" xfId="2214"/>
    <cellStyle name="Итог 10" xfId="2215"/>
    <cellStyle name="Итог 2" xfId="2216"/>
    <cellStyle name="Итог 2 2" xfId="2217"/>
    <cellStyle name="Итог 2_46EE.2011(v1.0)" xfId="2218"/>
    <cellStyle name="Итог 3" xfId="2219"/>
    <cellStyle name="Итог 3 2" xfId="2220"/>
    <cellStyle name="Итог 3_46EE.2011(v1.0)" xfId="2221"/>
    <cellStyle name="Итог 4" xfId="2222"/>
    <cellStyle name="Итог 4 2" xfId="2223"/>
    <cellStyle name="Итог 4_46EE.2011(v1.0)" xfId="2224"/>
    <cellStyle name="Итог 5" xfId="2225"/>
    <cellStyle name="Итог 5 2" xfId="2226"/>
    <cellStyle name="Итог 5_46EE.2011(v1.0)" xfId="2227"/>
    <cellStyle name="Итог 6" xfId="2228"/>
    <cellStyle name="Итог 6 2" xfId="2229"/>
    <cellStyle name="Итог 6_46EE.2011(v1.0)" xfId="2230"/>
    <cellStyle name="Итог 7" xfId="2231"/>
    <cellStyle name="Итог 7 2" xfId="2232"/>
    <cellStyle name="Итог 7_46EE.2011(v1.0)" xfId="2233"/>
    <cellStyle name="Итог 8" xfId="2234"/>
    <cellStyle name="Итог 8 2" xfId="2235"/>
    <cellStyle name="Итог 8_46EE.2011(v1.0)" xfId="2236"/>
    <cellStyle name="Итог 9" xfId="2237"/>
    <cellStyle name="Итог 9 2" xfId="2238"/>
    <cellStyle name="Итог 9_46EE.2011(v1.0)" xfId="2239"/>
    <cellStyle name="Итого" xfId="309"/>
    <cellStyle name="Итого 2" xfId="2240"/>
    <cellStyle name="Итого 2 2" xfId="3315"/>
    <cellStyle name="Итого 3" xfId="3316"/>
    <cellStyle name="ИТОГОВЫЙ" xfId="2241"/>
    <cellStyle name="ИТОГОВЫЙ 2" xfId="2242"/>
    <cellStyle name="ИТОГОВЫЙ 3" xfId="2243"/>
    <cellStyle name="ИТОГОВЫЙ 4" xfId="2244"/>
    <cellStyle name="ИТОГОВЫЙ 5" xfId="2245"/>
    <cellStyle name="ИТОГОВЫЙ 6" xfId="2246"/>
    <cellStyle name="ИТОГОВЫЙ 7" xfId="2247"/>
    <cellStyle name="ИТОГОВЫЙ 8" xfId="2248"/>
    <cellStyle name="ИТОГОВЫЙ 9" xfId="2249"/>
    <cellStyle name="ИТОГОВЫЙ_1" xfId="2250"/>
    <cellStyle name="Контрольная ячейка 10" xfId="2251"/>
    <cellStyle name="Контрольная ячейка 2" xfId="2252"/>
    <cellStyle name="Контрольная ячейка 2 2" xfId="2253"/>
    <cellStyle name="Контрольная ячейка 2_46EE.2011(v1.0)" xfId="2254"/>
    <cellStyle name="Контрольная ячейка 3" xfId="2255"/>
    <cellStyle name="Контрольная ячейка 3 2" xfId="2256"/>
    <cellStyle name="Контрольная ячейка 3_46EE.2011(v1.0)" xfId="2257"/>
    <cellStyle name="Контрольная ячейка 4" xfId="2258"/>
    <cellStyle name="Контрольная ячейка 4 2" xfId="2259"/>
    <cellStyle name="Контрольная ячейка 4_46EE.2011(v1.0)" xfId="2260"/>
    <cellStyle name="Контрольная ячейка 5" xfId="2261"/>
    <cellStyle name="Контрольная ячейка 5 2" xfId="2262"/>
    <cellStyle name="Контрольная ячейка 5_46EE.2011(v1.0)" xfId="2263"/>
    <cellStyle name="Контрольная ячейка 6" xfId="2264"/>
    <cellStyle name="Контрольная ячейка 6 2" xfId="2265"/>
    <cellStyle name="Контрольная ячейка 6_46EE.2011(v1.0)" xfId="2266"/>
    <cellStyle name="Контрольная ячейка 7" xfId="2267"/>
    <cellStyle name="Контрольная ячейка 7 2" xfId="2268"/>
    <cellStyle name="Контрольная ячейка 7_46EE.2011(v1.0)" xfId="2269"/>
    <cellStyle name="Контрольная ячейка 8" xfId="2270"/>
    <cellStyle name="Контрольная ячейка 8 2" xfId="2271"/>
    <cellStyle name="Контрольная ячейка 8_46EE.2011(v1.0)" xfId="2272"/>
    <cellStyle name="Контрольная ячейка 9" xfId="2273"/>
    <cellStyle name="Контрольная ячейка 9 2" xfId="2274"/>
    <cellStyle name="Контрольная ячейка 9_46EE.2011(v1.0)" xfId="2275"/>
    <cellStyle name="Миша (бланки отчетности)" xfId="310"/>
    <cellStyle name="Миша (бланки отчетности) 2" xfId="2276"/>
    <cellStyle name="мой" xfId="312"/>
    <cellStyle name="Мой заголовок" xfId="313"/>
    <cellStyle name="Мой заголовок 2" xfId="2337"/>
    <cellStyle name="Мой заголовок листа" xfId="314"/>
    <cellStyle name="Мой заголовок листа 2" xfId="2338"/>
    <cellStyle name="Мой заголовок листа 3" xfId="2339"/>
    <cellStyle name="Мой заголовок_Новая инструкция1_фст" xfId="2340"/>
    <cellStyle name="Мои наименования показателей" xfId="311"/>
    <cellStyle name="Мои наименования показателей 10" xfId="2277"/>
    <cellStyle name="Мои наименования показателей 11" xfId="2278"/>
    <cellStyle name="Мои наименования показателей 12" xfId="2279"/>
    <cellStyle name="Мои наименования показателей 2" xfId="2280"/>
    <cellStyle name="Мои наименования показателей 2 2" xfId="2281"/>
    <cellStyle name="Мои наименования показателей 2 3" xfId="2282"/>
    <cellStyle name="Мои наименования показателей 2 4" xfId="2283"/>
    <cellStyle name="Мои наименования показателей 2 5" xfId="2284"/>
    <cellStyle name="Мои наименования показателей 2 6" xfId="2285"/>
    <cellStyle name="Мои наименования показателей 2 7" xfId="2286"/>
    <cellStyle name="Мои наименования показателей 2 8" xfId="2287"/>
    <cellStyle name="Мои наименования показателей 2 9" xfId="2288"/>
    <cellStyle name="Мои наименования показателей 2_1" xfId="2289"/>
    <cellStyle name="Мои наименования показателей 3" xfId="2290"/>
    <cellStyle name="Мои наименования показателей 3 2" xfId="2291"/>
    <cellStyle name="Мои наименования показателей 3 3" xfId="2292"/>
    <cellStyle name="Мои наименования показателей 3 4" xfId="2293"/>
    <cellStyle name="Мои наименования показателей 3 5" xfId="2294"/>
    <cellStyle name="Мои наименования показателей 3 6" xfId="2295"/>
    <cellStyle name="Мои наименования показателей 3 7" xfId="2296"/>
    <cellStyle name="Мои наименования показателей 3 8" xfId="2297"/>
    <cellStyle name="Мои наименования показателей 3 9" xfId="2298"/>
    <cellStyle name="Мои наименования показателей 3_1" xfId="2299"/>
    <cellStyle name="Мои наименования показателей 4" xfId="2300"/>
    <cellStyle name="Мои наименования показателей 4 2" xfId="2301"/>
    <cellStyle name="Мои наименования показателей 4 3" xfId="2302"/>
    <cellStyle name="Мои наименования показателей 4 4" xfId="2303"/>
    <cellStyle name="Мои наименования показателей 4 5" xfId="2304"/>
    <cellStyle name="Мои наименования показателей 4 6" xfId="2305"/>
    <cellStyle name="Мои наименования показателей 4 7" xfId="2306"/>
    <cellStyle name="Мои наименования показателей 4 8" xfId="2307"/>
    <cellStyle name="Мои наименования показателей 4 9" xfId="2308"/>
    <cellStyle name="Мои наименования показателей 4_1" xfId="2309"/>
    <cellStyle name="Мои наименования показателей 5" xfId="2310"/>
    <cellStyle name="Мои наименования показателей 5 2" xfId="2311"/>
    <cellStyle name="Мои наименования показателей 5 3" xfId="2312"/>
    <cellStyle name="Мои наименования показателей 5 4" xfId="2313"/>
    <cellStyle name="Мои наименования показателей 5 5" xfId="2314"/>
    <cellStyle name="Мои наименования показателей 5 6" xfId="2315"/>
    <cellStyle name="Мои наименования показателей 5 7" xfId="2316"/>
    <cellStyle name="Мои наименования показателей 5 8" xfId="2317"/>
    <cellStyle name="Мои наименования показателей 5 9" xfId="2318"/>
    <cellStyle name="Мои наименования показателей 5_1" xfId="2319"/>
    <cellStyle name="Мои наименования показателей 6" xfId="2320"/>
    <cellStyle name="Мои наименования показателей 6 2" xfId="2321"/>
    <cellStyle name="Мои наименования показателей 6 3" xfId="2322"/>
    <cellStyle name="Мои наименования показателей 6 4" xfId="2323"/>
    <cellStyle name="Мои наименования показателей 6_46EE.2011(v1.0)" xfId="2324"/>
    <cellStyle name="Мои наименования показателей 7" xfId="2325"/>
    <cellStyle name="Мои наименования показателей 7 2" xfId="2326"/>
    <cellStyle name="Мои наименования показателей 7 3" xfId="2327"/>
    <cellStyle name="Мои наименования показателей 7 4" xfId="2328"/>
    <cellStyle name="Мои наименования показателей 7_46EE.2011(v1.0)" xfId="2329"/>
    <cellStyle name="Мои наименования показателей 8" xfId="2330"/>
    <cellStyle name="Мои наименования показателей 8 2" xfId="2331"/>
    <cellStyle name="Мои наименования показателей 8 3" xfId="2332"/>
    <cellStyle name="Мои наименования показателей 8 4" xfId="2333"/>
    <cellStyle name="Мои наименования показателей 8_46EE.2011(v1.0)" xfId="2334"/>
    <cellStyle name="Мои наименования показателей 9" xfId="2335"/>
    <cellStyle name="Мои наименования показателей_46EE.2011" xfId="2336"/>
    <cellStyle name="МУ заголовок" xfId="315"/>
    <cellStyle name="МУ заголовок 2" xfId="3317"/>
    <cellStyle name="МУ заголовок 3" xfId="3318"/>
    <cellStyle name="назв фил" xfId="2341"/>
    <cellStyle name="назв фил 2" xfId="3319"/>
    <cellStyle name="Название 10" xfId="2342"/>
    <cellStyle name="Название 2" xfId="2343"/>
    <cellStyle name="Название 2 2" xfId="2344"/>
    <cellStyle name="Название 3" xfId="2345"/>
    <cellStyle name="Название 3 2" xfId="2346"/>
    <cellStyle name="Название 4" xfId="2347"/>
    <cellStyle name="Название 4 2" xfId="2348"/>
    <cellStyle name="Название 5" xfId="2349"/>
    <cellStyle name="Название 5 2" xfId="2350"/>
    <cellStyle name="Название 6" xfId="2351"/>
    <cellStyle name="Название 6 2" xfId="2352"/>
    <cellStyle name="Название 7" xfId="2353"/>
    <cellStyle name="Название 7 2" xfId="2354"/>
    <cellStyle name="Название 8" xfId="2355"/>
    <cellStyle name="Название 8 2" xfId="2356"/>
    <cellStyle name="Название 9" xfId="2357"/>
    <cellStyle name="Название 9 2" xfId="2358"/>
    <cellStyle name="Название раздела" xfId="316"/>
    <cellStyle name="Невидимый" xfId="317"/>
    <cellStyle name="Нейтральный 10" xfId="2359"/>
    <cellStyle name="Нейтральный 2" xfId="2360"/>
    <cellStyle name="Нейтральный 2 2" xfId="2361"/>
    <cellStyle name="Нейтральный 3" xfId="2362"/>
    <cellStyle name="Нейтральный 3 2" xfId="2363"/>
    <cellStyle name="Нейтральный 4" xfId="2364"/>
    <cellStyle name="Нейтральный 4 2" xfId="2365"/>
    <cellStyle name="Нейтральный 5" xfId="2366"/>
    <cellStyle name="Нейтральный 5 2" xfId="2367"/>
    <cellStyle name="Нейтральный 6" xfId="2368"/>
    <cellStyle name="Нейтральный 6 2" xfId="2369"/>
    <cellStyle name="Нейтральный 7" xfId="2370"/>
    <cellStyle name="Нейтральный 7 2" xfId="2371"/>
    <cellStyle name="Нейтральный 8" xfId="2372"/>
    <cellStyle name="Нейтральный 8 2" xfId="2373"/>
    <cellStyle name="Нейтральный 9" xfId="2374"/>
    <cellStyle name="Нейтральный 9 2" xfId="2375"/>
    <cellStyle name="Низ1" xfId="318"/>
    <cellStyle name="Низ1 2" xfId="3320"/>
    <cellStyle name="Низ2" xfId="319"/>
    <cellStyle name="Обычный" xfId="0" builtinId="0"/>
    <cellStyle name="Обычный 10" xfId="320"/>
    <cellStyle name="Обычный 10 2" xfId="321"/>
    <cellStyle name="Обычный 10 2 2" xfId="2376"/>
    <cellStyle name="Обычный 10 3" xfId="2377"/>
    <cellStyle name="Обычный 10 4" xfId="3321"/>
    <cellStyle name="Обычный 10 4 2" xfId="2786"/>
    <cellStyle name="Обычный 11" xfId="322"/>
    <cellStyle name="Обычный 11 2" xfId="2378"/>
    <cellStyle name="Обычный 11 3" xfId="2379"/>
    <cellStyle name="Обычный 11 3 2" xfId="2380"/>
    <cellStyle name="Обычный 11 3 2 2" xfId="3322"/>
    <cellStyle name="Обычный 11 3 2 2 2" xfId="3323"/>
    <cellStyle name="Обычный 11 3 2 2 3" xfId="3324"/>
    <cellStyle name="Обычный 11 3 2 3" xfId="3325"/>
    <cellStyle name="Обычный 11 3 3" xfId="3326"/>
    <cellStyle name="Обычный 11 3 3 2" xfId="3327"/>
    <cellStyle name="Обычный 11 3 4" xfId="3328"/>
    <cellStyle name="Обычный 11 3 4 2" xfId="3329"/>
    <cellStyle name="Обычный 11 3 4 2 2" xfId="3330"/>
    <cellStyle name="Обычный 11 3 4 3" xfId="3331"/>
    <cellStyle name="Обычный 11 3 4 3 2" xfId="3332"/>
    <cellStyle name="Обычный 11 3 4 3 3" xfId="3534"/>
    <cellStyle name="Обычный 11 3 5" xfId="3333"/>
    <cellStyle name="Обычный 11 3 5 2" xfId="3334"/>
    <cellStyle name="Обычный 11 3 6" xfId="3335"/>
    <cellStyle name="Обычный 11 4" xfId="2381"/>
    <cellStyle name="Обычный 11 4 2" xfId="3336"/>
    <cellStyle name="Обычный 11 5" xfId="3337"/>
    <cellStyle name="Обычный 11_46EE.2011(v1.2)" xfId="2382"/>
    <cellStyle name="Обычный 12" xfId="323"/>
    <cellStyle name="Обычный 12 2" xfId="2383"/>
    <cellStyle name="Обычный 12 3" xfId="2384"/>
    <cellStyle name="Обычный 12 3 2" xfId="3338"/>
    <cellStyle name="Обычный 12 4" xfId="2385"/>
    <cellStyle name="Обычный 12 5" xfId="3339"/>
    <cellStyle name="Обычный 13" xfId="324"/>
    <cellStyle name="Обычный 13 2" xfId="2386"/>
    <cellStyle name="Обычный 13 3" xfId="2387"/>
    <cellStyle name="Обычный 13 3 2" xfId="3340"/>
    <cellStyle name="Обычный 13 4" xfId="3341"/>
    <cellStyle name="Обычный 13 4 2" xfId="3342"/>
    <cellStyle name="Обычный 13 5" xfId="3343"/>
    <cellStyle name="Обычный 14" xfId="325"/>
    <cellStyle name="Обычный 14 2" xfId="2388"/>
    <cellStyle name="Обычный 14 3" xfId="2389"/>
    <cellStyle name="Обычный 14 4" xfId="3344"/>
    <cellStyle name="Обычный 15" xfId="326"/>
    <cellStyle name="Обычный 15 2" xfId="2390"/>
    <cellStyle name="Обычный 15 3" xfId="3345"/>
    <cellStyle name="Обычный 16" xfId="327"/>
    <cellStyle name="Обычный 16 2" xfId="3346"/>
    <cellStyle name="Обычный 17" xfId="328"/>
    <cellStyle name="Обычный 17 2" xfId="2391"/>
    <cellStyle name="Обычный 17 2 2" xfId="3347"/>
    <cellStyle name="Обычный 17 3" xfId="3348"/>
    <cellStyle name="Обычный 17 3 2" xfId="3349"/>
    <cellStyle name="Обычный 17 4" xfId="3350"/>
    <cellStyle name="Обычный 18" xfId="6"/>
    <cellStyle name="Обычный 18 2" xfId="2392"/>
    <cellStyle name="Обычный 19" xfId="421"/>
    <cellStyle name="Обычный 19 2" xfId="2393"/>
    <cellStyle name="Обычный 2" xfId="3"/>
    <cellStyle name="Обычный 2 10" xfId="329"/>
    <cellStyle name="Обычный 2 10 2" xfId="2394"/>
    <cellStyle name="Обычный 2 10 2 2" xfId="3351"/>
    <cellStyle name="Обычный 2 11" xfId="330"/>
    <cellStyle name="Обычный 2 11 2" xfId="2395"/>
    <cellStyle name="Обычный 2 11 3" xfId="3352"/>
    <cellStyle name="Обычный 2 12" xfId="331"/>
    <cellStyle name="Обычный 2 12 2" xfId="2396"/>
    <cellStyle name="Обычный 2 13" xfId="332"/>
    <cellStyle name="Обычный 2 13 2" xfId="3353"/>
    <cellStyle name="Обычный 2 13 2 2" xfId="3354"/>
    <cellStyle name="Обычный 2 13 3" xfId="3355"/>
    <cellStyle name="Обычный 2 14" xfId="422"/>
    <cellStyle name="Обычный 2 14 2" xfId="3356"/>
    <cellStyle name="Обычный 2 15" xfId="2779"/>
    <cellStyle name="Обычный 2 15 2" xfId="3357"/>
    <cellStyle name="Обычный 2 16" xfId="2782"/>
    <cellStyle name="Обычный 2 16 2" xfId="3358"/>
    <cellStyle name="Обычный 2 17" xfId="3359"/>
    <cellStyle name="Обычный 2 18" xfId="2784"/>
    <cellStyle name="Обычный 2 2" xfId="11"/>
    <cellStyle name="Обычный 2 2 10" xfId="3360"/>
    <cellStyle name="Обычный 2 2 10 2" xfId="3361"/>
    <cellStyle name="Обычный 2 2 11" xfId="3362"/>
    <cellStyle name="Обычный 2 2 12" xfId="3363"/>
    <cellStyle name="Обычный 2 2 13" xfId="3364"/>
    <cellStyle name="Обычный 2 2 2" xfId="333"/>
    <cellStyle name="Обычный 2 2 2 10" xfId="3365"/>
    <cellStyle name="Обычный 2 2 2 11" xfId="3366"/>
    <cellStyle name="Обычный 2 2 2 12" xfId="3367"/>
    <cellStyle name="Обычный 2 2 2 13" xfId="3368"/>
    <cellStyle name="Обычный 2 2 2 2" xfId="334"/>
    <cellStyle name="Обычный 2 2 2 2 2" xfId="2397"/>
    <cellStyle name="Обычный 2 2 2 2 2 2" xfId="3369"/>
    <cellStyle name="Обычный 2 2 2 2 3" xfId="3370"/>
    <cellStyle name="Обычный 2 2 2 2 3 2" xfId="3371"/>
    <cellStyle name="Обычный 2 2 2 2 3 3" xfId="3372"/>
    <cellStyle name="Обычный 2 2 2 2 4" xfId="3373"/>
    <cellStyle name="Обычный 2 2 2 2 4 2" xfId="3374"/>
    <cellStyle name="Обычный 2 2 2 2 5" xfId="3375"/>
    <cellStyle name="Обычный 2 2 2 2 5 2" xfId="3376"/>
    <cellStyle name="Обычный 2 2 2 2 6" xfId="3377"/>
    <cellStyle name="Обычный 2 2 2 2 6 2" xfId="3378"/>
    <cellStyle name="Обычный 2 2 2 2 7" xfId="3379"/>
    <cellStyle name="Обычный 2 2 2 2 7 2" xfId="3380"/>
    <cellStyle name="Обычный 2 2 2 3" xfId="2398"/>
    <cellStyle name="Обычный 2 2 2 3 2" xfId="3381"/>
    <cellStyle name="Обычный 2 2 2 3 3" xfId="3382"/>
    <cellStyle name="Обычный 2 2 2 4" xfId="2399"/>
    <cellStyle name="Обычный 2 2 2 4 2" xfId="3383"/>
    <cellStyle name="Обычный 2 2 2 4 3" xfId="3384"/>
    <cellStyle name="Обычный 2 2 2 5" xfId="2400"/>
    <cellStyle name="Обычный 2 2 2 5 2" xfId="3385"/>
    <cellStyle name="Обычный 2 2 2 5 3" xfId="3386"/>
    <cellStyle name="Обычный 2 2 2 6" xfId="2401"/>
    <cellStyle name="Обычный 2 2 2 6 2" xfId="3387"/>
    <cellStyle name="Обычный 2 2 2 7" xfId="3388"/>
    <cellStyle name="Обычный 2 2 2 8" xfId="3389"/>
    <cellStyle name="Обычный 2 2 2 9" xfId="3390"/>
    <cellStyle name="Обычный 2 2 3" xfId="335"/>
    <cellStyle name="Обычный 2 2 3 2" xfId="2402"/>
    <cellStyle name="Обычный 2 2 3 3" xfId="2403"/>
    <cellStyle name="Обычный 2 2 3 4" xfId="3391"/>
    <cellStyle name="Обычный 2 2 4" xfId="336"/>
    <cellStyle name="Обычный 2 2 4 2" xfId="2404"/>
    <cellStyle name="Обычный 2 2 5" xfId="337"/>
    <cellStyle name="Обычный 2 2 5 2" xfId="3392"/>
    <cellStyle name="Обычный 2 2 6" xfId="338"/>
    <cellStyle name="Обычный 2 2 6 2" xfId="3393"/>
    <cellStyle name="Обычный 2 2 7" xfId="2405"/>
    <cellStyle name="Обычный 2 2 7 2" xfId="3394"/>
    <cellStyle name="Обычный 2 2 8" xfId="3395"/>
    <cellStyle name="Обычный 2 2 8 2" xfId="3396"/>
    <cellStyle name="Обычный 2 2 9" xfId="3397"/>
    <cellStyle name="Обычный 2 2 9 2" xfId="3398"/>
    <cellStyle name="Обычный 2 2_46EE.2011(v1.0)" xfId="2406"/>
    <cellStyle name="Обычный 2 3" xfId="339"/>
    <cellStyle name="Обычный 2 3 2" xfId="340"/>
    <cellStyle name="Обычный 2 3 2 2" xfId="2407"/>
    <cellStyle name="Обычный 2 3 3" xfId="341"/>
    <cellStyle name="Обычный 2 3 3 2" xfId="2408"/>
    <cellStyle name="Обычный 2 3 4" xfId="2409"/>
    <cellStyle name="Обычный 2 3 4 2" xfId="3399"/>
    <cellStyle name="Обычный 2 3 5" xfId="3400"/>
    <cellStyle name="Обычный 2 3_46EE.2011(v1.0)" xfId="2410"/>
    <cellStyle name="Обычный 2 4" xfId="342"/>
    <cellStyle name="Обычный 2 4 2" xfId="343"/>
    <cellStyle name="Обычный 2 4 2 2" xfId="2411"/>
    <cellStyle name="Обычный 2 4 3" xfId="344"/>
    <cellStyle name="Обычный 2 4 3 2" xfId="2412"/>
    <cellStyle name="Обычный 2 4 4" xfId="2413"/>
    <cellStyle name="Обычный 2 4 4 2" xfId="3401"/>
    <cellStyle name="Обычный 2 4 5" xfId="3402"/>
    <cellStyle name="Обычный 2 4_46EE.2011(v1.0)" xfId="2414"/>
    <cellStyle name="Обычный 2 5" xfId="345"/>
    <cellStyle name="Обычный 2 5 2" xfId="346"/>
    <cellStyle name="Обычный 2 5 2 2" xfId="2415"/>
    <cellStyle name="Обычный 2 5 3" xfId="347"/>
    <cellStyle name="Обычный 2 5 3 2" xfId="2416"/>
    <cellStyle name="Обычный 2 5 4" xfId="2417"/>
    <cellStyle name="Обычный 2 5 5" xfId="3403"/>
    <cellStyle name="Обычный 2 5_46EE.2011(v1.0)" xfId="2418"/>
    <cellStyle name="Обычный 2 6" xfId="348"/>
    <cellStyle name="Обычный 2 6 2" xfId="2419"/>
    <cellStyle name="Обычный 2 6 3" xfId="2420"/>
    <cellStyle name="Обычный 2 6 4" xfId="2421"/>
    <cellStyle name="Обычный 2 6 5" xfId="3404"/>
    <cellStyle name="Обычный 2 6_46EE.2011(v1.0)" xfId="2422"/>
    <cellStyle name="Обычный 2 7" xfId="349"/>
    <cellStyle name="Обычный 2 7 2" xfId="2423"/>
    <cellStyle name="Обычный 2 7 2 2" xfId="3405"/>
    <cellStyle name="Обычный 2 8" xfId="350"/>
    <cellStyle name="Обычный 2 8 2" xfId="2424"/>
    <cellStyle name="Обычный 2 8 2 2" xfId="3406"/>
    <cellStyle name="Обычный 2 8 3" xfId="2425"/>
    <cellStyle name="Обычный 2 8 4" xfId="2426"/>
    <cellStyle name="Обычный 2 8 4 2" xfId="3407"/>
    <cellStyle name="Обычный 2 9" xfId="351"/>
    <cellStyle name="Обычный 2 9 2" xfId="2427"/>
    <cellStyle name="Обычный 2 9 2 2" xfId="3408"/>
    <cellStyle name="Обычный 2 9 3" xfId="3409"/>
    <cellStyle name="Обычный 2_!калькуляция_Компонент 2012 (+вест)" xfId="2428"/>
    <cellStyle name="Обычный 20" xfId="2429"/>
    <cellStyle name="Обычный 20 2" xfId="3410"/>
    <cellStyle name="Обычный 20 2 2" xfId="3411"/>
    <cellStyle name="Обычный 20 3" xfId="3412"/>
    <cellStyle name="Обычный 21" xfId="2430"/>
    <cellStyle name="Обычный 21 2" xfId="2431"/>
    <cellStyle name="Обычный 21 2 2" xfId="3413"/>
    <cellStyle name="Обычный 21 3" xfId="3414"/>
    <cellStyle name="Обычный 21 3 2" xfId="3415"/>
    <cellStyle name="Обычный 22" xfId="2432"/>
    <cellStyle name="Обычный 22 2" xfId="3416"/>
    <cellStyle name="Обычный 22 2 2" xfId="3417"/>
    <cellStyle name="Обычный 22 3" xfId="3418"/>
    <cellStyle name="Обычный 23" xfId="2433"/>
    <cellStyle name="Обычный 23 2" xfId="3419"/>
    <cellStyle name="Обычный 24" xfId="2434"/>
    <cellStyle name="Обычный 25" xfId="2760"/>
    <cellStyle name="Обычный 25 2" xfId="3420"/>
    <cellStyle name="Обычный 25 3" xfId="3421"/>
    <cellStyle name="Обычный 26" xfId="2777"/>
    <cellStyle name="Обычный 26 2" xfId="3422"/>
    <cellStyle name="Обычный 26 2 2" xfId="3423"/>
    <cellStyle name="Обычный 26 2 2 2" xfId="3424"/>
    <cellStyle name="Обычный 27" xfId="2778"/>
    <cellStyle name="Обычный 27 2" xfId="3425"/>
    <cellStyle name="Обычный 28" xfId="2780"/>
    <cellStyle name="Обычный 29" xfId="2781"/>
    <cellStyle name="Обычный 29 2" xfId="3426"/>
    <cellStyle name="Обычный 3" xfId="13"/>
    <cellStyle name="Обычный 3 10" xfId="2435"/>
    <cellStyle name="Обычный 3 10 2" xfId="2785"/>
    <cellStyle name="Обычный 3 11" xfId="2436"/>
    <cellStyle name="Обычный 3 12" xfId="3427"/>
    <cellStyle name="Обычный 3 2" xfId="352"/>
    <cellStyle name="Обычный 3 2 2" xfId="353"/>
    <cellStyle name="Обычный 3 2 3" xfId="354"/>
    <cellStyle name="Обычный 3 2 4" xfId="2437"/>
    <cellStyle name="Обычный 3 2 4 2" xfId="3428"/>
    <cellStyle name="Обычный 3 2 5" xfId="3429"/>
    <cellStyle name="Обычный 3 2 6" xfId="3430"/>
    <cellStyle name="Обычный 3 3" xfId="355"/>
    <cellStyle name="Обычный 3 3 2" xfId="2438"/>
    <cellStyle name="Обычный 3 3 2 2" xfId="2439"/>
    <cellStyle name="Обычный 3 3 2 2 2" xfId="3431"/>
    <cellStyle name="Обычный 3 3 2 2 2 2" xfId="3432"/>
    <cellStyle name="Обычный 3 3 2 2 2 2 2" xfId="3433"/>
    <cellStyle name="Обычный 3 3 2 2 2 3" xfId="3434"/>
    <cellStyle name="Обычный 3 3 2 2 3" xfId="3435"/>
    <cellStyle name="Обычный 3 3 2 2 3 2" xfId="3436"/>
    <cellStyle name="Обычный 3 3 2 2 4" xfId="3533"/>
    <cellStyle name="Обычный 3 3 2 3" xfId="2440"/>
    <cellStyle name="Обычный 3 3 2 4" xfId="2441"/>
    <cellStyle name="Обычный 3 3 2 5" xfId="3437"/>
    <cellStyle name="Обычный 3 3 3" xfId="3438"/>
    <cellStyle name="Обычный 3 3 3 2" xfId="3439"/>
    <cellStyle name="Обычный 3 4" xfId="356"/>
    <cellStyle name="Обычный 3 4 2" xfId="2442"/>
    <cellStyle name="Обычный 3 5" xfId="357"/>
    <cellStyle name="Обычный 3 5 2" xfId="2443"/>
    <cellStyle name="Обычный 3 6" xfId="358"/>
    <cellStyle name="Обычный 3 6 2" xfId="2444"/>
    <cellStyle name="Обычный 3 7" xfId="359"/>
    <cellStyle name="Обычный 3 7 2" xfId="2445"/>
    <cellStyle name="Обычный 3 8" xfId="360"/>
    <cellStyle name="Обычный 3 8 2" xfId="2446"/>
    <cellStyle name="Обычный 3 9" xfId="361"/>
    <cellStyle name="Обычный 3 9 2" xfId="2447"/>
    <cellStyle name="Обычный 3 9 2 2" xfId="3440"/>
    <cellStyle name="Обычный 3 9 2 2 2" xfId="3441"/>
    <cellStyle name="Обычный 3 9 2 2 2 2" xfId="3442"/>
    <cellStyle name="Обычный 3 9 2 2 2 2 2 2" xfId="3537"/>
    <cellStyle name="Обычный 3 9 2 2 2 3" xfId="3532"/>
    <cellStyle name="Обычный 3 9 2 3" xfId="3443"/>
    <cellStyle name="Обычный 3_TABL_ЦКТИ_2011вода1,19" xfId="362"/>
    <cellStyle name="Обычный 30" xfId="2783"/>
    <cellStyle name="Обычный 31" xfId="2787"/>
    <cellStyle name="Обычный 4" xfId="16"/>
    <cellStyle name="Обычный 4 10" xfId="3538"/>
    <cellStyle name="Обычный 4 11" xfId="3539"/>
    <cellStyle name="Обычный 4 2" xfId="363"/>
    <cellStyle name="Обычный 4 2 2" xfId="2448"/>
    <cellStyle name="Обычный 4 2 2 2" xfId="3444"/>
    <cellStyle name="Обычный 4 2 2 2 2" xfId="3445"/>
    <cellStyle name="Обычный 4 2 3" xfId="2449"/>
    <cellStyle name="Обычный 4 2 4" xfId="2450"/>
    <cellStyle name="Обычный 4 2 5" xfId="2451"/>
    <cellStyle name="Обычный 4 2 6" xfId="3446"/>
    <cellStyle name="Обычный 4 2 6 2" xfId="3447"/>
    <cellStyle name="Обычный 4 2 6 3" xfId="3535"/>
    <cellStyle name="Обычный 4 2_46EP.2012(v0.1)" xfId="2452"/>
    <cellStyle name="Обычный 4 3" xfId="364"/>
    <cellStyle name="Обычный 4 3 2" xfId="2453"/>
    <cellStyle name="Обычный 4 3 2 2" xfId="3448"/>
    <cellStyle name="Обычный 4 3 2 2 2" xfId="3449"/>
    <cellStyle name="Обычный 4 3 2 3" xfId="3536"/>
    <cellStyle name="Обычный 4 3 3" xfId="3450"/>
    <cellStyle name="Обычный 4 3 3 2" xfId="3451"/>
    <cellStyle name="Обычный 4 3 4" xfId="3452"/>
    <cellStyle name="Обычный 4 4" xfId="423"/>
    <cellStyle name="Обычный 4 4 2" xfId="3453"/>
    <cellStyle name="Обычный 4 4 3" xfId="3454"/>
    <cellStyle name="Обычный 4 5" xfId="2454"/>
    <cellStyle name="Обычный 4 5 2" xfId="3455"/>
    <cellStyle name="Обычный 4 5 2 2" xfId="3456"/>
    <cellStyle name="Обычный 4 5 2 2 2" xfId="3457"/>
    <cellStyle name="Обычный 4 6" xfId="3458"/>
    <cellStyle name="Обычный 4 7" xfId="3459"/>
    <cellStyle name="Обычный 4 7 2" xfId="3460"/>
    <cellStyle name="Обычный 4 8" xfId="3461"/>
    <cellStyle name="Обычный 4 9" xfId="3462"/>
    <cellStyle name="Обычный 4_ARMRAZR" xfId="2455"/>
    <cellStyle name="Обычный 5" xfId="365"/>
    <cellStyle name="Обычный 5 2" xfId="366"/>
    <cellStyle name="Обычный 5 2 2" xfId="367"/>
    <cellStyle name="Обычный 5 2 2 2" xfId="3463"/>
    <cellStyle name="Обычный 5 2 3" xfId="2456"/>
    <cellStyle name="Обычный 5 3" xfId="368"/>
    <cellStyle name="Обычный 5 4" xfId="369"/>
    <cellStyle name="Обычный 5 5" xfId="2457"/>
    <cellStyle name="Обычный 5 5 2" xfId="3464"/>
    <cellStyle name="Обычный 5 6" xfId="3465"/>
    <cellStyle name="Обычный 6" xfId="370"/>
    <cellStyle name="Обычный 6 2" xfId="371"/>
    <cellStyle name="Обычный 6 2 2" xfId="2458"/>
    <cellStyle name="Обычный 6 3" xfId="2459"/>
    <cellStyle name="Обычный 7" xfId="372"/>
    <cellStyle name="Обычный 7 2" xfId="373"/>
    <cellStyle name="Обычный 7 2 2" xfId="2460"/>
    <cellStyle name="Обычный 7 2 3" xfId="3466"/>
    <cellStyle name="Обычный 7 3" xfId="2461"/>
    <cellStyle name="Обычный 8" xfId="374"/>
    <cellStyle name="Обычный 8 2" xfId="2462"/>
    <cellStyle name="Обычный 8 3" xfId="2463"/>
    <cellStyle name="Обычный 9" xfId="375"/>
    <cellStyle name="Обычный 9 2" xfId="376"/>
    <cellStyle name="Обычный 9 2 2" xfId="2464"/>
    <cellStyle name="Обычный 9 3" xfId="2465"/>
    <cellStyle name="Обычный_Расчет 2009_под объёмы 2008_с текущим ремонтом" xfId="17"/>
    <cellStyle name="Обычный_РЭК_табл" xfId="2"/>
    <cellStyle name="Обычный1" xfId="2466"/>
    <cellStyle name="Ошибка" xfId="377"/>
    <cellStyle name="Ошибка 2" xfId="3467"/>
    <cellStyle name="Плохой 10" xfId="2467"/>
    <cellStyle name="Плохой 2" xfId="2468"/>
    <cellStyle name="Плохой 2 2" xfId="2469"/>
    <cellStyle name="Плохой 3" xfId="2470"/>
    <cellStyle name="Плохой 3 2" xfId="2471"/>
    <cellStyle name="Плохой 4" xfId="2472"/>
    <cellStyle name="Плохой 4 2" xfId="2473"/>
    <cellStyle name="Плохой 5" xfId="2474"/>
    <cellStyle name="Плохой 5 2" xfId="2475"/>
    <cellStyle name="Плохой 6" xfId="2476"/>
    <cellStyle name="Плохой 6 2" xfId="2477"/>
    <cellStyle name="Плохой 7" xfId="2478"/>
    <cellStyle name="Плохой 7 2" xfId="2479"/>
    <cellStyle name="Плохой 8" xfId="2480"/>
    <cellStyle name="Плохой 8 2" xfId="2481"/>
    <cellStyle name="Плохой 9" xfId="2482"/>
    <cellStyle name="Плохой 9 2" xfId="2483"/>
    <cellStyle name="По центру с переносом" xfId="2484"/>
    <cellStyle name="По центру с переносом 2" xfId="2485"/>
    <cellStyle name="По центру с переносом 3" xfId="2486"/>
    <cellStyle name="По центру с переносом 4" xfId="2487"/>
    <cellStyle name="По ширине с переносом" xfId="2488"/>
    <cellStyle name="По ширине с переносом 2" xfId="2489"/>
    <cellStyle name="По ширине с переносом 3" xfId="2490"/>
    <cellStyle name="По ширине с переносом 4" xfId="2491"/>
    <cellStyle name="Подгруппа" xfId="378"/>
    <cellStyle name="Подгруппа 2" xfId="3468"/>
    <cellStyle name="Поле ввода" xfId="379"/>
    <cellStyle name="Пояснение 10" xfId="2492"/>
    <cellStyle name="Пояснение 2" xfId="2493"/>
    <cellStyle name="Пояснение 2 2" xfId="2494"/>
    <cellStyle name="Пояснение 3" xfId="2495"/>
    <cellStyle name="Пояснение 3 2" xfId="2496"/>
    <cellStyle name="Пояснение 4" xfId="2497"/>
    <cellStyle name="Пояснение 4 2" xfId="2498"/>
    <cellStyle name="Пояснение 5" xfId="2499"/>
    <cellStyle name="Пояснение 5 2" xfId="2500"/>
    <cellStyle name="Пояснение 6" xfId="2501"/>
    <cellStyle name="Пояснение 6 2" xfId="2502"/>
    <cellStyle name="Пояснение 7" xfId="2503"/>
    <cellStyle name="Пояснение 7 2" xfId="2504"/>
    <cellStyle name="Пояснение 8" xfId="2505"/>
    <cellStyle name="Пояснение 8 2" xfId="2506"/>
    <cellStyle name="Пояснение 9" xfId="2507"/>
    <cellStyle name="Пояснение 9 2" xfId="2508"/>
    <cellStyle name="Примечание 10" xfId="2509"/>
    <cellStyle name="Примечание 10 2" xfId="2510"/>
    <cellStyle name="Примечание 10 3" xfId="2511"/>
    <cellStyle name="Примечание 10 4" xfId="2512"/>
    <cellStyle name="Примечание 10_46EE.2011(v1.0)" xfId="2513"/>
    <cellStyle name="Примечание 11" xfId="2514"/>
    <cellStyle name="Примечание 11 2" xfId="2515"/>
    <cellStyle name="Примечание 11 3" xfId="2516"/>
    <cellStyle name="Примечание 11 4" xfId="2517"/>
    <cellStyle name="Примечание 11_46EE.2011(v1.0)" xfId="2518"/>
    <cellStyle name="Примечание 12" xfId="2519"/>
    <cellStyle name="Примечание 12 2" xfId="2520"/>
    <cellStyle name="Примечание 12 3" xfId="2521"/>
    <cellStyle name="Примечание 12 4" xfId="2522"/>
    <cellStyle name="Примечание 12_46EE.2011(v1.0)" xfId="2523"/>
    <cellStyle name="Примечание 13" xfId="2524"/>
    <cellStyle name="Примечание 14" xfId="2525"/>
    <cellStyle name="Примечание 15" xfId="2526"/>
    <cellStyle name="Примечание 16" xfId="2527"/>
    <cellStyle name="Примечание 17" xfId="2528"/>
    <cellStyle name="Примечание 18" xfId="2529"/>
    <cellStyle name="Примечание 19" xfId="2530"/>
    <cellStyle name="Примечание 2" xfId="2531"/>
    <cellStyle name="Примечание 2 2" xfId="2532"/>
    <cellStyle name="Примечание 2 3" xfId="2533"/>
    <cellStyle name="Примечание 2 4" xfId="2534"/>
    <cellStyle name="Примечание 2 5" xfId="2535"/>
    <cellStyle name="Примечание 2 6" xfId="2536"/>
    <cellStyle name="Примечание 2 7" xfId="2537"/>
    <cellStyle name="Примечание 2 8" xfId="2538"/>
    <cellStyle name="Примечание 2 9" xfId="2539"/>
    <cellStyle name="Примечание 2_46EE.2011(v1.0)" xfId="2540"/>
    <cellStyle name="Примечание 20" xfId="2541"/>
    <cellStyle name="Примечание 21" xfId="2542"/>
    <cellStyle name="Примечание 22" xfId="2543"/>
    <cellStyle name="Примечание 23" xfId="2544"/>
    <cellStyle name="Примечание 24" xfId="2545"/>
    <cellStyle name="Примечание 25" xfId="2546"/>
    <cellStyle name="Примечание 26" xfId="2547"/>
    <cellStyle name="Примечание 27" xfId="2548"/>
    <cellStyle name="Примечание 28" xfId="2549"/>
    <cellStyle name="Примечание 29" xfId="2550"/>
    <cellStyle name="Примечание 3" xfId="2551"/>
    <cellStyle name="Примечание 3 2" xfId="2552"/>
    <cellStyle name="Примечание 3 3" xfId="2553"/>
    <cellStyle name="Примечание 3 4" xfId="2554"/>
    <cellStyle name="Примечание 3 5" xfId="2555"/>
    <cellStyle name="Примечание 3 6" xfId="2556"/>
    <cellStyle name="Примечание 3 7" xfId="2557"/>
    <cellStyle name="Примечание 3 8" xfId="2558"/>
    <cellStyle name="Примечание 3 9" xfId="2559"/>
    <cellStyle name="Примечание 3_46EE.2011(v1.0)" xfId="2560"/>
    <cellStyle name="Примечание 30" xfId="2561"/>
    <cellStyle name="Примечание 31" xfId="2562"/>
    <cellStyle name="Примечание 32" xfId="2563"/>
    <cellStyle name="Примечание 33" xfId="2564"/>
    <cellStyle name="Примечание 34" xfId="2565"/>
    <cellStyle name="Примечание 35" xfId="2566"/>
    <cellStyle name="Примечание 36" xfId="2567"/>
    <cellStyle name="Примечание 37" xfId="2568"/>
    <cellStyle name="Примечание 4" xfId="2569"/>
    <cellStyle name="Примечание 4 2" xfId="2570"/>
    <cellStyle name="Примечание 4 3" xfId="2571"/>
    <cellStyle name="Примечание 4 4" xfId="2572"/>
    <cellStyle name="Примечание 4 5" xfId="2573"/>
    <cellStyle name="Примечание 4 6" xfId="2574"/>
    <cellStyle name="Примечание 4 7" xfId="2575"/>
    <cellStyle name="Примечание 4 8" xfId="2576"/>
    <cellStyle name="Примечание 4 9" xfId="2577"/>
    <cellStyle name="Примечание 4_46EE.2011(v1.0)" xfId="2578"/>
    <cellStyle name="Примечание 5" xfId="2579"/>
    <cellStyle name="Примечание 5 2" xfId="2580"/>
    <cellStyle name="Примечание 5 3" xfId="2581"/>
    <cellStyle name="Примечание 5 4" xfId="2582"/>
    <cellStyle name="Примечание 5 5" xfId="2583"/>
    <cellStyle name="Примечание 5 6" xfId="2584"/>
    <cellStyle name="Примечание 5 7" xfId="2585"/>
    <cellStyle name="Примечание 5 8" xfId="2586"/>
    <cellStyle name="Примечание 5 9" xfId="2587"/>
    <cellStyle name="Примечание 5_46EE.2011(v1.0)" xfId="2588"/>
    <cellStyle name="Примечание 6" xfId="2589"/>
    <cellStyle name="Примечание 6 2" xfId="2590"/>
    <cellStyle name="Примечание 6_46EE.2011(v1.0)" xfId="2591"/>
    <cellStyle name="Примечание 7" xfId="2592"/>
    <cellStyle name="Примечание 7 2" xfId="2593"/>
    <cellStyle name="Примечание 7_46EE.2011(v1.0)" xfId="2594"/>
    <cellStyle name="Примечание 8" xfId="2595"/>
    <cellStyle name="Примечание 8 2" xfId="2596"/>
    <cellStyle name="Примечание 8_46EE.2011(v1.0)" xfId="2597"/>
    <cellStyle name="Примечание 9" xfId="2598"/>
    <cellStyle name="Примечание 9 2" xfId="2599"/>
    <cellStyle name="Примечание 9_46EE.2011(v1.0)" xfId="2600"/>
    <cellStyle name="Продукт" xfId="380"/>
    <cellStyle name="Процент_ГСМ (з)" xfId="3469"/>
    <cellStyle name="Процентный" xfId="1" builtinId="5"/>
    <cellStyle name="Процентный 10" xfId="2601"/>
    <cellStyle name="Процентный 11" xfId="3470"/>
    <cellStyle name="Процентный 11 2" xfId="3471"/>
    <cellStyle name="Процентный 11 2 2" xfId="3472"/>
    <cellStyle name="Процентный 12" xfId="3473"/>
    <cellStyle name="Процентный 12 2" xfId="3474"/>
    <cellStyle name="Процентный 2" xfId="4"/>
    <cellStyle name="Процентный 2 2" xfId="7"/>
    <cellStyle name="Процентный 2 2 2" xfId="381"/>
    <cellStyle name="Процентный 2 2 2 2" xfId="2602"/>
    <cellStyle name="Процентный 2 2 3" xfId="2603"/>
    <cellStyle name="Процентный 2 2 4" xfId="2604"/>
    <cellStyle name="Процентный 2 3" xfId="382"/>
    <cellStyle name="Процентный 2 3 2" xfId="2605"/>
    <cellStyle name="Процентный 2 3 3" xfId="2606"/>
    <cellStyle name="Процентный 2 3 4" xfId="2607"/>
    <cellStyle name="Процентный 2 4" xfId="383"/>
    <cellStyle name="Процентный 2 5" xfId="384"/>
    <cellStyle name="Процентный 2 5 2" xfId="3475"/>
    <cellStyle name="Процентный 2 6" xfId="2608"/>
    <cellStyle name="Процентный 2 7" xfId="3476"/>
    <cellStyle name="Процентный 3" xfId="18"/>
    <cellStyle name="Процентный 3 2" xfId="2609"/>
    <cellStyle name="Процентный 3 3" xfId="2610"/>
    <cellStyle name="Процентный 3 4" xfId="2611"/>
    <cellStyle name="Процентный 3 5" xfId="3477"/>
    <cellStyle name="Процентный 3 5 2" xfId="3478"/>
    <cellStyle name="Процентный 3 5 3" xfId="3479"/>
    <cellStyle name="Процентный 4" xfId="14"/>
    <cellStyle name="Процентный 4 2" xfId="2612"/>
    <cellStyle name="Процентный 4 3" xfId="2613"/>
    <cellStyle name="Процентный 4 4" xfId="2614"/>
    <cellStyle name="Процентный 4 5" xfId="2615"/>
    <cellStyle name="Процентный 5" xfId="385"/>
    <cellStyle name="Процентный 5 2" xfId="386"/>
    <cellStyle name="Процентный 5 3" xfId="2616"/>
    <cellStyle name="Процентный 5 4" xfId="3480"/>
    <cellStyle name="Процентный 6" xfId="387"/>
    <cellStyle name="Процентный 6 2" xfId="3481"/>
    <cellStyle name="Процентный 7" xfId="388"/>
    <cellStyle name="Процентный 7 2" xfId="3482"/>
    <cellStyle name="Процентный 8" xfId="2617"/>
    <cellStyle name="Процентный 8 2" xfId="3483"/>
    <cellStyle name="Процентный 9" xfId="2618"/>
    <cellStyle name="Пункт раздела" xfId="389"/>
    <cellStyle name="Разница" xfId="390"/>
    <cellStyle name="Разница 2" xfId="3484"/>
    <cellStyle name="Рамки" xfId="391"/>
    <cellStyle name="Рамки 2" xfId="2619"/>
    <cellStyle name="Рамки 2 2" xfId="3485"/>
    <cellStyle name="Рамки 3" xfId="3486"/>
    <cellStyle name="Расчетный" xfId="3487"/>
    <cellStyle name="Сводная таблица" xfId="392"/>
    <cellStyle name="Связанная ячейка 10" xfId="2620"/>
    <cellStyle name="Связанная ячейка 2" xfId="2621"/>
    <cellStyle name="Связанная ячейка 2 2" xfId="2622"/>
    <cellStyle name="Связанная ячейка 2_46EE.2011(v1.0)" xfId="2623"/>
    <cellStyle name="Связанная ячейка 3" xfId="2624"/>
    <cellStyle name="Связанная ячейка 3 2" xfId="2625"/>
    <cellStyle name="Связанная ячейка 3_46EE.2011(v1.0)" xfId="2626"/>
    <cellStyle name="Связанная ячейка 4" xfId="2627"/>
    <cellStyle name="Связанная ячейка 4 2" xfId="2628"/>
    <cellStyle name="Связанная ячейка 4_46EE.2011(v1.0)" xfId="2629"/>
    <cellStyle name="Связанная ячейка 5" xfId="2630"/>
    <cellStyle name="Связанная ячейка 5 2" xfId="2631"/>
    <cellStyle name="Связанная ячейка 5_46EE.2011(v1.0)" xfId="2632"/>
    <cellStyle name="Связанная ячейка 6" xfId="2633"/>
    <cellStyle name="Связанная ячейка 6 2" xfId="2634"/>
    <cellStyle name="Связанная ячейка 6_46EE.2011(v1.0)" xfId="2635"/>
    <cellStyle name="Связанная ячейка 7" xfId="2636"/>
    <cellStyle name="Связанная ячейка 7 2" xfId="2637"/>
    <cellStyle name="Связанная ячейка 7_46EE.2011(v1.0)" xfId="2638"/>
    <cellStyle name="Связанная ячейка 8" xfId="2639"/>
    <cellStyle name="Связанная ячейка 8 2" xfId="2640"/>
    <cellStyle name="Связанная ячейка 8_46EE.2011(v1.0)" xfId="2641"/>
    <cellStyle name="Связанная ячейка 9" xfId="2642"/>
    <cellStyle name="Связанная ячейка 9 2" xfId="2643"/>
    <cellStyle name="Связанная ячейка 9_46EE.2011(v1.0)" xfId="2644"/>
    <cellStyle name="Стиль 1" xfId="393"/>
    <cellStyle name="Стиль 1 2" xfId="394"/>
    <cellStyle name="Стиль 1 2 2" xfId="2645"/>
    <cellStyle name="Стиль 1 2 2 2" xfId="2646"/>
    <cellStyle name="Стиль 1 2 2 2 2" xfId="2647"/>
    <cellStyle name="Стиль 1 2 2 3" xfId="2648"/>
    <cellStyle name="Стиль 1 2 3" xfId="2649"/>
    <cellStyle name="Стиль 1 2_46EP.2011(v2.0)" xfId="2650"/>
    <cellStyle name="Стиль 1 3" xfId="395"/>
    <cellStyle name="Стиль 1 3 2" xfId="2651"/>
    <cellStyle name="Стиль 1 3 3" xfId="3488"/>
    <cellStyle name="Стиль 1 4" xfId="2652"/>
    <cellStyle name="Стиль 1_БП АП 2010" xfId="396"/>
    <cellStyle name="Стиль 2" xfId="397"/>
    <cellStyle name="Стиль 2 2" xfId="2653"/>
    <cellStyle name="Стиль 2 3" xfId="3489"/>
    <cellStyle name="Стиль 3" xfId="3490"/>
    <cellStyle name="Стиль 3 2" xfId="3491"/>
    <cellStyle name="Стиль 4" xfId="3492"/>
    <cellStyle name="Стиль 4 2" xfId="3493"/>
    <cellStyle name="Стиль 5" xfId="3494"/>
    <cellStyle name="Стиль 5 2" xfId="3495"/>
    <cellStyle name="Субсчет" xfId="398"/>
    <cellStyle name="Счет" xfId="399"/>
    <cellStyle name="ТЕКСТ" xfId="400"/>
    <cellStyle name="ТЕКСТ 10" xfId="2654"/>
    <cellStyle name="ТЕКСТ 2" xfId="2655"/>
    <cellStyle name="ТЕКСТ 3" xfId="2656"/>
    <cellStyle name="ТЕКСТ 4" xfId="2657"/>
    <cellStyle name="ТЕКСТ 5" xfId="2658"/>
    <cellStyle name="ТЕКСТ 6" xfId="2659"/>
    <cellStyle name="ТЕКСТ 7" xfId="2660"/>
    <cellStyle name="ТЕКСТ 8" xfId="2661"/>
    <cellStyle name="ТЕКСТ 9" xfId="2662"/>
    <cellStyle name="Текст предупреждения 10" xfId="2663"/>
    <cellStyle name="Текст предупреждения 2" xfId="2664"/>
    <cellStyle name="Текст предупреждения 2 2" xfId="2665"/>
    <cellStyle name="Текст предупреждения 3" xfId="2666"/>
    <cellStyle name="Текст предупреждения 3 2" xfId="2667"/>
    <cellStyle name="Текст предупреждения 4" xfId="2668"/>
    <cellStyle name="Текст предупреждения 4 2" xfId="2669"/>
    <cellStyle name="Текст предупреждения 5" xfId="2670"/>
    <cellStyle name="Текст предупреждения 5 2" xfId="2671"/>
    <cellStyle name="Текст предупреждения 6" xfId="2672"/>
    <cellStyle name="Текст предупреждения 6 2" xfId="2673"/>
    <cellStyle name="Текст предупреждения 7" xfId="2674"/>
    <cellStyle name="Текст предупреждения 7 2" xfId="2675"/>
    <cellStyle name="Текст предупреждения 8" xfId="2676"/>
    <cellStyle name="Текст предупреждения 8 2" xfId="2677"/>
    <cellStyle name="Текст предупреждения 9" xfId="2678"/>
    <cellStyle name="Текст предупреждения 9 2" xfId="2679"/>
    <cellStyle name="Текстовый" xfId="401"/>
    <cellStyle name="Текстовый 10" xfId="2680"/>
    <cellStyle name="Текстовый 11" xfId="2681"/>
    <cellStyle name="Текстовый 12" xfId="2682"/>
    <cellStyle name="Текстовый 13" xfId="2683"/>
    <cellStyle name="Текстовый 14" xfId="2684"/>
    <cellStyle name="Текстовый 15" xfId="2685"/>
    <cellStyle name="Текстовый 16" xfId="2686"/>
    <cellStyle name="Текстовый 2" xfId="402"/>
    <cellStyle name="Текстовый 3" xfId="2687"/>
    <cellStyle name="Текстовый 4" xfId="2688"/>
    <cellStyle name="Текстовый 5" xfId="2689"/>
    <cellStyle name="Текстовый 6" xfId="2690"/>
    <cellStyle name="Текстовый 7" xfId="2691"/>
    <cellStyle name="Текстовый 8" xfId="2692"/>
    <cellStyle name="Текстовый 9" xfId="2693"/>
    <cellStyle name="Текстовый_1" xfId="2694"/>
    <cellStyle name="Тысячи [0]_2 пг2001г пр-в ДОК" xfId="3496"/>
    <cellStyle name="Тысячи_14APnakl" xfId="403"/>
    <cellStyle name="ФИКСИРОВАННЫЙ" xfId="2695"/>
    <cellStyle name="ФИКСИРОВАННЫЙ 2" xfId="2696"/>
    <cellStyle name="ФИКСИРОВАННЫЙ 3" xfId="2697"/>
    <cellStyle name="ФИКСИРОВАННЫЙ 4" xfId="2698"/>
    <cellStyle name="ФИКСИРОВАННЫЙ 5" xfId="2699"/>
    <cellStyle name="ФИКСИРОВАННЫЙ 6" xfId="2700"/>
    <cellStyle name="ФИКСИРОВАННЫЙ 7" xfId="2701"/>
    <cellStyle name="ФИКСИРОВАННЫЙ 8" xfId="2702"/>
    <cellStyle name="ФИКСИРОВАННЫЙ 9" xfId="2703"/>
    <cellStyle name="ФИКСИРОВАННЫЙ_1" xfId="2704"/>
    <cellStyle name="Финансовый" xfId="5" builtinId="3"/>
    <cellStyle name="Финансовый [0] 2" xfId="3497"/>
    <cellStyle name="Финансовый [0] 2 2" xfId="3498"/>
    <cellStyle name="Финансовый [0] 2 3" xfId="3499"/>
    <cellStyle name="Финансовый [0] 3" xfId="3500"/>
    <cellStyle name="Финансовый 10" xfId="3501"/>
    <cellStyle name="Финансовый 10 2" xfId="3502"/>
    <cellStyle name="Финансовый 11" xfId="3503"/>
    <cellStyle name="Финансовый 11 2" xfId="3504"/>
    <cellStyle name="Финансовый 12" xfId="3531"/>
    <cellStyle name="Финансовый 2" xfId="19"/>
    <cellStyle name="Финансовый 2 2" xfId="404"/>
    <cellStyle name="Финансовый 2 2 2" xfId="2705"/>
    <cellStyle name="Финансовый 2 2 3" xfId="2706"/>
    <cellStyle name="Финансовый 2 2 4" xfId="2707"/>
    <cellStyle name="Финансовый 2 2_INDEX.STATION.2012(v1.0)_" xfId="2708"/>
    <cellStyle name="Финансовый 2 3" xfId="8"/>
    <cellStyle name="Финансовый 2 4" xfId="2709"/>
    <cellStyle name="Финансовый 2 5" xfId="2710"/>
    <cellStyle name="Финансовый 2 5 2" xfId="3505"/>
    <cellStyle name="Финансовый 2 6" xfId="2711"/>
    <cellStyle name="Финансовый 2 7" xfId="3506"/>
    <cellStyle name="Финансовый 2 8" xfId="3507"/>
    <cellStyle name="Финансовый 2_46EE.2011(v1.0)" xfId="2712"/>
    <cellStyle name="Финансовый 3" xfId="15"/>
    <cellStyle name="Финансовый 3 2" xfId="2713"/>
    <cellStyle name="Финансовый 3 2 2" xfId="2714"/>
    <cellStyle name="Финансовый 3 2_UPDATE.MONITORING.OS.EE.2.02.TO.1.3.64" xfId="2715"/>
    <cellStyle name="Финансовый 3 3" xfId="2716"/>
    <cellStyle name="Финансовый 3 4" xfId="2717"/>
    <cellStyle name="Финансовый 3 5" xfId="2718"/>
    <cellStyle name="Финансовый 3 6" xfId="2719"/>
    <cellStyle name="Финансовый 3 8" xfId="3508"/>
    <cellStyle name="Финансовый 3_ARMRAZR" xfId="2720"/>
    <cellStyle name="Финансовый 4" xfId="405"/>
    <cellStyle name="Финансовый 4 2" xfId="406"/>
    <cellStyle name="Финансовый 4 2 2" xfId="2721"/>
    <cellStyle name="Финансовый 4 3" xfId="2722"/>
    <cellStyle name="Финансовый 4 3 2" xfId="3509"/>
    <cellStyle name="Финансовый 4 4" xfId="3510"/>
    <cellStyle name="Финансовый 4_TEHSHEET" xfId="2723"/>
    <cellStyle name="Финансовый 5" xfId="407"/>
    <cellStyle name="Финансовый 5 2" xfId="2724"/>
    <cellStyle name="Финансовый 5 3" xfId="3511"/>
    <cellStyle name="Финансовый 6" xfId="2725"/>
    <cellStyle name="Финансовый 6 2" xfId="2726"/>
    <cellStyle name="Финансовый 6 3" xfId="3512"/>
    <cellStyle name="Финансовый 7" xfId="2727"/>
    <cellStyle name="Финансовый 7 2" xfId="3513"/>
    <cellStyle name="Финансовый 7 2 2" xfId="3514"/>
    <cellStyle name="Финансовый 8" xfId="2761"/>
    <cellStyle name="Финансовый 8 2" xfId="3515"/>
    <cellStyle name="Финансовый 9" xfId="3516"/>
    <cellStyle name="Финансовый 9 2" xfId="3517"/>
    <cellStyle name="Финансовый0[0]_FU_bal" xfId="408"/>
    <cellStyle name="Формула" xfId="409"/>
    <cellStyle name="Формула 2" xfId="2728"/>
    <cellStyle name="Формула 2 2" xfId="2729"/>
    <cellStyle name="Формула 3" xfId="2730"/>
    <cellStyle name="Формула 4" xfId="3518"/>
    <cellStyle name="Формула_A РТ 2009 Рязаньэнерго" xfId="2731"/>
    <cellStyle name="ФормулаВБ" xfId="410"/>
    <cellStyle name="ФормулаВБ 2" xfId="411"/>
    <cellStyle name="ФормулаНаКонтроль" xfId="412"/>
    <cellStyle name="ФормулаНаКонтроль 2" xfId="2732"/>
    <cellStyle name="ФормулаНаКонтроль 2 2" xfId="3519"/>
    <cellStyle name="ФормулаНаКонтроль 3" xfId="3520"/>
    <cellStyle name="ФормулаНаКонтроль_GRES.2007.5" xfId="2733"/>
    <cellStyle name="Хороший 10" xfId="2734"/>
    <cellStyle name="Хороший 2" xfId="2735"/>
    <cellStyle name="Хороший 2 2" xfId="2736"/>
    <cellStyle name="Хороший 3" xfId="2737"/>
    <cellStyle name="Хороший 3 2" xfId="2738"/>
    <cellStyle name="Хороший 4" xfId="2739"/>
    <cellStyle name="Хороший 4 2" xfId="2740"/>
    <cellStyle name="Хороший 5" xfId="2741"/>
    <cellStyle name="Хороший 5 2" xfId="2742"/>
    <cellStyle name="Хороший 6" xfId="2743"/>
    <cellStyle name="Хороший 6 2" xfId="2744"/>
    <cellStyle name="Хороший 7" xfId="2745"/>
    <cellStyle name="Хороший 7 2" xfId="2746"/>
    <cellStyle name="Хороший 8" xfId="2747"/>
    <cellStyle name="Хороший 8 2" xfId="2748"/>
    <cellStyle name="Хороший 9" xfId="2749"/>
    <cellStyle name="Хороший 9 2" xfId="2750"/>
    <cellStyle name="Цена_продукта" xfId="413"/>
    <cellStyle name="Ценовой" xfId="3521"/>
    <cellStyle name="Цифры по центру с десятыми" xfId="2751"/>
    <cellStyle name="Цифры по центру с десятыми 2" xfId="2752"/>
    <cellStyle name="Цифры по центру с десятыми 2 2" xfId="3522"/>
    <cellStyle name="Цифры по центру с десятыми 3" xfId="2753"/>
    <cellStyle name="Цифры по центру с десятыми 3 2" xfId="3523"/>
    <cellStyle name="Цифры по центру с десятыми 4" xfId="2754"/>
    <cellStyle name="Цифры по центру с десятыми 4 2" xfId="3524"/>
    <cellStyle name="Цифры по центру с десятыми 5" xfId="3525"/>
    <cellStyle name="число" xfId="414"/>
    <cellStyle name="Џђћ–…ќ’ќ›‰" xfId="415"/>
    <cellStyle name="Џђћ–…ќ’ќ›‰ 2" xfId="2755"/>
    <cellStyle name="Џђћ–…ќ’ќ›‰ 2 2" xfId="3526"/>
    <cellStyle name="Џђћ–…ќ’ќ›‰ 3" xfId="2756"/>
    <cellStyle name="Шапка" xfId="416"/>
    <cellStyle name="Шапка 2" xfId="3527"/>
    <cellStyle name="Шапка таблицы" xfId="417"/>
    <cellStyle name="Шапка таблицы 2" xfId="2757"/>
    <cellStyle name="Шапка таблицы 2 2" xfId="3528"/>
    <cellStyle name="Шапка таблицы 3" xfId="3529"/>
    <cellStyle name="Шапка_4DNS.UPDATE.EXAMPLE" xfId="2758"/>
    <cellStyle name="ШАУ" xfId="418"/>
    <cellStyle name="ШАУ 2" xfId="3530"/>
    <cellStyle name="標準_PL-CF sheet" xfId="419"/>
    <cellStyle name="㼿" xfId="2762"/>
    <cellStyle name="㼿?" xfId="2763"/>
    <cellStyle name="㼿㼿" xfId="2764"/>
    <cellStyle name="㼿㼿 2" xfId="2765"/>
    <cellStyle name="㼿㼿?" xfId="2766"/>
    <cellStyle name="㼿㼿? 2" xfId="2767"/>
    <cellStyle name="㼿㼿? 3" xfId="2768"/>
    <cellStyle name="㼿㼿㼿" xfId="2769"/>
    <cellStyle name="㼿㼿㼿 2" xfId="2770"/>
    <cellStyle name="㼿㼿㼿?" xfId="2771"/>
    <cellStyle name="㼿㼿㼿? 2" xfId="2772"/>
    <cellStyle name="㼿㼿㼿? 3" xfId="2773"/>
    <cellStyle name="㼿㼿㼿㼿" xfId="2774"/>
    <cellStyle name="㼿㼿㼿㼿?" xfId="2775"/>
    <cellStyle name="㼿㼿㼿㼿㼿" xfId="2776"/>
    <cellStyle name="䁺_x0001_" xfId="420"/>
    <cellStyle name="䁺_x0001_ 2" xfId="2759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externalLink" Target="externalLinks/externalLink143.xml"/><Relationship Id="rId170" Type="http://schemas.openxmlformats.org/officeDocument/2006/relationships/externalLink" Target="externalLinks/externalLink154.xml"/><Relationship Id="rId191" Type="http://schemas.openxmlformats.org/officeDocument/2006/relationships/externalLink" Target="externalLinks/externalLink175.xml"/><Relationship Id="rId196" Type="http://schemas.openxmlformats.org/officeDocument/2006/relationships/externalLink" Target="externalLinks/externalLink180.xml"/><Relationship Id="rId200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58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28" Type="http://schemas.openxmlformats.org/officeDocument/2006/relationships/externalLink" Target="externalLinks/externalLink112.xml"/><Relationship Id="rId144" Type="http://schemas.openxmlformats.org/officeDocument/2006/relationships/externalLink" Target="externalLinks/externalLink128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4.xml"/><Relationship Id="rId95" Type="http://schemas.openxmlformats.org/officeDocument/2006/relationships/externalLink" Target="externalLinks/externalLink79.xml"/><Relationship Id="rId160" Type="http://schemas.openxmlformats.org/officeDocument/2006/relationships/externalLink" Target="externalLinks/externalLink144.xml"/><Relationship Id="rId165" Type="http://schemas.openxmlformats.org/officeDocument/2006/relationships/externalLink" Target="externalLinks/externalLink149.xml"/><Relationship Id="rId181" Type="http://schemas.openxmlformats.org/officeDocument/2006/relationships/externalLink" Target="externalLinks/externalLink165.xml"/><Relationship Id="rId186" Type="http://schemas.openxmlformats.org/officeDocument/2006/relationships/externalLink" Target="externalLinks/externalLink170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18" Type="http://schemas.openxmlformats.org/officeDocument/2006/relationships/externalLink" Target="externalLinks/externalLink102.xml"/><Relationship Id="rId134" Type="http://schemas.openxmlformats.org/officeDocument/2006/relationships/externalLink" Target="externalLinks/externalLink118.xml"/><Relationship Id="rId139" Type="http://schemas.openxmlformats.org/officeDocument/2006/relationships/externalLink" Target="externalLinks/externalLink123.xml"/><Relationship Id="rId80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55" Type="http://schemas.openxmlformats.org/officeDocument/2006/relationships/externalLink" Target="externalLinks/externalLink139.xml"/><Relationship Id="rId171" Type="http://schemas.openxmlformats.org/officeDocument/2006/relationships/externalLink" Target="externalLinks/externalLink155.xml"/><Relationship Id="rId176" Type="http://schemas.openxmlformats.org/officeDocument/2006/relationships/externalLink" Target="externalLinks/externalLink160.xml"/><Relationship Id="rId192" Type="http://schemas.openxmlformats.org/officeDocument/2006/relationships/externalLink" Target="externalLinks/externalLink176.xml"/><Relationship Id="rId197" Type="http://schemas.openxmlformats.org/officeDocument/2006/relationships/externalLink" Target="externalLinks/externalLink181.xml"/><Relationship Id="rId201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externalLink" Target="externalLinks/externalLink145.xml"/><Relationship Id="rId166" Type="http://schemas.openxmlformats.org/officeDocument/2006/relationships/externalLink" Target="externalLinks/externalLink150.xml"/><Relationship Id="rId182" Type="http://schemas.openxmlformats.org/officeDocument/2006/relationships/externalLink" Target="externalLinks/externalLink166.xml"/><Relationship Id="rId187" Type="http://schemas.openxmlformats.org/officeDocument/2006/relationships/externalLink" Target="externalLinks/externalLink17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77" Type="http://schemas.openxmlformats.org/officeDocument/2006/relationships/externalLink" Target="externalLinks/externalLink161.xml"/><Relationship Id="rId198" Type="http://schemas.openxmlformats.org/officeDocument/2006/relationships/externalLink" Target="externalLinks/externalLink182.xml"/><Relationship Id="rId172" Type="http://schemas.openxmlformats.org/officeDocument/2006/relationships/externalLink" Target="externalLinks/externalLink156.xml"/><Relationship Id="rId193" Type="http://schemas.openxmlformats.org/officeDocument/2006/relationships/externalLink" Target="externalLinks/externalLink177.xml"/><Relationship Id="rId202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167" Type="http://schemas.openxmlformats.org/officeDocument/2006/relationships/externalLink" Target="externalLinks/externalLink151.xml"/><Relationship Id="rId188" Type="http://schemas.openxmlformats.org/officeDocument/2006/relationships/externalLink" Target="externalLinks/externalLink17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162" Type="http://schemas.openxmlformats.org/officeDocument/2006/relationships/externalLink" Target="externalLinks/externalLink146.xml"/><Relationship Id="rId183" Type="http://schemas.openxmlformats.org/officeDocument/2006/relationships/externalLink" Target="externalLinks/externalLink1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178" Type="http://schemas.openxmlformats.org/officeDocument/2006/relationships/externalLink" Target="externalLinks/externalLink162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73" Type="http://schemas.openxmlformats.org/officeDocument/2006/relationships/externalLink" Target="externalLinks/externalLink157.xml"/><Relationship Id="rId194" Type="http://schemas.openxmlformats.org/officeDocument/2006/relationships/externalLink" Target="externalLinks/externalLink178.xml"/><Relationship Id="rId199" Type="http://schemas.openxmlformats.org/officeDocument/2006/relationships/theme" Target="theme/theme1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168" Type="http://schemas.openxmlformats.org/officeDocument/2006/relationships/externalLink" Target="externalLinks/externalLink15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163" Type="http://schemas.openxmlformats.org/officeDocument/2006/relationships/externalLink" Target="externalLinks/externalLink147.xml"/><Relationship Id="rId184" Type="http://schemas.openxmlformats.org/officeDocument/2006/relationships/externalLink" Target="externalLinks/externalLink168.xml"/><Relationship Id="rId189" Type="http://schemas.openxmlformats.org/officeDocument/2006/relationships/externalLink" Target="externalLinks/externalLink17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externalLink" Target="externalLinks/externalLink142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74" Type="http://schemas.openxmlformats.org/officeDocument/2006/relationships/externalLink" Target="externalLinks/externalLink158.xml"/><Relationship Id="rId179" Type="http://schemas.openxmlformats.org/officeDocument/2006/relationships/externalLink" Target="externalLinks/externalLink163.xml"/><Relationship Id="rId195" Type="http://schemas.openxmlformats.org/officeDocument/2006/relationships/externalLink" Target="externalLinks/externalLink179.xml"/><Relationship Id="rId190" Type="http://schemas.openxmlformats.org/officeDocument/2006/relationships/externalLink" Target="externalLinks/externalLink174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164" Type="http://schemas.openxmlformats.org/officeDocument/2006/relationships/externalLink" Target="externalLinks/externalLink148.xml"/><Relationship Id="rId169" Type="http://schemas.openxmlformats.org/officeDocument/2006/relationships/externalLink" Target="externalLinks/externalLink153.xml"/><Relationship Id="rId185" Type="http://schemas.openxmlformats.org/officeDocument/2006/relationships/externalLink" Target="externalLinks/externalLink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4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75" Type="http://schemas.openxmlformats.org/officeDocument/2006/relationships/externalLink" Target="externalLinks/externalLink15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92;&#1083;&#1077;&#1096;&#1082;&#1072;/&#1088;&#1080;&#1075;&#1077;&#1083;&#1100;/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52;&#1086;&#1080;%20&#1076;&#1086;&#1082;&#1091;&#1084;&#1077;&#1085;&#1090;&#1099;\&#1052;&#1054;&#1041;\06-03-06\Var2.7%20(version%201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buh/Desktop/&#1043;&#1086;&#1083;&#1086;&#1074;&#1095;&#1091;&#1082;%20&#1045;.&#1048;/&#1096;&#1072;&#1073;&#1083;&#1086;&#1085;&#1099;_&#1090;&#1101;/CALC.WARM.P2012.4.78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buh\Desktop\&#1043;&#1086;&#1083;&#1086;&#1074;&#1095;&#1091;&#1082;%20&#1045;.&#1048;\&#1096;&#1072;&#1073;&#1083;&#1086;&#1085;&#1099;_&#1090;&#1101;\CALC.WARM.P2012.4.7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50;&#1041;&#1057;&#1052;/&#1079;&#1072;&#1103;&#1074;&#1082;&#1072;%20(&#1088;&#1072;&#1089;&#1095;&#1077;&#1090;)/&#1088;&#1072;&#1089;&#1095;&#1077;&#1090;&#1099;_&#1053;&#1059;&#1056;_&#1089;&#1085;_&#1050;&#1041;&#1057;&#1052;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2003_&#1085;&#1086;&#1074;/2003/0303_&#1087;&#1086;%20&#1074;&#1080;&#1076;&#1072;&#1084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3;&#1080;&#1084;&#1086;&#1074;/&#1054;&#1090;&#1095;&#1077;&#1090;&#1085;&#1086;&#1089;&#1090;&#1100;/&#1054;&#1040;&#1054;%20&#1052;&#1086;&#1088;&#1089;&#1082;&#1086;&#1081;%20&#1079;&#1072;&#1074;&#1086;&#1076;%20&#1040;&#1083;&#1084;&#1072;&#1079;/&#1056;&#1072;&#1089;&#1082;&#1088;&#1099;&#1090;&#1080;&#1077;%20&#1080;&#1085;&#1092;&#1086;&#1088;&#1084;&#1072;&#1094;&#1080;&#1080;/1%20&#1082;&#1074;.%202013/&#1087;&#1101;&#1096;&#1082;&#1080;%201%20&#1082;&#1074;.%202013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95;&#1077;&#1090;&#1085;&#1086;&#1089;&#1090;&#1100;/&#1054;&#1040;&#1054;%20&#1052;&#1086;&#1088;&#1089;&#1082;&#1086;&#1081;%20&#1079;&#1072;&#1074;&#1086;&#1076;%20&#1040;&#1083;&#1084;&#1072;&#1079;/&#1056;&#1072;&#1089;&#1082;&#1088;&#1099;&#1090;&#1080;&#1077;%20&#1080;&#1085;&#1092;&#1086;&#1088;&#1084;&#1072;&#1094;&#1080;&#1080;/1%20&#1082;&#1074;.%202013/&#1087;&#1101;&#1096;&#1082;&#1080;%201%20&#1082;&#1074;.%202013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86;&#1083;&#1086;&#1074;&#1095;&#1091;&#1082;/&#1082;&#1072;&#1083;&#1100;&#1082;&#1091;&#1083;&#1103;&#1094;&#1080;&#1103;%20&#1042;&#1077;&#1082;&#1090;&#1086;&#1088;%20&#1079;&#1072;&#1103;&#1074;&#1082;&#1072;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72;&#1083;&#1100;&#1082;&#1091;&#1083;&#1103;&#1094;&#1080;&#1103;%20&#1042;&#1077;&#1082;&#1090;&#1086;&#1088;%20&#1079;&#1072;&#1103;&#1074;&#1082;&#1072;1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82;&#1072;&#1083;&#1100;&#1082;&#1091;&#1083;&#1103;&#1094;&#1080;&#1103;%20&#1042;&#1077;&#1082;&#1090;&#1086;&#1088;%20&#1079;&#1072;&#1103;&#1074;&#1082;&#1072;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Documents%20and%20Settings\Koparova\Local%20Settings\Temporary%20Internet%20Files\OLKA\&#1060;&#1054;&#1058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parova/Local%20Settings/Temporary%20Internet%20Files/OLKA/&#1060;&#1054;&#1058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1;&#1072;&#1085;&#1086;&#1074;&#1072;\&#1043;&#1088;(27.07.00)5&#1061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Documents%20and%20Settings\Cherenkova\Local%20Settings\Temporary%20Internet%20Files\OLK1C5\V2008-201105.02.09%20&#1086;&#1090;&#1095;&#1077;&#1090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SC_W\&#1055;&#1088;&#1086;&#1075;&#1085;&#1086;&#1079;\&#1055;&#1088;&#1086;&#1075;05_00(27.06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!&#1085;&#1086;&#1074;&#1072;&#1103;.%20&#1082;&#1072;&#1083;&#1100;&#1082;._&#1060;&#1080;&#1088;&#1084;&#1072;%20&#1056;&#1054;&#1057;&#1057;_2019-2023_&#1044;&#1048;%2013.12.2018%20&#1086;&#1082;&#1086;&#1085;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6;&#1054;&#1057;&#1057;\!&#1082;&#1072;&#1083;&#1100;&#1082;._&#1060;&#1080;&#1088;&#1084;&#1072;%20&#1056;&#1054;&#1057;&#1057;_2019-2023_&#1044;&#1048;%2014.12.2018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6;&#1054;&#1057;&#1057;\!&#1082;&#1072;&#1083;&#1100;&#1082;._&#1060;&#1080;&#1088;&#1084;&#1072;%20&#1056;&#1054;&#1057;&#1057;_2019-2023_&#1044;&#1048;%2013.12.2018%20&#1080;&#1089;&#1087;%20&#1090;&#1077;&#1087;&#1085;&#1086;&#1089;&#1080;&#1090;&#1077;&#1083;&#1100;.xlsx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2;&#1089;&#1087;&#1077;&#1088;&#1090;&#1080;&#1079;&#1099;/2014/&#1058;&#1077;&#1087;&#1083;&#1086;&#1089;&#1085;&#1072;&#1073;&#1078;&#1077;&#1085;&#1080;&#1077;/&#1062;&#1052;&#1058;%20&#1080;%20&#1053;&#1058;&#1057;/!&#1082;&#1072;&#1083;&#1100;&#1082;._&#1044;&#1048;_&#1062;&#1052;&#1058;%20&#1080;%20&#1053;&#1058;&#1057;_2014_&#1074;&#1072;&#1088;%202%20&#1086;&#1090;%2012.12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4/&#1043;&#1057;&#1056;%20&#1058;&#1069;&#1062;/!!!!!&#1082;&#1072;&#1083;&#1100;&#1082;._&#1044;&#1048;_&#1043;&#1057;&#1056;%20&#1058;&#1069;&#1062;_2014_&#1055;&#1054;&#1057;&#1051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6/&#1058;&#1077;&#1087;&#1083;&#1086;+&#1043;&#1042;&#1057;/&#1060;&#1080;&#1088;&#1084;&#1072;%20&#1056;&#1054;&#1057;&#1057;/!&#1082;&#1072;&#1083;&#1100;&#1082;._&#1060;&#1080;&#1088;&#1084;&#1072;%20&#1056;&#1054;&#1057;&#1057;_2016-2018_&#1087;&#1086;&#1089;&#1083;%20&#1074;&#1072;&#1088;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6/&#1058;&#1077;&#1087;&#1083;&#1086;+&#1043;&#1042;&#1057;/&#1060;&#1080;&#1088;&#1084;&#1072;%20&#1056;&#1054;&#1057;&#1057;/&#1087;&#1088;&#1077;&#1076;&#1074;&#1072;&#1088;/!&#1082;&#1072;&#1083;&#1100;&#1082;._&#1060;&#1080;&#1088;&#1084;&#1072;%20&#1056;&#1054;&#1057;&#1057;_2016-2018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lexandrova\Desktop\&#1048;&#1074;&#1072;&#1085;&#1086;&#1074;&#1072;\&#1056;&#1045;&#1043;&#1059;&#1051;&#1048;&#1056;&#1054;&#1042;&#1040;&#1053;&#1048;&#1045;%202018\&#1082;&#1072;&#1083;&#1100;&#1082;_&#1044;&#1054;&#1047;%201_2019-2023%20&#1076;&#1086;&#1083;&#1075;&#1086;&#1089;&#1088;&#1086;&#1082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Klepinina\Desktop\&#1040;&#1076;&#1072;&#1084;&#1072;&#1085;&#1090;\PROG.ESB.PLAN.4.178_&#1040;&#1076;&#1072;&#1084;&#1072;&#1085;&#1090;_&#1087;&#1083;201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5/&#1040;&#1076;&#1072;&#1084;&#1072;&#1085;&#1090;/PROG.ESB.PLAN.4.178_&#1040;&#1076;&#1072;&#1084;&#1072;&#1085;&#1090;_&#1087;&#1083;201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5\&#1040;&#1076;&#1072;&#1084;&#1072;&#1085;&#1090;\PROG.ESB.PLAN.4.178_&#1040;&#1076;&#1072;&#1084;&#1072;&#1085;&#1090;_&#1087;&#1083;201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Klepinina/Desktop/&#1040;&#1076;&#1072;&#1084;&#1072;&#1085;&#1090;/PROG.ESB.PLAN.4.178_&#1040;&#1076;&#1072;&#1084;&#1072;&#1085;&#1090;_&#1087;&#1083;201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43;&#1057;&#1056;%20&#1058;&#1069;&#1062;/WARM.CALC.D.PLAN.4.178%20(6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VKGESTIK/WARM.CALC.D.PLAN.4.178_v.2.0%20(1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3U323EXZ/WARM.CALC.D.PLAN.4.178_v.3.0_&#1088;&#1072;&#1089;&#1095;&#1077;&#1090;_&#1090;&#1072;&#1088;&#1080;&#1092;&#1072;_2015-2017_+_&#1090;&#1072;&#1073;&#1083;&#1080;&#1094;&#1099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Users\Demin\AppData\Local\Microsoft\Windows\Temporary%20Internet%20Files\Content.IE5\3U323EXZ\WARM.CALC.D.PLAN.4.178_v.3.0_&#1088;&#1072;&#1089;&#1095;&#1077;&#1090;_&#1090;&#1072;&#1088;&#1080;&#1092;&#1072;_2015-2017_+_&#1090;&#1072;&#1073;&#1083;&#1080;&#1094;&#1099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wnloads/ADR_PR_REM_QV_4_178_&#1092;_2013_&#1042;&#1042;&#1057;&#1057;(&#1091;&#1090;&#1086;&#1095;&#1085;_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5/&#1057;&#1077;&#1074;&#1077;&#1088;&#1085;&#1072;&#1103;%20&#1079;&#1072;&#1088;&#1103;/ADR.PR.REM.PLAN_&#1085;&#1072;_2015&#107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s/ADR.PR.REM.PLAN.4.178_v.1.3_&#1087;&#1083;&#1072;&#1085;_&#1085;&#1072;_201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Downloads\ADR.PR.REM.PLAN.4.178_v.1.3_&#1087;&#1083;&#1072;&#1085;_&#1085;&#1072;_201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7/&#1052;&#1047;%20&#1040;&#1088;&#1089;&#1077;&#1085;&#1072;&#1083;/ADR.PR.REM.PLAN.4.178_v.1.3_2016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Users\Demin\AppData\Local\Microsoft\Windows\Temporary%20Internet%20Files\Content.IE5\C8H61IIB\WATER.CALC.D.PLAN.4.178_v.1.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C8H61IIB/WATER.CALC.D.PLAN.4.178_v.1.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41;&#1072;&#1083;&#1072;&#1085;&#1089;\An(EsMon)\7.02.01\&#1061;&#1072;&#1085;&#1086;&#1074;&#1072;\&#1043;&#1088;(27.07.00)5&#106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48;&#1058;&#1054;&#1043;&#1048;%202013/&#1043;&#1086;&#1085;&#1095;&#1072;&#1088;&#1086;&#1074;&#1072;/&#1042;&#1042;&#1057;&#1057;/WATER.CALC.QV.4.178_v.1.3_&#1092;.2013&#1075;._&#1042;&#1042;&#1057;&#1057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Desktop/&#1043;&#1086;&#1083;&#1086;&#1074;&#1095;&#1091;&#1082;%20&#1045;.&#1048;/&#1096;&#1072;&#1073;&#1083;&#1086;&#1085;&#1099;_&#1090;&#1101;/CALC.WARM.P2012.4.7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Golovchuk/Documents/&#1054;&#1054;&#1054;%20&#1069;&#1085;&#1077;&#1088;&#1075;&#1086;&#1087;&#1088;&#1086;&#1084;&#1089;&#1077;&#1088;&#1074;&#1080;&#1089;/&#1040;&#1085;&#1072;&#1083;&#1080;&#1090;&#1080;&#1082;&#1072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&#1054;&#1054;&#1054;%20&#1069;&#1085;&#1077;&#1088;&#1075;&#1086;&#1087;&#1088;&#1086;&#1084;&#1089;&#1077;&#1088;&#1074;&#1080;&#1089;/&#1040;&#1085;&#1072;&#1083;&#1080;&#1090;&#1080;&#1082;&#1072;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0;&#1084;/&#1056;&#1077;&#1075;&#1091;&#1083;&#1080;&#1088;&#1086;&#1074;&#1072;&#1085;&#1080;&#1077;/ALL.PES.PLAN.4.178_v.1.1_2016_&#1042;&#1042;&#1057;&#1057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50;&#1080;&#1084;\&#1056;&#1077;&#1075;&#1091;&#1083;&#1080;&#1088;&#1086;&#1074;&#1072;&#1085;&#1080;&#1077;\ALL.PES.PLAN.4.178_v.1.1_2016_&#1042;&#1042;&#1057;&#1057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7/&#1052;&#1047;%20&#1040;&#1088;&#1089;&#1077;&#1085;&#1072;&#1083;/ALL.PES.PLAN.4.178_v.1.1_2016_&#1042;&#1042;&#1057;&#1057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43;&#1057;&#1056;%20&#1058;&#1069;&#1062;/PROG.ESB.PLAN.4.178_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3/&#1042;&#1086;&#1079;&#1088;&#1086;&#1078;&#1076;&#1077;&#1085;&#1080;&#1077;/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&#1055;&#1086;&#1076;&#1075;&#1086;&#1090;&#1086;&#1074;&#1082;&#1072;%20&#1076;&#1086;&#1082;&#1091;&#1084;&#1077;&#1085;&#1090;&#1086;&#1074;%20&#1074;%20&#1050;&#1058;%20&#1057;&#1055;&#1073;%20(&#1079;&#1072;&#1103;&#1074;&#1082;&#1080;)/2014/&#1062;&#1050;&#1058;&#1048;/PROG.ESB.PLAN.4.178_&#1086;&#1090;_01.04.201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KIM\Documents\!&#1058;&#1072;&#1088;&#1080;&#1092;&#1085;&#1086;&#1077;%20&#1088;&#1077;&#1075;&#1091;&#1083;&#1080;&#1088;&#1086;&#1074;&#1072;&#1085;&#1080;&#1077;\!!&#1055;&#1086;&#1076;&#1075;&#1086;&#1090;&#1086;&#1074;&#1082;&#1072;%20&#1076;&#1086;&#1082;&#1091;&#1084;&#1077;&#1085;&#1090;&#1086;&#1074;%20&#1074;%20&#1050;&#1058;%20&#1057;&#1055;&#1073;%20(&#1079;&#1072;&#1103;&#1074;&#1082;&#1080;)\2014\&#1062;&#1050;&#1058;&#1048;\PROG.ESB.PLAN.4.178_&#1086;&#1090;_01.04.201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88;&#1086;&#1083;&#1077;&#1090;&#1072;&#1088;&#1089;&#1082;&#1080;&#1081;%20&#1079;&#1072;&#1074;&#1086;&#1076;/&#1058;&#1045;&#1055;&#1051;&#1054;/PROG.ESB.PLAN.4.178_(1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41;&#1072;&#1083;&#1072;&#1085;&#1089;\An(EsMon)\&#1061;&#1072;&#1085;&#1086;&#1074;&#1072;\&#1043;&#1088;(27.07.00)5&#1061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y.Apukhtin/Documents/&#1058;&#1072;&#1088;&#1080;&#1092;&#1085;&#1086;&#1077;%20&#1088;&#1077;&#1075;&#1091;&#1083;&#1080;&#1088;&#1086;&#1074;&#1072;&#1085;&#1080;&#1077;/&#1054;&#1090;&#1095;&#1077;&#1090;&#1085;&#1086;&#1089;&#1090;&#1100;/&#1057;&#1055;&#1041;/2016/&#1088;&#1072;&#1089;&#1082;&#1088;&#1099;&#1090;&#1080;&#1077;%20&#1080;&#1085;&#1092;&#1086;&#1088;&#1084;&#1072;&#1094;&#1080;&#1080;_openinfo/WARM.OPENINFO.PLAN.4.178_v1.0_10.05.201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ndrey.Apukhtin\Documents\&#1058;&#1072;&#1088;&#1080;&#1092;&#1085;&#1086;&#1077;%20&#1088;&#1077;&#1075;&#1091;&#1083;&#1080;&#1088;&#1086;&#1074;&#1072;&#1085;&#1080;&#1077;\&#1054;&#1090;&#1095;&#1077;&#1090;&#1085;&#1086;&#1089;&#1090;&#1100;\&#1057;&#1055;&#1041;\2016\&#1088;&#1072;&#1089;&#1082;&#1088;&#1099;&#1090;&#1080;&#1077;%20&#1080;&#1085;&#1092;&#1086;&#1088;&#1084;&#1072;&#1094;&#1080;&#1080;_openinfo\WARM.OPENINFO.PLAN.4.178_v1.0_10.05.201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Users\buh\Desktop\&#1043;&#1086;&#1083;&#1086;&#1074;&#1095;&#1091;&#1082;%20&#1045;.&#1048;\&#1057;&#1086;&#1074;&#1072;&#1074;&#1090;&#1086;\WARM.TOPL.Q1.2011_spb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Desktop/&#1043;&#1086;&#1083;&#1086;&#1074;&#1095;&#1091;&#1082;%20&#1045;.&#1048;/&#1057;&#1086;&#1074;&#1072;&#1074;&#1090;&#1086;/WARM.TOPL.Q1.2011_spb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buh/Desktop/&#1043;&#1086;&#1083;&#1086;&#1074;&#1095;&#1091;&#1082;%20&#1045;.&#1048;/&#1057;&#1086;&#1074;&#1072;&#1074;&#1090;&#1086;/WARM.TOPL.Q1.2011_spb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buh\Desktop\&#1043;&#1086;&#1083;&#1086;&#1074;&#1095;&#1091;&#1082;%20&#1045;.&#1048;\&#1057;&#1086;&#1074;&#1072;&#1074;&#1090;&#1086;\WARM.TOPL.Q1.2011_spb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m\Downloads\WARM.CALC.QV.4.178_v.1.6%20(7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41;&#1072;&#1083;&#1072;&#1085;&#1089;\An(EsMon)\SC_W\&#1055;&#1088;&#1086;&#1075;&#1085;&#1086;&#1079;\&#1055;&#1088;&#1086;&#1075;05_00(27.0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Users\buh\AppData\Roaming\Microsoft\Excel\3REK\&#1050;&#1086;&#1087;&#1080;&#1103;%20&#1075;&#1086;&#1076;%20WARM.3REK.2010.4.7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AppData/Roaming/Microsoft/Excel/3REK/&#1050;&#1086;&#1087;&#1080;&#1103;%20&#1075;&#1086;&#1076;%20WARM.3REK.2010.4.78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buh/AppData/Roaming/Microsoft/Excel/3REK/&#1050;&#1086;&#1087;&#1080;&#1103;%20&#1075;&#1086;&#1076;%20WARM.3REK.2010.4.78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buh\AppData\Roaming\Microsoft\Excel\3REK\&#1050;&#1086;&#1087;&#1080;&#1103;%20&#1075;&#1086;&#1076;%20WARM.3REK.2010.4.7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-=%20NEW%20%20ARBAITEN%20=-/RUSSAM/%202008_02%20&#1055;&#1088;&#1077;&#1076;&#1083;&#1086;&#1078;&#1077;&#1085;&#1080;&#1077;%20&#1085;&#1072;%202009/__AUDIT%20-%20Energo/_2007_12%20&#1056;&#1091;&#1089;&#1089;&#1082;&#1080;&#1077;%20&#1089;&#1072;&#1084;&#1086;&#1094;&#1074;&#1077;&#1090;&#1077;/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Тарифы"/>
      <sheetName val="подконтрольные"/>
      <sheetName val="переменные на 5 лет"/>
      <sheetName val="учет итогов"/>
      <sheetName val="Лист1"/>
      <sheetName val="амортизация"/>
      <sheetName val="Динамика 17"/>
    </sheetNames>
    <sheetDataSet>
      <sheetData sheetId="0">
        <row r="8">
          <cell r="G8">
            <v>1.0269999999999999</v>
          </cell>
          <cell r="H8">
            <v>1.046</v>
          </cell>
          <cell r="I8">
            <v>1.034</v>
          </cell>
          <cell r="J8">
            <v>1.04</v>
          </cell>
          <cell r="K8">
            <v>1.04</v>
          </cell>
          <cell r="L8">
            <v>1.04</v>
          </cell>
        </row>
        <row r="11">
          <cell r="H11">
            <v>1.07</v>
          </cell>
          <cell r="I11">
            <v>1.07</v>
          </cell>
          <cell r="J11">
            <v>1.04</v>
          </cell>
          <cell r="K11">
            <v>1.04</v>
          </cell>
          <cell r="L11">
            <v>1.04</v>
          </cell>
        </row>
      </sheetData>
      <sheetData sheetId="1"/>
      <sheetData sheetId="2" refreshError="1"/>
      <sheetData sheetId="3">
        <row r="16">
          <cell r="J16">
            <v>14898.869999999999</v>
          </cell>
          <cell r="M16">
            <v>15125.72</v>
          </cell>
          <cell r="P16">
            <v>16076.380000000001</v>
          </cell>
          <cell r="S16">
            <v>16865.79</v>
          </cell>
          <cell r="V16">
            <v>17847.02</v>
          </cell>
        </row>
        <row r="25">
          <cell r="J25">
            <v>2485.5699999999997</v>
          </cell>
          <cell r="M25">
            <v>2586.6800000000003</v>
          </cell>
          <cell r="P25">
            <v>2782.31</v>
          </cell>
          <cell r="S25">
            <v>2917.4700000000003</v>
          </cell>
          <cell r="V25">
            <v>2906.19</v>
          </cell>
        </row>
        <row r="38">
          <cell r="H38">
            <v>30729.49</v>
          </cell>
          <cell r="I38">
            <v>29782.779999999995</v>
          </cell>
        </row>
        <row r="39">
          <cell r="H39">
            <v>2675.07</v>
          </cell>
          <cell r="I39">
            <v>2592.6500000000074</v>
          </cell>
          <cell r="J39">
            <v>5267.7200000000075</v>
          </cell>
        </row>
        <row r="44">
          <cell r="J44">
            <v>1.77</v>
          </cell>
          <cell r="M44">
            <v>1.79</v>
          </cell>
          <cell r="P44">
            <v>1.85</v>
          </cell>
          <cell r="S44">
            <v>1.92</v>
          </cell>
          <cell r="V44">
            <v>1.97</v>
          </cell>
        </row>
        <row r="45">
          <cell r="J45">
            <v>2471.3199999999997</v>
          </cell>
          <cell r="M45">
            <v>2506.7600000000002</v>
          </cell>
          <cell r="P45">
            <v>2596.0500000000002</v>
          </cell>
          <cell r="S45">
            <v>2682.9</v>
          </cell>
          <cell r="V45">
            <v>2747.67</v>
          </cell>
        </row>
        <row r="46">
          <cell r="J46">
            <v>215.13</v>
          </cell>
          <cell r="M46">
            <v>218.22</v>
          </cell>
          <cell r="P46">
            <v>225.99</v>
          </cell>
          <cell r="S46">
            <v>233.55</v>
          </cell>
          <cell r="V46">
            <v>239.19</v>
          </cell>
        </row>
        <row r="47">
          <cell r="J47">
            <v>5.9399999999999995</v>
          </cell>
          <cell r="M47">
            <v>6.0299999999999994</v>
          </cell>
          <cell r="P47">
            <v>6.23</v>
          </cell>
          <cell r="S47">
            <v>6.4399999999999995</v>
          </cell>
          <cell r="V47">
            <v>6.6</v>
          </cell>
        </row>
        <row r="53">
          <cell r="J53">
            <v>874.94999999999982</v>
          </cell>
          <cell r="M53">
            <v>798.49000000000024</v>
          </cell>
          <cell r="P53">
            <v>794.25000000000023</v>
          </cell>
          <cell r="S53">
            <v>809.11000000000013</v>
          </cell>
          <cell r="V53">
            <v>799.15999999999985</v>
          </cell>
        </row>
      </sheetData>
      <sheetData sheetId="4">
        <row r="9">
          <cell r="I9">
            <v>-1734.9999999999973</v>
          </cell>
        </row>
        <row r="15">
          <cell r="I15">
            <v>-731.95</v>
          </cell>
        </row>
        <row r="18">
          <cell r="I18">
            <v>-291.33999999999997</v>
          </cell>
        </row>
        <row r="21">
          <cell r="I21">
            <v>105.13</v>
          </cell>
        </row>
        <row r="24">
          <cell r="I24">
            <v>-126.51624797211835</v>
          </cell>
        </row>
      </sheetData>
      <sheetData sheetId="5" refreshError="1"/>
      <sheetData sheetId="6">
        <row r="28">
          <cell r="W28">
            <v>1043666.7800000006</v>
          </cell>
        </row>
      </sheetData>
      <sheetData sheetId="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2019-2023 (ДИ)"/>
      <sheetName val="Тарифы"/>
      <sheetName val="подконтрольные"/>
      <sheetName val="переменные на 5 лет"/>
      <sheetName val="учет итогов"/>
      <sheetName val="Лист1"/>
      <sheetName val="амортизация"/>
      <sheetName val="Динамика 17"/>
      <sheetName val="зп"/>
    </sheetNames>
    <sheetDataSet>
      <sheetData sheetId="0">
        <row r="8">
          <cell r="G8">
            <v>1.0269999999999999</v>
          </cell>
          <cell r="H8">
            <v>1.046</v>
          </cell>
          <cell r="I8">
            <v>1.034</v>
          </cell>
          <cell r="J8">
            <v>1.04</v>
          </cell>
          <cell r="K8">
            <v>1.04</v>
          </cell>
          <cell r="L8">
            <v>1.04</v>
          </cell>
        </row>
      </sheetData>
      <sheetData sheetId="1"/>
      <sheetData sheetId="2" refreshError="1"/>
      <sheetData sheetId="3" refreshError="1"/>
      <sheetData sheetId="4">
        <row r="16">
          <cell r="J16">
            <v>14898.869999999999</v>
          </cell>
          <cell r="M16">
            <v>15125.72</v>
          </cell>
          <cell r="P16">
            <v>16076.380000000001</v>
          </cell>
          <cell r="S16">
            <v>16865.79</v>
          </cell>
          <cell r="V16">
            <v>17847.02</v>
          </cell>
        </row>
        <row r="25">
          <cell r="J25">
            <v>2485.5699999999997</v>
          </cell>
          <cell r="M25">
            <v>2586.6800000000003</v>
          </cell>
          <cell r="P25">
            <v>2782.31</v>
          </cell>
          <cell r="S25">
            <v>2917.4700000000003</v>
          </cell>
          <cell r="V25">
            <v>2906.19</v>
          </cell>
        </row>
        <row r="44">
          <cell r="J44">
            <v>1.77</v>
          </cell>
          <cell r="M44">
            <v>1.79</v>
          </cell>
          <cell r="P44">
            <v>1.85</v>
          </cell>
          <cell r="S44">
            <v>1.92</v>
          </cell>
          <cell r="V44">
            <v>1.97</v>
          </cell>
        </row>
        <row r="45">
          <cell r="J45">
            <v>2471.3199999999997</v>
          </cell>
          <cell r="M45">
            <v>2506.7600000000002</v>
          </cell>
          <cell r="P45">
            <v>2596.0500000000002</v>
          </cell>
          <cell r="S45">
            <v>2682.9</v>
          </cell>
          <cell r="V45">
            <v>2747.67</v>
          </cell>
        </row>
        <row r="46">
          <cell r="J46">
            <v>215.13</v>
          </cell>
          <cell r="M46">
            <v>218.22</v>
          </cell>
          <cell r="P46">
            <v>225.99</v>
          </cell>
          <cell r="S46">
            <v>233.55</v>
          </cell>
          <cell r="V46">
            <v>239.19</v>
          </cell>
        </row>
        <row r="47">
          <cell r="J47">
            <v>5.9399999999999995</v>
          </cell>
          <cell r="M47">
            <v>6.0299999999999994</v>
          </cell>
          <cell r="P47">
            <v>6.23</v>
          </cell>
          <cell r="S47">
            <v>6.4399999999999995</v>
          </cell>
          <cell r="V47">
            <v>6.6</v>
          </cell>
        </row>
        <row r="53">
          <cell r="J53">
            <v>874.94999999999982</v>
          </cell>
          <cell r="M53">
            <v>798.49000000000024</v>
          </cell>
          <cell r="P53">
            <v>794.25000000000023</v>
          </cell>
          <cell r="S53">
            <v>809.11000000000013</v>
          </cell>
          <cell r="V53">
            <v>799.15999999999985</v>
          </cell>
        </row>
      </sheetData>
      <sheetData sheetId="5">
        <row r="9">
          <cell r="I9">
            <v>-1734.9999999999973</v>
          </cell>
        </row>
        <row r="15">
          <cell r="J15">
            <v>-756.83</v>
          </cell>
        </row>
        <row r="18">
          <cell r="J18">
            <v>-291.33999999999997</v>
          </cell>
        </row>
        <row r="21">
          <cell r="J21">
            <v>108.71</v>
          </cell>
        </row>
        <row r="24">
          <cell r="J24">
            <v>-126.51624797211835</v>
          </cell>
        </row>
      </sheetData>
      <sheetData sheetId="6" refreshError="1"/>
      <sheetData sheetId="7">
        <row r="28">
          <cell r="W28">
            <v>1043666.7800000006</v>
          </cell>
        </row>
      </sheetData>
      <sheetData sheetId="8" refreshError="1"/>
      <sheetData sheetId="9">
        <row r="22">
          <cell r="I22">
            <v>1725600</v>
          </cell>
        </row>
        <row r="23">
          <cell r="I23">
            <v>1603200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2019-2023 (ДИ)"/>
      <sheetName val="Тарифы"/>
      <sheetName val="подконтрольные"/>
      <sheetName val="переменные на 5 лет"/>
      <sheetName val="учет итогов"/>
      <sheetName val="Лист1"/>
      <sheetName val="амортизация"/>
      <sheetName val="Динамика 17"/>
    </sheetNames>
    <sheetDataSet>
      <sheetData sheetId="0">
        <row r="11">
          <cell r="H11">
            <v>1.07</v>
          </cell>
          <cell r="I11">
            <v>1.07</v>
          </cell>
          <cell r="J11">
            <v>1.04</v>
          </cell>
          <cell r="K11">
            <v>1.04</v>
          </cell>
          <cell r="L11">
            <v>1.04</v>
          </cell>
        </row>
      </sheetData>
      <sheetData sheetId="1">
        <row r="96">
          <cell r="J96">
            <v>15210.073752027882</v>
          </cell>
          <cell r="L96">
            <v>9951.409999999998</v>
          </cell>
          <cell r="N96">
            <v>18165.82</v>
          </cell>
          <cell r="P96">
            <v>10199.410000000002</v>
          </cell>
          <cell r="R96">
            <v>19145.13</v>
          </cell>
          <cell r="T96">
            <v>10583.23</v>
          </cell>
          <cell r="V96">
            <v>19983.300000000003</v>
          </cell>
          <cell r="X96">
            <v>10912.17</v>
          </cell>
          <cell r="Z96">
            <v>20974.400000000001</v>
          </cell>
          <cell r="AB96">
            <v>11100.34</v>
          </cell>
        </row>
      </sheetData>
      <sheetData sheetId="2"/>
      <sheetData sheetId="3" refreshError="1"/>
      <sheetData sheetId="4">
        <row r="38">
          <cell r="H38">
            <v>30729.49</v>
          </cell>
          <cell r="I38">
            <v>29782.779999999995</v>
          </cell>
        </row>
        <row r="39">
          <cell r="H39">
            <v>2675.07</v>
          </cell>
          <cell r="I39">
            <v>2592.6500000000074</v>
          </cell>
          <cell r="J39">
            <v>5267.7200000000075</v>
          </cell>
        </row>
        <row r="46">
          <cell r="J46">
            <v>215.13</v>
          </cell>
          <cell r="M46">
            <v>218.22</v>
          </cell>
          <cell r="P46">
            <v>225.99</v>
          </cell>
          <cell r="S46">
            <v>233.55</v>
          </cell>
          <cell r="V46">
            <v>239.19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2014_ЭОР"/>
      <sheetName val="Кальк_2014-2016"/>
      <sheetName val="Р и У пр хр"/>
      <sheetName val="переменные_3 года"/>
      <sheetName val="для отчета"/>
      <sheetName val="амортизация"/>
      <sheetName val="подконтрольные"/>
    </sheetNames>
    <sheetDataSet>
      <sheetData sheetId="0"/>
      <sheetData sheetId="1">
        <row r="17">
          <cell r="B17" t="str">
            <v>основной производственный  персонал</v>
          </cell>
        </row>
        <row r="19">
          <cell r="B19" t="str">
            <v>цеховый  персонал</v>
          </cell>
        </row>
        <row r="20">
          <cell r="B20" t="str">
            <v>административно-управленческий персонал</v>
          </cell>
        </row>
      </sheetData>
      <sheetData sheetId="2">
        <row r="35">
          <cell r="D35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2"/>
      <sheetName val="прил №3"/>
      <sheetName val="прил.№4 к прот по теплу (2)"/>
      <sheetName val="прил.№4 к прот по теплу"/>
      <sheetName val="Кальк_2014-2016"/>
      <sheetName val="Кальк_2014_ЭОР"/>
      <sheetName val="для шаблона"/>
      <sheetName val="подконтрольные"/>
      <sheetName val="индексы"/>
      <sheetName val="переменные_5 лет"/>
      <sheetName val="Лист1"/>
      <sheetName val="цена ээ"/>
    </sheetNames>
    <sheetDataSet>
      <sheetData sheetId="0"/>
      <sheetData sheetId="1"/>
      <sheetData sheetId="2"/>
      <sheetData sheetId="3"/>
      <sheetData sheetId="4">
        <row r="9">
          <cell r="B9" t="str">
            <v>установленная тепловая мощность источника тепловой энергии</v>
          </cell>
        </row>
        <row r="30">
          <cell r="B30" t="str">
            <v>услуги банка</v>
          </cell>
        </row>
      </sheetData>
      <sheetData sheetId="5">
        <row r="6">
          <cell r="O6" t="str">
            <v>Теплоноситель
(ИТОГО)</v>
          </cell>
        </row>
      </sheetData>
      <sheetData sheetId="6"/>
      <sheetData sheetId="7"/>
      <sheetData sheetId="8">
        <row r="9">
          <cell r="G9">
            <v>1.071</v>
          </cell>
        </row>
      </sheetData>
      <sheetData sheetId="9">
        <row r="30">
          <cell r="C30" t="str">
            <v>руб./кВтч</v>
          </cell>
        </row>
      </sheetData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2016_ЭОР"/>
      <sheetName val="Кальк_2016-2018"/>
      <sheetName val="тарифы"/>
      <sheetName val="для шаблона"/>
      <sheetName val="Прил2"/>
      <sheetName val="Прил3"/>
      <sheetName val="Прил4"/>
      <sheetName val="Прил5 расп"/>
      <sheetName val="переменные"/>
      <sheetName val="теплоноситель"/>
      <sheetName val="Лист1"/>
    </sheetNames>
    <sheetDataSet>
      <sheetData sheetId="0" refreshError="1"/>
      <sheetData sheetId="1" refreshError="1"/>
      <sheetData sheetId="2">
        <row r="7">
          <cell r="F7">
            <v>0.01</v>
          </cell>
        </row>
        <row r="98">
          <cell r="F98">
            <v>0.13490935287956796</v>
          </cell>
          <cell r="K98">
            <v>0.14413500565299092</v>
          </cell>
          <cell r="P98">
            <v>0.13816198770483315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2016_ЭОР"/>
      <sheetName val="Кальк_2016-2018"/>
      <sheetName val="тарифы"/>
      <sheetName val="Прил2"/>
      <sheetName val="Прил3"/>
      <sheetName val="Прил4"/>
      <sheetName val="Прил5 расп"/>
      <sheetName val="переменные"/>
      <sheetName val="теплоноситель"/>
      <sheetName val="Лист1"/>
    </sheetNames>
    <sheetDataSet>
      <sheetData sheetId="0">
        <row r="5">
          <cell r="H5">
            <v>1.0640000000000001</v>
          </cell>
          <cell r="I5">
            <v>1.06</v>
          </cell>
          <cell r="J5">
            <v>1.05</v>
          </cell>
        </row>
      </sheetData>
      <sheetData sheetId="1">
        <row r="7">
          <cell r="D7">
            <v>0</v>
          </cell>
          <cell r="R7">
            <v>0</v>
          </cell>
        </row>
        <row r="8">
          <cell r="H8">
            <v>0</v>
          </cell>
        </row>
        <row r="10">
          <cell r="D10">
            <v>24953.040000000001</v>
          </cell>
          <cell r="R10">
            <v>13605.58</v>
          </cell>
          <cell r="T10">
            <v>1918.8</v>
          </cell>
        </row>
        <row r="12">
          <cell r="H12">
            <v>0</v>
          </cell>
        </row>
        <row r="13">
          <cell r="D13">
            <v>1730.8400000000001</v>
          </cell>
          <cell r="R13">
            <v>203.15</v>
          </cell>
          <cell r="S13">
            <v>839.93</v>
          </cell>
          <cell r="T13">
            <v>3.38</v>
          </cell>
        </row>
        <row r="14">
          <cell r="D14">
            <v>315.5</v>
          </cell>
          <cell r="R14">
            <v>77.459999999999994</v>
          </cell>
          <cell r="S14">
            <v>0</v>
          </cell>
          <cell r="T14">
            <v>238.04</v>
          </cell>
        </row>
        <row r="17">
          <cell r="D17">
            <v>2169.8799999999997</v>
          </cell>
          <cell r="R17">
            <v>549.77</v>
          </cell>
          <cell r="S17">
            <v>0</v>
          </cell>
          <cell r="T17">
            <v>1689.54</v>
          </cell>
        </row>
        <row r="21">
          <cell r="D21">
            <v>655.29999999999995</v>
          </cell>
          <cell r="R21">
            <v>166.03</v>
          </cell>
          <cell r="S21">
            <v>0</v>
          </cell>
          <cell r="T21">
            <v>510.25</v>
          </cell>
        </row>
        <row r="25">
          <cell r="D25">
            <v>2569.27</v>
          </cell>
          <cell r="R25">
            <v>539.21</v>
          </cell>
          <cell r="T25">
            <v>1657.08</v>
          </cell>
        </row>
        <row r="27">
          <cell r="D27">
            <v>0</v>
          </cell>
          <cell r="H27">
            <v>0</v>
          </cell>
        </row>
        <row r="30">
          <cell r="D30">
            <v>0</v>
          </cell>
          <cell r="R30">
            <v>0</v>
          </cell>
          <cell r="S30">
            <v>0</v>
          </cell>
        </row>
        <row r="33">
          <cell r="S33">
            <v>0</v>
          </cell>
        </row>
        <row r="47">
          <cell r="R47">
            <v>0</v>
          </cell>
          <cell r="S47">
            <v>0</v>
          </cell>
          <cell r="T47">
            <v>0</v>
          </cell>
        </row>
        <row r="48">
          <cell r="D48">
            <v>0</v>
          </cell>
          <cell r="H48">
            <v>0</v>
          </cell>
          <cell r="R48">
            <v>0</v>
          </cell>
          <cell r="S48">
            <v>0</v>
          </cell>
        </row>
        <row r="49">
          <cell r="D49">
            <v>270.61</v>
          </cell>
          <cell r="R49">
            <v>68.56</v>
          </cell>
          <cell r="T49">
            <v>210.71</v>
          </cell>
        </row>
        <row r="53">
          <cell r="D53">
            <v>16.82</v>
          </cell>
          <cell r="R53">
            <v>4.26</v>
          </cell>
          <cell r="S53">
            <v>0</v>
          </cell>
          <cell r="T53">
            <v>13.1</v>
          </cell>
        </row>
        <row r="54">
          <cell r="D54">
            <v>26.660000000000004</v>
          </cell>
          <cell r="R54">
            <v>7.28</v>
          </cell>
          <cell r="S54">
            <v>0</v>
          </cell>
          <cell r="T54">
            <v>22.36</v>
          </cell>
        </row>
        <row r="56">
          <cell r="R56">
            <v>0</v>
          </cell>
          <cell r="S56">
            <v>0</v>
          </cell>
        </row>
        <row r="57">
          <cell r="D57">
            <v>0</v>
          </cell>
        </row>
        <row r="67">
          <cell r="D67">
            <v>0</v>
          </cell>
          <cell r="R67">
            <v>6.82</v>
          </cell>
          <cell r="S67">
            <v>0</v>
          </cell>
          <cell r="T67">
            <v>20.94</v>
          </cell>
        </row>
        <row r="75">
          <cell r="D75">
            <v>54</v>
          </cell>
          <cell r="R75">
            <v>269.12</v>
          </cell>
          <cell r="T75">
            <v>827.04</v>
          </cell>
        </row>
        <row r="76">
          <cell r="D76">
            <v>33101.56</v>
          </cell>
          <cell r="E76">
            <v>24953.77</v>
          </cell>
          <cell r="J76">
            <v>0</v>
          </cell>
          <cell r="Q76">
            <v>23896.890000000003</v>
          </cell>
          <cell r="R76">
            <v>15607.350000000002</v>
          </cell>
          <cell r="S76">
            <v>839.93</v>
          </cell>
          <cell r="T76">
            <v>7449.61</v>
          </cell>
        </row>
        <row r="77">
          <cell r="D77">
            <v>55277.7</v>
          </cell>
          <cell r="E77">
            <v>21232.36</v>
          </cell>
          <cell r="H77">
            <v>12358</v>
          </cell>
          <cell r="Q77">
            <v>50336</v>
          </cell>
          <cell r="R77">
            <v>12358</v>
          </cell>
        </row>
        <row r="78">
          <cell r="E78">
            <v>1187.3</v>
          </cell>
          <cell r="R78">
            <v>711.7</v>
          </cell>
        </row>
        <row r="79">
          <cell r="E79">
            <v>1251.9000000000001</v>
          </cell>
          <cell r="H79">
            <v>0</v>
          </cell>
        </row>
        <row r="80">
          <cell r="E80">
            <v>1175.27</v>
          </cell>
          <cell r="H80">
            <v>1327.55</v>
          </cell>
        </row>
        <row r="85">
          <cell r="G85">
            <v>11.02</v>
          </cell>
          <cell r="T85">
            <v>25.873999999999999</v>
          </cell>
        </row>
        <row r="86">
          <cell r="G86">
            <v>50630.75</v>
          </cell>
        </row>
        <row r="87">
          <cell r="F87">
            <v>75516.27</v>
          </cell>
          <cell r="S87">
            <v>40037</v>
          </cell>
        </row>
        <row r="88">
          <cell r="F88">
            <v>19.23</v>
          </cell>
          <cell r="H88">
            <v>23.67</v>
          </cell>
        </row>
      </sheetData>
      <sheetData sheetId="2"/>
      <sheetData sheetId="3" refreshError="1"/>
      <sheetData sheetId="4"/>
      <sheetData sheetId="5"/>
      <sheetData sheetId="6"/>
      <sheetData sheetId="7" refreshError="1"/>
      <sheetData sheetId="8">
        <row r="12">
          <cell r="L12">
            <v>12812.801976800001</v>
          </cell>
          <cell r="O12">
            <v>13379.478029400001</v>
          </cell>
        </row>
        <row r="23">
          <cell r="L23">
            <v>4.196171979999999</v>
          </cell>
          <cell r="O23">
            <v>4.6997750800000002</v>
          </cell>
        </row>
        <row r="26">
          <cell r="L26">
            <v>3.2204080199999998</v>
          </cell>
          <cell r="O26">
            <v>3.6069049200000003</v>
          </cell>
        </row>
        <row r="43">
          <cell r="L43">
            <v>2160.7830761999999</v>
          </cell>
          <cell r="O43">
            <v>2281.1599196000002</v>
          </cell>
        </row>
      </sheetData>
      <sheetData sheetId="9">
        <row r="16">
          <cell r="H16">
            <v>802.50024543999984</v>
          </cell>
          <cell r="K16">
            <v>882.80753007999988</v>
          </cell>
        </row>
        <row r="17">
          <cell r="H17">
            <v>351.50541432</v>
          </cell>
          <cell r="K17">
            <v>409.69598688000019</v>
          </cell>
        </row>
        <row r="22">
          <cell r="H22">
            <v>137.02744223999997</v>
          </cell>
          <cell r="K22">
            <v>153.47277503999999</v>
          </cell>
        </row>
      </sheetData>
      <sheetData sheetId="1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ДИ_2019-2023"/>
      <sheetName val="Тарифы"/>
      <sheetName val="переменные"/>
      <sheetName val="учет итогов"/>
    </sheetNames>
    <sheetDataSet>
      <sheetData sheetId="0"/>
      <sheetData sheetId="1">
        <row r="107">
          <cell r="B107" t="str">
            <v>с целью учета отклонения фактических значений параметров расчета тарифов взамен прогнозных</v>
          </cell>
        </row>
        <row r="110">
          <cell r="B110" t="str">
            <v>Недополученный доход / расходы прошлых периодов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18">
          <cell r="F18" t="str">
            <v>План</v>
          </cell>
        </row>
        <row r="23">
          <cell r="F23">
            <v>2015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ГБОУ "Балтийский берег"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Q3" t="str">
            <v>ГУП "Водоканал Санкт-Петербурга"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"АТЭК"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"Агентство "Шушары"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"ВКХ "ВодКомХоз"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"ГСР Водоканал"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"Гостиница "Туррис"</v>
          </cell>
          <cell r="R8" t="str">
            <v>7 группа: свыше до 0,01 млн.м3 включительно</v>
          </cell>
        </row>
        <row r="9">
          <cell r="Q9" t="str">
            <v>ЗАО "ДОЗ №1"</v>
          </cell>
        </row>
        <row r="10">
          <cell r="Q10" t="str">
            <v>ЗАО "КировТЭК"</v>
          </cell>
        </row>
        <row r="11">
          <cell r="Q11" t="str">
            <v>ЗАО "ЭКОПРОМ"</v>
          </cell>
        </row>
        <row r="12">
          <cell r="Q12" t="str">
            <v>ЗАО "Энергетический Альянс"</v>
          </cell>
        </row>
        <row r="13">
          <cell r="Q13" t="str">
            <v>ОАО "Аэропорт "Пулково"</v>
          </cell>
        </row>
        <row r="14">
          <cell r="Q14" t="str">
            <v>ОАО "Водотеплоснаб"</v>
          </cell>
        </row>
        <row r="15">
          <cell r="Q15" t="str">
            <v>ОАО "Водтрансприбор"</v>
          </cell>
        </row>
        <row r="16">
          <cell r="Q16" t="str">
            <v>ОАО "ЛОМО"</v>
          </cell>
        </row>
        <row r="17">
          <cell r="Q17" t="str">
            <v>ОАО "Морской порт Санкт-Петербург"</v>
          </cell>
        </row>
        <row r="18">
          <cell r="Q18" t="str">
            <v>ОАО "Особые Экономические Зоны"</v>
          </cell>
        </row>
        <row r="19">
          <cell r="Q19" t="str">
            <v>ОАО "Пролетарский завод"</v>
          </cell>
        </row>
        <row r="20">
          <cell r="Q2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1">
          <cell r="Q21" t="str">
            <v>ОАО "РЭУ" филиал "Санкт-Петербургский"</v>
          </cell>
        </row>
        <row r="22">
          <cell r="Q22" t="str">
            <v>ОАО "Славянка"</v>
          </cell>
        </row>
        <row r="23">
          <cell r="Q23" t="str">
            <v>ООО "Воздушные ворота северной столицы"</v>
          </cell>
        </row>
        <row r="24">
          <cell r="Q24" t="str">
            <v>ООО "Зеленый дом"</v>
          </cell>
        </row>
        <row r="25">
          <cell r="Q25" t="str">
            <v>ООО "Петербургтеплоэнерго"</v>
          </cell>
        </row>
        <row r="26">
          <cell r="Q26" t="str">
            <v>ООО "Софийский бульвар"</v>
          </cell>
        </row>
        <row r="27">
          <cell r="Q27" t="str">
            <v>ООО "Степан Разин Девелопмент"</v>
          </cell>
        </row>
        <row r="28">
          <cell r="Q28" t="str">
            <v>ООО "ТеплоЭнергоВент"</v>
          </cell>
        </row>
        <row r="29">
          <cell r="Q29" t="str">
            <v>ООО "Фирма "РОСС"</v>
          </cell>
        </row>
        <row r="30">
          <cell r="Q30" t="str">
            <v>ООО "ЭКОЛ"</v>
          </cell>
        </row>
        <row r="31">
          <cell r="Q31" t="str">
            <v>ООО "Эксплуатационная компания "Арго-Сервис"</v>
          </cell>
        </row>
        <row r="32">
          <cell r="Q32" t="str">
            <v>ООО "Энергоснаб - Красные Зори"</v>
          </cell>
        </row>
        <row r="33">
          <cell r="Q33" t="str">
            <v>СПб ГБСУСО "Психоневрологический интернат №6"</v>
          </cell>
        </row>
        <row r="34">
          <cell r="Q34" t="str">
            <v>СПб ГУП "Петербургский метрополитен"</v>
          </cell>
        </row>
        <row r="35">
          <cell r="Q35" t="str">
            <v>ФГБОУ ВПО "СПбГПУ"</v>
          </cell>
        </row>
        <row r="36">
          <cell r="Q36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ГНУ ВИР Россельхозакадемии</v>
          </cell>
        </row>
        <row r="3">
          <cell r="A3" t="str">
            <v>ГУП "Водоканал Санкт-Петербурга"</v>
          </cell>
        </row>
        <row r="4">
          <cell r="A4" t="str">
            <v>ГУП "ТЭК СПб"</v>
          </cell>
        </row>
        <row r="5">
          <cell r="A5" t="str">
            <v>ЗАО "АТЭК"</v>
          </cell>
        </row>
        <row r="6">
          <cell r="A6" t="str">
            <v>ЗАО "Александро-Невская мануфактура"</v>
          </cell>
        </row>
        <row r="7">
          <cell r="A7" t="str">
            <v>ЗАО "Асфальтобетонный Завод "Магистраль"</v>
          </cell>
        </row>
        <row r="8">
          <cell r="A8" t="str">
            <v>ЗАО "ГСР ТЭЦ"</v>
          </cell>
        </row>
        <row r="9">
          <cell r="A9" t="str">
            <v>ЗАО "Гостиница "Туррис"</v>
          </cell>
        </row>
        <row r="10">
          <cell r="A10" t="str">
            <v>ЗАО "Группа Прайм"</v>
          </cell>
        </row>
        <row r="11">
          <cell r="A11" t="str">
            <v>ЗАО "Завод Красная Заря. Системы цифровой связи"</v>
          </cell>
        </row>
        <row r="12">
          <cell r="A12" t="str">
            <v>ЗАО "Завод металлоконструкций"</v>
          </cell>
        </row>
        <row r="13">
          <cell r="A13" t="str">
            <v>ЗАО "КировТЭК"</v>
          </cell>
        </row>
        <row r="14">
          <cell r="A14" t="str">
            <v>ЗАО "МЕЗОНТЭК"</v>
          </cell>
        </row>
        <row r="15">
          <cell r="A15" t="str">
            <v>ЗАО "Научно-производственное предприятие "Вектор"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"ИНТЕР РАО - Электрогенерация" (филиал "Северо-Западная ТЭЦ")</v>
          </cell>
        </row>
        <row r="56">
          <cell r="A56" t="str">
            <v>ОАО "Иван Федоров"</v>
          </cell>
        </row>
        <row r="57">
          <cell r="A57" t="str">
            <v>ОАО "Кожа"</v>
          </cell>
        </row>
        <row r="58">
          <cell r="A58" t="str">
            <v>ОАО "Компонент"</v>
          </cell>
        </row>
        <row r="59">
          <cell r="A59" t="str">
            <v>ОАО "Компрессор"</v>
          </cell>
        </row>
        <row r="60">
          <cell r="A60" t="str">
            <v>ОАО "Конструкторское бюро специального машиностроения"</v>
          </cell>
        </row>
        <row r="61">
          <cell r="A61" t="str">
            <v>ОАО "Концерн "Гранит-Электрон"</v>
          </cell>
        </row>
        <row r="62">
          <cell r="A62" t="str">
            <v>ОАО "ЛЕНПОЛИГРАФМАШ"</v>
          </cell>
        </row>
        <row r="63">
          <cell r="A63" t="str">
            <v>ОАО "ЛКХП Кирова"</v>
          </cell>
        </row>
        <row r="64">
          <cell r="A64" t="str">
            <v>ОАО "ЛОМО"</v>
          </cell>
        </row>
        <row r="65">
          <cell r="A65" t="str">
            <v>ОАО "ЛСР. Железобетон-СЗ"</v>
          </cell>
        </row>
        <row r="66">
          <cell r="A66" t="str">
            <v>ОАО "Ленинградский электромеханический завод"</v>
          </cell>
        </row>
        <row r="67">
          <cell r="A67" t="str">
            <v>ОАО "Ленпромгаз"</v>
          </cell>
        </row>
        <row r="68">
          <cell r="A68" t="str">
            <v>ОАО "МЗ "Арсенал"</v>
          </cell>
        </row>
        <row r="69">
          <cell r="A69" t="str">
            <v>ОАО "Морской завод Алмаз"</v>
          </cell>
        </row>
        <row r="70">
          <cell r="A70" t="str">
            <v>ОАО "Морской порт Санкт-Петербург"</v>
          </cell>
        </row>
        <row r="71">
          <cell r="A71" t="str">
            <v>ОАО "НПО ЦКТИ"</v>
          </cell>
        </row>
        <row r="72">
          <cell r="A72" t="str">
            <v>ОАО "НПП "Краснознаменец"</v>
          </cell>
        </row>
        <row r="73">
          <cell r="A73" t="str">
            <v>ОАО "Научно-производственный комплекс "Северная заря"</v>
          </cell>
        </row>
        <row r="74">
          <cell r="A74" t="str">
            <v>ОАО "Невская мануфактура"</v>
          </cell>
        </row>
        <row r="75">
          <cell r="A75" t="str">
            <v>ОАО "Особые Экономические Зоны"</v>
          </cell>
        </row>
        <row r="76">
          <cell r="A76" t="str">
            <v>ОАО "Приморский парк Победы"</v>
          </cell>
        </row>
        <row r="77">
          <cell r="A77" t="str">
            <v>ОАО "Пролетарский завод"</v>
          </cell>
        </row>
        <row r="78">
          <cell r="A78" t="str">
            <v>ОАО "Прядильно-ниточный комбинат "Красная нить"</v>
          </cell>
        </row>
        <row r="79">
          <cell r="A79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0">
          <cell r="A80" t="str">
            <v>ОАО "РЭУ" филиал "Санкт-Петербургский"</v>
          </cell>
        </row>
        <row r="81">
          <cell r="A81" t="str">
            <v>ОАО "Русские самоцветы"</v>
          </cell>
        </row>
        <row r="82">
          <cell r="A82" t="str">
            <v>ОАО "Рыбокомбинат"</v>
          </cell>
        </row>
        <row r="83">
          <cell r="A83" t="str">
            <v>ОАО "СПб Завод ТЭМП"</v>
          </cell>
        </row>
        <row r="84">
          <cell r="A84" t="str">
            <v>ОАО "Санкт-Петербургское морское бюро машиностроения "Малахит"</v>
          </cell>
        </row>
        <row r="85">
          <cell r="A85" t="str">
            <v>ОАО "Светлана"</v>
          </cell>
        </row>
        <row r="86">
          <cell r="A86" t="str">
            <v>ОАО "Северная мануфактура"</v>
          </cell>
        </row>
        <row r="87">
          <cell r="A87" t="str">
            <v>ОАО "Совавто-С.Петербург"</v>
          </cell>
        </row>
        <row r="88">
          <cell r="A88" t="str">
            <v>ОАО "Стройметалконструкция"</v>
          </cell>
        </row>
        <row r="89">
          <cell r="A89" t="str">
            <v>ОАО "ТГК-1"</v>
          </cell>
        </row>
        <row r="90">
          <cell r="A90" t="str">
            <v>ОАО "ТГК-1" филиал "Невский"</v>
          </cell>
        </row>
        <row r="91">
          <cell r="A91" t="str">
            <v>ОАО "Телерадиокомпания "Петербург"</v>
          </cell>
        </row>
        <row r="92">
          <cell r="A92" t="str">
            <v>ОАО "Теплосеть Санкт-Петербурга"</v>
          </cell>
        </row>
        <row r="93">
          <cell r="A93" t="str">
            <v>ОАО "Техприбор"</v>
          </cell>
        </row>
        <row r="94">
          <cell r="A94" t="str">
            <v>ОАО "Фирма Медполимер"</v>
          </cell>
        </row>
        <row r="95">
          <cell r="A95" t="str">
            <v>ОАО "ЦКБ МТ "Рубин"</v>
          </cell>
        </row>
        <row r="96">
          <cell r="A96" t="str">
            <v>ОАО "Штурманские приборы"</v>
          </cell>
        </row>
        <row r="97">
          <cell r="A97" t="str">
            <v>ОАО "Юго-Западная ТЭЦ"</v>
          </cell>
        </row>
        <row r="98">
          <cell r="A98" t="str">
            <v>ОАО ВО "Электроаппарат"</v>
          </cell>
        </row>
        <row r="99">
          <cell r="A99" t="str">
            <v>ООО "АЛЬТЕРНАТИВА"</v>
          </cell>
        </row>
        <row r="100">
          <cell r="A100" t="str">
            <v>ООО "Адамант"</v>
          </cell>
        </row>
        <row r="101">
          <cell r="A101" t="str">
            <v>ООО "Акватерм"</v>
          </cell>
        </row>
        <row r="102">
          <cell r="A102" t="str">
            <v>ООО "Атлантик"</v>
          </cell>
        </row>
        <row r="103">
          <cell r="A103" t="str">
            <v>ООО "Бавария"</v>
          </cell>
        </row>
        <row r="104">
          <cell r="A104" t="str">
            <v>ООО "Балтийский завод - Судостроение"</v>
          </cell>
        </row>
        <row r="105">
          <cell r="A105" t="str">
            <v>ООО "Воздушные ворота северной столицы"</v>
          </cell>
        </row>
        <row r="106">
          <cell r="A106" t="str">
            <v>ООО "Возрождение"</v>
          </cell>
        </row>
        <row r="107">
          <cell r="A107" t="str">
            <v>ООО "ГРАДСТРОЙ"</v>
          </cell>
        </row>
        <row r="108">
          <cell r="A108" t="str">
            <v>ООО "Газпром трансгаз Санкт-Петербург"</v>
          </cell>
        </row>
        <row r="109">
          <cell r="A109" t="str">
            <v>ООО "Гофра-2001"</v>
          </cell>
        </row>
        <row r="110">
          <cell r="A110" t="str">
            <v>ООО "Зеленый дом"</v>
          </cell>
        </row>
        <row r="111">
          <cell r="A111" t="str">
            <v>ООО "ИНТЕРМ"</v>
          </cell>
        </row>
        <row r="112">
          <cell r="A112" t="str">
            <v>ООО "ИнвестКонсалт"</v>
          </cell>
        </row>
        <row r="113">
          <cell r="A113" t="str">
            <v>ООО "Инженерная компания"</v>
          </cell>
        </row>
        <row r="114">
          <cell r="A114" t="str">
            <v>ООО "Институт Гипроникель"</v>
          </cell>
        </row>
        <row r="115">
          <cell r="A115" t="str">
            <v>ООО "КОСМ "Энерго"</v>
          </cell>
        </row>
        <row r="116">
          <cell r="A116" t="str">
            <v>ООО "Квартальная котельная"</v>
          </cell>
        </row>
        <row r="117">
          <cell r="A117" t="str">
            <v>ООО "ЛЕСПРОМ СПб"</v>
          </cell>
        </row>
        <row r="118">
          <cell r="A118" t="str">
            <v>ООО "МегаСтрой"</v>
          </cell>
        </row>
        <row r="119">
          <cell r="A119" t="str">
            <v>ООО "Обуховоэнерго"</v>
          </cell>
        </row>
        <row r="120">
          <cell r="A120" t="str">
            <v>ООО "Объединенные Пивоварни Хейникен"</v>
          </cell>
        </row>
        <row r="121">
          <cell r="A121" t="str">
            <v>ООО "ПТК-Терминал"</v>
          </cell>
        </row>
        <row r="122">
          <cell r="A122" t="str">
            <v>ООО "Петербургская торгово-промышленная компания"</v>
          </cell>
        </row>
        <row r="123">
          <cell r="A123" t="str">
            <v>ООО "Петербургтеплоэнерго"</v>
          </cell>
        </row>
        <row r="124">
          <cell r="A124" t="str">
            <v>ООО "Питерэнерго"</v>
          </cell>
        </row>
        <row r="125">
          <cell r="A125" t="str">
            <v>ООО "Производственное объединение "Пекар"</v>
          </cell>
        </row>
        <row r="126">
          <cell r="A126" t="str">
            <v>ООО "Пулковская ТЭЦ"</v>
          </cell>
        </row>
        <row r="127">
          <cell r="A127" t="str">
            <v>ООО "САНЛИТ-Т"</v>
          </cell>
        </row>
        <row r="128">
          <cell r="A128" t="str">
            <v>ООО "СК Северная Венеция"</v>
          </cell>
        </row>
        <row r="129">
          <cell r="A129" t="str">
            <v>ООО "Светлана-Эстейт"</v>
          </cell>
        </row>
        <row r="130">
          <cell r="A130" t="str">
            <v>ООО "Системы Безопасности Северо-Запад"</v>
          </cell>
        </row>
        <row r="131">
          <cell r="A131" t="str">
            <v>ООО "Софийский бульвар"</v>
          </cell>
        </row>
        <row r="132">
          <cell r="A132" t="str">
            <v>ООО "Степан Разин Девелопмент"</v>
          </cell>
        </row>
        <row r="133">
          <cell r="A133" t="str">
            <v>ООО "ТВК Лесное"</v>
          </cell>
        </row>
        <row r="134">
          <cell r="A134" t="str">
            <v>ООО "ТЭК объединения "Скороход"</v>
          </cell>
        </row>
        <row r="135">
          <cell r="A135" t="str">
            <v>ООО "Таймс"</v>
          </cell>
        </row>
        <row r="136">
          <cell r="A136" t="str">
            <v>ООО "ТеплоЭнергоВент"</v>
          </cell>
        </row>
        <row r="137">
          <cell r="A137" t="str">
            <v>ООО "Теплодар"</v>
          </cell>
        </row>
        <row r="138">
          <cell r="A138" t="str">
            <v>ООО "Теплосервис"</v>
          </cell>
        </row>
        <row r="139">
          <cell r="A139" t="str">
            <v>ООО "Теплоснабжающая компания 282"</v>
          </cell>
        </row>
        <row r="140">
          <cell r="A140" t="str">
            <v>ООО "Теплоэнерго"</v>
          </cell>
        </row>
        <row r="141">
          <cell r="A141" t="str">
            <v>ООО "Троя"</v>
          </cell>
        </row>
        <row r="142">
          <cell r="A142" t="str">
            <v>ООО "Фирма "РОСС"</v>
          </cell>
        </row>
        <row r="143">
          <cell r="A143" t="str">
            <v>ООО "Хлебтранс СПб"</v>
          </cell>
        </row>
        <row r="144">
          <cell r="A144" t="str">
            <v>ООО "ЦМТ и НТС"</v>
          </cell>
        </row>
        <row r="145">
          <cell r="A145" t="str">
            <v>ООО "Цветочная 6"</v>
          </cell>
        </row>
        <row r="146">
          <cell r="A146" t="str">
            <v>ООО "ЭКОН"</v>
          </cell>
        </row>
        <row r="147">
          <cell r="A147" t="str">
            <v>ООО "ЭНЕРГЭС"</v>
          </cell>
        </row>
        <row r="148">
          <cell r="A148" t="str">
            <v>ООО "ЭРМАС"</v>
          </cell>
        </row>
        <row r="149">
          <cell r="A149" t="str">
            <v>ООО "Эксплуатационная компания "Арго-Сервис"</v>
          </cell>
        </row>
        <row r="150">
          <cell r="A150" t="str">
            <v>ООО "Энергетические системы"</v>
          </cell>
        </row>
        <row r="151">
          <cell r="A151" t="str">
            <v>ООО "Энергия"</v>
          </cell>
        </row>
        <row r="152">
          <cell r="A152" t="str">
            <v>ООО "ЭнергоИнвест"</v>
          </cell>
        </row>
        <row r="153">
          <cell r="A153" t="str">
            <v>ООО "ЭнергоРесурс 2005"</v>
          </cell>
        </row>
        <row r="154">
          <cell r="A154" t="str">
            <v>ООО "Энергокомпания "Теплопоставка"</v>
          </cell>
        </row>
        <row r="155">
          <cell r="A155" t="str">
            <v>ООО "Энергопромсервис"</v>
          </cell>
        </row>
        <row r="156">
          <cell r="A156" t="str">
            <v>ООО "Энергосервис"</v>
          </cell>
        </row>
        <row r="157">
          <cell r="A157" t="str">
            <v>ООО "ЮИТ Сервис"</v>
          </cell>
        </row>
        <row r="158">
          <cell r="A158" t="str">
            <v>ООО "Юнит"</v>
          </cell>
        </row>
        <row r="159">
          <cell r="A159" t="str">
            <v>ООО УК "Лэмз"</v>
          </cell>
        </row>
        <row r="160">
          <cell r="A160" t="str">
            <v>С/х производственный кооператив "Племзавод "Детскосельский"</v>
          </cell>
        </row>
        <row r="161">
          <cell r="A161" t="str">
            <v>СПб ГБУЗ "Городская больница им. Н.А.Семашко"</v>
          </cell>
        </row>
        <row r="162">
          <cell r="A162" t="str">
            <v>СПб ГУП "Петербургский метрополитен"</v>
          </cell>
        </row>
        <row r="163">
          <cell r="A163" t="str">
            <v>Тульский филиал ОАО "Ростелеком"</v>
          </cell>
        </row>
        <row r="164">
          <cell r="A164" t="str">
            <v>Университет ИТМО</v>
          </cell>
        </row>
        <row r="165">
          <cell r="A165" t="str">
            <v>ФГБОУ ВПО "ГУМРФ имени адмирала С.О. Макарова"</v>
          </cell>
        </row>
        <row r="166">
          <cell r="A166" t="str">
            <v>ФГБОУ ВПО "СПбГПУ"</v>
          </cell>
        </row>
        <row r="167">
          <cell r="A167" t="str">
            <v>ФГБОУ ВПО ПГУПС</v>
          </cell>
        </row>
        <row r="168">
          <cell r="A168" t="str">
            <v>ФГБУН Институт прикладной астрономии Российской академии наук</v>
          </cell>
        </row>
        <row r="169">
          <cell r="A169" t="str">
            <v>ФГКУ "346 СЦ МЧС"</v>
          </cell>
        </row>
        <row r="170">
          <cell r="A170" t="str">
            <v>ФГУП "Кронштадтский морской завод"</v>
          </cell>
        </row>
        <row r="171">
          <cell r="A171" t="str">
            <v>ФГУП "НИИ командных приборов"</v>
          </cell>
        </row>
        <row r="172">
          <cell r="A172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27956327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>
        <row r="16">
          <cell r="I16">
            <v>15841.439</v>
          </cell>
        </row>
      </sheetData>
      <sheetData sheetId="7">
        <row r="36">
          <cell r="H36">
            <v>1.1499999999999999</v>
          </cell>
        </row>
      </sheetData>
      <sheetData sheetId="8">
        <row r="17">
          <cell r="I17">
            <v>19982.233</v>
          </cell>
        </row>
      </sheetData>
      <sheetData sheetId="9">
        <row r="17">
          <cell r="I17">
            <v>22810.300999999999</v>
          </cell>
        </row>
      </sheetData>
      <sheetData sheetId="10">
        <row r="17">
          <cell r="I17">
            <v>0</v>
          </cell>
        </row>
      </sheetData>
      <sheetData sheetId="11">
        <row r="17">
          <cell r="I17">
            <v>0</v>
          </cell>
        </row>
      </sheetData>
      <sheetData sheetId="12">
        <row r="17">
          <cell r="I17">
            <v>0</v>
          </cell>
        </row>
      </sheetData>
      <sheetData sheetId="13"/>
      <sheetData sheetId="14">
        <row r="16">
          <cell r="I16">
            <v>0</v>
          </cell>
        </row>
      </sheetData>
      <sheetData sheetId="15">
        <row r="16">
          <cell r="I16">
            <v>0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ГБОУ "Балтийский берег"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J3">
            <v>12</v>
          </cell>
          <cell r="Q3" t="str">
            <v>ГУП "Водоканал Санкт-Петербурга"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3.0</v>
          </cell>
          <cell r="Q4" t="str">
            <v>ЗАО "АТЭК"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"Агентство "Шушары"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"ВКХ "ВодКомХоз"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"ГСР Водоканал"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"Гостиница "Туррис"</v>
          </cell>
          <cell r="R8" t="str">
            <v>7 группа: свыше до 0,01 млн.м3 включительно</v>
          </cell>
        </row>
        <row r="9">
          <cell r="Q9" t="str">
            <v>ЗАО "ДОЗ №1"</v>
          </cell>
        </row>
        <row r="10">
          <cell r="Q10" t="str">
            <v>ЗАО "КировТЭК"</v>
          </cell>
        </row>
        <row r="11">
          <cell r="Q11" t="str">
            <v>ЗАО "ЭКОПРОМ"</v>
          </cell>
        </row>
        <row r="12">
          <cell r="Q12" t="str">
            <v>ЗАО "Энергетический Альянс"</v>
          </cell>
        </row>
        <row r="13">
          <cell r="Q13" t="str">
            <v>ОАО "Аэропорт "Пулково"</v>
          </cell>
        </row>
        <row r="14">
          <cell r="Q14" t="str">
            <v>ОАО "Водотеплоснаб"</v>
          </cell>
        </row>
        <row r="15">
          <cell r="Q15" t="str">
            <v>ОАО "Водтрансприбор"</v>
          </cell>
        </row>
        <row r="16">
          <cell r="Q16" t="str">
            <v>ОАО "ЛОМО"</v>
          </cell>
        </row>
        <row r="17">
          <cell r="Q17" t="str">
            <v>ОАО "Морской порт Санкт-Петербург"</v>
          </cell>
        </row>
        <row r="18">
          <cell r="Q18" t="str">
            <v>ОАО "Особые Экономические Зоны"</v>
          </cell>
        </row>
        <row r="19">
          <cell r="Q19" t="str">
            <v>ОАО "Пролетарский завод"</v>
          </cell>
        </row>
        <row r="20">
          <cell r="Q2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1">
          <cell r="Q21" t="str">
            <v>ОАО "РЭУ" филиал "Санкт-Петербургский"</v>
          </cell>
        </row>
        <row r="22">
          <cell r="Q22" t="str">
            <v>ОАО "Славянка"</v>
          </cell>
        </row>
        <row r="23">
          <cell r="Q23" t="str">
            <v>ООО "Воздушные ворота северной столицы"</v>
          </cell>
        </row>
        <row r="24">
          <cell r="Q24" t="str">
            <v>ООО "Зеленый дом"</v>
          </cell>
        </row>
        <row r="25">
          <cell r="Q25" t="str">
            <v>ООО "Петербургтеплоэнерго"</v>
          </cell>
        </row>
        <row r="26">
          <cell r="Q26" t="str">
            <v>ООО "Софийский бульвар"</v>
          </cell>
        </row>
        <row r="27">
          <cell r="Q27" t="str">
            <v>ООО "Степан Разин Девелопмент"</v>
          </cell>
        </row>
        <row r="28">
          <cell r="Q28" t="str">
            <v>ООО "ТеплоЭнергоВент"</v>
          </cell>
        </row>
        <row r="29">
          <cell r="Q29" t="str">
            <v>ООО "Фирма "РОСС"</v>
          </cell>
        </row>
        <row r="30">
          <cell r="Q30" t="str">
            <v>ООО "ЭКОЛ"</v>
          </cell>
        </row>
        <row r="31">
          <cell r="Q31" t="str">
            <v>ООО "Эксплуатационная компания "Арго-Сервис"</v>
          </cell>
        </row>
        <row r="32">
          <cell r="Q32" t="str">
            <v>ООО "Энергоснаб - Красные Зори"</v>
          </cell>
        </row>
        <row r="33">
          <cell r="Q33" t="str">
            <v>СПб ГБСУСО "Психоневрологический интернат №6"</v>
          </cell>
        </row>
        <row r="34">
          <cell r="Q34" t="str">
            <v>СПб ГУП "Петербургский метрополитен"</v>
          </cell>
        </row>
        <row r="35">
          <cell r="Q35" t="str">
            <v>ФГБОУ ВПО "СПбГПУ"</v>
          </cell>
        </row>
        <row r="36">
          <cell r="Q36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ГНУ ВИР Россельхозакадемии</v>
          </cell>
        </row>
        <row r="3">
          <cell r="A3" t="str">
            <v>ГУП "Водоканал Санкт-Петербурга"</v>
          </cell>
        </row>
        <row r="4">
          <cell r="A4" t="str">
            <v>ГУП "ТЭК СПб"</v>
          </cell>
        </row>
        <row r="5">
          <cell r="A5" t="str">
            <v>ЗАО "АТЭК"</v>
          </cell>
        </row>
        <row r="6">
          <cell r="A6" t="str">
            <v>ЗАО "Александро-Невская мануфактура"</v>
          </cell>
        </row>
        <row r="7">
          <cell r="A7" t="str">
            <v>ЗАО "Асфальтобетонный Завод "Магистраль"</v>
          </cell>
        </row>
        <row r="8">
          <cell r="A8" t="str">
            <v>ЗАО "ГСР ТЭЦ"</v>
          </cell>
        </row>
        <row r="9">
          <cell r="A9" t="str">
            <v>ЗАО "Гостиница "Туррис"</v>
          </cell>
        </row>
        <row r="10">
          <cell r="A10" t="str">
            <v>ЗАО "Группа Прайм"</v>
          </cell>
        </row>
        <row r="11">
          <cell r="A11" t="str">
            <v>ЗАО "Завод Красная Заря. Системы цифровой связи"</v>
          </cell>
        </row>
        <row r="12">
          <cell r="A12" t="str">
            <v>ЗАО "Завод металлоконструкций"</v>
          </cell>
        </row>
        <row r="13">
          <cell r="A13" t="str">
            <v>ЗАО "КировТЭК"</v>
          </cell>
        </row>
        <row r="14">
          <cell r="A14" t="str">
            <v>ЗАО "МЕЗОНТЭК"</v>
          </cell>
        </row>
        <row r="15">
          <cell r="A15" t="str">
            <v>ЗАО "Научно-производственное предприятие "Вектор"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"ИНТЕР РАО - Электрогенерация" (филиал "Северо-Западная ТЭЦ")</v>
          </cell>
        </row>
        <row r="56">
          <cell r="A56" t="str">
            <v>ОАО "Иван Федоров"</v>
          </cell>
        </row>
        <row r="57">
          <cell r="A57" t="str">
            <v>ОАО "Кожа"</v>
          </cell>
        </row>
        <row r="58">
          <cell r="A58" t="str">
            <v>ОАО "Компонент"</v>
          </cell>
        </row>
        <row r="59">
          <cell r="A59" t="str">
            <v>ОАО "Компрессор"</v>
          </cell>
        </row>
        <row r="60">
          <cell r="A60" t="str">
            <v>ОАО "Конструкторское бюро специального машиностроения"</v>
          </cell>
        </row>
        <row r="61">
          <cell r="A61" t="str">
            <v>ОАО "Концерн "Гранит-Электрон"</v>
          </cell>
        </row>
        <row r="62">
          <cell r="A62" t="str">
            <v>ОАО "ЛЕНПОЛИГРАФМАШ"</v>
          </cell>
        </row>
        <row r="63">
          <cell r="A63" t="str">
            <v>ОАО "ЛКХП Кирова"</v>
          </cell>
        </row>
        <row r="64">
          <cell r="A64" t="str">
            <v>ОАО "ЛОМО"</v>
          </cell>
        </row>
        <row r="65">
          <cell r="A65" t="str">
            <v>ОАО "ЛСР. Железобетон-СЗ"</v>
          </cell>
        </row>
        <row r="66">
          <cell r="A66" t="str">
            <v>ОАО "Ленинградский электромеханический завод"</v>
          </cell>
        </row>
        <row r="67">
          <cell r="A67" t="str">
            <v>ОАО "Ленпромгаз"</v>
          </cell>
        </row>
        <row r="68">
          <cell r="A68" t="str">
            <v>ОАО "МЗ "Арсенал"</v>
          </cell>
        </row>
        <row r="69">
          <cell r="A69" t="str">
            <v>ОАО "Морской завод Алмаз"</v>
          </cell>
        </row>
        <row r="70">
          <cell r="A70" t="str">
            <v>ОАО "Морской порт Санкт-Петербург"</v>
          </cell>
        </row>
        <row r="71">
          <cell r="A71" t="str">
            <v>ОАО "НПО ЦКТИ"</v>
          </cell>
        </row>
        <row r="72">
          <cell r="A72" t="str">
            <v>ОАО "НПП "Краснознаменец"</v>
          </cell>
        </row>
        <row r="73">
          <cell r="A73" t="str">
            <v>ОАО "Научно-производственный комплекс "Северная заря"</v>
          </cell>
        </row>
        <row r="74">
          <cell r="A74" t="str">
            <v>ОАО "Невская мануфактура"</v>
          </cell>
        </row>
        <row r="75">
          <cell r="A75" t="str">
            <v>ОАО "Особые Экономические Зоны"</v>
          </cell>
        </row>
        <row r="76">
          <cell r="A76" t="str">
            <v>ОАО "Приморский парк Победы"</v>
          </cell>
        </row>
        <row r="77">
          <cell r="A77" t="str">
            <v>ОАО "Пролетарский завод"</v>
          </cell>
        </row>
        <row r="78">
          <cell r="A78" t="str">
            <v>ОАО "Прядильно-ниточный комбинат "Красная нить"</v>
          </cell>
        </row>
        <row r="79">
          <cell r="A79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0">
          <cell r="A80" t="str">
            <v>ОАО "РЭУ" филиал "Санкт-Петербургский"</v>
          </cell>
        </row>
        <row r="81">
          <cell r="A81" t="str">
            <v>ОАО "Русские самоцветы"</v>
          </cell>
        </row>
        <row r="82">
          <cell r="A82" t="str">
            <v>ОАО "Рыбокомбинат"</v>
          </cell>
        </row>
        <row r="83">
          <cell r="A83" t="str">
            <v>ОАО "СПб Завод ТЭМП"</v>
          </cell>
        </row>
        <row r="84">
          <cell r="A84" t="str">
            <v>ОАО "Санкт-Петербургское морское бюро машиностроения "Малахит"</v>
          </cell>
        </row>
        <row r="85">
          <cell r="A85" t="str">
            <v>ОАО "Светлана"</v>
          </cell>
        </row>
        <row r="86">
          <cell r="A86" t="str">
            <v>ОАО "Северная мануфактура"</v>
          </cell>
        </row>
        <row r="87">
          <cell r="A87" t="str">
            <v>ОАО "Совавто-С.Петербург"</v>
          </cell>
        </row>
        <row r="88">
          <cell r="A88" t="str">
            <v>ОАО "Стройметалконструкция"</v>
          </cell>
        </row>
        <row r="89">
          <cell r="A89" t="str">
            <v>ОАО "ТГК-1"</v>
          </cell>
        </row>
        <row r="90">
          <cell r="A90" t="str">
            <v>ОАО "ТГК-1" филиал "Невский"</v>
          </cell>
        </row>
        <row r="91">
          <cell r="A91" t="str">
            <v>ОАО "Телерадиокомпания "Петербург"</v>
          </cell>
        </row>
        <row r="92">
          <cell r="A92" t="str">
            <v>ОАО "Теплосеть Санкт-Петербурга"</v>
          </cell>
        </row>
        <row r="93">
          <cell r="A93" t="str">
            <v>ОАО "Техприбор"</v>
          </cell>
        </row>
        <row r="94">
          <cell r="A94" t="str">
            <v>ОАО "Фирма Медполимер"</v>
          </cell>
        </row>
        <row r="95">
          <cell r="A95" t="str">
            <v>ОАО "ЦКБ МТ "Рубин"</v>
          </cell>
        </row>
        <row r="96">
          <cell r="A96" t="str">
            <v>ОАО "Штурманские приборы"</v>
          </cell>
        </row>
        <row r="97">
          <cell r="A97" t="str">
            <v>ОАО "Юго-Западная ТЭЦ"</v>
          </cell>
        </row>
        <row r="98">
          <cell r="A98" t="str">
            <v>ОАО ВО "Электроаппарат"</v>
          </cell>
        </row>
        <row r="99">
          <cell r="A99" t="str">
            <v>ООО "АЛЬТЕРНАТИВА"</v>
          </cell>
        </row>
        <row r="100">
          <cell r="A100" t="str">
            <v>ООО "Адамант"</v>
          </cell>
        </row>
        <row r="101">
          <cell r="A101" t="str">
            <v>ООО "Акватерм"</v>
          </cell>
        </row>
        <row r="102">
          <cell r="A102" t="str">
            <v>ООО "Атлантик"</v>
          </cell>
        </row>
        <row r="103">
          <cell r="A103" t="str">
            <v>ООО "Бавария"</v>
          </cell>
        </row>
        <row r="104">
          <cell r="A104" t="str">
            <v>ООО "Балтийский завод - Судостроение"</v>
          </cell>
        </row>
        <row r="105">
          <cell r="A105" t="str">
            <v>ООО "Воздушные ворота северной столицы"</v>
          </cell>
        </row>
        <row r="106">
          <cell r="A106" t="str">
            <v>ООО "Возрождение"</v>
          </cell>
        </row>
        <row r="107">
          <cell r="A107" t="str">
            <v>ООО "ГРАДСТРОЙ"</v>
          </cell>
        </row>
        <row r="108">
          <cell r="A108" t="str">
            <v>ООО "Газпром трансгаз Санкт-Петербург"</v>
          </cell>
        </row>
        <row r="109">
          <cell r="A109" t="str">
            <v>ООО "Гофра-2001"</v>
          </cell>
        </row>
        <row r="110">
          <cell r="A110" t="str">
            <v>ООО "Зеленый дом"</v>
          </cell>
        </row>
        <row r="111">
          <cell r="A111" t="str">
            <v>ООО "ИНТЕРМ"</v>
          </cell>
        </row>
        <row r="112">
          <cell r="A112" t="str">
            <v>ООО "ИнвестКонсалт"</v>
          </cell>
        </row>
        <row r="113">
          <cell r="A113" t="str">
            <v>ООО "Инженерная компания"</v>
          </cell>
        </row>
        <row r="114">
          <cell r="A114" t="str">
            <v>ООО "Институт Гипроникель"</v>
          </cell>
        </row>
        <row r="115">
          <cell r="A115" t="str">
            <v>ООО "КОСМ "Энерго"</v>
          </cell>
        </row>
        <row r="116">
          <cell r="A116" t="str">
            <v>ООО "Квартальная котельная"</v>
          </cell>
        </row>
        <row r="117">
          <cell r="A117" t="str">
            <v>ООО "ЛЕСПРОМ СПб"</v>
          </cell>
        </row>
        <row r="118">
          <cell r="A118" t="str">
            <v>ООО "МегаСтрой"</v>
          </cell>
        </row>
        <row r="119">
          <cell r="A119" t="str">
            <v>ООО "Обуховоэнерго"</v>
          </cell>
        </row>
        <row r="120">
          <cell r="A120" t="str">
            <v>ООО "Объединенные Пивоварни Хейникен"</v>
          </cell>
        </row>
        <row r="121">
          <cell r="A121" t="str">
            <v>ООО "ПТК-Терминал"</v>
          </cell>
        </row>
        <row r="122">
          <cell r="A122" t="str">
            <v>ООО "Петербургская торгово-промышленная компания"</v>
          </cell>
        </row>
        <row r="123">
          <cell r="A123" t="str">
            <v>ООО "Петербургтеплоэнерго"</v>
          </cell>
        </row>
        <row r="124">
          <cell r="A124" t="str">
            <v>ООО "Питерэнерго"</v>
          </cell>
        </row>
        <row r="125">
          <cell r="A125" t="str">
            <v>ООО "Производственное объединение "Пекар"</v>
          </cell>
        </row>
        <row r="126">
          <cell r="A126" t="str">
            <v>ООО "Пулковская ТЭЦ"</v>
          </cell>
        </row>
        <row r="127">
          <cell r="A127" t="str">
            <v>ООО "САНЛИТ-Т"</v>
          </cell>
        </row>
        <row r="128">
          <cell r="A128" t="str">
            <v>ООО "СК Северная Венеция"</v>
          </cell>
        </row>
        <row r="129">
          <cell r="A129" t="str">
            <v>ООО "Светлана-Эстейт"</v>
          </cell>
        </row>
        <row r="130">
          <cell r="A130" t="str">
            <v>ООО "Системы Безопасности Северо-Запад"</v>
          </cell>
        </row>
        <row r="131">
          <cell r="A131" t="str">
            <v>ООО "Софийский бульвар"</v>
          </cell>
        </row>
        <row r="132">
          <cell r="A132" t="str">
            <v>ООО "Степан Разин Девелопмент"</v>
          </cell>
        </row>
        <row r="133">
          <cell r="A133" t="str">
            <v>ООО "ТВК Лесное"</v>
          </cell>
        </row>
        <row r="134">
          <cell r="A134" t="str">
            <v>ООО "ТЭК объединения "Скороход"</v>
          </cell>
        </row>
        <row r="135">
          <cell r="A135" t="str">
            <v>ООО "Таймс"</v>
          </cell>
        </row>
        <row r="136">
          <cell r="A136" t="str">
            <v>ООО "ТеплоЭнергоВент"</v>
          </cell>
        </row>
        <row r="137">
          <cell r="A137" t="str">
            <v>ООО "Теплодар"</v>
          </cell>
        </row>
        <row r="138">
          <cell r="A138" t="str">
            <v>ООО "Теплосервис"</v>
          </cell>
        </row>
        <row r="139">
          <cell r="A139" t="str">
            <v>ООО "Теплоснабжающая компания 282"</v>
          </cell>
        </row>
        <row r="140">
          <cell r="A140" t="str">
            <v>ООО "Теплоэнерго"</v>
          </cell>
        </row>
        <row r="141">
          <cell r="A141" t="str">
            <v>ООО "Троя"</v>
          </cell>
        </row>
        <row r="142">
          <cell r="A142" t="str">
            <v>ООО "Фирма "РОСС"</v>
          </cell>
        </row>
        <row r="143">
          <cell r="A143" t="str">
            <v>ООО "Хлебтранс СПб"</v>
          </cell>
        </row>
        <row r="144">
          <cell r="A144" t="str">
            <v>ООО "ЦМТ и НТС"</v>
          </cell>
        </row>
        <row r="145">
          <cell r="A145" t="str">
            <v>ООО "Цветочная 6"</v>
          </cell>
        </row>
        <row r="146">
          <cell r="A146" t="str">
            <v>ООО "ЭКОН"</v>
          </cell>
        </row>
        <row r="147">
          <cell r="A147" t="str">
            <v>ООО "ЭНЕРГЭС"</v>
          </cell>
        </row>
        <row r="148">
          <cell r="A148" t="str">
            <v>ООО "ЭРМАС"</v>
          </cell>
        </row>
        <row r="149">
          <cell r="A149" t="str">
            <v>ООО "Эксплуатационная компания "Арго-Сервис"</v>
          </cell>
        </row>
        <row r="150">
          <cell r="A150" t="str">
            <v>ООО "Энергетические системы"</v>
          </cell>
        </row>
        <row r="151">
          <cell r="A151" t="str">
            <v>ООО "Энергия"</v>
          </cell>
        </row>
        <row r="152">
          <cell r="A152" t="str">
            <v>ООО "ЭнергоИнвест"</v>
          </cell>
        </row>
        <row r="153">
          <cell r="A153" t="str">
            <v>ООО "ЭнергоРесурс 2005"</v>
          </cell>
        </row>
        <row r="154">
          <cell r="A154" t="str">
            <v>ООО "Энергокомпания "Теплопоставка"</v>
          </cell>
        </row>
        <row r="155">
          <cell r="A155" t="str">
            <v>ООО "Энергопромсервис"</v>
          </cell>
        </row>
        <row r="156">
          <cell r="A156" t="str">
            <v>ООО "Энергосервис"</v>
          </cell>
        </row>
        <row r="157">
          <cell r="A157" t="str">
            <v>ООО "ЮИТ Сервис"</v>
          </cell>
        </row>
        <row r="158">
          <cell r="A158" t="str">
            <v>ООО "Юнит"</v>
          </cell>
        </row>
        <row r="159">
          <cell r="A159" t="str">
            <v>ООО УК "Лэмз"</v>
          </cell>
        </row>
        <row r="160">
          <cell r="A160" t="str">
            <v>С/х производственный кооператив "Племзавод "Детскосельский"</v>
          </cell>
        </row>
        <row r="161">
          <cell r="A161" t="str">
            <v>СПб ГБУЗ "Городская больница им. Н.А.Семашко"</v>
          </cell>
        </row>
        <row r="162">
          <cell r="A162" t="str">
            <v>СПб ГУП "Петербургский метрополитен"</v>
          </cell>
        </row>
        <row r="163">
          <cell r="A163" t="str">
            <v>Тульский филиал ОАО "Ростелеком"</v>
          </cell>
        </row>
        <row r="164">
          <cell r="A164" t="str">
            <v>Университет ИТМО</v>
          </cell>
        </row>
        <row r="165">
          <cell r="A165" t="str">
            <v>ФГБОУ ВПО "ГУМРФ имени адмирала С.О. Макарова"</v>
          </cell>
        </row>
        <row r="166">
          <cell r="A166" t="str">
            <v>ФГБОУ ВПО "СПбГПУ"</v>
          </cell>
        </row>
        <row r="167">
          <cell r="A167" t="str">
            <v>ФГБОУ ВПО ПГУПС</v>
          </cell>
        </row>
        <row r="168">
          <cell r="A168" t="str">
            <v>ФГБУН Институт прикладной астрономии Российской академии наук</v>
          </cell>
        </row>
        <row r="169">
          <cell r="A169" t="str">
            <v>ФГКУ "346 СЦ МЧС"</v>
          </cell>
        </row>
        <row r="170">
          <cell r="A170" t="str">
            <v>ФГУП "Кронштадтский морской завод"</v>
          </cell>
        </row>
        <row r="171">
          <cell r="A171" t="str">
            <v>ФГУП "НИИ командных приборов"</v>
          </cell>
        </row>
        <row r="172">
          <cell r="A172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26422310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>
        <row r="16">
          <cell r="I16">
            <v>18942.310000000001</v>
          </cell>
        </row>
      </sheetData>
      <sheetData sheetId="7">
        <row r="36">
          <cell r="H36">
            <v>1.03653</v>
          </cell>
        </row>
      </sheetData>
      <sheetData sheetId="8">
        <row r="17">
          <cell r="I17">
            <v>19568.498</v>
          </cell>
        </row>
      </sheetData>
      <sheetData sheetId="9">
        <row r="17">
          <cell r="I17">
            <v>20499.343000000001</v>
          </cell>
        </row>
      </sheetData>
      <sheetData sheetId="10">
        <row r="17">
          <cell r="I17">
            <v>0</v>
          </cell>
        </row>
      </sheetData>
      <sheetData sheetId="11">
        <row r="17">
          <cell r="I17">
            <v>0</v>
          </cell>
        </row>
      </sheetData>
      <sheetData sheetId="12">
        <row r="17">
          <cell r="I17">
            <v>0</v>
          </cell>
        </row>
      </sheetData>
      <sheetData sheetId="13"/>
      <sheetData sheetId="14">
        <row r="16">
          <cell r="I16">
            <v>0</v>
          </cell>
        </row>
      </sheetData>
      <sheetData sheetId="15">
        <row r="16">
          <cell r="I16">
            <v>187.07400000000001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ГБОУ "Балтийский берег"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J3">
            <v>12</v>
          </cell>
          <cell r="Q3" t="str">
            <v>ГУП "Водоканал Санкт-Петербурга"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3.0</v>
          </cell>
          <cell r="Q4" t="str">
            <v>ЗАО "АТЭК"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"Агентство "Шушары"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"ВКХ "ВодКомХоз"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"ГСР Водоканал"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"Гостиница "Туррис"</v>
          </cell>
          <cell r="R8" t="str">
            <v>7 группа: свыше до 0,01 млн.м3 включительно</v>
          </cell>
        </row>
        <row r="9">
          <cell r="Q9" t="str">
            <v>ЗАО "ДОЗ №1"</v>
          </cell>
        </row>
        <row r="10">
          <cell r="Q10" t="str">
            <v>ЗАО "КировТЭК"</v>
          </cell>
        </row>
        <row r="11">
          <cell r="Q11" t="str">
            <v>ЗАО "ЭКОПРОМ"</v>
          </cell>
        </row>
        <row r="12">
          <cell r="Q12" t="str">
            <v>ЗАО "Энергетический Альянс"</v>
          </cell>
        </row>
        <row r="13">
          <cell r="Q13" t="str">
            <v>ОАО "Аэропорт "Пулково"</v>
          </cell>
        </row>
        <row r="14">
          <cell r="Q14" t="str">
            <v>ОАО "Водотеплоснаб"</v>
          </cell>
        </row>
        <row r="15">
          <cell r="Q15" t="str">
            <v>ОАО "Водтрансприбор"</v>
          </cell>
        </row>
        <row r="16">
          <cell r="Q16" t="str">
            <v>ОАО "ЛОМО"</v>
          </cell>
        </row>
        <row r="17">
          <cell r="Q17" t="str">
            <v>ОАО "Морской порт Санкт-Петербург"</v>
          </cell>
        </row>
        <row r="18">
          <cell r="Q18" t="str">
            <v>ОАО "Особые Экономические Зоны"</v>
          </cell>
        </row>
        <row r="19">
          <cell r="Q19" t="str">
            <v>ОАО "Пролетарский завод"</v>
          </cell>
        </row>
        <row r="20">
          <cell r="Q2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1">
          <cell r="Q21" t="str">
            <v>ОАО "РЭУ" филиал "Санкт-Петербургский"</v>
          </cell>
        </row>
        <row r="22">
          <cell r="Q22" t="str">
            <v>ОАО "Славянка"</v>
          </cell>
        </row>
        <row r="23">
          <cell r="Q23" t="str">
            <v>ООО "Воздушные ворота северной столицы"</v>
          </cell>
        </row>
        <row r="24">
          <cell r="Q24" t="str">
            <v>ООО "Зеленый дом"</v>
          </cell>
        </row>
        <row r="25">
          <cell r="Q25" t="str">
            <v>ООО "Петербургтеплоэнерго"</v>
          </cell>
        </row>
        <row r="26">
          <cell r="Q26" t="str">
            <v>ООО "Софийский бульвар"</v>
          </cell>
        </row>
        <row r="27">
          <cell r="Q27" t="str">
            <v>ООО "Степан Разин Девелопмент"</v>
          </cell>
        </row>
        <row r="28">
          <cell r="Q28" t="str">
            <v>ООО "ТеплоЭнергоВент"</v>
          </cell>
        </row>
        <row r="29">
          <cell r="Q29" t="str">
            <v>ООО "Фирма "РОСС"</v>
          </cell>
        </row>
        <row r="30">
          <cell r="Q30" t="str">
            <v>ООО "ЭКОЛ"</v>
          </cell>
        </row>
        <row r="31">
          <cell r="Q31" t="str">
            <v>ООО "Эксплуатационная компания "Арго-Сервис"</v>
          </cell>
        </row>
        <row r="32">
          <cell r="Q32" t="str">
            <v>ООО "Энергоснаб - Красные Зори"</v>
          </cell>
        </row>
        <row r="33">
          <cell r="Q33" t="str">
            <v>СПб ГБСУСО "Психоневрологический интернат №6"</v>
          </cell>
        </row>
        <row r="34">
          <cell r="Q34" t="str">
            <v>СПб ГУП "Петербургский метрополитен"</v>
          </cell>
        </row>
        <row r="35">
          <cell r="Q35" t="str">
            <v>ФГБОУ ВПО "СПбГПУ"</v>
          </cell>
        </row>
        <row r="36">
          <cell r="Q36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ГНУ ВИР Россельхозакадемии</v>
          </cell>
        </row>
        <row r="3">
          <cell r="A3" t="str">
            <v>ГУП "Водоканал Санкт-Петербурга"</v>
          </cell>
        </row>
        <row r="4">
          <cell r="A4" t="str">
            <v>ГУП "ТЭК СПб"</v>
          </cell>
        </row>
        <row r="5">
          <cell r="A5" t="str">
            <v>ЗАО "АТЭК"</v>
          </cell>
        </row>
        <row r="6">
          <cell r="A6" t="str">
            <v>ЗАО "Александро-Невская мануфактура"</v>
          </cell>
        </row>
        <row r="7">
          <cell r="A7" t="str">
            <v>ЗАО "Асфальтобетонный Завод "Магистраль"</v>
          </cell>
        </row>
        <row r="8">
          <cell r="A8" t="str">
            <v>ЗАО "ГСР ТЭЦ"</v>
          </cell>
        </row>
        <row r="9">
          <cell r="A9" t="str">
            <v>ЗАО "Гостиница "Туррис"</v>
          </cell>
        </row>
        <row r="10">
          <cell r="A10" t="str">
            <v>ЗАО "Группа Прайм"</v>
          </cell>
        </row>
        <row r="11">
          <cell r="A11" t="str">
            <v>ЗАО "Завод Красная Заря. Системы цифровой связи"</v>
          </cell>
        </row>
        <row r="12">
          <cell r="A12" t="str">
            <v>ЗАО "Завод металлоконструкций"</v>
          </cell>
        </row>
        <row r="13">
          <cell r="A13" t="str">
            <v>ЗАО "КировТЭК"</v>
          </cell>
        </row>
        <row r="14">
          <cell r="A14" t="str">
            <v>ЗАО "МЕЗОНТЭК"</v>
          </cell>
        </row>
        <row r="15">
          <cell r="A15" t="str">
            <v>ЗАО "Научно-производственное предприятие "Вектор"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"ИНТЕР РАО - Электрогенерация" (филиал "Северо-Западная ТЭЦ")</v>
          </cell>
        </row>
        <row r="56">
          <cell r="A56" t="str">
            <v>ОАО "Иван Федоров"</v>
          </cell>
        </row>
        <row r="57">
          <cell r="A57" t="str">
            <v>ОАО "Кожа"</v>
          </cell>
        </row>
        <row r="58">
          <cell r="A58" t="str">
            <v>ОАО "Компонент"</v>
          </cell>
        </row>
        <row r="59">
          <cell r="A59" t="str">
            <v>ОАО "Компрессор"</v>
          </cell>
        </row>
        <row r="60">
          <cell r="A60" t="str">
            <v>ОАО "Конструкторское бюро специального машиностроения"</v>
          </cell>
        </row>
        <row r="61">
          <cell r="A61" t="str">
            <v>ОАО "Концерн "Гранит-Электрон"</v>
          </cell>
        </row>
        <row r="62">
          <cell r="A62" t="str">
            <v>ОАО "ЛЕНПОЛИГРАФМАШ"</v>
          </cell>
        </row>
        <row r="63">
          <cell r="A63" t="str">
            <v>ОАО "ЛКХП Кирова"</v>
          </cell>
        </row>
        <row r="64">
          <cell r="A64" t="str">
            <v>ОАО "ЛОМО"</v>
          </cell>
        </row>
        <row r="65">
          <cell r="A65" t="str">
            <v>ОАО "ЛСР. Железобетон-СЗ"</v>
          </cell>
        </row>
        <row r="66">
          <cell r="A66" t="str">
            <v>ОАО "Ленинградский электромеханический завод"</v>
          </cell>
        </row>
        <row r="67">
          <cell r="A67" t="str">
            <v>ОАО "Ленпромгаз"</v>
          </cell>
        </row>
        <row r="68">
          <cell r="A68" t="str">
            <v>ОАО "МЗ "Арсенал"</v>
          </cell>
        </row>
        <row r="69">
          <cell r="A69" t="str">
            <v>ОАО "Морской завод Алмаз"</v>
          </cell>
        </row>
        <row r="70">
          <cell r="A70" t="str">
            <v>ОАО "Морской порт Санкт-Петербург"</v>
          </cell>
        </row>
        <row r="71">
          <cell r="A71" t="str">
            <v>ОАО "НПО ЦКТИ"</v>
          </cell>
        </row>
        <row r="72">
          <cell r="A72" t="str">
            <v>ОАО "НПП "Краснознаменец"</v>
          </cell>
        </row>
        <row r="73">
          <cell r="A73" t="str">
            <v>ОАО "Научно-производственный комплекс "Северная заря"</v>
          </cell>
        </row>
        <row r="74">
          <cell r="A74" t="str">
            <v>ОАО "Невская мануфактура"</v>
          </cell>
        </row>
        <row r="75">
          <cell r="A75" t="str">
            <v>ОАО "Особые Экономические Зоны"</v>
          </cell>
        </row>
        <row r="76">
          <cell r="A76" t="str">
            <v>ОАО "Приморский парк Победы"</v>
          </cell>
        </row>
        <row r="77">
          <cell r="A77" t="str">
            <v>ОАО "Пролетарский завод"</v>
          </cell>
        </row>
        <row r="78">
          <cell r="A78" t="str">
            <v>ОАО "Прядильно-ниточный комбинат "Красная нить"</v>
          </cell>
        </row>
        <row r="79">
          <cell r="A79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0">
          <cell r="A80" t="str">
            <v>ОАО "РЭУ" филиал "Санкт-Петербургский"</v>
          </cell>
        </row>
        <row r="81">
          <cell r="A81" t="str">
            <v>ОАО "Русские самоцветы"</v>
          </cell>
        </row>
        <row r="82">
          <cell r="A82" t="str">
            <v>ОАО "Рыбокомбинат"</v>
          </cell>
        </row>
        <row r="83">
          <cell r="A83" t="str">
            <v>ОАО "СПб Завод ТЭМП"</v>
          </cell>
        </row>
        <row r="84">
          <cell r="A84" t="str">
            <v>ОАО "Санкт-Петербургское морское бюро машиностроения "Малахит"</v>
          </cell>
        </row>
        <row r="85">
          <cell r="A85" t="str">
            <v>ОАО "Светлана"</v>
          </cell>
        </row>
        <row r="86">
          <cell r="A86" t="str">
            <v>ОАО "Северная мануфактура"</v>
          </cell>
        </row>
        <row r="87">
          <cell r="A87" t="str">
            <v>ОАО "Совавто-С.Петербург"</v>
          </cell>
        </row>
        <row r="88">
          <cell r="A88" t="str">
            <v>ОАО "Стройметалконструкция"</v>
          </cell>
        </row>
        <row r="89">
          <cell r="A89" t="str">
            <v>ОАО "ТГК-1"</v>
          </cell>
        </row>
        <row r="90">
          <cell r="A90" t="str">
            <v>ОАО "ТГК-1" филиал "Невский"</v>
          </cell>
        </row>
        <row r="91">
          <cell r="A91" t="str">
            <v>ОАО "Телерадиокомпания "Петербург"</v>
          </cell>
        </row>
        <row r="92">
          <cell r="A92" t="str">
            <v>ОАО "Теплосеть Санкт-Петербурга"</v>
          </cell>
        </row>
        <row r="93">
          <cell r="A93" t="str">
            <v>ОАО "Техприбор"</v>
          </cell>
        </row>
        <row r="94">
          <cell r="A94" t="str">
            <v>ОАО "Фирма Медполимер"</v>
          </cell>
        </row>
        <row r="95">
          <cell r="A95" t="str">
            <v>ОАО "ЦКБ МТ "Рубин"</v>
          </cell>
        </row>
        <row r="96">
          <cell r="A96" t="str">
            <v>ОАО "Штурманские приборы"</v>
          </cell>
        </row>
        <row r="97">
          <cell r="A97" t="str">
            <v>ОАО "Юго-Западная ТЭЦ"</v>
          </cell>
        </row>
        <row r="98">
          <cell r="A98" t="str">
            <v>ОАО ВО "Электроаппарат"</v>
          </cell>
        </row>
        <row r="99">
          <cell r="A99" t="str">
            <v>ООО "АЛЬТЕРНАТИВА"</v>
          </cell>
        </row>
        <row r="100">
          <cell r="A100" t="str">
            <v>ООО "Адамант"</v>
          </cell>
        </row>
        <row r="101">
          <cell r="A101" t="str">
            <v>ООО "Акватерм"</v>
          </cell>
        </row>
        <row r="102">
          <cell r="A102" t="str">
            <v>ООО "Атлантик"</v>
          </cell>
        </row>
        <row r="103">
          <cell r="A103" t="str">
            <v>ООО "Бавария"</v>
          </cell>
        </row>
        <row r="104">
          <cell r="A104" t="str">
            <v>ООО "Балтийский завод - Судостроение"</v>
          </cell>
        </row>
        <row r="105">
          <cell r="A105" t="str">
            <v>ООО "Воздушные ворота северной столицы"</v>
          </cell>
        </row>
        <row r="106">
          <cell r="A106" t="str">
            <v>ООО "Возрождение"</v>
          </cell>
        </row>
        <row r="107">
          <cell r="A107" t="str">
            <v>ООО "ГРАДСТРОЙ"</v>
          </cell>
        </row>
        <row r="108">
          <cell r="A108" t="str">
            <v>ООО "Газпром трансгаз Санкт-Петербург"</v>
          </cell>
        </row>
        <row r="109">
          <cell r="A109" t="str">
            <v>ООО "Гофра-2001"</v>
          </cell>
        </row>
        <row r="110">
          <cell r="A110" t="str">
            <v>ООО "Зеленый дом"</v>
          </cell>
        </row>
        <row r="111">
          <cell r="A111" t="str">
            <v>ООО "ИНТЕРМ"</v>
          </cell>
        </row>
        <row r="112">
          <cell r="A112" t="str">
            <v>ООО "ИнвестКонсалт"</v>
          </cell>
        </row>
        <row r="113">
          <cell r="A113" t="str">
            <v>ООО "Инженерная компания"</v>
          </cell>
        </row>
        <row r="114">
          <cell r="A114" t="str">
            <v>ООО "Институт Гипроникель"</v>
          </cell>
        </row>
        <row r="115">
          <cell r="A115" t="str">
            <v>ООО "КОСМ "Энерго"</v>
          </cell>
        </row>
        <row r="116">
          <cell r="A116" t="str">
            <v>ООО "Квартальная котельная"</v>
          </cell>
        </row>
        <row r="117">
          <cell r="A117" t="str">
            <v>ООО "ЛЕСПРОМ СПб"</v>
          </cell>
        </row>
        <row r="118">
          <cell r="A118" t="str">
            <v>ООО "МегаСтрой"</v>
          </cell>
        </row>
        <row r="119">
          <cell r="A119" t="str">
            <v>ООО "Обуховоэнерго"</v>
          </cell>
        </row>
        <row r="120">
          <cell r="A120" t="str">
            <v>ООО "Объединенные Пивоварни Хейникен"</v>
          </cell>
        </row>
        <row r="121">
          <cell r="A121" t="str">
            <v>ООО "ПТК-Терминал"</v>
          </cell>
        </row>
        <row r="122">
          <cell r="A122" t="str">
            <v>ООО "Петербургская торгово-промышленная компания"</v>
          </cell>
        </row>
        <row r="123">
          <cell r="A123" t="str">
            <v>ООО "Петербургтеплоэнерго"</v>
          </cell>
        </row>
        <row r="124">
          <cell r="A124" t="str">
            <v>ООО "Питерэнерго"</v>
          </cell>
        </row>
        <row r="125">
          <cell r="A125" t="str">
            <v>ООО "Производственное объединение "Пекар"</v>
          </cell>
        </row>
        <row r="126">
          <cell r="A126" t="str">
            <v>ООО "Пулковская ТЭЦ"</v>
          </cell>
        </row>
        <row r="127">
          <cell r="A127" t="str">
            <v>ООО "САНЛИТ-Т"</v>
          </cell>
        </row>
        <row r="128">
          <cell r="A128" t="str">
            <v>ООО "СК Северная Венеция"</v>
          </cell>
        </row>
        <row r="129">
          <cell r="A129" t="str">
            <v>ООО "Светлана-Эстейт"</v>
          </cell>
        </row>
        <row r="130">
          <cell r="A130" t="str">
            <v>ООО "Системы Безопасности Северо-Запад"</v>
          </cell>
        </row>
        <row r="131">
          <cell r="A131" t="str">
            <v>ООО "Софийский бульвар"</v>
          </cell>
        </row>
        <row r="132">
          <cell r="A132" t="str">
            <v>ООО "Степан Разин Девелопмент"</v>
          </cell>
        </row>
        <row r="133">
          <cell r="A133" t="str">
            <v>ООО "ТВК Лесное"</v>
          </cell>
        </row>
        <row r="134">
          <cell r="A134" t="str">
            <v>ООО "ТЭК объединения "Скороход"</v>
          </cell>
        </row>
        <row r="135">
          <cell r="A135" t="str">
            <v>ООО "Таймс"</v>
          </cell>
        </row>
        <row r="136">
          <cell r="A136" t="str">
            <v>ООО "ТеплоЭнергоВент"</v>
          </cell>
        </row>
        <row r="137">
          <cell r="A137" t="str">
            <v>ООО "Теплодар"</v>
          </cell>
        </row>
        <row r="138">
          <cell r="A138" t="str">
            <v>ООО "Теплосервис"</v>
          </cell>
        </row>
        <row r="139">
          <cell r="A139" t="str">
            <v>ООО "Теплоснабжающая компания 282"</v>
          </cell>
        </row>
        <row r="140">
          <cell r="A140" t="str">
            <v>ООО "Теплоэнерго"</v>
          </cell>
        </row>
        <row r="141">
          <cell r="A141" t="str">
            <v>ООО "Троя"</v>
          </cell>
        </row>
        <row r="142">
          <cell r="A142" t="str">
            <v>ООО "Фирма "РОСС"</v>
          </cell>
        </row>
        <row r="143">
          <cell r="A143" t="str">
            <v>ООО "Хлебтранс СПб"</v>
          </cell>
        </row>
        <row r="144">
          <cell r="A144" t="str">
            <v>ООО "ЦМТ и НТС"</v>
          </cell>
        </row>
        <row r="145">
          <cell r="A145" t="str">
            <v>ООО "Цветочная 6"</v>
          </cell>
        </row>
        <row r="146">
          <cell r="A146" t="str">
            <v>ООО "ЭКОН"</v>
          </cell>
        </row>
        <row r="147">
          <cell r="A147" t="str">
            <v>ООО "ЭНЕРГЭС"</v>
          </cell>
        </row>
        <row r="148">
          <cell r="A148" t="str">
            <v>ООО "ЭРМАС"</v>
          </cell>
        </row>
        <row r="149">
          <cell r="A149" t="str">
            <v>ООО "Эксплуатационная компания "Арго-Сервис"</v>
          </cell>
        </row>
        <row r="150">
          <cell r="A150" t="str">
            <v>ООО "Энергетические системы"</v>
          </cell>
        </row>
        <row r="151">
          <cell r="A151" t="str">
            <v>ООО "Энергия"</v>
          </cell>
        </row>
        <row r="152">
          <cell r="A152" t="str">
            <v>ООО "ЭнергоИнвест"</v>
          </cell>
        </row>
        <row r="153">
          <cell r="A153" t="str">
            <v>ООО "ЭнергоРесурс 2005"</v>
          </cell>
        </row>
        <row r="154">
          <cell r="A154" t="str">
            <v>ООО "Энергокомпания "Теплопоставка"</v>
          </cell>
        </row>
        <row r="155">
          <cell r="A155" t="str">
            <v>ООО "Энергопромсервис"</v>
          </cell>
        </row>
        <row r="156">
          <cell r="A156" t="str">
            <v>ООО "Энергосервис"</v>
          </cell>
        </row>
        <row r="157">
          <cell r="A157" t="str">
            <v>ООО "ЮИТ Сервис"</v>
          </cell>
        </row>
        <row r="158">
          <cell r="A158" t="str">
            <v>ООО "Юнит"</v>
          </cell>
        </row>
        <row r="159">
          <cell r="A159" t="str">
            <v>ООО УК "Лэмз"</v>
          </cell>
        </row>
        <row r="160">
          <cell r="A160" t="str">
            <v>С/х производственный кооператив "Племзавод "Детскосельский"</v>
          </cell>
        </row>
        <row r="161">
          <cell r="A161" t="str">
            <v>СПб ГБУЗ "Городская больница им. Н.А.Семашко"</v>
          </cell>
        </row>
        <row r="162">
          <cell r="A162" t="str">
            <v>СПб ГУП "Петербургский метрополитен"</v>
          </cell>
        </row>
        <row r="163">
          <cell r="A163" t="str">
            <v>Тульский филиал ОАО "Ростелеком"</v>
          </cell>
        </row>
        <row r="164">
          <cell r="A164" t="str">
            <v>Университет ИТМО</v>
          </cell>
        </row>
        <row r="165">
          <cell r="A165" t="str">
            <v>ФГБОУ ВПО "ГУМРФ имени адмирала С.О. Макарова"</v>
          </cell>
        </row>
        <row r="166">
          <cell r="A166" t="str">
            <v>ФГБОУ ВПО "СПбГПУ"</v>
          </cell>
        </row>
        <row r="167">
          <cell r="A167" t="str">
            <v>ФГБОУ ВПО ПГУПС</v>
          </cell>
        </row>
        <row r="168">
          <cell r="A168" t="str">
            <v>ФГБУН Институт прикладной астрономии Российской академии наук</v>
          </cell>
        </row>
        <row r="169">
          <cell r="A169" t="str">
            <v>ФГКУ "346 СЦ МЧС"</v>
          </cell>
        </row>
        <row r="170">
          <cell r="A170" t="str">
            <v>ФГУП "Кронштадтский морской завод"</v>
          </cell>
        </row>
        <row r="171">
          <cell r="A171" t="str">
            <v>ФГУП "НИИ командных приборов"</v>
          </cell>
        </row>
        <row r="172">
          <cell r="A172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26422310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>
        <row r="16">
          <cell r="I16">
            <v>18942.310000000001</v>
          </cell>
        </row>
      </sheetData>
      <sheetData sheetId="7">
        <row r="36">
          <cell r="H36">
            <v>1.03653</v>
          </cell>
        </row>
      </sheetData>
      <sheetData sheetId="8">
        <row r="17">
          <cell r="I17">
            <v>19568.498</v>
          </cell>
        </row>
      </sheetData>
      <sheetData sheetId="9">
        <row r="17">
          <cell r="I17">
            <v>20499.343000000001</v>
          </cell>
        </row>
      </sheetData>
      <sheetData sheetId="10">
        <row r="17">
          <cell r="I17">
            <v>0</v>
          </cell>
        </row>
      </sheetData>
      <sheetData sheetId="11">
        <row r="17">
          <cell r="I17">
            <v>0</v>
          </cell>
        </row>
      </sheetData>
      <sheetData sheetId="12">
        <row r="17">
          <cell r="I17">
            <v>0</v>
          </cell>
        </row>
      </sheetData>
      <sheetData sheetId="13"/>
      <sheetData sheetId="14">
        <row r="16">
          <cell r="I16">
            <v>0</v>
          </cell>
        </row>
      </sheetData>
      <sheetData sheetId="15">
        <row r="16">
          <cell r="I16">
            <v>187.07400000000001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/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P4">
            <v>283.92500000000001</v>
          </cell>
        </row>
      </sheetData>
      <sheetData sheetId="5">
        <row r="5">
          <cell r="Z5">
            <v>14943.677369999998</v>
          </cell>
        </row>
      </sheetData>
      <sheetData sheetId="6">
        <row r="29">
          <cell r="H29">
            <v>33048.94556742</v>
          </cell>
        </row>
      </sheetData>
      <sheetData sheetId="7">
        <row r="14">
          <cell r="H14">
            <v>4078.9473684210529</v>
          </cell>
        </row>
      </sheetData>
      <sheetData sheetId="8">
        <row r="26">
          <cell r="H26">
            <v>95.983770000000007</v>
          </cell>
        </row>
      </sheetData>
      <sheetData sheetId="9">
        <row r="72">
          <cell r="AL72">
            <v>1243.0809999999999</v>
          </cell>
        </row>
      </sheetData>
      <sheetData sheetId="10">
        <row r="26">
          <cell r="H26">
            <v>95.983770000000007</v>
          </cell>
        </row>
      </sheetData>
      <sheetData sheetId="11"/>
      <sheetData sheetId="12">
        <row r="33">
          <cell r="H33">
            <v>614374.46</v>
          </cell>
        </row>
      </sheetData>
      <sheetData sheetId="13" refreshError="1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/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P4">
            <v>283.92500000000001</v>
          </cell>
        </row>
      </sheetData>
      <sheetData sheetId="5">
        <row r="5">
          <cell r="Z5">
            <v>14943.677369999998</v>
          </cell>
        </row>
      </sheetData>
      <sheetData sheetId="6">
        <row r="29">
          <cell r="H29">
            <v>33048.94556742</v>
          </cell>
        </row>
      </sheetData>
      <sheetData sheetId="7">
        <row r="14">
          <cell r="H14">
            <v>4078.9473684210529</v>
          </cell>
        </row>
      </sheetData>
      <sheetData sheetId="8">
        <row r="26">
          <cell r="H26">
            <v>95.983770000000007</v>
          </cell>
        </row>
      </sheetData>
      <sheetData sheetId="9">
        <row r="72">
          <cell r="AL72">
            <v>1243.0809999999999</v>
          </cell>
        </row>
      </sheetData>
      <sheetData sheetId="10">
        <row r="26">
          <cell r="H26">
            <v>95.983770000000007</v>
          </cell>
        </row>
      </sheetData>
      <sheetData sheetId="11"/>
      <sheetData sheetId="12">
        <row r="33">
          <cell r="H33">
            <v>614374.46</v>
          </cell>
        </row>
      </sheetData>
      <sheetData sheetId="13" refreshError="1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O3" t="str">
            <v>Модернизация</v>
          </cell>
          <cell r="S3" t="str">
            <v>Прибыль от нерегулируемых видов деятельности</v>
          </cell>
        </row>
        <row r="4">
          <cell r="O4" t="str">
            <v>Новое строительство</v>
          </cell>
          <cell r="S4" t="str">
            <v>Прибыль от технологического присоединения (подключения)</v>
          </cell>
        </row>
        <row r="5">
          <cell r="O5" t="str">
            <v>Техническое перевооружение</v>
          </cell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1_ДиапазонЗащиты"/>
      <definedName name="P2_SCOPE_SV_PRT" refersTo="#ССЫЛКА!"/>
      <definedName name="P2_ДиапазонЗащиты"/>
      <definedName name="P3_SCOPE_SV_PRT" refersTo="#ССЫЛКА!"/>
      <definedName name="P3_ДиапазонЗащиты"/>
      <definedName name="P4_ДиапазонЗащиты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в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оро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Т-ТС.26"/>
      <sheetName val="СТ-ТС.27"/>
      <sheetName val="Ссылки на публикации"/>
      <sheetName val="Проверка"/>
    </sheetNames>
    <sheetDataSet>
      <sheetData sheetId="0">
        <row r="2">
          <cell r="E2">
            <v>2012</v>
          </cell>
          <cell r="L2" t="str">
            <v>Метод экономически обоснованных расходов (затрат)</v>
          </cell>
          <cell r="N2" t="str">
            <v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v>
          </cell>
        </row>
        <row r="3">
          <cell r="L3" t="str">
            <v>Метод индексации установленных тарифов</v>
          </cell>
          <cell r="N3" t="str">
            <v>Индекс эффективности операционных расходов (индекс снижения расходов при методе сравнения аналогов)</v>
          </cell>
        </row>
        <row r="4">
          <cell r="L4" t="str">
            <v>Метод обеспечения доходности инвестированного капитала</v>
          </cell>
          <cell r="N4" t="str">
            <v xml:space="preserve">Норматив чистого оборотного капитала (в процентах) </v>
          </cell>
        </row>
        <row r="5">
          <cell r="L5" t="str">
            <v>Метод сравнения аналогов</v>
          </cell>
          <cell r="N5" t="str">
            <v xml:space="preserve">Норма доходности инвестированного капитала </v>
          </cell>
        </row>
        <row r="6">
          <cell r="N6" t="str">
            <v xml:space="preserve">Размер инвестированного капитала </v>
          </cell>
        </row>
        <row r="7">
          <cell r="N7" t="str">
            <v xml:space="preserve">Срок возврата инвестированного капитала </v>
          </cell>
        </row>
        <row r="8">
          <cell r="N8" t="str">
            <v>Уровень надежности теплоснабжения</v>
          </cell>
        </row>
        <row r="9">
          <cell r="N9" t="str">
            <v xml:space="preserve">Показатели энергосбережения и энергетической эффективности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Т-ТС.26"/>
      <sheetName val="СТ-ТС.27"/>
      <sheetName val="Ссылки на публикации"/>
      <sheetName val="Проверка"/>
    </sheetNames>
    <sheetDataSet>
      <sheetData sheetId="0">
        <row r="2">
          <cell r="E2">
            <v>2012</v>
          </cell>
          <cell r="L2" t="str">
            <v>Метод экономически обоснованных расходов (затрат)</v>
          </cell>
          <cell r="N2" t="str">
            <v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v>
          </cell>
        </row>
        <row r="3">
          <cell r="L3" t="str">
            <v>Метод индексации установленных тарифов</v>
          </cell>
          <cell r="N3" t="str">
            <v>Индекс эффективности операционных расходов (индекс снижения расходов при методе сравнения аналогов)</v>
          </cell>
        </row>
        <row r="4">
          <cell r="L4" t="str">
            <v>Метод обеспечения доходности инвестированного капитала</v>
          </cell>
          <cell r="N4" t="str">
            <v xml:space="preserve">Норматив чистого оборотного капитала (в процентах) </v>
          </cell>
        </row>
        <row r="5">
          <cell r="L5" t="str">
            <v>Метод сравнения аналогов</v>
          </cell>
          <cell r="N5" t="str">
            <v xml:space="preserve">Норма доходности инвестированного капитала </v>
          </cell>
        </row>
        <row r="6">
          <cell r="N6" t="str">
            <v xml:space="preserve">Размер инвестированного капитала </v>
          </cell>
        </row>
        <row r="7">
          <cell r="N7" t="str">
            <v xml:space="preserve">Срок возврата инвестированного капитала </v>
          </cell>
        </row>
        <row r="8">
          <cell r="N8" t="str">
            <v>Уровень надежности теплоснабжения</v>
          </cell>
        </row>
        <row r="9">
          <cell r="N9" t="str">
            <v xml:space="preserve">Показатели энергосбережения и энергетической эффективности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3">
          <cell r="J3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C6:V176"/>
  <sheetViews>
    <sheetView view="pageBreakPreview" zoomScaleNormal="100" zoomScaleSheetLayoutView="100" workbookViewId="0">
      <selection activeCell="H8" sqref="H8"/>
    </sheetView>
  </sheetViews>
  <sheetFormatPr defaultRowHeight="12.75" outlineLevelRow="1"/>
  <cols>
    <col min="1" max="2" width="2.75" style="11" customWidth="1"/>
    <col min="3" max="3" width="32.375" style="11" customWidth="1"/>
    <col min="4" max="4" width="10.5" style="11" bestFit="1" customWidth="1"/>
    <col min="5" max="6" width="11.125" style="11" bestFit="1" customWidth="1"/>
    <col min="7" max="7" width="10.625" style="11" customWidth="1"/>
    <col min="8" max="9" width="11.125" style="11" bestFit="1" customWidth="1"/>
    <col min="10" max="10" width="10.625" style="11" customWidth="1"/>
    <col min="11" max="11" width="11.125" style="11" bestFit="1" customWidth="1"/>
    <col min="12" max="12" width="11.375" style="11" customWidth="1"/>
    <col min="13" max="13" width="9.625" style="11" bestFit="1" customWidth="1"/>
    <col min="14" max="15" width="11.125" style="11" bestFit="1" customWidth="1"/>
    <col min="16" max="16" width="9.625" style="11" bestFit="1" customWidth="1"/>
    <col min="17" max="18" width="11.125" style="11" bestFit="1" customWidth="1"/>
    <col min="19" max="19" width="9.625" style="11" bestFit="1" customWidth="1"/>
    <col min="20" max="248" width="9" style="11"/>
    <col min="249" max="249" width="25.625" style="11" customWidth="1"/>
    <col min="250" max="504" width="9" style="11"/>
    <col min="505" max="505" width="25.625" style="11" customWidth="1"/>
    <col min="506" max="760" width="9" style="11"/>
    <col min="761" max="761" width="25.625" style="11" customWidth="1"/>
    <col min="762" max="1016" width="9" style="11"/>
    <col min="1017" max="1017" width="25.625" style="11" customWidth="1"/>
    <col min="1018" max="1272" width="9" style="11"/>
    <col min="1273" max="1273" width="25.625" style="11" customWidth="1"/>
    <col min="1274" max="1528" width="9" style="11"/>
    <col min="1529" max="1529" width="25.625" style="11" customWidth="1"/>
    <col min="1530" max="1784" width="9" style="11"/>
    <col min="1785" max="1785" width="25.625" style="11" customWidth="1"/>
    <col min="1786" max="2040" width="9" style="11"/>
    <col min="2041" max="2041" width="25.625" style="11" customWidth="1"/>
    <col min="2042" max="2296" width="9" style="11"/>
    <col min="2297" max="2297" width="25.625" style="11" customWidth="1"/>
    <col min="2298" max="2552" width="9" style="11"/>
    <col min="2553" max="2553" width="25.625" style="11" customWidth="1"/>
    <col min="2554" max="2808" width="9" style="11"/>
    <col min="2809" max="2809" width="25.625" style="11" customWidth="1"/>
    <col min="2810" max="3064" width="9" style="11"/>
    <col min="3065" max="3065" width="25.625" style="11" customWidth="1"/>
    <col min="3066" max="3320" width="9" style="11"/>
    <col min="3321" max="3321" width="25.625" style="11" customWidth="1"/>
    <col min="3322" max="3576" width="9" style="11"/>
    <col min="3577" max="3577" width="25.625" style="11" customWidth="1"/>
    <col min="3578" max="3832" width="9" style="11"/>
    <col min="3833" max="3833" width="25.625" style="11" customWidth="1"/>
    <col min="3834" max="4088" width="9" style="11"/>
    <col min="4089" max="4089" width="25.625" style="11" customWidth="1"/>
    <col min="4090" max="4344" width="9" style="11"/>
    <col min="4345" max="4345" width="25.625" style="11" customWidth="1"/>
    <col min="4346" max="4600" width="9" style="11"/>
    <col min="4601" max="4601" width="25.625" style="11" customWidth="1"/>
    <col min="4602" max="4856" width="9" style="11"/>
    <col min="4857" max="4857" width="25.625" style="11" customWidth="1"/>
    <col min="4858" max="5112" width="9" style="11"/>
    <col min="5113" max="5113" width="25.625" style="11" customWidth="1"/>
    <col min="5114" max="5368" width="9" style="11"/>
    <col min="5369" max="5369" width="25.625" style="11" customWidth="1"/>
    <col min="5370" max="5624" width="9" style="11"/>
    <col min="5625" max="5625" width="25.625" style="11" customWidth="1"/>
    <col min="5626" max="5880" width="9" style="11"/>
    <col min="5881" max="5881" width="25.625" style="11" customWidth="1"/>
    <col min="5882" max="6136" width="9" style="11"/>
    <col min="6137" max="6137" width="25.625" style="11" customWidth="1"/>
    <col min="6138" max="6392" width="9" style="11"/>
    <col min="6393" max="6393" width="25.625" style="11" customWidth="1"/>
    <col min="6394" max="6648" width="9" style="11"/>
    <col min="6649" max="6649" width="25.625" style="11" customWidth="1"/>
    <col min="6650" max="6904" width="9" style="11"/>
    <col min="6905" max="6905" width="25.625" style="11" customWidth="1"/>
    <col min="6906" max="7160" width="9" style="11"/>
    <col min="7161" max="7161" width="25.625" style="11" customWidth="1"/>
    <col min="7162" max="7416" width="9" style="11"/>
    <col min="7417" max="7417" width="25.625" style="11" customWidth="1"/>
    <col min="7418" max="7672" width="9" style="11"/>
    <col min="7673" max="7673" width="25.625" style="11" customWidth="1"/>
    <col min="7674" max="7928" width="9" style="11"/>
    <col min="7929" max="7929" width="25.625" style="11" customWidth="1"/>
    <col min="7930" max="8184" width="9" style="11"/>
    <col min="8185" max="8185" width="25.625" style="11" customWidth="1"/>
    <col min="8186" max="8440" width="9" style="11"/>
    <col min="8441" max="8441" width="25.625" style="11" customWidth="1"/>
    <col min="8442" max="8696" width="9" style="11"/>
    <col min="8697" max="8697" width="25.625" style="11" customWidth="1"/>
    <col min="8698" max="8952" width="9" style="11"/>
    <col min="8953" max="8953" width="25.625" style="11" customWidth="1"/>
    <col min="8954" max="9208" width="9" style="11"/>
    <col min="9209" max="9209" width="25.625" style="11" customWidth="1"/>
    <col min="9210" max="9464" width="9" style="11"/>
    <col min="9465" max="9465" width="25.625" style="11" customWidth="1"/>
    <col min="9466" max="9720" width="9" style="11"/>
    <col min="9721" max="9721" width="25.625" style="11" customWidth="1"/>
    <col min="9722" max="9976" width="9" style="11"/>
    <col min="9977" max="9977" width="25.625" style="11" customWidth="1"/>
    <col min="9978" max="10232" width="9" style="11"/>
    <col min="10233" max="10233" width="25.625" style="11" customWidth="1"/>
    <col min="10234" max="10488" width="9" style="11"/>
    <col min="10489" max="10489" width="25.625" style="11" customWidth="1"/>
    <col min="10490" max="10744" width="9" style="11"/>
    <col min="10745" max="10745" width="25.625" style="11" customWidth="1"/>
    <col min="10746" max="11000" width="9" style="11"/>
    <col min="11001" max="11001" width="25.625" style="11" customWidth="1"/>
    <col min="11002" max="11256" width="9" style="11"/>
    <col min="11257" max="11257" width="25.625" style="11" customWidth="1"/>
    <col min="11258" max="11512" width="9" style="11"/>
    <col min="11513" max="11513" width="25.625" style="11" customWidth="1"/>
    <col min="11514" max="11768" width="9" style="11"/>
    <col min="11769" max="11769" width="25.625" style="11" customWidth="1"/>
    <col min="11770" max="12024" width="9" style="11"/>
    <col min="12025" max="12025" width="25.625" style="11" customWidth="1"/>
    <col min="12026" max="12280" width="9" style="11"/>
    <col min="12281" max="12281" width="25.625" style="11" customWidth="1"/>
    <col min="12282" max="12536" width="9" style="11"/>
    <col min="12537" max="12537" width="25.625" style="11" customWidth="1"/>
    <col min="12538" max="12792" width="9" style="11"/>
    <col min="12793" max="12793" width="25.625" style="11" customWidth="1"/>
    <col min="12794" max="13048" width="9" style="11"/>
    <col min="13049" max="13049" width="25.625" style="11" customWidth="1"/>
    <col min="13050" max="13304" width="9" style="11"/>
    <col min="13305" max="13305" width="25.625" style="11" customWidth="1"/>
    <col min="13306" max="13560" width="9" style="11"/>
    <col min="13561" max="13561" width="25.625" style="11" customWidth="1"/>
    <col min="13562" max="13816" width="9" style="11"/>
    <col min="13817" max="13817" width="25.625" style="11" customWidth="1"/>
    <col min="13818" max="14072" width="9" style="11"/>
    <col min="14073" max="14073" width="25.625" style="11" customWidth="1"/>
    <col min="14074" max="14328" width="9" style="11"/>
    <col min="14329" max="14329" width="25.625" style="11" customWidth="1"/>
    <col min="14330" max="14584" width="9" style="11"/>
    <col min="14585" max="14585" width="25.625" style="11" customWidth="1"/>
    <col min="14586" max="14840" width="9" style="11"/>
    <col min="14841" max="14841" width="25.625" style="11" customWidth="1"/>
    <col min="14842" max="15096" width="9" style="11"/>
    <col min="15097" max="15097" width="25.625" style="11" customWidth="1"/>
    <col min="15098" max="15352" width="9" style="11"/>
    <col min="15353" max="15353" width="25.625" style="11" customWidth="1"/>
    <col min="15354" max="15608" width="9" style="11"/>
    <col min="15609" max="15609" width="25.625" style="11" customWidth="1"/>
    <col min="15610" max="15864" width="9" style="11"/>
    <col min="15865" max="15865" width="25.625" style="11" customWidth="1"/>
    <col min="15866" max="16120" width="9" style="11"/>
    <col min="16121" max="16121" width="25.625" style="11" customWidth="1"/>
    <col min="16122" max="16384" width="9" style="11"/>
  </cols>
  <sheetData>
    <row r="6" spans="3:12" ht="13.5" thickBot="1">
      <c r="C6" s="10" t="s">
        <v>11</v>
      </c>
    </row>
    <row r="7" spans="3:12" ht="12.75" customHeight="1" thickBot="1">
      <c r="C7" s="10"/>
      <c r="D7" s="191">
        <v>2015</v>
      </c>
      <c r="E7" s="336">
        <v>2016</v>
      </c>
      <c r="F7" s="192">
        <v>2017</v>
      </c>
      <c r="G7" s="351">
        <v>2018</v>
      </c>
      <c r="H7" s="159">
        <v>2019</v>
      </c>
      <c r="I7" s="159">
        <v>2020</v>
      </c>
      <c r="J7" s="159">
        <v>2021</v>
      </c>
      <c r="K7" s="159">
        <v>2022</v>
      </c>
      <c r="L7" s="167">
        <v>2023</v>
      </c>
    </row>
    <row r="8" spans="3:12" s="14" customFormat="1" ht="15.75" customHeight="1">
      <c r="C8" s="13" t="s">
        <v>12</v>
      </c>
      <c r="D8" s="193">
        <v>1.0669999999999999</v>
      </c>
      <c r="E8" s="194">
        <v>1.071</v>
      </c>
      <c r="F8" s="195">
        <v>1.0369999999999999</v>
      </c>
      <c r="G8" s="352">
        <v>1.0269999999999999</v>
      </c>
      <c r="H8" s="187">
        <v>1.046</v>
      </c>
      <c r="I8" s="187">
        <v>1.034</v>
      </c>
      <c r="J8" s="187">
        <v>1.04</v>
      </c>
      <c r="K8" s="187">
        <v>1.04</v>
      </c>
      <c r="L8" s="188">
        <v>1.04</v>
      </c>
    </row>
    <row r="9" spans="3:12" s="14" customFormat="1" ht="15.75" customHeight="1">
      <c r="C9" s="13" t="s">
        <v>394</v>
      </c>
      <c r="D9" s="196">
        <v>1.089</v>
      </c>
      <c r="E9" s="197">
        <v>1.075</v>
      </c>
      <c r="F9" s="198">
        <v>1.03</v>
      </c>
      <c r="G9" s="353">
        <v>1.0389999999999999</v>
      </c>
      <c r="H9" s="19">
        <v>1.0589999999999999</v>
      </c>
      <c r="I9" s="19">
        <v>1.042</v>
      </c>
      <c r="J9" s="19">
        <v>1.04</v>
      </c>
      <c r="K9" s="19">
        <v>1.04</v>
      </c>
      <c r="L9" s="168">
        <v>1.0389999999999999</v>
      </c>
    </row>
    <row r="10" spans="3:12" s="14" customFormat="1" ht="27" customHeight="1">
      <c r="C10" s="13" t="s">
        <v>395</v>
      </c>
      <c r="D10" s="199">
        <v>1.1200000000000001</v>
      </c>
      <c r="E10" s="200">
        <v>1.1200000000000001</v>
      </c>
      <c r="F10" s="201">
        <v>1.1200000000000001</v>
      </c>
      <c r="G10" s="354">
        <v>1.1200000000000001</v>
      </c>
      <c r="H10" s="126">
        <v>1.08</v>
      </c>
      <c r="I10" s="126">
        <v>1.08</v>
      </c>
      <c r="J10" s="126">
        <v>1.04</v>
      </c>
      <c r="K10" s="126">
        <v>1.04</v>
      </c>
      <c r="L10" s="169">
        <v>1.04</v>
      </c>
    </row>
    <row r="11" spans="3:12" s="14" customFormat="1" ht="26.25" customHeight="1">
      <c r="C11" s="13" t="s">
        <v>396</v>
      </c>
      <c r="D11" s="202">
        <v>1.1000000000000001</v>
      </c>
      <c r="E11" s="203">
        <v>1.1000000000000001</v>
      </c>
      <c r="F11" s="204">
        <v>1.1000000000000001</v>
      </c>
      <c r="G11" s="355">
        <v>1.075</v>
      </c>
      <c r="H11" s="186">
        <v>1.07</v>
      </c>
      <c r="I11" s="186">
        <v>1.07</v>
      </c>
      <c r="J11" s="186">
        <v>1.04</v>
      </c>
      <c r="K11" s="186">
        <v>1.04</v>
      </c>
      <c r="L11" s="189">
        <v>1.04</v>
      </c>
    </row>
    <row r="12" spans="3:12" s="14" customFormat="1" ht="16.5" customHeight="1" thickBot="1">
      <c r="C12" s="15" t="s">
        <v>15</v>
      </c>
      <c r="D12" s="205">
        <v>1.085</v>
      </c>
      <c r="E12" s="206">
        <v>1.04</v>
      </c>
      <c r="F12" s="207">
        <v>1.04</v>
      </c>
      <c r="G12" s="356">
        <v>1.0389999999999999</v>
      </c>
      <c r="H12" s="329">
        <v>1.0589999999999999</v>
      </c>
      <c r="I12" s="329">
        <v>1.042</v>
      </c>
      <c r="J12" s="329">
        <v>1.04</v>
      </c>
      <c r="K12" s="329">
        <v>1.04</v>
      </c>
      <c r="L12" s="330">
        <v>1.0389999999999999</v>
      </c>
    </row>
    <row r="13" spans="3:12" s="14" customFormat="1" ht="16.5" customHeight="1" thickBot="1">
      <c r="C13" s="16" t="s">
        <v>13</v>
      </c>
      <c r="D13" s="208"/>
      <c r="E13" s="209"/>
      <c r="F13" s="210"/>
      <c r="G13" s="357"/>
      <c r="H13" s="20"/>
      <c r="I13" s="20"/>
      <c r="J13" s="20"/>
      <c r="K13" s="20"/>
      <c r="L13" s="170"/>
    </row>
    <row r="14" spans="3:12" s="14" customFormat="1" ht="15.75" customHeight="1">
      <c r="C14" s="17" t="s">
        <v>397</v>
      </c>
      <c r="D14" s="211">
        <v>1.075</v>
      </c>
      <c r="E14" s="212">
        <v>1.02</v>
      </c>
      <c r="F14" s="213">
        <v>1.0389999999999999</v>
      </c>
      <c r="G14" s="358">
        <v>1.034</v>
      </c>
      <c r="H14" s="127">
        <v>1.014</v>
      </c>
      <c r="I14" s="127">
        <v>1.03</v>
      </c>
      <c r="J14" s="127">
        <v>1.03</v>
      </c>
      <c r="K14" s="127">
        <v>1.03</v>
      </c>
      <c r="L14" s="171">
        <v>1.03</v>
      </c>
    </row>
    <row r="15" spans="3:12" s="14" customFormat="1" ht="15.75" customHeight="1">
      <c r="C15" s="18" t="s">
        <v>398</v>
      </c>
      <c r="D15" s="199">
        <v>1.075</v>
      </c>
      <c r="E15" s="200">
        <f>E14</f>
        <v>1.02</v>
      </c>
      <c r="F15" s="201">
        <f>F14</f>
        <v>1.0389999999999999</v>
      </c>
      <c r="G15" s="354">
        <v>1.034</v>
      </c>
      <c r="H15" s="126">
        <v>1.014</v>
      </c>
      <c r="I15" s="126">
        <v>1.03</v>
      </c>
      <c r="J15" s="126">
        <v>1.03</v>
      </c>
      <c r="K15" s="126">
        <v>1.03</v>
      </c>
      <c r="L15" s="169">
        <v>1.03</v>
      </c>
    </row>
    <row r="16" spans="3:12" s="14" customFormat="1">
      <c r="C16" s="13" t="s">
        <v>24</v>
      </c>
      <c r="D16" s="196">
        <v>0.99099999999999999</v>
      </c>
      <c r="E16" s="214"/>
      <c r="F16" s="215">
        <v>1.1579999999999999</v>
      </c>
      <c r="G16" s="359">
        <v>1.2210000000000001</v>
      </c>
      <c r="H16" s="331">
        <v>1.0189999999999999</v>
      </c>
      <c r="I16" s="331">
        <v>1.004</v>
      </c>
      <c r="J16" s="331">
        <v>1.0049999999999999</v>
      </c>
      <c r="K16" s="331">
        <v>1.016</v>
      </c>
      <c r="L16" s="332">
        <v>1.0269999999999999</v>
      </c>
    </row>
    <row r="17" spans="3:15" s="14" customFormat="1" ht="13.5" thickBot="1">
      <c r="C17" s="13" t="s">
        <v>38</v>
      </c>
      <c r="D17" s="196">
        <v>1.032</v>
      </c>
      <c r="E17" s="216">
        <v>1.0129999999999999</v>
      </c>
      <c r="F17" s="217">
        <v>1.0740000000000001</v>
      </c>
      <c r="G17" s="360">
        <v>1.0980000000000001</v>
      </c>
      <c r="H17" s="333">
        <v>1.0429999999999999</v>
      </c>
      <c r="I17" s="333">
        <v>1.0409999999999999</v>
      </c>
      <c r="J17" s="335">
        <v>1.04</v>
      </c>
      <c r="K17" s="333">
        <v>1.042</v>
      </c>
      <c r="L17" s="334">
        <v>1.0429999999999999</v>
      </c>
    </row>
    <row r="19" spans="3:15" hidden="1"/>
    <row r="20" spans="3:15" hidden="1"/>
    <row r="21" spans="3:15" hidden="1">
      <c r="C21" s="11" t="s">
        <v>399</v>
      </c>
    </row>
    <row r="22" spans="3:15" ht="38.25" hidden="1">
      <c r="D22" s="184" t="s">
        <v>8</v>
      </c>
      <c r="E22" s="184" t="s">
        <v>252</v>
      </c>
      <c r="F22" s="185" t="s">
        <v>253</v>
      </c>
      <c r="G22" s="185" t="s">
        <v>254</v>
      </c>
      <c r="H22" s="185" t="s">
        <v>255</v>
      </c>
      <c r="I22" s="185" t="s">
        <v>256</v>
      </c>
      <c r="J22" s="185" t="s">
        <v>257</v>
      </c>
      <c r="K22" s="185" t="s">
        <v>258</v>
      </c>
    </row>
    <row r="23" spans="3:15" hidden="1">
      <c r="C23" s="181" t="s">
        <v>40</v>
      </c>
      <c r="D23" s="183" t="s">
        <v>16</v>
      </c>
      <c r="E23" s="182">
        <v>4528</v>
      </c>
      <c r="F23" s="182">
        <v>4528</v>
      </c>
      <c r="G23" s="182">
        <v>4528</v>
      </c>
      <c r="H23" s="182">
        <v>4528</v>
      </c>
      <c r="I23" s="182">
        <v>4528</v>
      </c>
      <c r="J23" s="182">
        <v>4528</v>
      </c>
      <c r="K23" s="182">
        <v>4528</v>
      </c>
      <c r="L23" s="1201" t="s">
        <v>345</v>
      </c>
      <c r="M23" s="1202"/>
      <c r="N23" s="1202"/>
      <c r="O23" s="1202"/>
    </row>
    <row r="24" spans="3:15" s="234" customFormat="1" ht="25.5" hidden="1">
      <c r="C24" s="229" t="s">
        <v>180</v>
      </c>
      <c r="D24" s="231" t="s">
        <v>349</v>
      </c>
      <c r="E24" s="232" t="e">
        <f>$G$94/$G$113*7000</f>
        <v>#DIV/0!</v>
      </c>
      <c r="F24" s="232" t="e">
        <f t="shared" ref="F24:K24" si="0">$G$94/$G$113*7000</f>
        <v>#DIV/0!</v>
      </c>
      <c r="G24" s="232" t="e">
        <f t="shared" si="0"/>
        <v>#DIV/0!</v>
      </c>
      <c r="H24" s="232" t="e">
        <f t="shared" si="0"/>
        <v>#DIV/0!</v>
      </c>
      <c r="I24" s="232" t="e">
        <f t="shared" si="0"/>
        <v>#DIV/0!</v>
      </c>
      <c r="J24" s="232" t="e">
        <f t="shared" si="0"/>
        <v>#DIV/0!</v>
      </c>
      <c r="K24" s="232" t="e">
        <f t="shared" si="0"/>
        <v>#DIV/0!</v>
      </c>
      <c r="L24" s="233"/>
      <c r="M24" s="233"/>
      <c r="N24" s="233"/>
      <c r="O24" s="233"/>
    </row>
    <row r="25" spans="3:15" s="234" customFormat="1" hidden="1">
      <c r="C25" s="229" t="s">
        <v>348</v>
      </c>
      <c r="D25" s="231"/>
      <c r="E25" s="232" t="e">
        <f>E24/7900</f>
        <v>#DIV/0!</v>
      </c>
      <c r="F25" s="232" t="e">
        <f t="shared" ref="F25:K25" si="1">F24/7900</f>
        <v>#DIV/0!</v>
      </c>
      <c r="G25" s="232" t="e">
        <f t="shared" si="1"/>
        <v>#DIV/0!</v>
      </c>
      <c r="H25" s="232" t="e">
        <f t="shared" si="1"/>
        <v>#DIV/0!</v>
      </c>
      <c r="I25" s="232" t="e">
        <f t="shared" si="1"/>
        <v>#DIV/0!</v>
      </c>
      <c r="J25" s="232" t="e">
        <f t="shared" si="1"/>
        <v>#DIV/0!</v>
      </c>
      <c r="K25" s="232" t="e">
        <f t="shared" si="1"/>
        <v>#DIV/0!</v>
      </c>
      <c r="L25" s="233"/>
      <c r="M25" s="233"/>
      <c r="N25" s="233"/>
      <c r="O25" s="233"/>
    </row>
    <row r="26" spans="3:15" ht="25.5" hidden="1">
      <c r="C26" s="230" t="s">
        <v>350</v>
      </c>
      <c r="D26" s="183" t="s">
        <v>16</v>
      </c>
      <c r="E26" s="182" t="e">
        <f>ROUND(E23*E25,2)</f>
        <v>#DIV/0!</v>
      </c>
      <c r="F26" s="182" t="e">
        <f t="shared" ref="F26:K26" si="2">ROUND(F23*F25,2)</f>
        <v>#DIV/0!</v>
      </c>
      <c r="G26" s="182" t="e">
        <f t="shared" si="2"/>
        <v>#DIV/0!</v>
      </c>
      <c r="H26" s="182" t="e">
        <f t="shared" si="2"/>
        <v>#DIV/0!</v>
      </c>
      <c r="I26" s="182" t="e">
        <f t="shared" si="2"/>
        <v>#DIV/0!</v>
      </c>
      <c r="J26" s="182" t="e">
        <f t="shared" si="2"/>
        <v>#DIV/0!</v>
      </c>
      <c r="K26" s="182" t="e">
        <f t="shared" si="2"/>
        <v>#DIV/0!</v>
      </c>
      <c r="L26" s="228"/>
      <c r="M26" s="228"/>
      <c r="N26" s="228"/>
      <c r="O26" s="228"/>
    </row>
    <row r="27" spans="3:15" hidden="1">
      <c r="C27" s="181" t="s">
        <v>41</v>
      </c>
      <c r="D27" s="183" t="s">
        <v>16</v>
      </c>
      <c r="E27" s="182">
        <f>86.17</f>
        <v>86.17</v>
      </c>
      <c r="F27" s="182">
        <f>87.74</f>
        <v>87.74</v>
      </c>
      <c r="G27" s="182">
        <f>93.52</f>
        <v>93.52</v>
      </c>
      <c r="H27" s="182">
        <f>106.13</f>
        <v>106.13</v>
      </c>
      <c r="I27" s="182">
        <f>107.49</f>
        <v>107.49</v>
      </c>
      <c r="J27" s="182">
        <f>108.75</f>
        <v>108.75</v>
      </c>
      <c r="K27" s="182">
        <f>109.81</f>
        <v>109.81</v>
      </c>
      <c r="L27" s="11" t="s">
        <v>259</v>
      </c>
    </row>
    <row r="28" spans="3:15" ht="25.5" hidden="1">
      <c r="C28" s="12" t="s">
        <v>346</v>
      </c>
      <c r="D28" s="183" t="s">
        <v>16</v>
      </c>
      <c r="E28" s="182">
        <f>384.84</f>
        <v>384.84</v>
      </c>
      <c r="F28" s="182">
        <f>398.83</f>
        <v>398.83</v>
      </c>
      <c r="G28" s="182">
        <f>567.63</f>
        <v>567.63</v>
      </c>
      <c r="H28" s="182">
        <f>776.37</f>
        <v>776.37</v>
      </c>
      <c r="I28" s="182">
        <f>780.63</f>
        <v>780.63</v>
      </c>
      <c r="J28" s="182">
        <f>784.88</f>
        <v>784.88</v>
      </c>
      <c r="K28" s="182">
        <f>893.54</f>
        <v>893.54</v>
      </c>
      <c r="L28" s="11" t="s">
        <v>260</v>
      </c>
    </row>
    <row r="29" spans="3:15" ht="38.25" hidden="1" customHeight="1">
      <c r="C29" s="12" t="s">
        <v>347</v>
      </c>
      <c r="D29" s="183" t="s">
        <v>16</v>
      </c>
      <c r="E29" s="182">
        <v>240.86</v>
      </c>
      <c r="F29" s="182">
        <v>271.61</v>
      </c>
      <c r="G29" s="182">
        <v>430.47</v>
      </c>
      <c r="H29" s="182">
        <v>593.49</v>
      </c>
      <c r="I29" s="182">
        <v>645.71</v>
      </c>
      <c r="J29" s="182">
        <v>713.97</v>
      </c>
      <c r="K29" s="182">
        <v>740.06</v>
      </c>
      <c r="L29" s="11" t="s">
        <v>260</v>
      </c>
    </row>
    <row r="30" spans="3:15" hidden="1">
      <c r="C30" s="181" t="s">
        <v>42</v>
      </c>
      <c r="D30" s="183" t="s">
        <v>16</v>
      </c>
      <c r="E30" s="182">
        <v>114.32</v>
      </c>
      <c r="F30" s="182">
        <v>114.32</v>
      </c>
      <c r="G30" s="182">
        <v>114.32</v>
      </c>
      <c r="H30" s="182">
        <v>114.32</v>
      </c>
      <c r="I30" s="182">
        <v>114.32</v>
      </c>
      <c r="J30" s="182">
        <v>114.32</v>
      </c>
      <c r="K30" s="182">
        <v>114.32</v>
      </c>
      <c r="L30" s="11" t="s">
        <v>261</v>
      </c>
    </row>
    <row r="31" spans="3:15" hidden="1">
      <c r="D31" s="218"/>
    </row>
    <row r="32" spans="3:15" hidden="1">
      <c r="D32" s="218"/>
    </row>
    <row r="33" spans="3:8" hidden="1">
      <c r="D33" s="218"/>
      <c r="E33" s="218" t="s">
        <v>400</v>
      </c>
    </row>
    <row r="34" spans="3:8" hidden="1">
      <c r="C34" s="235" t="s">
        <v>38</v>
      </c>
      <c r="D34" s="238" t="s">
        <v>353</v>
      </c>
      <c r="E34" s="180"/>
    </row>
    <row r="35" spans="3:8" hidden="1">
      <c r="C35" s="235" t="s">
        <v>24</v>
      </c>
      <c r="D35" s="238" t="s">
        <v>353</v>
      </c>
      <c r="E35" s="180"/>
    </row>
    <row r="36" spans="3:8" hidden="1">
      <c r="C36" s="235" t="s">
        <v>354</v>
      </c>
      <c r="D36" s="238" t="s">
        <v>353</v>
      </c>
      <c r="E36" s="180"/>
    </row>
    <row r="37" spans="3:8" ht="25.5" hidden="1">
      <c r="C37" s="235" t="s">
        <v>355</v>
      </c>
      <c r="D37" s="238" t="s">
        <v>356</v>
      </c>
      <c r="E37" s="180"/>
    </row>
    <row r="38" spans="3:8" ht="15" hidden="1">
      <c r="C38" s="236"/>
      <c r="D38" s="237"/>
    </row>
    <row r="39" spans="3:8" hidden="1">
      <c r="D39" s="218"/>
    </row>
    <row r="40" spans="3:8" hidden="1">
      <c r="D40" s="218"/>
    </row>
    <row r="41" spans="3:8" hidden="1">
      <c r="C41" s="11" t="s">
        <v>14</v>
      </c>
      <c r="D41" s="218"/>
    </row>
    <row r="42" spans="3:8" hidden="1">
      <c r="D42" s="183" t="s">
        <v>8</v>
      </c>
      <c r="E42" s="184" t="s">
        <v>262</v>
      </c>
      <c r="F42" s="184" t="s">
        <v>263</v>
      </c>
      <c r="G42" s="184" t="s">
        <v>264</v>
      </c>
      <c r="H42" s="184" t="s">
        <v>265</v>
      </c>
    </row>
    <row r="43" spans="3:8" hidden="1">
      <c r="C43" s="180" t="s">
        <v>351</v>
      </c>
      <c r="D43" s="183" t="s">
        <v>17</v>
      </c>
      <c r="E43" s="180"/>
      <c r="F43" s="180"/>
      <c r="G43" s="180"/>
      <c r="H43" s="180"/>
    </row>
    <row r="44" spans="3:8" hidden="1">
      <c r="C44" s="180" t="s">
        <v>352</v>
      </c>
      <c r="D44" s="183" t="s">
        <v>17</v>
      </c>
      <c r="E44" s="180"/>
      <c r="F44" s="180"/>
      <c r="G44" s="180"/>
      <c r="H44" s="180"/>
    </row>
    <row r="45" spans="3:8" hidden="1">
      <c r="D45" s="218"/>
    </row>
    <row r="46" spans="3:8" hidden="1">
      <c r="D46" s="218"/>
    </row>
    <row r="47" spans="3:8" hidden="1">
      <c r="D47" s="218"/>
    </row>
    <row r="48" spans="3:8" hidden="1">
      <c r="C48" s="11" t="s">
        <v>266</v>
      </c>
      <c r="D48" s="218"/>
      <c r="E48" s="1210" t="s">
        <v>401</v>
      </c>
      <c r="F48" s="1210"/>
    </row>
    <row r="49" spans="3:21" ht="38.25" hidden="1">
      <c r="D49" s="184" t="s">
        <v>8</v>
      </c>
      <c r="E49" s="185" t="s">
        <v>269</v>
      </c>
      <c r="F49" s="185" t="s">
        <v>270</v>
      </c>
      <c r="U49" s="225"/>
    </row>
    <row r="50" spans="3:21" s="222" customFormat="1" hidden="1">
      <c r="C50" s="219" t="s">
        <v>178</v>
      </c>
      <c r="D50" s="220" t="s">
        <v>16</v>
      </c>
      <c r="E50" s="224"/>
      <c r="F50" s="224"/>
      <c r="U50" s="225"/>
    </row>
    <row r="51" spans="3:21" hidden="1">
      <c r="C51" s="181" t="s">
        <v>267</v>
      </c>
      <c r="D51" s="183" t="s">
        <v>16</v>
      </c>
      <c r="E51" s="182">
        <v>25.5</v>
      </c>
      <c r="F51" s="182"/>
      <c r="U51" s="225"/>
    </row>
    <row r="52" spans="3:21" hidden="1">
      <c r="C52" s="181" t="s">
        <v>268</v>
      </c>
      <c r="D52" s="183" t="s">
        <v>16</v>
      </c>
      <c r="E52" s="182">
        <v>34.369999999999997</v>
      </c>
      <c r="F52" s="182"/>
      <c r="U52" s="225"/>
    </row>
    <row r="53" spans="3:21" s="222" customFormat="1" hidden="1">
      <c r="C53" s="219" t="s">
        <v>179</v>
      </c>
      <c r="D53" s="220" t="s">
        <v>16</v>
      </c>
      <c r="E53" s="221"/>
      <c r="F53" s="221"/>
      <c r="U53" s="225"/>
    </row>
    <row r="54" spans="3:21" hidden="1">
      <c r="C54" s="181" t="s">
        <v>267</v>
      </c>
      <c r="D54" s="183" t="s">
        <v>16</v>
      </c>
      <c r="E54" s="182">
        <v>25.5</v>
      </c>
      <c r="F54" s="182"/>
      <c r="U54" s="225"/>
    </row>
    <row r="55" spans="3:21" hidden="1">
      <c r="C55" s="181" t="s">
        <v>268</v>
      </c>
      <c r="D55" s="183" t="s">
        <v>16</v>
      </c>
      <c r="E55" s="182">
        <v>40.28</v>
      </c>
      <c r="F55" s="182"/>
      <c r="U55" s="225"/>
    </row>
    <row r="56" spans="3:21" hidden="1">
      <c r="U56" s="225"/>
    </row>
    <row r="57" spans="3:21" hidden="1">
      <c r="U57" s="225"/>
    </row>
    <row r="58" spans="3:21" hidden="1">
      <c r="U58" s="225"/>
    </row>
    <row r="59" spans="3:21" hidden="1">
      <c r="C59" s="11" t="s">
        <v>15</v>
      </c>
      <c r="E59" s="1210" t="s">
        <v>401</v>
      </c>
      <c r="F59" s="1210"/>
      <c r="G59" s="1210"/>
      <c r="H59" s="1210"/>
      <c r="I59" s="1210"/>
      <c r="J59" s="1210"/>
      <c r="K59" s="1210"/>
      <c r="L59" s="1210"/>
      <c r="U59" s="225"/>
    </row>
    <row r="60" spans="3:21" ht="38.25" hidden="1">
      <c r="D60" s="184" t="s">
        <v>8</v>
      </c>
      <c r="E60" s="185" t="s">
        <v>272</v>
      </c>
      <c r="F60" s="185" t="s">
        <v>273</v>
      </c>
      <c r="G60" s="185" t="s">
        <v>274</v>
      </c>
      <c r="H60" s="185" t="s">
        <v>270</v>
      </c>
      <c r="I60" s="185" t="s">
        <v>270</v>
      </c>
      <c r="J60" s="185" t="s">
        <v>270</v>
      </c>
      <c r="K60" s="185" t="s">
        <v>270</v>
      </c>
      <c r="L60" s="185" t="s">
        <v>270</v>
      </c>
      <c r="U60" s="225"/>
    </row>
    <row r="61" spans="3:21" s="222" customFormat="1" hidden="1">
      <c r="C61" s="219" t="s">
        <v>271</v>
      </c>
      <c r="D61" s="220" t="s">
        <v>2</v>
      </c>
      <c r="E61" s="221"/>
      <c r="F61" s="221"/>
      <c r="G61" s="221"/>
      <c r="H61" s="221"/>
      <c r="I61" s="221"/>
      <c r="J61" s="221"/>
      <c r="K61" s="221"/>
      <c r="L61" s="221"/>
      <c r="U61" s="225"/>
    </row>
    <row r="62" spans="3:21" hidden="1">
      <c r="C62" s="181" t="s">
        <v>275</v>
      </c>
      <c r="D62" s="183" t="s">
        <v>2</v>
      </c>
      <c r="E62" s="182"/>
      <c r="F62" s="182"/>
      <c r="G62" s="182"/>
      <c r="H62" s="182"/>
      <c r="I62" s="182"/>
      <c r="J62" s="182"/>
      <c r="K62" s="182"/>
      <c r="L62" s="182"/>
      <c r="U62" s="225"/>
    </row>
    <row r="63" spans="3:21" hidden="1">
      <c r="C63" s="190" t="s">
        <v>276</v>
      </c>
      <c r="D63" s="183" t="s">
        <v>2</v>
      </c>
      <c r="E63" s="182">
        <v>1457.12</v>
      </c>
      <c r="F63" s="182">
        <v>865.26</v>
      </c>
      <c r="G63" s="182">
        <v>1297.26</v>
      </c>
      <c r="H63" s="182"/>
      <c r="I63" s="182"/>
      <c r="J63" s="182"/>
      <c r="K63" s="182"/>
      <c r="L63" s="182"/>
      <c r="U63" s="225"/>
    </row>
    <row r="64" spans="3:21" hidden="1">
      <c r="C64" s="190" t="s">
        <v>224</v>
      </c>
      <c r="D64" s="183" t="s">
        <v>2</v>
      </c>
      <c r="E64" s="182">
        <v>1457.12</v>
      </c>
      <c r="F64" s="182">
        <v>865.26</v>
      </c>
      <c r="G64" s="182"/>
      <c r="H64" s="182"/>
      <c r="I64" s="182"/>
      <c r="J64" s="182"/>
      <c r="K64" s="182"/>
      <c r="L64" s="182"/>
      <c r="U64" s="225"/>
    </row>
    <row r="65" spans="3:22" hidden="1">
      <c r="C65" s="181" t="s">
        <v>277</v>
      </c>
      <c r="D65" s="183" t="s">
        <v>2</v>
      </c>
      <c r="E65" s="182"/>
      <c r="F65" s="182"/>
      <c r="G65" s="182"/>
      <c r="H65" s="182"/>
      <c r="I65" s="182"/>
      <c r="J65" s="182"/>
      <c r="K65" s="182"/>
      <c r="L65" s="182"/>
      <c r="U65" s="225"/>
    </row>
    <row r="66" spans="3:22" hidden="1">
      <c r="C66" s="190" t="s">
        <v>276</v>
      </c>
      <c r="D66" s="183" t="s">
        <v>2</v>
      </c>
      <c r="E66" s="182">
        <v>2057.8000000000002</v>
      </c>
      <c r="F66" s="182">
        <v>1457.29</v>
      </c>
      <c r="G66" s="182">
        <v>1732.88</v>
      </c>
      <c r="H66" s="182"/>
      <c r="I66" s="182"/>
      <c r="J66" s="182"/>
      <c r="K66" s="182"/>
      <c r="L66" s="182"/>
      <c r="U66" s="225"/>
    </row>
    <row r="67" spans="3:22" hidden="1">
      <c r="C67" s="190" t="s">
        <v>224</v>
      </c>
      <c r="D67" s="183" t="s">
        <v>2</v>
      </c>
      <c r="E67" s="182">
        <v>2057.8000000000002</v>
      </c>
      <c r="F67" s="182"/>
      <c r="G67" s="182">
        <v>1732.88</v>
      </c>
      <c r="H67" s="182"/>
      <c r="I67" s="182"/>
      <c r="J67" s="182"/>
      <c r="K67" s="182"/>
      <c r="L67" s="182"/>
      <c r="U67" s="225"/>
    </row>
    <row r="68" spans="3:22" s="222" customFormat="1" ht="25.5" hidden="1">
      <c r="C68" s="223" t="s">
        <v>278</v>
      </c>
      <c r="D68" s="220" t="s">
        <v>2</v>
      </c>
      <c r="E68" s="221">
        <v>324.56</v>
      </c>
      <c r="F68" s="221"/>
      <c r="G68" s="221">
        <v>172.73204000000001</v>
      </c>
      <c r="H68" s="221"/>
      <c r="I68" s="221"/>
      <c r="J68" s="221"/>
      <c r="K68" s="221"/>
      <c r="L68" s="221"/>
      <c r="U68" s="225"/>
    </row>
    <row r="69" spans="3:22" s="222" customFormat="1" hidden="1">
      <c r="C69" s="219" t="s">
        <v>218</v>
      </c>
      <c r="D69" s="220" t="s">
        <v>16</v>
      </c>
      <c r="E69" s="221"/>
      <c r="F69" s="221"/>
      <c r="G69" s="221"/>
      <c r="H69" s="221"/>
      <c r="I69" s="221"/>
      <c r="J69" s="221"/>
      <c r="K69" s="221"/>
      <c r="L69" s="221"/>
      <c r="U69" s="225"/>
    </row>
    <row r="70" spans="3:22" hidden="1">
      <c r="C70" s="181" t="s">
        <v>276</v>
      </c>
      <c r="D70" s="183" t="s">
        <v>16</v>
      </c>
      <c r="E70" s="182">
        <v>32.5</v>
      </c>
      <c r="F70" s="182">
        <v>38.57</v>
      </c>
      <c r="G70" s="182">
        <v>41.46</v>
      </c>
      <c r="H70" s="182"/>
      <c r="I70" s="182"/>
      <c r="J70" s="182"/>
      <c r="K70" s="182"/>
      <c r="L70" s="182"/>
      <c r="U70" s="225"/>
    </row>
    <row r="71" spans="3:22" hidden="1">
      <c r="C71" s="181" t="s">
        <v>224</v>
      </c>
      <c r="D71" s="183" t="s">
        <v>16</v>
      </c>
      <c r="E71" s="182">
        <v>48.37</v>
      </c>
      <c r="F71" s="182">
        <v>82.93</v>
      </c>
      <c r="G71" s="182">
        <v>48.05</v>
      </c>
      <c r="H71" s="182"/>
      <c r="I71" s="182"/>
      <c r="J71" s="182"/>
      <c r="K71" s="182"/>
      <c r="L71" s="182"/>
      <c r="U71" s="225"/>
    </row>
    <row r="72" spans="3:22" hidden="1">
      <c r="U72" s="225"/>
    </row>
    <row r="73" spans="3:22" hidden="1">
      <c r="U73" s="225"/>
    </row>
    <row r="74" spans="3:22" hidden="1">
      <c r="U74" s="225"/>
    </row>
    <row r="75" spans="3:22" hidden="1"/>
    <row r="76" spans="3:22" ht="15.75" hidden="1">
      <c r="C76" s="1203" t="s">
        <v>357</v>
      </c>
      <c r="D76" s="1203"/>
      <c r="E76" s="1203"/>
      <c r="F76" s="1203"/>
      <c r="G76" s="1203"/>
      <c r="H76" s="1203"/>
      <c r="I76" s="1203"/>
      <c r="J76" s="1203"/>
      <c r="K76" s="1203"/>
      <c r="L76" s="1203"/>
      <c r="M76" s="1203"/>
      <c r="N76" s="1203"/>
      <c r="O76" s="1203"/>
      <c r="P76" s="1203"/>
      <c r="Q76" s="1203"/>
      <c r="R76" s="1203"/>
      <c r="S76" s="1203"/>
      <c r="T76" s="1203"/>
      <c r="U76" s="1203"/>
      <c r="V76" s="1203"/>
    </row>
    <row r="77" spans="3:22" ht="13.5" hidden="1" thickBot="1"/>
    <row r="78" spans="3:22" ht="15.75" hidden="1" customHeight="1">
      <c r="C78" s="2"/>
      <c r="D78" s="3"/>
      <c r="E78" s="1204" t="s">
        <v>166</v>
      </c>
      <c r="F78" s="1205"/>
      <c r="G78" s="1206"/>
      <c r="H78" s="1204" t="s">
        <v>169</v>
      </c>
      <c r="I78" s="1205"/>
      <c r="J78" s="1206"/>
      <c r="K78" s="1204" t="s">
        <v>172</v>
      </c>
      <c r="L78" s="1205"/>
      <c r="M78" s="1206"/>
      <c r="N78" s="1204" t="s">
        <v>200</v>
      </c>
      <c r="O78" s="1205"/>
      <c r="P78" s="1206"/>
      <c r="Q78" s="1207" t="s">
        <v>219</v>
      </c>
      <c r="R78" s="1208"/>
      <c r="S78" s="1209"/>
    </row>
    <row r="79" spans="3:22" ht="25.5" hidden="1">
      <c r="C79" s="1"/>
      <c r="D79" s="5"/>
      <c r="E79" s="239" t="s">
        <v>167</v>
      </c>
      <c r="F79" s="240" t="s">
        <v>168</v>
      </c>
      <c r="G79" s="241" t="s">
        <v>22</v>
      </c>
      <c r="H79" s="239" t="s">
        <v>170</v>
      </c>
      <c r="I79" s="240" t="s">
        <v>171</v>
      </c>
      <c r="J79" s="241" t="s">
        <v>22</v>
      </c>
      <c r="K79" s="239" t="s">
        <v>173</v>
      </c>
      <c r="L79" s="240" t="s">
        <v>174</v>
      </c>
      <c r="M79" s="241" t="s">
        <v>22</v>
      </c>
      <c r="N79" s="239" t="s">
        <v>201</v>
      </c>
      <c r="O79" s="240" t="s">
        <v>202</v>
      </c>
      <c r="P79" s="241" t="s">
        <v>22</v>
      </c>
      <c r="Q79" s="239" t="s">
        <v>220</v>
      </c>
      <c r="R79" s="240" t="s">
        <v>221</v>
      </c>
      <c r="S79" s="241" t="s">
        <v>22</v>
      </c>
    </row>
    <row r="80" spans="3:22" ht="18.75" hidden="1" customHeight="1">
      <c r="C80" s="226" t="s">
        <v>344</v>
      </c>
      <c r="D80" s="5" t="s">
        <v>10</v>
      </c>
      <c r="E80" s="242" t="e">
        <f>ROUND(G80*E81,2)</f>
        <v>#DIV/0!</v>
      </c>
      <c r="F80" s="227" t="e">
        <f t="shared" ref="F80" si="3">G80-E80</f>
        <v>#DIV/0!</v>
      </c>
      <c r="G80" s="243"/>
      <c r="H80" s="242" t="e">
        <f t="shared" ref="H80" si="4">ROUND(J80*H81,2)</f>
        <v>#DIV/0!</v>
      </c>
      <c r="I80" s="227" t="e">
        <f t="shared" ref="I80" si="5">J80-H80</f>
        <v>#DIV/0!</v>
      </c>
      <c r="J80" s="243"/>
      <c r="K80" s="242" t="e">
        <f t="shared" ref="K80" si="6">ROUND(M80*K81,2)</f>
        <v>#DIV/0!</v>
      </c>
      <c r="L80" s="227" t="e">
        <f t="shared" ref="L80" si="7">M80-K80</f>
        <v>#DIV/0!</v>
      </c>
      <c r="M80" s="243"/>
      <c r="N80" s="242" t="e">
        <f t="shared" ref="N80" si="8">ROUND(P80*N81,2)</f>
        <v>#DIV/0!</v>
      </c>
      <c r="O80" s="227" t="e">
        <f t="shared" ref="O80" si="9">P80-N80</f>
        <v>#DIV/0!</v>
      </c>
      <c r="P80" s="243"/>
      <c r="Q80" s="242" t="e">
        <f t="shared" ref="Q80" si="10">ROUND(S80*Q81,2)</f>
        <v>#DIV/0!</v>
      </c>
      <c r="R80" s="227" t="e">
        <f t="shared" ref="R80" si="11">S80-Q80</f>
        <v>#DIV/0!</v>
      </c>
      <c r="S80" s="243"/>
    </row>
    <row r="81" spans="3:19" hidden="1">
      <c r="C81" s="4" t="s">
        <v>21</v>
      </c>
      <c r="D81" s="5" t="s">
        <v>1</v>
      </c>
      <c r="E81" s="244" t="e">
        <f>E82/G82</f>
        <v>#DIV/0!</v>
      </c>
      <c r="F81" s="245" t="e">
        <f>F82/G82</f>
        <v>#DIV/0!</v>
      </c>
      <c r="G81" s="246" t="e">
        <f>E81+F81</f>
        <v>#DIV/0!</v>
      </c>
      <c r="H81" s="244" t="e">
        <f t="shared" ref="H81" si="12">H82/J82</f>
        <v>#DIV/0!</v>
      </c>
      <c r="I81" s="245" t="e">
        <f t="shared" ref="I81" si="13">I82/J82</f>
        <v>#DIV/0!</v>
      </c>
      <c r="J81" s="246" t="e">
        <f t="shared" ref="J81" si="14">H81+I81</f>
        <v>#DIV/0!</v>
      </c>
      <c r="K81" s="244" t="e">
        <f t="shared" ref="K81" si="15">K82/M82</f>
        <v>#DIV/0!</v>
      </c>
      <c r="L81" s="245" t="e">
        <f t="shared" ref="L81" si="16">L82/M82</f>
        <v>#DIV/0!</v>
      </c>
      <c r="M81" s="246" t="e">
        <f t="shared" ref="M81" si="17">K81+L81</f>
        <v>#DIV/0!</v>
      </c>
      <c r="N81" s="244" t="e">
        <f t="shared" ref="N81" si="18">N82/P82</f>
        <v>#DIV/0!</v>
      </c>
      <c r="O81" s="245" t="e">
        <f t="shared" ref="O81" si="19">O82/P82</f>
        <v>#DIV/0!</v>
      </c>
      <c r="P81" s="246" t="e">
        <f t="shared" ref="P81" si="20">N81+O81</f>
        <v>#DIV/0!</v>
      </c>
      <c r="Q81" s="244" t="e">
        <f t="shared" ref="Q81" si="21">Q82/S82</f>
        <v>#DIV/0!</v>
      </c>
      <c r="R81" s="245" t="e">
        <f t="shared" ref="R81" si="22">R82/S82</f>
        <v>#DIV/0!</v>
      </c>
      <c r="S81" s="246" t="e">
        <f t="shared" ref="S81" si="23">Q81+R81</f>
        <v>#DIV/0!</v>
      </c>
    </row>
    <row r="82" spans="3:19" s="247" customFormat="1" ht="21" hidden="1" customHeight="1">
      <c r="C82" s="248" t="s">
        <v>20</v>
      </c>
      <c r="D82" s="249" t="s">
        <v>10</v>
      </c>
      <c r="E82" s="250">
        <f>SUM(E83:E84)</f>
        <v>0</v>
      </c>
      <c r="F82" s="251">
        <f>SUM(F83:F84)</f>
        <v>0</v>
      </c>
      <c r="G82" s="252"/>
      <c r="H82" s="250">
        <f t="shared" ref="H82:I82" si="24">SUM(H83:H84)</f>
        <v>0</v>
      </c>
      <c r="I82" s="251">
        <f t="shared" si="24"/>
        <v>0</v>
      </c>
      <c r="J82" s="252"/>
      <c r="K82" s="250">
        <f t="shared" ref="K82:L82" si="25">SUM(K83:K84)</f>
        <v>0</v>
      </c>
      <c r="L82" s="251">
        <f t="shared" si="25"/>
        <v>0</v>
      </c>
      <c r="M82" s="252"/>
      <c r="N82" s="250">
        <f t="shared" ref="N82:O82" si="26">SUM(N83:N84)</f>
        <v>0</v>
      </c>
      <c r="O82" s="251">
        <f t="shared" si="26"/>
        <v>0</v>
      </c>
      <c r="P82" s="252"/>
      <c r="Q82" s="250">
        <f t="shared" ref="Q82:R82" si="27">SUM(Q83:Q84)</f>
        <v>0</v>
      </c>
      <c r="R82" s="251">
        <f t="shared" si="27"/>
        <v>0</v>
      </c>
      <c r="S82" s="252"/>
    </row>
    <row r="83" spans="3:19" s="234" customFormat="1" ht="25.5" hidden="1">
      <c r="C83" s="253" t="s">
        <v>358</v>
      </c>
      <c r="D83" s="254" t="s">
        <v>10</v>
      </c>
      <c r="E83" s="255"/>
      <c r="F83" s="256"/>
      <c r="G83" s="257">
        <f>SUM(E83:F83)</f>
        <v>0</v>
      </c>
      <c r="H83" s="255"/>
      <c r="I83" s="256"/>
      <c r="J83" s="257">
        <f t="shared" ref="J83:J84" si="28">SUM(H83:I83)</f>
        <v>0</v>
      </c>
      <c r="K83" s="255"/>
      <c r="L83" s="256"/>
      <c r="M83" s="257">
        <f t="shared" ref="M83:M84" si="29">SUM(K83:L83)</f>
        <v>0</v>
      </c>
      <c r="N83" s="255"/>
      <c r="O83" s="256"/>
      <c r="P83" s="257">
        <f t="shared" ref="P83:P84" si="30">SUM(N83:O83)</f>
        <v>0</v>
      </c>
      <c r="Q83" s="255"/>
      <c r="R83" s="256"/>
      <c r="S83" s="257">
        <f t="shared" ref="S83:S84" si="31">SUM(Q83:R83)</f>
        <v>0</v>
      </c>
    </row>
    <row r="84" spans="3:19" s="234" customFormat="1" hidden="1">
      <c r="C84" s="258" t="s">
        <v>359</v>
      </c>
      <c r="D84" s="259" t="s">
        <v>10</v>
      </c>
      <c r="E84" s="260"/>
      <c r="F84" s="261"/>
      <c r="G84" s="262">
        <f>SUM(E84:F84)</f>
        <v>0</v>
      </c>
      <c r="H84" s="260"/>
      <c r="I84" s="261"/>
      <c r="J84" s="262">
        <f t="shared" si="28"/>
        <v>0</v>
      </c>
      <c r="K84" s="260"/>
      <c r="L84" s="261"/>
      <c r="M84" s="262">
        <f t="shared" si="29"/>
        <v>0</v>
      </c>
      <c r="N84" s="260"/>
      <c r="O84" s="261"/>
      <c r="P84" s="262">
        <f t="shared" si="30"/>
        <v>0</v>
      </c>
      <c r="Q84" s="260"/>
      <c r="R84" s="261"/>
      <c r="S84" s="262">
        <f t="shared" si="31"/>
        <v>0</v>
      </c>
    </row>
    <row r="85" spans="3:19" s="234" customFormat="1" hidden="1">
      <c r="C85" s="263" t="s">
        <v>360</v>
      </c>
      <c r="D85" s="259" t="s">
        <v>10</v>
      </c>
      <c r="E85" s="313">
        <f>E82-E86-E87</f>
        <v>0</v>
      </c>
      <c r="F85" s="314">
        <f>F82-F86-F87</f>
        <v>0</v>
      </c>
      <c r="G85" s="257"/>
      <c r="H85" s="255">
        <f t="shared" ref="H85:I85" si="32">H82-H87</f>
        <v>0</v>
      </c>
      <c r="I85" s="256">
        <f t="shared" si="32"/>
        <v>0</v>
      </c>
      <c r="J85" s="257"/>
      <c r="K85" s="255">
        <f t="shared" ref="K85:L85" si="33">K82-K87</f>
        <v>0</v>
      </c>
      <c r="L85" s="256">
        <f t="shared" si="33"/>
        <v>0</v>
      </c>
      <c r="M85" s="257"/>
      <c r="N85" s="255">
        <f t="shared" ref="N85:O85" si="34">N82-N87</f>
        <v>0</v>
      </c>
      <c r="O85" s="256">
        <f t="shared" si="34"/>
        <v>0</v>
      </c>
      <c r="P85" s="257"/>
      <c r="Q85" s="255">
        <f t="shared" ref="Q85:R85" si="35">Q82-Q87</f>
        <v>0</v>
      </c>
      <c r="R85" s="256">
        <f t="shared" si="35"/>
        <v>0</v>
      </c>
      <c r="S85" s="257"/>
    </row>
    <row r="86" spans="3:19" s="234" customFormat="1" hidden="1">
      <c r="C86" s="263" t="s">
        <v>385</v>
      </c>
      <c r="D86" s="259" t="s">
        <v>10</v>
      </c>
      <c r="E86" s="260">
        <f>G86/2</f>
        <v>0</v>
      </c>
      <c r="F86" s="261">
        <f>G86-E86</f>
        <v>0</v>
      </c>
      <c r="G86" s="262"/>
      <c r="H86" s="260">
        <f t="shared" ref="H86" si="36">J86/2</f>
        <v>0</v>
      </c>
      <c r="I86" s="261">
        <f t="shared" ref="I86" si="37">J86-H86</f>
        <v>0</v>
      </c>
      <c r="J86" s="262"/>
      <c r="K86" s="260">
        <f t="shared" ref="K86" si="38">M86/2</f>
        <v>0</v>
      </c>
      <c r="L86" s="261">
        <f t="shared" ref="L86" si="39">M86-K86</f>
        <v>0</v>
      </c>
      <c r="M86" s="262"/>
      <c r="N86" s="260">
        <f t="shared" ref="N86" si="40">P86/2</f>
        <v>0</v>
      </c>
      <c r="O86" s="261">
        <f t="shared" ref="O86" si="41">P86-N86</f>
        <v>0</v>
      </c>
      <c r="P86" s="262"/>
      <c r="Q86" s="260">
        <f t="shared" ref="Q86" si="42">S86/2</f>
        <v>0</v>
      </c>
      <c r="R86" s="261">
        <f t="shared" ref="R86" si="43">S86-Q86</f>
        <v>0</v>
      </c>
      <c r="S86" s="262"/>
    </row>
    <row r="87" spans="3:19" s="234" customFormat="1" hidden="1">
      <c r="C87" s="263" t="s">
        <v>223</v>
      </c>
      <c r="D87" s="264" t="s">
        <v>10</v>
      </c>
      <c r="E87" s="260">
        <f>G87/2</f>
        <v>0</v>
      </c>
      <c r="F87" s="261">
        <f>G87-E87</f>
        <v>0</v>
      </c>
      <c r="G87" s="262"/>
      <c r="H87" s="260">
        <f t="shared" ref="H87:H89" si="44">J87/2</f>
        <v>0</v>
      </c>
      <c r="I87" s="261">
        <f t="shared" ref="I87:I89" si="45">J87-H87</f>
        <v>0</v>
      </c>
      <c r="J87" s="262"/>
      <c r="K87" s="260">
        <f t="shared" ref="K87:K89" si="46">M87/2</f>
        <v>0</v>
      </c>
      <c r="L87" s="261">
        <f t="shared" ref="L87:L89" si="47">M87-K87</f>
        <v>0</v>
      </c>
      <c r="M87" s="262"/>
      <c r="N87" s="260">
        <f t="shared" ref="N87:N89" si="48">P87/2</f>
        <v>0</v>
      </c>
      <c r="O87" s="261">
        <f t="shared" ref="O87:O89" si="49">P87-N87</f>
        <v>0</v>
      </c>
      <c r="P87" s="262"/>
      <c r="Q87" s="260">
        <f t="shared" ref="Q87:Q89" si="50">S87/2</f>
        <v>0</v>
      </c>
      <c r="R87" s="261">
        <f t="shared" ref="R87:R89" si="51">S87-Q87</f>
        <v>0</v>
      </c>
      <c r="S87" s="262"/>
    </row>
    <row r="88" spans="3:19" s="234" customFormat="1" ht="31.5" hidden="1">
      <c r="C88" s="248" t="s">
        <v>392</v>
      </c>
      <c r="D88" s="249" t="s">
        <v>386</v>
      </c>
      <c r="E88" s="250">
        <f>G88/2</f>
        <v>0</v>
      </c>
      <c r="F88" s="251">
        <f>G88-E88</f>
        <v>0</v>
      </c>
      <c r="G88" s="252"/>
      <c r="H88" s="250">
        <f t="shared" si="44"/>
        <v>0</v>
      </c>
      <c r="I88" s="251">
        <f t="shared" si="45"/>
        <v>0</v>
      </c>
      <c r="J88" s="252"/>
      <c r="K88" s="250">
        <f t="shared" si="46"/>
        <v>0</v>
      </c>
      <c r="L88" s="251">
        <f t="shared" si="47"/>
        <v>0</v>
      </c>
      <c r="M88" s="252"/>
      <c r="N88" s="250">
        <f t="shared" si="48"/>
        <v>0</v>
      </c>
      <c r="O88" s="251">
        <f t="shared" si="49"/>
        <v>0</v>
      </c>
      <c r="P88" s="252"/>
      <c r="Q88" s="250">
        <f t="shared" si="50"/>
        <v>0</v>
      </c>
      <c r="R88" s="251">
        <f t="shared" si="51"/>
        <v>0</v>
      </c>
      <c r="S88" s="252"/>
    </row>
    <row r="89" spans="3:19" s="234" customFormat="1" ht="32.25" hidden="1" thickBot="1">
      <c r="C89" s="248" t="s">
        <v>393</v>
      </c>
      <c r="D89" s="249" t="s">
        <v>386</v>
      </c>
      <c r="E89" s="326">
        <f>G89/2</f>
        <v>0</v>
      </c>
      <c r="F89" s="327">
        <f>G89-E89</f>
        <v>0</v>
      </c>
      <c r="G89" s="328"/>
      <c r="H89" s="326">
        <f t="shared" si="44"/>
        <v>0</v>
      </c>
      <c r="I89" s="327">
        <f t="shared" si="45"/>
        <v>0</v>
      </c>
      <c r="J89" s="328"/>
      <c r="K89" s="326">
        <f t="shared" si="46"/>
        <v>0</v>
      </c>
      <c r="L89" s="327">
        <f t="shared" si="47"/>
        <v>0</v>
      </c>
      <c r="M89" s="328"/>
      <c r="N89" s="326">
        <f t="shared" si="48"/>
        <v>0</v>
      </c>
      <c r="O89" s="327">
        <f t="shared" si="49"/>
        <v>0</v>
      </c>
      <c r="P89" s="328"/>
      <c r="Q89" s="326">
        <f t="shared" si="50"/>
        <v>0</v>
      </c>
      <c r="R89" s="327">
        <f t="shared" si="51"/>
        <v>0</v>
      </c>
      <c r="S89" s="328"/>
    </row>
    <row r="90" spans="3:19" ht="13.5" hidden="1" thickBot="1">
      <c r="C90" s="265"/>
      <c r="D90" s="163"/>
      <c r="E90" s="266"/>
      <c r="F90" s="267"/>
      <c r="G90" s="268"/>
      <c r="H90" s="266"/>
      <c r="I90" s="267"/>
      <c r="J90" s="268"/>
      <c r="K90" s="266"/>
      <c r="L90" s="267"/>
      <c r="M90" s="268"/>
      <c r="N90" s="266"/>
      <c r="O90" s="267"/>
      <c r="P90" s="268"/>
      <c r="Q90" s="266"/>
      <c r="R90" s="267"/>
      <c r="S90" s="268"/>
    </row>
    <row r="91" spans="3:19" ht="15.75" hidden="1" customHeight="1">
      <c r="C91" s="180"/>
      <c r="D91" s="269"/>
      <c r="E91" s="1204" t="s">
        <v>166</v>
      </c>
      <c r="F91" s="1205"/>
      <c r="G91" s="1206"/>
      <c r="H91" s="1204" t="s">
        <v>169</v>
      </c>
      <c r="I91" s="1205"/>
      <c r="J91" s="1206"/>
      <c r="K91" s="1204" t="s">
        <v>172</v>
      </c>
      <c r="L91" s="1205"/>
      <c r="M91" s="1206"/>
      <c r="N91" s="1204" t="s">
        <v>200</v>
      </c>
      <c r="O91" s="1205"/>
      <c r="P91" s="1206"/>
      <c r="Q91" s="1207" t="s">
        <v>219</v>
      </c>
      <c r="R91" s="1208"/>
      <c r="S91" s="1209"/>
    </row>
    <row r="92" spans="3:19" ht="25.5" hidden="1">
      <c r="C92" s="180"/>
      <c r="D92" s="181"/>
      <c r="E92" s="239" t="s">
        <v>167</v>
      </c>
      <c r="F92" s="240" t="s">
        <v>168</v>
      </c>
      <c r="G92" s="241" t="s">
        <v>22</v>
      </c>
      <c r="H92" s="239" t="s">
        <v>170</v>
      </c>
      <c r="I92" s="240" t="s">
        <v>171</v>
      </c>
      <c r="J92" s="241" t="s">
        <v>22</v>
      </c>
      <c r="K92" s="239" t="s">
        <v>173</v>
      </c>
      <c r="L92" s="240" t="s">
        <v>174</v>
      </c>
      <c r="M92" s="241" t="s">
        <v>22</v>
      </c>
      <c r="N92" s="239" t="s">
        <v>201</v>
      </c>
      <c r="O92" s="240" t="s">
        <v>202</v>
      </c>
      <c r="P92" s="241" t="s">
        <v>22</v>
      </c>
      <c r="Q92" s="239" t="s">
        <v>220</v>
      </c>
      <c r="R92" s="240" t="s">
        <v>221</v>
      </c>
      <c r="S92" s="241" t="s">
        <v>22</v>
      </c>
    </row>
    <row r="93" spans="3:19" s="270" customFormat="1" ht="25.5" hidden="1" customHeight="1">
      <c r="C93" s="271" t="s">
        <v>361</v>
      </c>
      <c r="D93" s="272" t="s">
        <v>362</v>
      </c>
      <c r="E93" s="273" t="e">
        <f>E80*G118/1000</f>
        <v>#DIV/0!</v>
      </c>
      <c r="F93" s="274" t="e">
        <f t="shared" ref="F93" si="52">G93-E93</f>
        <v>#DIV/0!</v>
      </c>
      <c r="G93" s="275"/>
      <c r="H93" s="273" t="e">
        <f>H80*J118/1000</f>
        <v>#DIV/0!</v>
      </c>
      <c r="I93" s="274" t="e">
        <f>J93-H93</f>
        <v>#DIV/0!</v>
      </c>
      <c r="J93" s="275"/>
      <c r="K93" s="273" t="e">
        <f>K80*M118/1000</f>
        <v>#DIV/0!</v>
      </c>
      <c r="L93" s="274" t="e">
        <f t="shared" ref="L93" si="53">M93-K93</f>
        <v>#DIV/0!</v>
      </c>
      <c r="M93" s="275"/>
      <c r="N93" s="273" t="e">
        <f>N80*P118/1000</f>
        <v>#DIV/0!</v>
      </c>
      <c r="O93" s="274" t="e">
        <f t="shared" ref="O93" si="54">P93-N93</f>
        <v>#DIV/0!</v>
      </c>
      <c r="P93" s="275"/>
      <c r="Q93" s="273" t="e">
        <f>Q80*S118/1000</f>
        <v>#DIV/0!</v>
      </c>
      <c r="R93" s="274" t="e">
        <f t="shared" ref="R93" si="55">S93-Q93</f>
        <v>#DIV/0!</v>
      </c>
      <c r="S93" s="275"/>
    </row>
    <row r="94" spans="3:19" s="276" customFormat="1" ht="15.75" hidden="1" customHeight="1">
      <c r="C94" s="277" t="s">
        <v>363</v>
      </c>
      <c r="D94" s="278" t="s">
        <v>362</v>
      </c>
      <c r="E94" s="279" t="e">
        <f>$E$93*G101</f>
        <v>#DIV/0!</v>
      </c>
      <c r="F94" s="280" t="e">
        <f>$F$93*G101</f>
        <v>#DIV/0!</v>
      </c>
      <c r="G94" s="281"/>
      <c r="H94" s="279" t="e">
        <f>$H$93*J101</f>
        <v>#DIV/0!</v>
      </c>
      <c r="I94" s="280" t="e">
        <f>$I$93*J101</f>
        <v>#DIV/0!</v>
      </c>
      <c r="J94" s="281"/>
      <c r="K94" s="279" t="e">
        <f>$K$93*M101</f>
        <v>#DIV/0!</v>
      </c>
      <c r="L94" s="280" t="e">
        <f>$L$93*M101</f>
        <v>#DIV/0!</v>
      </c>
      <c r="M94" s="281"/>
      <c r="N94" s="279" t="e">
        <f>$N$93*P101</f>
        <v>#DIV/0!</v>
      </c>
      <c r="O94" s="280" t="e">
        <f>$O$93*P101</f>
        <v>#DIV/0!</v>
      </c>
      <c r="P94" s="281"/>
      <c r="Q94" s="279" t="e">
        <f>$Q$93*S101</f>
        <v>#DIV/0!</v>
      </c>
      <c r="R94" s="280" t="e">
        <f>$R$93*S101</f>
        <v>#DIV/0!</v>
      </c>
      <c r="S94" s="281"/>
    </row>
    <row r="95" spans="3:19" s="276" customFormat="1" ht="15.75" hidden="1" customHeight="1" outlineLevel="1">
      <c r="C95" s="277" t="s">
        <v>364</v>
      </c>
      <c r="D95" s="278" t="s">
        <v>362</v>
      </c>
      <c r="E95" s="279" t="e">
        <f t="shared" ref="E95:E97" si="56">$E$93*G102</f>
        <v>#DIV/0!</v>
      </c>
      <c r="F95" s="280" t="e">
        <f t="shared" ref="F95:F98" si="57">$F$93*G102</f>
        <v>#DIV/0!</v>
      </c>
      <c r="G95" s="281"/>
      <c r="H95" s="279" t="e">
        <f t="shared" ref="H95:H98" si="58">$H$93*J102</f>
        <v>#DIV/0!</v>
      </c>
      <c r="I95" s="280" t="e">
        <f t="shared" ref="I95:I97" si="59">$I$93*J102</f>
        <v>#DIV/0!</v>
      </c>
      <c r="J95" s="281"/>
      <c r="K95" s="279" t="e">
        <f t="shared" ref="K95:K97" si="60">$K$93*M102</f>
        <v>#DIV/0!</v>
      </c>
      <c r="L95" s="280" t="e">
        <f t="shared" ref="L95:L97" si="61">$L$93*M102</f>
        <v>#DIV/0!</v>
      </c>
      <c r="M95" s="281"/>
      <c r="N95" s="279" t="e">
        <f>$N$93*P102</f>
        <v>#DIV/0!</v>
      </c>
      <c r="O95" s="280" t="e">
        <f>$O$93*P102</f>
        <v>#DIV/0!</v>
      </c>
      <c r="P95" s="281"/>
      <c r="Q95" s="279" t="e">
        <f>$Q$93*S102</f>
        <v>#DIV/0!</v>
      </c>
      <c r="R95" s="280" t="e">
        <f>$R$93*S102</f>
        <v>#DIV/0!</v>
      </c>
      <c r="S95" s="281"/>
    </row>
    <row r="96" spans="3:19" s="276" customFormat="1" ht="15.75" hidden="1" customHeight="1" outlineLevel="1">
      <c r="C96" s="277" t="s">
        <v>380</v>
      </c>
      <c r="D96" s="278" t="s">
        <v>362</v>
      </c>
      <c r="E96" s="279" t="e">
        <f t="shared" si="56"/>
        <v>#DIV/0!</v>
      </c>
      <c r="F96" s="280" t="e">
        <f t="shared" si="57"/>
        <v>#DIV/0!</v>
      </c>
      <c r="G96" s="281"/>
      <c r="H96" s="279" t="e">
        <f t="shared" si="58"/>
        <v>#DIV/0!</v>
      </c>
      <c r="I96" s="280" t="e">
        <f t="shared" si="59"/>
        <v>#DIV/0!</v>
      </c>
      <c r="J96" s="281"/>
      <c r="K96" s="279" t="e">
        <f t="shared" si="60"/>
        <v>#DIV/0!</v>
      </c>
      <c r="L96" s="280" t="e">
        <f t="shared" si="61"/>
        <v>#DIV/0!</v>
      </c>
      <c r="M96" s="281"/>
      <c r="N96" s="279" t="e">
        <f>$N$93*P103</f>
        <v>#DIV/0!</v>
      </c>
      <c r="O96" s="280" t="e">
        <f>$O$93*P103</f>
        <v>#DIV/0!</v>
      </c>
      <c r="P96" s="281"/>
      <c r="Q96" s="279" t="e">
        <f>$Q$93*S103</f>
        <v>#DIV/0!</v>
      </c>
      <c r="R96" s="280" t="e">
        <f>$R$93*S103</f>
        <v>#DIV/0!</v>
      </c>
      <c r="S96" s="281"/>
    </row>
    <row r="97" spans="3:19" s="276" customFormat="1" ht="15.75" hidden="1" customHeight="1" outlineLevel="1">
      <c r="C97" s="277" t="s">
        <v>381</v>
      </c>
      <c r="D97" s="278" t="s">
        <v>362</v>
      </c>
      <c r="E97" s="279" t="e">
        <f t="shared" si="56"/>
        <v>#DIV/0!</v>
      </c>
      <c r="F97" s="280" t="e">
        <f t="shared" si="57"/>
        <v>#DIV/0!</v>
      </c>
      <c r="G97" s="281"/>
      <c r="H97" s="279" t="e">
        <f t="shared" si="58"/>
        <v>#DIV/0!</v>
      </c>
      <c r="I97" s="280" t="e">
        <f t="shared" si="59"/>
        <v>#DIV/0!</v>
      </c>
      <c r="J97" s="281"/>
      <c r="K97" s="279" t="e">
        <f t="shared" si="60"/>
        <v>#DIV/0!</v>
      </c>
      <c r="L97" s="280" t="e">
        <f t="shared" si="61"/>
        <v>#DIV/0!</v>
      </c>
      <c r="M97" s="281"/>
      <c r="N97" s="279" t="e">
        <f>$N$93*P104</f>
        <v>#DIV/0!</v>
      </c>
      <c r="O97" s="280" t="e">
        <f>$O$93*P104</f>
        <v>#DIV/0!</v>
      </c>
      <c r="P97" s="281"/>
      <c r="Q97" s="279" t="e">
        <f>$Q$93*S104</f>
        <v>#DIV/0!</v>
      </c>
      <c r="R97" s="280" t="e">
        <f>$R$93*S104</f>
        <v>#DIV/0!</v>
      </c>
      <c r="S97" s="281"/>
    </row>
    <row r="98" spans="3:19" s="276" customFormat="1" ht="15.75" hidden="1" customHeight="1" outlineLevel="1">
      <c r="C98" s="277" t="s">
        <v>382</v>
      </c>
      <c r="D98" s="278" t="s">
        <v>362</v>
      </c>
      <c r="E98" s="279" t="e">
        <f>$E$93*G105</f>
        <v>#DIV/0!</v>
      </c>
      <c r="F98" s="280" t="e">
        <f t="shared" si="57"/>
        <v>#DIV/0!</v>
      </c>
      <c r="G98" s="281"/>
      <c r="H98" s="279" t="e">
        <f t="shared" si="58"/>
        <v>#DIV/0!</v>
      </c>
      <c r="I98" s="280" t="e">
        <f>$I$93*J105</f>
        <v>#DIV/0!</v>
      </c>
      <c r="J98" s="281"/>
      <c r="K98" s="279" t="e">
        <f>$K$93*M105</f>
        <v>#DIV/0!</v>
      </c>
      <c r="L98" s="280" t="e">
        <f>$L$93*M105</f>
        <v>#DIV/0!</v>
      </c>
      <c r="M98" s="281"/>
      <c r="N98" s="279" t="e">
        <f>$N$93*P105</f>
        <v>#DIV/0!</v>
      </c>
      <c r="O98" s="280" t="e">
        <f>$O$93*P105</f>
        <v>#DIV/0!</v>
      </c>
      <c r="P98" s="281"/>
      <c r="Q98" s="279" t="e">
        <f>$Q$93*S105</f>
        <v>#DIV/0!</v>
      </c>
      <c r="R98" s="280" t="e">
        <f>$R$93*S105</f>
        <v>#DIV/0!</v>
      </c>
      <c r="S98" s="281"/>
    </row>
    <row r="99" spans="3:19" s="276" customFormat="1" ht="15.75" hidden="1" customHeight="1" outlineLevel="1">
      <c r="C99" s="277"/>
      <c r="D99" s="278"/>
      <c r="E99" s="279"/>
      <c r="F99" s="280"/>
      <c r="G99" s="281"/>
      <c r="H99" s="279"/>
      <c r="I99" s="280"/>
      <c r="J99" s="281"/>
      <c r="K99" s="279"/>
      <c r="L99" s="280"/>
      <c r="M99" s="281"/>
      <c r="N99" s="279"/>
      <c r="O99" s="280"/>
      <c r="P99" s="281"/>
      <c r="Q99" s="279"/>
      <c r="R99" s="280"/>
      <c r="S99" s="281"/>
    </row>
    <row r="100" spans="3:19" s="276" customFormat="1" ht="15.75" hidden="1" customHeight="1">
      <c r="C100" s="235" t="s">
        <v>365</v>
      </c>
      <c r="D100" s="272"/>
      <c r="E100" s="282"/>
      <c r="F100" s="283"/>
      <c r="G100" s="284" t="e">
        <f>G101+G102+G103+G104+G105</f>
        <v>#DIV/0!</v>
      </c>
      <c r="H100" s="282"/>
      <c r="I100" s="283"/>
      <c r="J100" s="284" t="e">
        <f>J101+J102+J103+J104+J105</f>
        <v>#DIV/0!</v>
      </c>
      <c r="K100" s="282"/>
      <c r="L100" s="283"/>
      <c r="M100" s="284" t="e">
        <f>M101+M102+M103+M104+M105</f>
        <v>#DIV/0!</v>
      </c>
      <c r="N100" s="282"/>
      <c r="O100" s="283"/>
      <c r="P100" s="284" t="e">
        <f>P101+P102+P103+P104+P105</f>
        <v>#DIV/0!</v>
      </c>
      <c r="Q100" s="282"/>
      <c r="R100" s="283"/>
      <c r="S100" s="284" t="e">
        <f>S101+S102+S103+S104+S105</f>
        <v>#DIV/0!</v>
      </c>
    </row>
    <row r="101" spans="3:19" s="276" customFormat="1" ht="15.75" hidden="1" customHeight="1">
      <c r="C101" s="277" t="s">
        <v>363</v>
      </c>
      <c r="D101" s="278"/>
      <c r="E101" s="282"/>
      <c r="F101" s="283"/>
      <c r="G101" s="284" t="e">
        <f>G94/$G$93</f>
        <v>#DIV/0!</v>
      </c>
      <c r="H101" s="282"/>
      <c r="I101" s="283"/>
      <c r="J101" s="284" t="e">
        <f>J94/$J$93</f>
        <v>#DIV/0!</v>
      </c>
      <c r="K101" s="282"/>
      <c r="L101" s="283"/>
      <c r="M101" s="284" t="e">
        <f>M94/$M$93</f>
        <v>#DIV/0!</v>
      </c>
      <c r="N101" s="282"/>
      <c r="O101" s="283"/>
      <c r="P101" s="284" t="e">
        <f>P94/$P$93</f>
        <v>#DIV/0!</v>
      </c>
      <c r="Q101" s="282"/>
      <c r="R101" s="283"/>
      <c r="S101" s="284" t="e">
        <f>S94/$S$93</f>
        <v>#DIV/0!</v>
      </c>
    </row>
    <row r="102" spans="3:19" s="276" customFormat="1" ht="15.75" hidden="1" customHeight="1" outlineLevel="1">
      <c r="C102" s="277" t="s">
        <v>364</v>
      </c>
      <c r="D102" s="278"/>
      <c r="E102" s="282"/>
      <c r="F102" s="283"/>
      <c r="G102" s="284" t="e">
        <f t="shared" ref="G102:G105" si="62">G95/$G$93</f>
        <v>#DIV/0!</v>
      </c>
      <c r="H102" s="282"/>
      <c r="I102" s="283"/>
      <c r="J102" s="284" t="e">
        <f t="shared" ref="J102:J104" si="63">J95/$J$93</f>
        <v>#DIV/0!</v>
      </c>
      <c r="K102" s="282"/>
      <c r="L102" s="283"/>
      <c r="M102" s="284" t="e">
        <f t="shared" ref="M102:M104" si="64">M95/$M$93</f>
        <v>#DIV/0!</v>
      </c>
      <c r="N102" s="282"/>
      <c r="O102" s="283"/>
      <c r="P102" s="284" t="e">
        <f>P95/$P$93</f>
        <v>#DIV/0!</v>
      </c>
      <c r="Q102" s="282"/>
      <c r="R102" s="283"/>
      <c r="S102" s="284" t="e">
        <f>S95/$S$93</f>
        <v>#DIV/0!</v>
      </c>
    </row>
    <row r="103" spans="3:19" s="276" customFormat="1" ht="15.75" hidden="1" customHeight="1" outlineLevel="1">
      <c r="C103" s="277" t="s">
        <v>380</v>
      </c>
      <c r="D103" s="278"/>
      <c r="E103" s="282"/>
      <c r="F103" s="283"/>
      <c r="G103" s="284" t="e">
        <f t="shared" si="62"/>
        <v>#DIV/0!</v>
      </c>
      <c r="H103" s="282"/>
      <c r="I103" s="283"/>
      <c r="J103" s="284" t="e">
        <f t="shared" si="63"/>
        <v>#DIV/0!</v>
      </c>
      <c r="K103" s="282"/>
      <c r="L103" s="283"/>
      <c r="M103" s="284" t="e">
        <f t="shared" si="64"/>
        <v>#DIV/0!</v>
      </c>
      <c r="N103" s="282"/>
      <c r="O103" s="283"/>
      <c r="P103" s="284" t="e">
        <f>P96/$P$93</f>
        <v>#DIV/0!</v>
      </c>
      <c r="Q103" s="282"/>
      <c r="R103" s="283"/>
      <c r="S103" s="284" t="e">
        <f>S96/$S$93</f>
        <v>#DIV/0!</v>
      </c>
    </row>
    <row r="104" spans="3:19" s="276" customFormat="1" ht="15.75" hidden="1" customHeight="1" outlineLevel="1">
      <c r="C104" s="277" t="s">
        <v>381</v>
      </c>
      <c r="D104" s="278"/>
      <c r="E104" s="282"/>
      <c r="F104" s="283"/>
      <c r="G104" s="284" t="e">
        <f t="shared" si="62"/>
        <v>#DIV/0!</v>
      </c>
      <c r="H104" s="282"/>
      <c r="I104" s="283"/>
      <c r="J104" s="284" t="e">
        <f t="shared" si="63"/>
        <v>#DIV/0!</v>
      </c>
      <c r="K104" s="282"/>
      <c r="L104" s="283"/>
      <c r="M104" s="284" t="e">
        <f t="shared" si="64"/>
        <v>#DIV/0!</v>
      </c>
      <c r="N104" s="282"/>
      <c r="O104" s="283"/>
      <c r="P104" s="284" t="e">
        <f>P97/$P$93</f>
        <v>#DIV/0!</v>
      </c>
      <c r="Q104" s="282"/>
      <c r="R104" s="283"/>
      <c r="S104" s="284" t="e">
        <f>S97/$S$93</f>
        <v>#DIV/0!</v>
      </c>
    </row>
    <row r="105" spans="3:19" s="276" customFormat="1" ht="15.75" hidden="1" customHeight="1" outlineLevel="1">
      <c r="C105" s="277" t="s">
        <v>382</v>
      </c>
      <c r="D105" s="278"/>
      <c r="E105" s="282"/>
      <c r="F105" s="283"/>
      <c r="G105" s="284" t="e">
        <f t="shared" si="62"/>
        <v>#DIV/0!</v>
      </c>
      <c r="H105" s="282"/>
      <c r="I105" s="283"/>
      <c r="J105" s="284" t="e">
        <f>J98/$J$93</f>
        <v>#DIV/0!</v>
      </c>
      <c r="K105" s="282"/>
      <c r="L105" s="283"/>
      <c r="M105" s="284" t="e">
        <f>M98/$M$93</f>
        <v>#DIV/0!</v>
      </c>
      <c r="N105" s="282"/>
      <c r="O105" s="283"/>
      <c r="P105" s="284" t="e">
        <f>P98/$P$93</f>
        <v>#DIV/0!</v>
      </c>
      <c r="Q105" s="282"/>
      <c r="R105" s="283"/>
      <c r="S105" s="284" t="e">
        <f>S98/$S$93</f>
        <v>#DIV/0!</v>
      </c>
    </row>
    <row r="106" spans="3:19" s="276" customFormat="1" ht="15.75" hidden="1" customHeight="1">
      <c r="C106" s="235" t="s">
        <v>366</v>
      </c>
      <c r="D106" s="278"/>
      <c r="E106" s="282"/>
      <c r="F106" s="283"/>
      <c r="G106" s="284"/>
      <c r="H106" s="282"/>
      <c r="I106" s="283"/>
      <c r="J106" s="284"/>
      <c r="K106" s="282"/>
      <c r="L106" s="283"/>
      <c r="M106" s="284"/>
      <c r="N106" s="282"/>
      <c r="O106" s="283"/>
      <c r="P106" s="284"/>
      <c r="Q106" s="282"/>
      <c r="R106" s="283"/>
      <c r="S106" s="284"/>
    </row>
    <row r="107" spans="3:19" s="276" customFormat="1" ht="15.75" hidden="1" customHeight="1">
      <c r="C107" s="277" t="s">
        <v>363</v>
      </c>
      <c r="D107" s="278"/>
      <c r="E107" s="282"/>
      <c r="F107" s="283"/>
      <c r="G107" s="285" t="e">
        <f>G94/G113</f>
        <v>#DIV/0!</v>
      </c>
      <c r="H107" s="282"/>
      <c r="I107" s="283"/>
      <c r="J107" s="285" t="e">
        <f>J94/J113</f>
        <v>#DIV/0!</v>
      </c>
      <c r="K107" s="282"/>
      <c r="L107" s="283"/>
      <c r="M107" s="285" t="e">
        <f>M94/M113</f>
        <v>#DIV/0!</v>
      </c>
      <c r="N107" s="282"/>
      <c r="O107" s="283"/>
      <c r="P107" s="285" t="e">
        <f>P94/P113</f>
        <v>#DIV/0!</v>
      </c>
      <c r="Q107" s="282"/>
      <c r="R107" s="283"/>
      <c r="S107" s="285" t="e">
        <f>S94/S113</f>
        <v>#DIV/0!</v>
      </c>
    </row>
    <row r="108" spans="3:19" s="276" customFormat="1" ht="15.75" hidden="1" customHeight="1" outlineLevel="1">
      <c r="C108" s="277" t="s">
        <v>364</v>
      </c>
      <c r="D108" s="278"/>
      <c r="E108" s="282"/>
      <c r="F108" s="283"/>
      <c r="G108" s="285" t="e">
        <f t="shared" ref="G108:G110" si="65">G95/G114</f>
        <v>#DIV/0!</v>
      </c>
      <c r="H108" s="282"/>
      <c r="I108" s="283"/>
      <c r="J108" s="285" t="e">
        <f t="shared" ref="J108:S110" si="66">J95/J114</f>
        <v>#DIV/0!</v>
      </c>
      <c r="K108" s="282"/>
      <c r="L108" s="283"/>
      <c r="M108" s="285" t="e">
        <f t="shared" si="66"/>
        <v>#DIV/0!</v>
      </c>
      <c r="N108" s="282"/>
      <c r="O108" s="283"/>
      <c r="P108" s="285" t="e">
        <f t="shared" si="66"/>
        <v>#DIV/0!</v>
      </c>
      <c r="Q108" s="282"/>
      <c r="R108" s="283"/>
      <c r="S108" s="285" t="e">
        <f t="shared" si="66"/>
        <v>#DIV/0!</v>
      </c>
    </row>
    <row r="109" spans="3:19" s="276" customFormat="1" ht="15.75" hidden="1" customHeight="1" outlineLevel="1">
      <c r="C109" s="277" t="s">
        <v>380</v>
      </c>
      <c r="D109" s="278"/>
      <c r="E109" s="282"/>
      <c r="F109" s="283"/>
      <c r="G109" s="285" t="e">
        <f t="shared" si="65"/>
        <v>#DIV/0!</v>
      </c>
      <c r="H109" s="282"/>
      <c r="I109" s="283"/>
      <c r="J109" s="285" t="e">
        <f t="shared" si="66"/>
        <v>#DIV/0!</v>
      </c>
      <c r="K109" s="282"/>
      <c r="L109" s="283"/>
      <c r="M109" s="285" t="e">
        <f t="shared" si="66"/>
        <v>#DIV/0!</v>
      </c>
      <c r="N109" s="282"/>
      <c r="O109" s="283"/>
      <c r="P109" s="285" t="e">
        <f t="shared" si="66"/>
        <v>#DIV/0!</v>
      </c>
      <c r="Q109" s="282"/>
      <c r="R109" s="283"/>
      <c r="S109" s="285" t="e">
        <f t="shared" si="66"/>
        <v>#DIV/0!</v>
      </c>
    </row>
    <row r="110" spans="3:19" s="276" customFormat="1" ht="15.75" hidden="1" customHeight="1" outlineLevel="1">
      <c r="C110" s="277" t="s">
        <v>381</v>
      </c>
      <c r="D110" s="278"/>
      <c r="E110" s="282"/>
      <c r="F110" s="283"/>
      <c r="G110" s="285" t="e">
        <f t="shared" si="65"/>
        <v>#DIV/0!</v>
      </c>
      <c r="H110" s="282"/>
      <c r="I110" s="283"/>
      <c r="J110" s="285" t="e">
        <f t="shared" si="66"/>
        <v>#DIV/0!</v>
      </c>
      <c r="K110" s="282"/>
      <c r="L110" s="283"/>
      <c r="M110" s="285" t="e">
        <f t="shared" si="66"/>
        <v>#DIV/0!</v>
      </c>
      <c r="N110" s="282"/>
      <c r="O110" s="283"/>
      <c r="P110" s="285" t="e">
        <f t="shared" si="66"/>
        <v>#DIV/0!</v>
      </c>
      <c r="Q110" s="282"/>
      <c r="R110" s="283"/>
      <c r="S110" s="285" t="e">
        <f t="shared" si="66"/>
        <v>#DIV/0!</v>
      </c>
    </row>
    <row r="111" spans="3:19" s="276" customFormat="1" ht="15.75" hidden="1" customHeight="1" outlineLevel="1">
      <c r="C111" s="277" t="s">
        <v>382</v>
      </c>
      <c r="D111" s="278"/>
      <c r="E111" s="282"/>
      <c r="F111" s="283"/>
      <c r="G111" s="285" t="e">
        <f>G98/G117</f>
        <v>#DIV/0!</v>
      </c>
      <c r="H111" s="282"/>
      <c r="I111" s="283"/>
      <c r="J111" s="285" t="e">
        <f>J98/J117</f>
        <v>#DIV/0!</v>
      </c>
      <c r="K111" s="282"/>
      <c r="L111" s="283"/>
      <c r="M111" s="285" t="e">
        <f>M98/M117</f>
        <v>#DIV/0!</v>
      </c>
      <c r="N111" s="282"/>
      <c r="O111" s="283"/>
      <c r="P111" s="285" t="e">
        <f>P98/P117</f>
        <v>#DIV/0!</v>
      </c>
      <c r="Q111" s="282"/>
      <c r="R111" s="283"/>
      <c r="S111" s="285" t="e">
        <f>S98/S117</f>
        <v>#DIV/0!</v>
      </c>
    </row>
    <row r="112" spans="3:19" s="286" customFormat="1" ht="30" hidden="1" customHeight="1">
      <c r="C112" s="287" t="s">
        <v>367</v>
      </c>
      <c r="D112" s="288"/>
      <c r="E112" s="289"/>
      <c r="F112" s="290"/>
      <c r="G112" s="291"/>
      <c r="H112" s="289"/>
      <c r="I112" s="290"/>
      <c r="J112" s="291"/>
      <c r="K112" s="289"/>
      <c r="L112" s="290"/>
      <c r="M112" s="291"/>
      <c r="N112" s="289"/>
      <c r="O112" s="290"/>
      <c r="P112" s="291"/>
      <c r="Q112" s="289"/>
      <c r="R112" s="290"/>
      <c r="S112" s="291"/>
    </row>
    <row r="113" spans="3:19" s="292" customFormat="1" ht="14.25" hidden="1" customHeight="1">
      <c r="C113" s="325" t="s">
        <v>363</v>
      </c>
      <c r="D113" s="293" t="s">
        <v>43</v>
      </c>
      <c r="E113" s="294" t="e">
        <f>E94/$G107</f>
        <v>#DIV/0!</v>
      </c>
      <c r="F113" s="295" t="e">
        <f>F94/G107</f>
        <v>#DIV/0!</v>
      </c>
      <c r="G113" s="296"/>
      <c r="H113" s="294" t="e">
        <f>H94/$J107</f>
        <v>#DIV/0!</v>
      </c>
      <c r="I113" s="295" t="e">
        <f>I94/J107</f>
        <v>#DIV/0!</v>
      </c>
      <c r="J113" s="296"/>
      <c r="K113" s="294" t="e">
        <f>K94/$M107</f>
        <v>#DIV/0!</v>
      </c>
      <c r="L113" s="295" t="e">
        <f>L94/M107</f>
        <v>#DIV/0!</v>
      </c>
      <c r="M113" s="296"/>
      <c r="N113" s="294" t="e">
        <f>N94/$P107</f>
        <v>#DIV/0!</v>
      </c>
      <c r="O113" s="295" t="e">
        <f>O94/P107</f>
        <v>#DIV/0!</v>
      </c>
      <c r="P113" s="296"/>
      <c r="Q113" s="294" t="e">
        <f>Q94/$S107</f>
        <v>#DIV/0!</v>
      </c>
      <c r="R113" s="295" t="e">
        <f>R94/S107</f>
        <v>#DIV/0!</v>
      </c>
      <c r="S113" s="296"/>
    </row>
    <row r="114" spans="3:19" s="292" customFormat="1" ht="14.25" hidden="1" customHeight="1" outlineLevel="1">
      <c r="C114" s="325" t="s">
        <v>364</v>
      </c>
      <c r="D114" s="293" t="s">
        <v>368</v>
      </c>
      <c r="E114" s="294" t="e">
        <f t="shared" ref="E114:E116" si="67">E95/$G108</f>
        <v>#DIV/0!</v>
      </c>
      <c r="F114" s="295" t="e">
        <f t="shared" ref="F114:F116" si="68">F95/G108</f>
        <v>#DIV/0!</v>
      </c>
      <c r="G114" s="296"/>
      <c r="H114" s="294" t="e">
        <f t="shared" ref="H114:H117" si="69">H95/$J108</f>
        <v>#DIV/0!</v>
      </c>
      <c r="I114" s="295" t="e">
        <f>I95/J108</f>
        <v>#DIV/0!</v>
      </c>
      <c r="J114" s="296"/>
      <c r="K114" s="294" t="e">
        <f t="shared" ref="K114:K116" si="70">K95/$M108</f>
        <v>#DIV/0!</v>
      </c>
      <c r="L114" s="295" t="e">
        <f t="shared" ref="L114:R116" si="71">L95/M108</f>
        <v>#DIV/0!</v>
      </c>
      <c r="M114" s="296"/>
      <c r="N114" s="294" t="e">
        <f t="shared" ref="N114:N116" si="72">N95/$P108</f>
        <v>#DIV/0!</v>
      </c>
      <c r="O114" s="295" t="e">
        <f t="shared" si="71"/>
        <v>#DIV/0!</v>
      </c>
      <c r="P114" s="296"/>
      <c r="Q114" s="294" t="e">
        <f t="shared" ref="Q114:Q116" si="73">Q95/$S108</f>
        <v>#DIV/0!</v>
      </c>
      <c r="R114" s="295" t="e">
        <f t="shared" si="71"/>
        <v>#DIV/0!</v>
      </c>
      <c r="S114" s="296"/>
    </row>
    <row r="115" spans="3:19" s="292" customFormat="1" ht="14.25" hidden="1" customHeight="1" outlineLevel="1">
      <c r="C115" s="325" t="s">
        <v>380</v>
      </c>
      <c r="D115" s="293" t="s">
        <v>368</v>
      </c>
      <c r="E115" s="294" t="e">
        <f t="shared" si="67"/>
        <v>#DIV/0!</v>
      </c>
      <c r="F115" s="295" t="e">
        <f t="shared" si="68"/>
        <v>#DIV/0!</v>
      </c>
      <c r="G115" s="312"/>
      <c r="H115" s="294" t="e">
        <f t="shared" si="69"/>
        <v>#DIV/0!</v>
      </c>
      <c r="I115" s="295" t="e">
        <f>I96/J109</f>
        <v>#DIV/0!</v>
      </c>
      <c r="J115" s="312"/>
      <c r="K115" s="294" t="e">
        <f t="shared" si="70"/>
        <v>#DIV/0!</v>
      </c>
      <c r="L115" s="295" t="e">
        <f t="shared" si="71"/>
        <v>#DIV/0!</v>
      </c>
      <c r="M115" s="312"/>
      <c r="N115" s="294" t="e">
        <f t="shared" si="72"/>
        <v>#DIV/0!</v>
      </c>
      <c r="O115" s="295" t="e">
        <f t="shared" si="71"/>
        <v>#DIV/0!</v>
      </c>
      <c r="P115" s="312"/>
      <c r="Q115" s="294" t="e">
        <f t="shared" si="73"/>
        <v>#DIV/0!</v>
      </c>
      <c r="R115" s="295" t="e">
        <f t="shared" si="71"/>
        <v>#DIV/0!</v>
      </c>
      <c r="S115" s="312"/>
    </row>
    <row r="116" spans="3:19" s="292" customFormat="1" ht="14.25" hidden="1" customHeight="1" outlineLevel="1">
      <c r="C116" s="325" t="s">
        <v>381</v>
      </c>
      <c r="D116" s="293" t="s">
        <v>368</v>
      </c>
      <c r="E116" s="294" t="e">
        <f t="shared" si="67"/>
        <v>#DIV/0!</v>
      </c>
      <c r="F116" s="295" t="e">
        <f t="shared" si="68"/>
        <v>#DIV/0!</v>
      </c>
      <c r="G116" s="312"/>
      <c r="H116" s="294" t="e">
        <f t="shared" si="69"/>
        <v>#DIV/0!</v>
      </c>
      <c r="I116" s="295" t="e">
        <f>I97/J110</f>
        <v>#DIV/0!</v>
      </c>
      <c r="J116" s="312"/>
      <c r="K116" s="294" t="e">
        <f t="shared" si="70"/>
        <v>#DIV/0!</v>
      </c>
      <c r="L116" s="295" t="e">
        <f t="shared" si="71"/>
        <v>#DIV/0!</v>
      </c>
      <c r="M116" s="312"/>
      <c r="N116" s="294" t="e">
        <f t="shared" si="72"/>
        <v>#DIV/0!</v>
      </c>
      <c r="O116" s="295" t="e">
        <f t="shared" si="71"/>
        <v>#DIV/0!</v>
      </c>
      <c r="P116" s="312"/>
      <c r="Q116" s="294" t="e">
        <f t="shared" si="73"/>
        <v>#DIV/0!</v>
      </c>
      <c r="R116" s="295" t="e">
        <f t="shared" si="71"/>
        <v>#DIV/0!</v>
      </c>
      <c r="S116" s="312"/>
    </row>
    <row r="117" spans="3:19" s="292" customFormat="1" ht="14.25" hidden="1" customHeight="1" outlineLevel="1">
      <c r="C117" s="325" t="s">
        <v>382</v>
      </c>
      <c r="D117" s="293" t="s">
        <v>43</v>
      </c>
      <c r="E117" s="294" t="e">
        <f>E98/$G111</f>
        <v>#DIV/0!</v>
      </c>
      <c r="F117" s="295" t="e">
        <f>F98/G111</f>
        <v>#DIV/0!</v>
      </c>
      <c r="G117" s="312"/>
      <c r="H117" s="294" t="e">
        <f t="shared" si="69"/>
        <v>#DIV/0!</v>
      </c>
      <c r="I117" s="295" t="e">
        <f>I98/J111</f>
        <v>#DIV/0!</v>
      </c>
      <c r="J117" s="312"/>
      <c r="K117" s="294" t="e">
        <f>K98/$M111</f>
        <v>#DIV/0!</v>
      </c>
      <c r="L117" s="295" t="e">
        <f>L98/M111</f>
        <v>#DIV/0!</v>
      </c>
      <c r="M117" s="312"/>
      <c r="N117" s="294" t="e">
        <f>N98/$P111</f>
        <v>#DIV/0!</v>
      </c>
      <c r="O117" s="295" t="e">
        <f>O98/P111</f>
        <v>#DIV/0!</v>
      </c>
      <c r="P117" s="312"/>
      <c r="Q117" s="294" t="e">
        <f>Q98/$S111</f>
        <v>#DIV/0!</v>
      </c>
      <c r="R117" s="295" t="e">
        <f>R98/S111</f>
        <v>#DIV/0!</v>
      </c>
      <c r="S117" s="312"/>
    </row>
    <row r="118" spans="3:19" ht="26.25" hidden="1" thickBot="1">
      <c r="C118" s="297" t="s">
        <v>369</v>
      </c>
      <c r="D118" s="272" t="s">
        <v>370</v>
      </c>
      <c r="E118" s="298" t="e">
        <f t="shared" ref="E118:S118" si="74">E93/E80*1000</f>
        <v>#DIV/0!</v>
      </c>
      <c r="F118" s="299" t="e">
        <f t="shared" si="74"/>
        <v>#DIV/0!</v>
      </c>
      <c r="G118" s="300" t="e">
        <f t="shared" si="74"/>
        <v>#DIV/0!</v>
      </c>
      <c r="H118" s="298" t="e">
        <f t="shared" si="74"/>
        <v>#DIV/0!</v>
      </c>
      <c r="I118" s="299" t="e">
        <f t="shared" si="74"/>
        <v>#DIV/0!</v>
      </c>
      <c r="J118" s="300" t="e">
        <f t="shared" si="74"/>
        <v>#DIV/0!</v>
      </c>
      <c r="K118" s="298" t="e">
        <f t="shared" si="74"/>
        <v>#DIV/0!</v>
      </c>
      <c r="L118" s="299" t="e">
        <f t="shared" si="74"/>
        <v>#DIV/0!</v>
      </c>
      <c r="M118" s="300" t="e">
        <f t="shared" si="74"/>
        <v>#DIV/0!</v>
      </c>
      <c r="N118" s="298" t="e">
        <f t="shared" si="74"/>
        <v>#DIV/0!</v>
      </c>
      <c r="O118" s="299" t="e">
        <f t="shared" si="74"/>
        <v>#DIV/0!</v>
      </c>
      <c r="P118" s="300" t="e">
        <f t="shared" si="74"/>
        <v>#DIV/0!</v>
      </c>
      <c r="Q118" s="298" t="e">
        <f t="shared" si="74"/>
        <v>#DIV/0!</v>
      </c>
      <c r="R118" s="299" t="e">
        <f t="shared" si="74"/>
        <v>#DIV/0!</v>
      </c>
      <c r="S118" s="300" t="e">
        <f t="shared" si="74"/>
        <v>#DIV/0!</v>
      </c>
    </row>
    <row r="119" spans="3:19" s="301" customFormat="1" ht="13.5" hidden="1" thickBot="1">
      <c r="E119" s="302"/>
      <c r="F119" s="302"/>
      <c r="G119" s="302"/>
      <c r="H119" s="302"/>
      <c r="I119" s="302"/>
      <c r="J119" s="302"/>
      <c r="K119" s="302"/>
      <c r="L119" s="302"/>
      <c r="M119" s="302"/>
      <c r="N119" s="302"/>
      <c r="O119" s="302"/>
      <c r="P119" s="302"/>
      <c r="Q119" s="302"/>
      <c r="R119" s="302"/>
      <c r="S119" s="302"/>
    </row>
    <row r="120" spans="3:19" s="301" customFormat="1" ht="15.75" hidden="1" customHeight="1">
      <c r="C120" s="180"/>
      <c r="D120" s="269"/>
      <c r="E120" s="1204" t="s">
        <v>166</v>
      </c>
      <c r="F120" s="1205"/>
      <c r="G120" s="1206"/>
      <c r="H120" s="1204" t="s">
        <v>169</v>
      </c>
      <c r="I120" s="1205"/>
      <c r="J120" s="1206"/>
      <c r="K120" s="1204" t="s">
        <v>172</v>
      </c>
      <c r="L120" s="1205"/>
      <c r="M120" s="1206"/>
      <c r="N120" s="1204" t="s">
        <v>200</v>
      </c>
      <c r="O120" s="1205"/>
      <c r="P120" s="1206"/>
      <c r="Q120" s="1207" t="s">
        <v>219</v>
      </c>
      <c r="R120" s="1208"/>
      <c r="S120" s="1209"/>
    </row>
    <row r="121" spans="3:19" s="301" customFormat="1" ht="25.5" hidden="1">
      <c r="C121" s="180"/>
      <c r="D121" s="181"/>
      <c r="E121" s="239" t="s">
        <v>167</v>
      </c>
      <c r="F121" s="240" t="s">
        <v>168</v>
      </c>
      <c r="G121" s="241" t="s">
        <v>22</v>
      </c>
      <c r="H121" s="239" t="s">
        <v>170</v>
      </c>
      <c r="I121" s="240" t="s">
        <v>171</v>
      </c>
      <c r="J121" s="241" t="s">
        <v>22</v>
      </c>
      <c r="K121" s="239" t="s">
        <v>173</v>
      </c>
      <c r="L121" s="240" t="s">
        <v>174</v>
      </c>
      <c r="M121" s="241" t="s">
        <v>22</v>
      </c>
      <c r="N121" s="239" t="s">
        <v>201</v>
      </c>
      <c r="O121" s="240" t="s">
        <v>202</v>
      </c>
      <c r="P121" s="241" t="s">
        <v>22</v>
      </c>
      <c r="Q121" s="239" t="s">
        <v>220</v>
      </c>
      <c r="R121" s="240" t="s">
        <v>221</v>
      </c>
      <c r="S121" s="241" t="s">
        <v>22</v>
      </c>
    </row>
    <row r="122" spans="3:19" s="292" customFormat="1" ht="18" hidden="1" customHeight="1">
      <c r="C122" s="303" t="s">
        <v>371</v>
      </c>
      <c r="D122" s="288" t="s">
        <v>372</v>
      </c>
      <c r="E122" s="294" t="e">
        <f>G123*E80/1000</f>
        <v>#DIV/0!</v>
      </c>
      <c r="F122" s="295" t="e">
        <f>G122-E122</f>
        <v>#DIV/0!</v>
      </c>
      <c r="G122" s="296"/>
      <c r="H122" s="294" t="e">
        <f>J123*H80/1000</f>
        <v>#DIV/0!</v>
      </c>
      <c r="I122" s="295" t="e">
        <f t="shared" ref="I122" si="75">J122-H122</f>
        <v>#DIV/0!</v>
      </c>
      <c r="J122" s="296"/>
      <c r="K122" s="294" t="e">
        <f>M123*K80/1000</f>
        <v>#DIV/0!</v>
      </c>
      <c r="L122" s="295" t="e">
        <f t="shared" ref="L122" si="76">M122-K122</f>
        <v>#DIV/0!</v>
      </c>
      <c r="M122" s="296"/>
      <c r="N122" s="294" t="e">
        <f>P123*N80/1000</f>
        <v>#DIV/0!</v>
      </c>
      <c r="O122" s="295" t="e">
        <f t="shared" ref="O122" si="77">P122-N122</f>
        <v>#DIV/0!</v>
      </c>
      <c r="P122" s="296"/>
      <c r="Q122" s="294" t="e">
        <f>S123*Q80/1000</f>
        <v>#DIV/0!</v>
      </c>
      <c r="R122" s="295" t="e">
        <f>S122-Q122</f>
        <v>#DIV/0!</v>
      </c>
      <c r="S122" s="296"/>
    </row>
    <row r="123" spans="3:19" ht="26.25" hidden="1" thickBot="1">
      <c r="C123" s="297" t="s">
        <v>373</v>
      </c>
      <c r="D123" s="272" t="s">
        <v>374</v>
      </c>
      <c r="E123" s="298" t="e">
        <f t="shared" ref="E123:S123" si="78">E122/E80*1000</f>
        <v>#DIV/0!</v>
      </c>
      <c r="F123" s="299" t="e">
        <f t="shared" si="78"/>
        <v>#DIV/0!</v>
      </c>
      <c r="G123" s="300" t="e">
        <f t="shared" si="78"/>
        <v>#DIV/0!</v>
      </c>
      <c r="H123" s="298" t="e">
        <f t="shared" si="78"/>
        <v>#DIV/0!</v>
      </c>
      <c r="I123" s="299" t="e">
        <f t="shared" si="78"/>
        <v>#DIV/0!</v>
      </c>
      <c r="J123" s="300" t="e">
        <f t="shared" si="78"/>
        <v>#DIV/0!</v>
      </c>
      <c r="K123" s="298" t="e">
        <f t="shared" si="78"/>
        <v>#DIV/0!</v>
      </c>
      <c r="L123" s="299" t="e">
        <f t="shared" si="78"/>
        <v>#DIV/0!</v>
      </c>
      <c r="M123" s="300" t="e">
        <f t="shared" si="78"/>
        <v>#DIV/0!</v>
      </c>
      <c r="N123" s="298" t="e">
        <f t="shared" si="78"/>
        <v>#DIV/0!</v>
      </c>
      <c r="O123" s="299" t="e">
        <f t="shared" si="78"/>
        <v>#DIV/0!</v>
      </c>
      <c r="P123" s="300" t="e">
        <f t="shared" si="78"/>
        <v>#DIV/0!</v>
      </c>
      <c r="Q123" s="298" t="e">
        <f t="shared" si="78"/>
        <v>#DIV/0!</v>
      </c>
      <c r="R123" s="299" t="e">
        <f t="shared" si="78"/>
        <v>#DIV/0!</v>
      </c>
      <c r="S123" s="300" t="e">
        <f t="shared" si="78"/>
        <v>#DIV/0!</v>
      </c>
    </row>
    <row r="124" spans="3:19" hidden="1">
      <c r="C124" s="225"/>
    </row>
    <row r="125" spans="3:19" ht="13.5" hidden="1" thickBot="1">
      <c r="C125" s="225"/>
    </row>
    <row r="126" spans="3:19" ht="15.75" hidden="1" customHeight="1">
      <c r="C126" s="180"/>
      <c r="D126" s="269"/>
      <c r="E126" s="1204" t="s">
        <v>166</v>
      </c>
      <c r="F126" s="1205"/>
      <c r="G126" s="1206"/>
      <c r="H126" s="1204" t="s">
        <v>169</v>
      </c>
      <c r="I126" s="1205"/>
      <c r="J126" s="1206"/>
      <c r="K126" s="1204" t="s">
        <v>172</v>
      </c>
      <c r="L126" s="1205"/>
      <c r="M126" s="1206"/>
      <c r="N126" s="1204" t="s">
        <v>200</v>
      </c>
      <c r="O126" s="1205"/>
      <c r="P126" s="1206"/>
      <c r="Q126" s="1207" t="s">
        <v>219</v>
      </c>
      <c r="R126" s="1208"/>
      <c r="S126" s="1209"/>
    </row>
    <row r="127" spans="3:19" ht="25.5" hidden="1">
      <c r="C127" s="180"/>
      <c r="D127" s="181"/>
      <c r="E127" s="239" t="s">
        <v>167</v>
      </c>
      <c r="F127" s="240" t="s">
        <v>168</v>
      </c>
      <c r="G127" s="241" t="s">
        <v>22</v>
      </c>
      <c r="H127" s="239" t="s">
        <v>170</v>
      </c>
      <c r="I127" s="240" t="s">
        <v>171</v>
      </c>
      <c r="J127" s="241" t="s">
        <v>22</v>
      </c>
      <c r="K127" s="239" t="s">
        <v>173</v>
      </c>
      <c r="L127" s="240" t="s">
        <v>174</v>
      </c>
      <c r="M127" s="241" t="s">
        <v>22</v>
      </c>
      <c r="N127" s="239" t="s">
        <v>201</v>
      </c>
      <c r="O127" s="240" t="s">
        <v>202</v>
      </c>
      <c r="P127" s="241" t="s">
        <v>22</v>
      </c>
      <c r="Q127" s="239" t="s">
        <v>220</v>
      </c>
      <c r="R127" s="240" t="s">
        <v>221</v>
      </c>
      <c r="S127" s="241" t="s">
        <v>22</v>
      </c>
    </row>
    <row r="128" spans="3:19" s="304" customFormat="1" ht="50.25" hidden="1" customHeight="1">
      <c r="C128" s="305" t="s">
        <v>402</v>
      </c>
      <c r="D128" s="288" t="s">
        <v>18</v>
      </c>
      <c r="E128" s="294" t="e">
        <f>G131*E85</f>
        <v>#DIV/0!</v>
      </c>
      <c r="F128" s="295" t="e">
        <f>G128-E128</f>
        <v>#DIV/0!</v>
      </c>
      <c r="G128" s="296"/>
      <c r="H128" s="294" t="e">
        <f>J131*H85</f>
        <v>#DIV/0!</v>
      </c>
      <c r="I128" s="295" t="e">
        <f>J128-H128</f>
        <v>#DIV/0!</v>
      </c>
      <c r="J128" s="296"/>
      <c r="K128" s="294" t="e">
        <f>M131*K85</f>
        <v>#DIV/0!</v>
      </c>
      <c r="L128" s="295" t="e">
        <f>M128-K128</f>
        <v>#DIV/0!</v>
      </c>
      <c r="M128" s="296"/>
      <c r="N128" s="294" t="e">
        <f>P131*N85</f>
        <v>#DIV/0!</v>
      </c>
      <c r="O128" s="295" t="e">
        <f>P128-N128</f>
        <v>#DIV/0!</v>
      </c>
      <c r="P128" s="296"/>
      <c r="Q128" s="294" t="e">
        <f>S131*Q85</f>
        <v>#DIV/0!</v>
      </c>
      <c r="R128" s="295" t="e">
        <f>S128-Q128</f>
        <v>#DIV/0!</v>
      </c>
      <c r="S128" s="296"/>
    </row>
    <row r="129" spans="3:19" s="304" customFormat="1" ht="47.25" hidden="1">
      <c r="C129" s="305" t="s">
        <v>383</v>
      </c>
      <c r="D129" s="288" t="s">
        <v>18</v>
      </c>
      <c r="E129" s="294" t="e">
        <f>G132*E87</f>
        <v>#DIV/0!</v>
      </c>
      <c r="F129" s="295" t="e">
        <f>G129-E129</f>
        <v>#DIV/0!</v>
      </c>
      <c r="G129" s="296"/>
      <c r="H129" s="306"/>
      <c r="I129" s="295"/>
      <c r="J129" s="296"/>
      <c r="K129" s="306"/>
      <c r="L129" s="295"/>
      <c r="M129" s="296"/>
      <c r="N129" s="306"/>
      <c r="O129" s="295"/>
      <c r="P129" s="296"/>
      <c r="Q129" s="306"/>
      <c r="R129" s="295"/>
      <c r="S129" s="296"/>
    </row>
    <row r="130" spans="3:19" s="304" customFormat="1" ht="47.25" hidden="1">
      <c r="C130" s="305" t="s">
        <v>375</v>
      </c>
      <c r="D130" s="288" t="s">
        <v>18</v>
      </c>
      <c r="E130" s="306" t="e">
        <f>E87*G133</f>
        <v>#DIV/0!</v>
      </c>
      <c r="F130" s="295" t="e">
        <f>F87*G133</f>
        <v>#DIV/0!</v>
      </c>
      <c r="G130" s="296"/>
      <c r="H130" s="306" t="e">
        <f>H87*J133</f>
        <v>#DIV/0!</v>
      </c>
      <c r="I130" s="295" t="e">
        <f>I87*J133</f>
        <v>#DIV/0!</v>
      </c>
      <c r="J130" s="296"/>
      <c r="K130" s="306" t="e">
        <f>K87*M133</f>
        <v>#DIV/0!</v>
      </c>
      <c r="L130" s="295" t="e">
        <f>L87*M133</f>
        <v>#DIV/0!</v>
      </c>
      <c r="M130" s="296"/>
      <c r="N130" s="306" t="e">
        <f>N87*P133</f>
        <v>#DIV/0!</v>
      </c>
      <c r="O130" s="295" t="e">
        <f>O87*P133</f>
        <v>#DIV/0!</v>
      </c>
      <c r="P130" s="296"/>
      <c r="Q130" s="306" t="e">
        <f>Q87*S133</f>
        <v>#DIV/0!</v>
      </c>
      <c r="R130" s="295" t="e">
        <f>R87*S133</f>
        <v>#DIV/0!</v>
      </c>
      <c r="S130" s="296"/>
    </row>
    <row r="131" spans="3:19" hidden="1">
      <c r="C131" s="185" t="s">
        <v>376</v>
      </c>
      <c r="D131" s="272" t="s">
        <v>377</v>
      </c>
      <c r="E131" s="307" t="e">
        <f t="shared" ref="E131:S131" si="79">E128/E85</f>
        <v>#DIV/0!</v>
      </c>
      <c r="F131" s="274" t="e">
        <f t="shared" si="79"/>
        <v>#DIV/0!</v>
      </c>
      <c r="G131" s="308" t="e">
        <f t="shared" si="79"/>
        <v>#DIV/0!</v>
      </c>
      <c r="H131" s="307" t="e">
        <f t="shared" si="79"/>
        <v>#DIV/0!</v>
      </c>
      <c r="I131" s="274" t="e">
        <f t="shared" si="79"/>
        <v>#DIV/0!</v>
      </c>
      <c r="J131" s="308" t="e">
        <f t="shared" si="79"/>
        <v>#DIV/0!</v>
      </c>
      <c r="K131" s="307" t="e">
        <f t="shared" si="79"/>
        <v>#DIV/0!</v>
      </c>
      <c r="L131" s="274" t="e">
        <f t="shared" si="79"/>
        <v>#DIV/0!</v>
      </c>
      <c r="M131" s="308" t="e">
        <f t="shared" si="79"/>
        <v>#DIV/0!</v>
      </c>
      <c r="N131" s="307" t="e">
        <f t="shared" si="79"/>
        <v>#DIV/0!</v>
      </c>
      <c r="O131" s="274" t="e">
        <f t="shared" si="79"/>
        <v>#DIV/0!</v>
      </c>
      <c r="P131" s="308" t="e">
        <f t="shared" si="79"/>
        <v>#DIV/0!</v>
      </c>
      <c r="Q131" s="307" t="e">
        <f t="shared" si="79"/>
        <v>#DIV/0!</v>
      </c>
      <c r="R131" s="274" t="e">
        <f t="shared" si="79"/>
        <v>#DIV/0!</v>
      </c>
      <c r="S131" s="308" t="e">
        <f t="shared" si="79"/>
        <v>#DIV/0!</v>
      </c>
    </row>
    <row r="132" spans="3:19" hidden="1">
      <c r="C132" s="185" t="s">
        <v>384</v>
      </c>
      <c r="D132" s="272" t="s">
        <v>377</v>
      </c>
      <c r="E132" s="307" t="e">
        <f t="shared" ref="E132:S132" si="80">E129/E86</f>
        <v>#DIV/0!</v>
      </c>
      <c r="F132" s="274" t="e">
        <f t="shared" si="80"/>
        <v>#DIV/0!</v>
      </c>
      <c r="G132" s="308" t="e">
        <f t="shared" si="80"/>
        <v>#DIV/0!</v>
      </c>
      <c r="H132" s="307" t="e">
        <f t="shared" si="80"/>
        <v>#DIV/0!</v>
      </c>
      <c r="I132" s="274" t="e">
        <f t="shared" si="80"/>
        <v>#DIV/0!</v>
      </c>
      <c r="J132" s="308" t="e">
        <f t="shared" si="80"/>
        <v>#DIV/0!</v>
      </c>
      <c r="K132" s="307" t="e">
        <f t="shared" si="80"/>
        <v>#DIV/0!</v>
      </c>
      <c r="L132" s="274" t="e">
        <f t="shared" si="80"/>
        <v>#DIV/0!</v>
      </c>
      <c r="M132" s="308" t="e">
        <f t="shared" si="80"/>
        <v>#DIV/0!</v>
      </c>
      <c r="N132" s="307" t="e">
        <f t="shared" si="80"/>
        <v>#DIV/0!</v>
      </c>
      <c r="O132" s="274" t="e">
        <f t="shared" si="80"/>
        <v>#DIV/0!</v>
      </c>
      <c r="P132" s="308" t="e">
        <f t="shared" si="80"/>
        <v>#DIV/0!</v>
      </c>
      <c r="Q132" s="307" t="e">
        <f t="shared" si="80"/>
        <v>#DIV/0!</v>
      </c>
      <c r="R132" s="274" t="e">
        <f t="shared" si="80"/>
        <v>#DIV/0!</v>
      </c>
      <c r="S132" s="308" t="e">
        <f t="shared" si="80"/>
        <v>#DIV/0!</v>
      </c>
    </row>
    <row r="133" spans="3:19" hidden="1">
      <c r="C133" s="185" t="s">
        <v>378</v>
      </c>
      <c r="D133" s="272" t="s">
        <v>377</v>
      </c>
      <c r="E133" s="307" t="e">
        <f t="shared" ref="E133:S133" si="81">E130/E87</f>
        <v>#DIV/0!</v>
      </c>
      <c r="F133" s="274" t="e">
        <f t="shared" si="81"/>
        <v>#DIV/0!</v>
      </c>
      <c r="G133" s="308" t="e">
        <f t="shared" si="81"/>
        <v>#DIV/0!</v>
      </c>
      <c r="H133" s="307" t="e">
        <f t="shared" si="81"/>
        <v>#DIV/0!</v>
      </c>
      <c r="I133" s="274" t="e">
        <f t="shared" si="81"/>
        <v>#DIV/0!</v>
      </c>
      <c r="J133" s="308" t="e">
        <f t="shared" si="81"/>
        <v>#DIV/0!</v>
      </c>
      <c r="K133" s="307" t="e">
        <f t="shared" si="81"/>
        <v>#DIV/0!</v>
      </c>
      <c r="L133" s="274" t="e">
        <f t="shared" si="81"/>
        <v>#DIV/0!</v>
      </c>
      <c r="M133" s="308" t="e">
        <f t="shared" si="81"/>
        <v>#DIV/0!</v>
      </c>
      <c r="N133" s="307" t="e">
        <f t="shared" si="81"/>
        <v>#DIV/0!</v>
      </c>
      <c r="O133" s="274" t="e">
        <f t="shared" si="81"/>
        <v>#DIV/0!</v>
      </c>
      <c r="P133" s="308" t="e">
        <f t="shared" si="81"/>
        <v>#DIV/0!</v>
      </c>
      <c r="Q133" s="307" t="e">
        <f t="shared" si="81"/>
        <v>#DIV/0!</v>
      </c>
      <c r="R133" s="274" t="e">
        <f t="shared" si="81"/>
        <v>#DIV/0!</v>
      </c>
      <c r="S133" s="308" t="e">
        <f t="shared" si="81"/>
        <v>#DIV/0!</v>
      </c>
    </row>
    <row r="134" spans="3:19" s="247" customFormat="1" ht="32.25" hidden="1" thickBot="1">
      <c r="C134" s="305" t="s">
        <v>379</v>
      </c>
      <c r="D134" s="288" t="s">
        <v>18</v>
      </c>
      <c r="E134" s="309" t="e">
        <f>G134*E80/G80</f>
        <v>#DIV/0!</v>
      </c>
      <c r="F134" s="310" t="e">
        <f>G134-E134</f>
        <v>#DIV/0!</v>
      </c>
      <c r="G134" s="311"/>
      <c r="H134" s="309" t="e">
        <f>J134*H80/J80</f>
        <v>#DIV/0!</v>
      </c>
      <c r="I134" s="310" t="e">
        <f t="shared" ref="I134" si="82">J134-H134</f>
        <v>#DIV/0!</v>
      </c>
      <c r="J134" s="311"/>
      <c r="K134" s="309" t="e">
        <f>M134*K80/M80</f>
        <v>#DIV/0!</v>
      </c>
      <c r="L134" s="310" t="e">
        <f t="shared" ref="L134" si="83">M134-K134</f>
        <v>#DIV/0!</v>
      </c>
      <c r="M134" s="311"/>
      <c r="N134" s="309" t="e">
        <f>P134*N80/P80</f>
        <v>#DIV/0!</v>
      </c>
      <c r="O134" s="310" t="e">
        <f t="shared" ref="O134" si="84">P134-N134</f>
        <v>#DIV/0!</v>
      </c>
      <c r="P134" s="311"/>
      <c r="Q134" s="309" t="e">
        <f>S134*Q80/S80</f>
        <v>#DIV/0!</v>
      </c>
      <c r="R134" s="310" t="e">
        <f t="shared" ref="R134" si="85">S134-Q134</f>
        <v>#DIV/0!</v>
      </c>
      <c r="S134" s="311"/>
    </row>
    <row r="135" spans="3:19" hidden="1">
      <c r="C135" s="225"/>
    </row>
    <row r="136" spans="3:19" ht="13.5" hidden="1" thickBot="1">
      <c r="C136" s="225"/>
    </row>
    <row r="137" spans="3:19" ht="15.75" hidden="1" customHeight="1">
      <c r="C137" s="180"/>
      <c r="D137" s="269"/>
      <c r="E137" s="1204" t="s">
        <v>166</v>
      </c>
      <c r="F137" s="1205"/>
      <c r="G137" s="1206"/>
      <c r="H137" s="1204" t="s">
        <v>169</v>
      </c>
      <c r="I137" s="1205"/>
      <c r="J137" s="1206"/>
      <c r="K137" s="1204" t="s">
        <v>172</v>
      </c>
      <c r="L137" s="1205"/>
      <c r="M137" s="1206"/>
      <c r="N137" s="1204" t="s">
        <v>200</v>
      </c>
      <c r="O137" s="1205"/>
      <c r="P137" s="1206"/>
      <c r="Q137" s="1207" t="s">
        <v>219</v>
      </c>
      <c r="R137" s="1208"/>
      <c r="S137" s="1209"/>
    </row>
    <row r="138" spans="3:19" ht="25.5" hidden="1">
      <c r="C138" s="180"/>
      <c r="D138" s="181"/>
      <c r="E138" s="239" t="s">
        <v>167</v>
      </c>
      <c r="F138" s="240" t="s">
        <v>168</v>
      </c>
      <c r="G138" s="241" t="s">
        <v>22</v>
      </c>
      <c r="H138" s="239" t="s">
        <v>170</v>
      </c>
      <c r="I138" s="240" t="s">
        <v>171</v>
      </c>
      <c r="J138" s="241" t="s">
        <v>22</v>
      </c>
      <c r="K138" s="239" t="s">
        <v>173</v>
      </c>
      <c r="L138" s="240" t="s">
        <v>174</v>
      </c>
      <c r="M138" s="241" t="s">
        <v>22</v>
      </c>
      <c r="N138" s="239" t="s">
        <v>201</v>
      </c>
      <c r="O138" s="240" t="s">
        <v>202</v>
      </c>
      <c r="P138" s="241" t="s">
        <v>22</v>
      </c>
      <c r="Q138" s="239" t="s">
        <v>220</v>
      </c>
      <c r="R138" s="240" t="s">
        <v>221</v>
      </c>
      <c r="S138" s="241" t="s">
        <v>22</v>
      </c>
    </row>
    <row r="139" spans="3:19" s="304" customFormat="1" ht="63.75" hidden="1" thickBot="1">
      <c r="C139" s="305" t="s">
        <v>391</v>
      </c>
      <c r="D139" s="288" t="s">
        <v>10</v>
      </c>
      <c r="E139" s="309"/>
      <c r="F139" s="310"/>
      <c r="G139" s="311"/>
      <c r="H139" s="309"/>
      <c r="I139" s="310"/>
      <c r="J139" s="311"/>
      <c r="K139" s="309"/>
      <c r="L139" s="310"/>
      <c r="M139" s="311"/>
      <c r="N139" s="309"/>
      <c r="O139" s="310"/>
      <c r="P139" s="311"/>
      <c r="Q139" s="309"/>
      <c r="R139" s="310"/>
      <c r="S139" s="311"/>
    </row>
    <row r="140" spans="3:19" hidden="1"/>
    <row r="141" spans="3:19" ht="13.5" hidden="1" thickBot="1"/>
    <row r="142" spans="3:19" ht="15.75" hidden="1">
      <c r="C142" s="180"/>
      <c r="D142" s="269"/>
      <c r="E142" s="1204" t="s">
        <v>166</v>
      </c>
      <c r="F142" s="1205"/>
      <c r="G142" s="1206"/>
      <c r="H142" s="1204" t="s">
        <v>169</v>
      </c>
      <c r="I142" s="1205"/>
      <c r="J142" s="1206"/>
      <c r="K142" s="1204" t="s">
        <v>172</v>
      </c>
      <c r="L142" s="1205"/>
      <c r="M142" s="1206"/>
      <c r="N142" s="1204" t="s">
        <v>200</v>
      </c>
      <c r="O142" s="1205"/>
      <c r="P142" s="1206"/>
      <c r="Q142" s="1207" t="s">
        <v>219</v>
      </c>
      <c r="R142" s="1208"/>
      <c r="S142" s="1209"/>
    </row>
    <row r="143" spans="3:19" ht="25.5" hidden="1">
      <c r="C143" s="180"/>
      <c r="D143" s="181"/>
      <c r="E143" s="239" t="s">
        <v>167</v>
      </c>
      <c r="F143" s="240" t="s">
        <v>168</v>
      </c>
      <c r="G143" s="241" t="s">
        <v>22</v>
      </c>
      <c r="H143" s="239" t="s">
        <v>170</v>
      </c>
      <c r="I143" s="240" t="s">
        <v>171</v>
      </c>
      <c r="J143" s="241" t="s">
        <v>22</v>
      </c>
      <c r="K143" s="239" t="s">
        <v>173</v>
      </c>
      <c r="L143" s="240" t="s">
        <v>174</v>
      </c>
      <c r="M143" s="241" t="s">
        <v>22</v>
      </c>
      <c r="N143" s="239" t="s">
        <v>201</v>
      </c>
      <c r="O143" s="240" t="s">
        <v>202</v>
      </c>
      <c r="P143" s="241" t="s">
        <v>22</v>
      </c>
      <c r="Q143" s="239" t="s">
        <v>220</v>
      </c>
      <c r="R143" s="240" t="s">
        <v>221</v>
      </c>
      <c r="S143" s="241" t="s">
        <v>22</v>
      </c>
    </row>
    <row r="144" spans="3:19" ht="15.75" hidden="1">
      <c r="C144" s="305" t="s">
        <v>389</v>
      </c>
      <c r="D144" s="288" t="s">
        <v>10</v>
      </c>
      <c r="E144" s="239" t="e">
        <f>G144*E80/G80</f>
        <v>#DIV/0!</v>
      </c>
      <c r="F144" s="322" t="e">
        <f>G144-E144</f>
        <v>#DIV/0!</v>
      </c>
      <c r="G144" s="296"/>
      <c r="H144" s="239" t="e">
        <f>J144*H80/J80</f>
        <v>#DIV/0!</v>
      </c>
      <c r="I144" s="322" t="e">
        <f t="shared" ref="I144" si="86">J144-H144</f>
        <v>#DIV/0!</v>
      </c>
      <c r="J144" s="296"/>
      <c r="K144" s="239" t="e">
        <f>M144*K80/M80</f>
        <v>#DIV/0!</v>
      </c>
      <c r="L144" s="322" t="e">
        <f t="shared" ref="L144" si="87">M144-K144</f>
        <v>#DIV/0!</v>
      </c>
      <c r="M144" s="296"/>
      <c r="N144" s="239" t="e">
        <f>P144*N80/P80</f>
        <v>#DIV/0!</v>
      </c>
      <c r="O144" s="322" t="e">
        <f t="shared" ref="O144" si="88">P144-N144</f>
        <v>#DIV/0!</v>
      </c>
      <c r="P144" s="296"/>
      <c r="Q144" s="239" t="e">
        <f>S144*Q80/S80</f>
        <v>#DIV/0!</v>
      </c>
      <c r="R144" s="322" t="e">
        <f t="shared" ref="R144" si="89">S144-Q144</f>
        <v>#DIV/0!</v>
      </c>
      <c r="S144" s="296"/>
    </row>
    <row r="145" spans="3:19" s="234" customFormat="1" ht="15.75" hidden="1">
      <c r="C145" s="315" t="s">
        <v>387</v>
      </c>
      <c r="D145" s="316" t="s">
        <v>10</v>
      </c>
      <c r="E145" s="317" t="e">
        <f>G145*E144/G144</f>
        <v>#DIV/0!</v>
      </c>
      <c r="F145" s="323" t="e">
        <f>G145-E145</f>
        <v>#DIV/0!</v>
      </c>
      <c r="G145" s="318"/>
      <c r="H145" s="317" t="e">
        <f>J145*H144/J144</f>
        <v>#DIV/0!</v>
      </c>
      <c r="I145" s="323" t="e">
        <f t="shared" ref="I145" si="90">J145-H145</f>
        <v>#DIV/0!</v>
      </c>
      <c r="J145" s="318"/>
      <c r="K145" s="317" t="e">
        <f>M145*K144/M144</f>
        <v>#DIV/0!</v>
      </c>
      <c r="L145" s="323" t="e">
        <f t="shared" ref="L145" si="91">M145-K145</f>
        <v>#DIV/0!</v>
      </c>
      <c r="M145" s="318"/>
      <c r="N145" s="317" t="e">
        <f>P145*N144/P144</f>
        <v>#DIV/0!</v>
      </c>
      <c r="O145" s="323" t="e">
        <f t="shared" ref="O145" si="92">P145-N145</f>
        <v>#DIV/0!</v>
      </c>
      <c r="P145" s="318"/>
      <c r="Q145" s="317" t="e">
        <f>S145*Q144/S144</f>
        <v>#DIV/0!</v>
      </c>
      <c r="R145" s="323" t="e">
        <f t="shared" ref="R145" si="93">S145-Q145</f>
        <v>#DIV/0!</v>
      </c>
      <c r="S145" s="318"/>
    </row>
    <row r="146" spans="3:19" ht="15.75" hidden="1" outlineLevel="1">
      <c r="C146" s="319" t="str">
        <f>E60</f>
        <v>ГУП "ТЭК СПб"</v>
      </c>
      <c r="D146" s="320" t="s">
        <v>10</v>
      </c>
      <c r="E146" s="294" t="e">
        <f>G146*$E$145/$G$145</f>
        <v>#DIV/0!</v>
      </c>
      <c r="F146" s="295" t="e">
        <f>G146-E146</f>
        <v>#DIV/0!</v>
      </c>
      <c r="G146" s="321"/>
      <c r="H146" s="294" t="e">
        <f>J146*$H$145/$J$145</f>
        <v>#DIV/0!</v>
      </c>
      <c r="I146" s="295" t="e">
        <f t="shared" ref="I146:R153" si="94">J146-H146</f>
        <v>#DIV/0!</v>
      </c>
      <c r="J146" s="321"/>
      <c r="K146" s="294" t="e">
        <f>M146*$K$145/$M$145</f>
        <v>#DIV/0!</v>
      </c>
      <c r="L146" s="295" t="e">
        <f t="shared" ref="L146" si="95">M146-K146</f>
        <v>#DIV/0!</v>
      </c>
      <c r="M146" s="321"/>
      <c r="N146" s="294" t="e">
        <f>P146*$N$145/$P$145</f>
        <v>#DIV/0!</v>
      </c>
      <c r="O146" s="295" t="e">
        <f t="shared" ref="O146" si="96">P146-N146</f>
        <v>#DIV/0!</v>
      </c>
      <c r="P146" s="321"/>
      <c r="Q146" s="294" t="e">
        <f>S146*$Q$145/$S$145</f>
        <v>#DIV/0!</v>
      </c>
      <c r="R146" s="295" t="e">
        <f t="shared" ref="R146" si="97">S146-Q146</f>
        <v>#DIV/0!</v>
      </c>
      <c r="S146" s="321"/>
    </row>
    <row r="147" spans="3:19" ht="15.75" hidden="1" outlineLevel="1">
      <c r="C147" s="319" t="str">
        <f>F60</f>
        <v>ПАО "ТГК-1"</v>
      </c>
      <c r="D147" s="320" t="s">
        <v>10</v>
      </c>
      <c r="E147" s="294" t="e">
        <f t="shared" ref="E147:E152" si="98">G147*$E$145/$G$145</f>
        <v>#DIV/0!</v>
      </c>
      <c r="F147" s="295" t="e">
        <f t="shared" ref="F147:F153" si="99">G147-E147</f>
        <v>#DIV/0!</v>
      </c>
      <c r="G147" s="321"/>
      <c r="H147" s="294" t="e">
        <f t="shared" ref="H147:H152" si="100">J147*$H$145/$J$145</f>
        <v>#DIV/0!</v>
      </c>
      <c r="I147" s="295" t="e">
        <f t="shared" si="94"/>
        <v>#DIV/0!</v>
      </c>
      <c r="J147" s="321"/>
      <c r="K147" s="294" t="e">
        <f t="shared" ref="K147:K152" si="101">M147*$K$145/$M$145</f>
        <v>#DIV/0!</v>
      </c>
      <c r="L147" s="295" t="e">
        <f t="shared" si="94"/>
        <v>#DIV/0!</v>
      </c>
      <c r="M147" s="321"/>
      <c r="N147" s="294" t="e">
        <f t="shared" ref="N147:N152" si="102">P147*$N$145/$P$145</f>
        <v>#DIV/0!</v>
      </c>
      <c r="O147" s="295" t="e">
        <f t="shared" si="94"/>
        <v>#DIV/0!</v>
      </c>
      <c r="P147" s="321"/>
      <c r="Q147" s="294" t="e">
        <f t="shared" ref="Q147:Q152" si="103">S147*$Q$145/$S$145</f>
        <v>#DIV/0!</v>
      </c>
      <c r="R147" s="295" t="e">
        <f t="shared" si="94"/>
        <v>#DIV/0!</v>
      </c>
      <c r="S147" s="321"/>
    </row>
    <row r="148" spans="3:19" ht="15.75" hidden="1" outlineLevel="1">
      <c r="C148" s="319" t="str">
        <f>G60</f>
        <v>ООО "Петербургтеплоэнерго"</v>
      </c>
      <c r="D148" s="320" t="s">
        <v>10</v>
      </c>
      <c r="E148" s="294" t="e">
        <f t="shared" si="98"/>
        <v>#DIV/0!</v>
      </c>
      <c r="F148" s="295" t="e">
        <f t="shared" si="99"/>
        <v>#DIV/0!</v>
      </c>
      <c r="G148" s="321"/>
      <c r="H148" s="294" t="e">
        <f t="shared" si="100"/>
        <v>#DIV/0!</v>
      </c>
      <c r="I148" s="295" t="e">
        <f t="shared" si="94"/>
        <v>#DIV/0!</v>
      </c>
      <c r="J148" s="321"/>
      <c r="K148" s="294" t="e">
        <f t="shared" si="101"/>
        <v>#DIV/0!</v>
      </c>
      <c r="L148" s="295" t="e">
        <f t="shared" si="94"/>
        <v>#DIV/0!</v>
      </c>
      <c r="M148" s="321"/>
      <c r="N148" s="294" t="e">
        <f t="shared" si="102"/>
        <v>#DIV/0!</v>
      </c>
      <c r="O148" s="295" t="e">
        <f t="shared" si="94"/>
        <v>#DIV/0!</v>
      </c>
      <c r="P148" s="321"/>
      <c r="Q148" s="294" t="e">
        <f t="shared" si="103"/>
        <v>#DIV/0!</v>
      </c>
      <c r="R148" s="295" t="e">
        <f t="shared" si="94"/>
        <v>#DIV/0!</v>
      </c>
      <c r="S148" s="321"/>
    </row>
    <row r="149" spans="3:19" ht="15.75" hidden="1" outlineLevel="1">
      <c r="C149" s="319" t="str">
        <f>H60</f>
        <v>Иные</v>
      </c>
      <c r="D149" s="320" t="s">
        <v>10</v>
      </c>
      <c r="E149" s="294" t="e">
        <f t="shared" si="98"/>
        <v>#DIV/0!</v>
      </c>
      <c r="F149" s="295" t="e">
        <f t="shared" si="99"/>
        <v>#DIV/0!</v>
      </c>
      <c r="G149" s="321"/>
      <c r="H149" s="294" t="e">
        <f t="shared" si="100"/>
        <v>#DIV/0!</v>
      </c>
      <c r="I149" s="295" t="e">
        <f t="shared" si="94"/>
        <v>#DIV/0!</v>
      </c>
      <c r="J149" s="321"/>
      <c r="K149" s="294" t="e">
        <f t="shared" si="101"/>
        <v>#DIV/0!</v>
      </c>
      <c r="L149" s="295" t="e">
        <f t="shared" si="94"/>
        <v>#DIV/0!</v>
      </c>
      <c r="M149" s="321"/>
      <c r="N149" s="294" t="e">
        <f t="shared" si="102"/>
        <v>#DIV/0!</v>
      </c>
      <c r="O149" s="295" t="e">
        <f t="shared" si="94"/>
        <v>#DIV/0!</v>
      </c>
      <c r="P149" s="321"/>
      <c r="Q149" s="294" t="e">
        <f t="shared" si="103"/>
        <v>#DIV/0!</v>
      </c>
      <c r="R149" s="295" t="e">
        <f t="shared" si="94"/>
        <v>#DIV/0!</v>
      </c>
      <c r="S149" s="321"/>
    </row>
    <row r="150" spans="3:19" ht="15.75" hidden="1" outlineLevel="1">
      <c r="C150" s="319" t="str">
        <f>I60</f>
        <v>Иные</v>
      </c>
      <c r="D150" s="320" t="s">
        <v>10</v>
      </c>
      <c r="E150" s="294" t="e">
        <f t="shared" si="98"/>
        <v>#DIV/0!</v>
      </c>
      <c r="F150" s="295" t="e">
        <f t="shared" si="99"/>
        <v>#DIV/0!</v>
      </c>
      <c r="G150" s="321"/>
      <c r="H150" s="294" t="e">
        <f t="shared" si="100"/>
        <v>#DIV/0!</v>
      </c>
      <c r="I150" s="295" t="e">
        <f t="shared" si="94"/>
        <v>#DIV/0!</v>
      </c>
      <c r="J150" s="321"/>
      <c r="K150" s="294" t="e">
        <f t="shared" si="101"/>
        <v>#DIV/0!</v>
      </c>
      <c r="L150" s="295" t="e">
        <f t="shared" si="94"/>
        <v>#DIV/0!</v>
      </c>
      <c r="M150" s="321"/>
      <c r="N150" s="294" t="e">
        <f t="shared" si="102"/>
        <v>#DIV/0!</v>
      </c>
      <c r="O150" s="295" t="e">
        <f t="shared" si="94"/>
        <v>#DIV/0!</v>
      </c>
      <c r="P150" s="321"/>
      <c r="Q150" s="294" t="e">
        <f t="shared" si="103"/>
        <v>#DIV/0!</v>
      </c>
      <c r="R150" s="295" t="e">
        <f t="shared" si="94"/>
        <v>#DIV/0!</v>
      </c>
      <c r="S150" s="321"/>
    </row>
    <row r="151" spans="3:19" ht="15.75" hidden="1" outlineLevel="1">
      <c r="C151" s="319" t="str">
        <f>J60</f>
        <v>Иные</v>
      </c>
      <c r="D151" s="320" t="s">
        <v>10</v>
      </c>
      <c r="E151" s="294" t="e">
        <f t="shared" si="98"/>
        <v>#DIV/0!</v>
      </c>
      <c r="F151" s="295" t="e">
        <f t="shared" si="99"/>
        <v>#DIV/0!</v>
      </c>
      <c r="G151" s="321"/>
      <c r="H151" s="294" t="e">
        <f t="shared" si="100"/>
        <v>#DIV/0!</v>
      </c>
      <c r="I151" s="295" t="e">
        <f t="shared" si="94"/>
        <v>#DIV/0!</v>
      </c>
      <c r="J151" s="321"/>
      <c r="K151" s="294" t="e">
        <f t="shared" si="101"/>
        <v>#DIV/0!</v>
      </c>
      <c r="L151" s="295" t="e">
        <f t="shared" si="94"/>
        <v>#DIV/0!</v>
      </c>
      <c r="M151" s="321"/>
      <c r="N151" s="294" t="e">
        <f t="shared" si="102"/>
        <v>#DIV/0!</v>
      </c>
      <c r="O151" s="295" t="e">
        <f t="shared" si="94"/>
        <v>#DIV/0!</v>
      </c>
      <c r="P151" s="321"/>
      <c r="Q151" s="294" t="e">
        <f t="shared" si="103"/>
        <v>#DIV/0!</v>
      </c>
      <c r="R151" s="295" t="e">
        <f t="shared" si="94"/>
        <v>#DIV/0!</v>
      </c>
      <c r="S151" s="321"/>
    </row>
    <row r="152" spans="3:19" ht="15.75" hidden="1" outlineLevel="1">
      <c r="C152" s="319" t="str">
        <f>K60</f>
        <v>Иные</v>
      </c>
      <c r="D152" s="320" t="s">
        <v>10</v>
      </c>
      <c r="E152" s="294" t="e">
        <f t="shared" si="98"/>
        <v>#DIV/0!</v>
      </c>
      <c r="F152" s="295" t="e">
        <f t="shared" si="99"/>
        <v>#DIV/0!</v>
      </c>
      <c r="G152" s="321"/>
      <c r="H152" s="294" t="e">
        <f t="shared" si="100"/>
        <v>#DIV/0!</v>
      </c>
      <c r="I152" s="295" t="e">
        <f t="shared" si="94"/>
        <v>#DIV/0!</v>
      </c>
      <c r="J152" s="321"/>
      <c r="K152" s="294" t="e">
        <f t="shared" si="101"/>
        <v>#DIV/0!</v>
      </c>
      <c r="L152" s="295" t="e">
        <f t="shared" si="94"/>
        <v>#DIV/0!</v>
      </c>
      <c r="M152" s="321"/>
      <c r="N152" s="294" t="e">
        <f t="shared" si="102"/>
        <v>#DIV/0!</v>
      </c>
      <c r="O152" s="295" t="e">
        <f t="shared" si="94"/>
        <v>#DIV/0!</v>
      </c>
      <c r="P152" s="321"/>
      <c r="Q152" s="294" t="e">
        <f t="shared" si="103"/>
        <v>#DIV/0!</v>
      </c>
      <c r="R152" s="295" t="e">
        <f t="shared" si="94"/>
        <v>#DIV/0!</v>
      </c>
      <c r="S152" s="321"/>
    </row>
    <row r="153" spans="3:19" ht="15.75" hidden="1" outlineLevel="1">
      <c r="C153" s="319" t="str">
        <f>L60</f>
        <v>Иные</v>
      </c>
      <c r="D153" s="320" t="s">
        <v>10</v>
      </c>
      <c r="E153" s="294" t="e">
        <f>G153*$E$145/$G$145</f>
        <v>#DIV/0!</v>
      </c>
      <c r="F153" s="295" t="e">
        <f t="shared" si="99"/>
        <v>#DIV/0!</v>
      </c>
      <c r="G153" s="321"/>
      <c r="H153" s="294" t="e">
        <f>J153*$H$145/$J$145</f>
        <v>#DIV/0!</v>
      </c>
      <c r="I153" s="295" t="e">
        <f t="shared" si="94"/>
        <v>#DIV/0!</v>
      </c>
      <c r="J153" s="321"/>
      <c r="K153" s="294" t="e">
        <f>M153*$K$145/$M$145</f>
        <v>#DIV/0!</v>
      </c>
      <c r="L153" s="295" t="e">
        <f t="shared" si="94"/>
        <v>#DIV/0!</v>
      </c>
      <c r="M153" s="321"/>
      <c r="N153" s="294" t="e">
        <f>P153*$N$145/$P$145</f>
        <v>#DIV/0!</v>
      </c>
      <c r="O153" s="295" t="e">
        <f t="shared" si="94"/>
        <v>#DIV/0!</v>
      </c>
      <c r="P153" s="321"/>
      <c r="Q153" s="294" t="e">
        <f>S153*$Q$145/$S$145</f>
        <v>#DIV/0!</v>
      </c>
      <c r="R153" s="295" t="e">
        <f t="shared" si="94"/>
        <v>#DIV/0!</v>
      </c>
      <c r="S153" s="321"/>
    </row>
    <row r="154" spans="3:19" s="234" customFormat="1" ht="15.75" hidden="1">
      <c r="C154" s="315" t="s">
        <v>388</v>
      </c>
      <c r="D154" s="316" t="s">
        <v>10</v>
      </c>
      <c r="E154" s="317" t="e">
        <f>G154*E144/G144</f>
        <v>#DIV/0!</v>
      </c>
      <c r="F154" s="323" t="e">
        <f>G154-E154</f>
        <v>#DIV/0!</v>
      </c>
      <c r="G154" s="318"/>
      <c r="H154" s="317" t="e">
        <f>J154*H144/J144</f>
        <v>#DIV/0!</v>
      </c>
      <c r="I154" s="323" t="e">
        <f t="shared" ref="I154" si="104">J154-H154</f>
        <v>#DIV/0!</v>
      </c>
      <c r="J154" s="318"/>
      <c r="K154" s="317" t="e">
        <f>M154*K144/M144</f>
        <v>#DIV/0!</v>
      </c>
      <c r="L154" s="323" t="e">
        <f t="shared" ref="L154" si="105">M154-K154</f>
        <v>#DIV/0!</v>
      </c>
      <c r="M154" s="318"/>
      <c r="N154" s="317" t="e">
        <f>P154*N144/P144</f>
        <v>#DIV/0!</v>
      </c>
      <c r="O154" s="323" t="e">
        <f t="shared" ref="O154" si="106">P154-N154</f>
        <v>#DIV/0!</v>
      </c>
      <c r="P154" s="318"/>
      <c r="Q154" s="317" t="e">
        <f>S154*Q144/S144</f>
        <v>#DIV/0!</v>
      </c>
      <c r="R154" s="323" t="e">
        <f t="shared" ref="R154" si="107">S154-Q154</f>
        <v>#DIV/0!</v>
      </c>
      <c r="S154" s="318"/>
    </row>
    <row r="155" spans="3:19" ht="15.75" hidden="1" outlineLevel="1">
      <c r="C155" s="319" t="str">
        <f>C146</f>
        <v>ГУП "ТЭК СПб"</v>
      </c>
      <c r="D155" s="320" t="s">
        <v>10</v>
      </c>
      <c r="E155" s="294" t="e">
        <f>G155*$E$154/$G$154</f>
        <v>#DIV/0!</v>
      </c>
      <c r="F155" s="295" t="e">
        <f>G155-E155</f>
        <v>#DIV/0!</v>
      </c>
      <c r="G155" s="321"/>
      <c r="H155" s="294" t="e">
        <f>J155*$H$154/$J$154</f>
        <v>#DIV/0!</v>
      </c>
      <c r="I155" s="295" t="e">
        <f t="shared" ref="I155:R161" si="108">J155-H155</f>
        <v>#DIV/0!</v>
      </c>
      <c r="J155" s="321"/>
      <c r="K155" s="294" t="e">
        <f>M155*$K$154/$M$154</f>
        <v>#DIV/0!</v>
      </c>
      <c r="L155" s="295" t="e">
        <f t="shared" ref="L155" si="109">M155-K155</f>
        <v>#DIV/0!</v>
      </c>
      <c r="M155" s="321"/>
      <c r="N155" s="294" t="e">
        <f>P155*$N$154/$P$154</f>
        <v>#DIV/0!</v>
      </c>
      <c r="O155" s="295" t="e">
        <f t="shared" ref="O155" si="110">P155-N155</f>
        <v>#DIV/0!</v>
      </c>
      <c r="P155" s="321"/>
      <c r="Q155" s="294" t="e">
        <f>S155*$Q$154/$S$154</f>
        <v>#DIV/0!</v>
      </c>
      <c r="R155" s="295" t="e">
        <f t="shared" ref="R155" si="111">S155-Q155</f>
        <v>#DIV/0!</v>
      </c>
      <c r="S155" s="321"/>
    </row>
    <row r="156" spans="3:19" ht="15.75" hidden="1" outlineLevel="1">
      <c r="C156" s="319" t="str">
        <f t="shared" ref="C156:C162" si="112">C147</f>
        <v>ПАО "ТГК-1"</v>
      </c>
      <c r="D156" s="320" t="s">
        <v>10</v>
      </c>
      <c r="E156" s="294" t="e">
        <f t="shared" ref="E156:E161" si="113">G156*$E$154/$G$154</f>
        <v>#DIV/0!</v>
      </c>
      <c r="F156" s="295" t="e">
        <f t="shared" ref="F156:F161" si="114">G156-E156</f>
        <v>#DIV/0!</v>
      </c>
      <c r="G156" s="321"/>
      <c r="H156" s="294" t="e">
        <f t="shared" ref="H156:H161" si="115">J156*$H$154/$J$154</f>
        <v>#DIV/0!</v>
      </c>
      <c r="I156" s="295" t="e">
        <f t="shared" si="108"/>
        <v>#DIV/0!</v>
      </c>
      <c r="J156" s="321"/>
      <c r="K156" s="294" t="e">
        <f t="shared" ref="K156:K161" si="116">M156*$K$154/$M$154</f>
        <v>#DIV/0!</v>
      </c>
      <c r="L156" s="295" t="e">
        <f t="shared" si="108"/>
        <v>#DIV/0!</v>
      </c>
      <c r="M156" s="321"/>
      <c r="N156" s="294" t="e">
        <f t="shared" ref="N156:N161" si="117">P156*$N$154/$P$154</f>
        <v>#DIV/0!</v>
      </c>
      <c r="O156" s="295" t="e">
        <f t="shared" si="108"/>
        <v>#DIV/0!</v>
      </c>
      <c r="P156" s="321"/>
      <c r="Q156" s="294" t="e">
        <f t="shared" ref="Q156:Q161" si="118">S156*$Q$154/$S$154</f>
        <v>#DIV/0!</v>
      </c>
      <c r="R156" s="295" t="e">
        <f t="shared" si="108"/>
        <v>#DIV/0!</v>
      </c>
      <c r="S156" s="321"/>
    </row>
    <row r="157" spans="3:19" ht="15.75" hidden="1" outlineLevel="1">
      <c r="C157" s="319" t="str">
        <f t="shared" si="112"/>
        <v>ООО "Петербургтеплоэнерго"</v>
      </c>
      <c r="D157" s="320" t="s">
        <v>10</v>
      </c>
      <c r="E157" s="294" t="e">
        <f t="shared" si="113"/>
        <v>#DIV/0!</v>
      </c>
      <c r="F157" s="295" t="e">
        <f t="shared" si="114"/>
        <v>#DIV/0!</v>
      </c>
      <c r="G157" s="321"/>
      <c r="H157" s="294" t="e">
        <f t="shared" si="115"/>
        <v>#DIV/0!</v>
      </c>
      <c r="I157" s="295" t="e">
        <f t="shared" si="108"/>
        <v>#DIV/0!</v>
      </c>
      <c r="J157" s="321"/>
      <c r="K157" s="294" t="e">
        <f t="shared" si="116"/>
        <v>#DIV/0!</v>
      </c>
      <c r="L157" s="295" t="e">
        <f t="shared" si="108"/>
        <v>#DIV/0!</v>
      </c>
      <c r="M157" s="321"/>
      <c r="N157" s="294" t="e">
        <f t="shared" si="117"/>
        <v>#DIV/0!</v>
      </c>
      <c r="O157" s="295" t="e">
        <f t="shared" si="108"/>
        <v>#DIV/0!</v>
      </c>
      <c r="P157" s="321"/>
      <c r="Q157" s="294" t="e">
        <f t="shared" si="118"/>
        <v>#DIV/0!</v>
      </c>
      <c r="R157" s="295" t="e">
        <f t="shared" si="108"/>
        <v>#DIV/0!</v>
      </c>
      <c r="S157" s="321"/>
    </row>
    <row r="158" spans="3:19" ht="15.75" hidden="1" outlineLevel="1">
      <c r="C158" s="319" t="str">
        <f t="shared" si="112"/>
        <v>Иные</v>
      </c>
      <c r="D158" s="320" t="s">
        <v>10</v>
      </c>
      <c r="E158" s="294" t="e">
        <f t="shared" si="113"/>
        <v>#DIV/0!</v>
      </c>
      <c r="F158" s="295" t="e">
        <f t="shared" si="114"/>
        <v>#DIV/0!</v>
      </c>
      <c r="G158" s="321"/>
      <c r="H158" s="294" t="e">
        <f t="shared" si="115"/>
        <v>#DIV/0!</v>
      </c>
      <c r="I158" s="295" t="e">
        <f t="shared" si="108"/>
        <v>#DIV/0!</v>
      </c>
      <c r="J158" s="321"/>
      <c r="K158" s="294" t="e">
        <f t="shared" si="116"/>
        <v>#DIV/0!</v>
      </c>
      <c r="L158" s="295" t="e">
        <f t="shared" si="108"/>
        <v>#DIV/0!</v>
      </c>
      <c r="M158" s="321"/>
      <c r="N158" s="294" t="e">
        <f t="shared" si="117"/>
        <v>#DIV/0!</v>
      </c>
      <c r="O158" s="295" t="e">
        <f t="shared" si="108"/>
        <v>#DIV/0!</v>
      </c>
      <c r="P158" s="321"/>
      <c r="Q158" s="294" t="e">
        <f t="shared" si="118"/>
        <v>#DIV/0!</v>
      </c>
      <c r="R158" s="295" t="e">
        <f t="shared" si="108"/>
        <v>#DIV/0!</v>
      </c>
      <c r="S158" s="321"/>
    </row>
    <row r="159" spans="3:19" ht="15.75" hidden="1" outlineLevel="1">
      <c r="C159" s="319" t="str">
        <f t="shared" si="112"/>
        <v>Иные</v>
      </c>
      <c r="D159" s="320" t="s">
        <v>10</v>
      </c>
      <c r="E159" s="294" t="e">
        <f t="shared" si="113"/>
        <v>#DIV/0!</v>
      </c>
      <c r="F159" s="295" t="e">
        <f t="shared" si="114"/>
        <v>#DIV/0!</v>
      </c>
      <c r="G159" s="321"/>
      <c r="H159" s="294" t="e">
        <f t="shared" si="115"/>
        <v>#DIV/0!</v>
      </c>
      <c r="I159" s="295" t="e">
        <f t="shared" si="108"/>
        <v>#DIV/0!</v>
      </c>
      <c r="J159" s="321"/>
      <c r="K159" s="294" t="e">
        <f t="shared" si="116"/>
        <v>#DIV/0!</v>
      </c>
      <c r="L159" s="295" t="e">
        <f t="shared" si="108"/>
        <v>#DIV/0!</v>
      </c>
      <c r="M159" s="321"/>
      <c r="N159" s="294" t="e">
        <f t="shared" si="117"/>
        <v>#DIV/0!</v>
      </c>
      <c r="O159" s="295" t="e">
        <f t="shared" si="108"/>
        <v>#DIV/0!</v>
      </c>
      <c r="P159" s="321"/>
      <c r="Q159" s="294" t="e">
        <f t="shared" si="118"/>
        <v>#DIV/0!</v>
      </c>
      <c r="R159" s="295" t="e">
        <f t="shared" si="108"/>
        <v>#DIV/0!</v>
      </c>
      <c r="S159" s="321"/>
    </row>
    <row r="160" spans="3:19" ht="15.75" hidden="1" outlineLevel="1">
      <c r="C160" s="319" t="str">
        <f t="shared" si="112"/>
        <v>Иные</v>
      </c>
      <c r="D160" s="320" t="s">
        <v>10</v>
      </c>
      <c r="E160" s="294" t="e">
        <f t="shared" si="113"/>
        <v>#DIV/0!</v>
      </c>
      <c r="F160" s="295" t="e">
        <f t="shared" si="114"/>
        <v>#DIV/0!</v>
      </c>
      <c r="G160" s="321"/>
      <c r="H160" s="294" t="e">
        <f t="shared" si="115"/>
        <v>#DIV/0!</v>
      </c>
      <c r="I160" s="295" t="e">
        <f t="shared" si="108"/>
        <v>#DIV/0!</v>
      </c>
      <c r="J160" s="321"/>
      <c r="K160" s="294" t="e">
        <f t="shared" si="116"/>
        <v>#DIV/0!</v>
      </c>
      <c r="L160" s="295" t="e">
        <f t="shared" si="108"/>
        <v>#DIV/0!</v>
      </c>
      <c r="M160" s="321"/>
      <c r="N160" s="294" t="e">
        <f t="shared" si="117"/>
        <v>#DIV/0!</v>
      </c>
      <c r="O160" s="295" t="e">
        <f t="shared" si="108"/>
        <v>#DIV/0!</v>
      </c>
      <c r="P160" s="321"/>
      <c r="Q160" s="294" t="e">
        <f t="shared" si="118"/>
        <v>#DIV/0!</v>
      </c>
      <c r="R160" s="295" t="e">
        <f t="shared" si="108"/>
        <v>#DIV/0!</v>
      </c>
      <c r="S160" s="321"/>
    </row>
    <row r="161" spans="3:19" ht="15.75" hidden="1" outlineLevel="1">
      <c r="C161" s="319" t="str">
        <f t="shared" si="112"/>
        <v>Иные</v>
      </c>
      <c r="D161" s="320" t="s">
        <v>10</v>
      </c>
      <c r="E161" s="294" t="e">
        <f t="shared" si="113"/>
        <v>#DIV/0!</v>
      </c>
      <c r="F161" s="295" t="e">
        <f t="shared" si="114"/>
        <v>#DIV/0!</v>
      </c>
      <c r="G161" s="321"/>
      <c r="H161" s="294" t="e">
        <f t="shared" si="115"/>
        <v>#DIV/0!</v>
      </c>
      <c r="I161" s="295" t="e">
        <f t="shared" si="108"/>
        <v>#DIV/0!</v>
      </c>
      <c r="J161" s="321"/>
      <c r="K161" s="294" t="e">
        <f t="shared" si="116"/>
        <v>#DIV/0!</v>
      </c>
      <c r="L161" s="295" t="e">
        <f t="shared" si="108"/>
        <v>#DIV/0!</v>
      </c>
      <c r="M161" s="321"/>
      <c r="N161" s="294" t="e">
        <f t="shared" si="117"/>
        <v>#DIV/0!</v>
      </c>
      <c r="O161" s="295" t="e">
        <f t="shared" si="108"/>
        <v>#DIV/0!</v>
      </c>
      <c r="P161" s="321"/>
      <c r="Q161" s="294" t="e">
        <f t="shared" si="118"/>
        <v>#DIV/0!</v>
      </c>
      <c r="R161" s="295" t="e">
        <f t="shared" si="108"/>
        <v>#DIV/0!</v>
      </c>
      <c r="S161" s="321"/>
    </row>
    <row r="162" spans="3:19" ht="16.5" hidden="1" outlineLevel="1" thickBot="1">
      <c r="C162" s="319" t="str">
        <f t="shared" si="112"/>
        <v>Иные</v>
      </c>
      <c r="D162" s="320" t="s">
        <v>10</v>
      </c>
      <c r="E162" s="309" t="e">
        <f>G162*$E$154/$G$154</f>
        <v>#DIV/0!</v>
      </c>
      <c r="F162" s="310" t="e">
        <f>G162-E162</f>
        <v>#DIV/0!</v>
      </c>
      <c r="G162" s="324"/>
      <c r="H162" s="309" t="e">
        <f>J162*$H$154/$J$154</f>
        <v>#DIV/0!</v>
      </c>
      <c r="I162" s="310" t="e">
        <f t="shared" ref="I162" si="119">J162-H162</f>
        <v>#DIV/0!</v>
      </c>
      <c r="J162" s="324"/>
      <c r="K162" s="309" t="e">
        <f>M162*$K$154/$M$154</f>
        <v>#DIV/0!</v>
      </c>
      <c r="L162" s="310" t="e">
        <f t="shared" ref="L162" si="120">M162-K162</f>
        <v>#DIV/0!</v>
      </c>
      <c r="M162" s="324"/>
      <c r="N162" s="309" t="e">
        <f>P162*$N$154/$P$154</f>
        <v>#DIV/0!</v>
      </c>
      <c r="O162" s="310" t="e">
        <f t="shared" ref="O162" si="121">P162-N162</f>
        <v>#DIV/0!</v>
      </c>
      <c r="P162" s="324"/>
      <c r="Q162" s="309" t="e">
        <f>S162*$Q$154/$S$154</f>
        <v>#DIV/0!</v>
      </c>
      <c r="R162" s="310" t="e">
        <f t="shared" ref="R162" si="122">S162-Q162</f>
        <v>#DIV/0!</v>
      </c>
      <c r="S162" s="324"/>
    </row>
    <row r="163" spans="3:19" hidden="1" collapsed="1"/>
    <row r="164" spans="3:19" ht="13.5" hidden="1" thickBot="1"/>
    <row r="165" spans="3:19" hidden="1">
      <c r="C165" s="180"/>
      <c r="D165" s="269"/>
      <c r="E165" s="1204" t="s">
        <v>166</v>
      </c>
      <c r="F165" s="1205"/>
      <c r="G165" s="1206"/>
      <c r="H165" s="1204" t="s">
        <v>169</v>
      </c>
      <c r="I165" s="1205"/>
      <c r="J165" s="1206"/>
      <c r="K165" s="1204" t="s">
        <v>172</v>
      </c>
      <c r="L165" s="1205"/>
      <c r="M165" s="1206"/>
      <c r="N165" s="1204" t="s">
        <v>200</v>
      </c>
      <c r="O165" s="1205"/>
      <c r="P165" s="1206"/>
      <c r="Q165" s="1204" t="s">
        <v>219</v>
      </c>
      <c r="R165" s="1205"/>
      <c r="S165" s="1206"/>
    </row>
    <row r="166" spans="3:19" ht="25.5" hidden="1">
      <c r="C166" s="180"/>
      <c r="D166" s="181"/>
      <c r="E166" s="239" t="s">
        <v>167</v>
      </c>
      <c r="F166" s="240" t="s">
        <v>168</v>
      </c>
      <c r="G166" s="241" t="s">
        <v>22</v>
      </c>
      <c r="H166" s="239" t="s">
        <v>170</v>
      </c>
      <c r="I166" s="240" t="s">
        <v>171</v>
      </c>
      <c r="J166" s="241" t="s">
        <v>22</v>
      </c>
      <c r="K166" s="239" t="s">
        <v>173</v>
      </c>
      <c r="L166" s="240" t="s">
        <v>174</v>
      </c>
      <c r="M166" s="241" t="s">
        <v>22</v>
      </c>
      <c r="N166" s="239" t="s">
        <v>201</v>
      </c>
      <c r="O166" s="240" t="s">
        <v>202</v>
      </c>
      <c r="P166" s="241" t="s">
        <v>22</v>
      </c>
      <c r="Q166" s="239" t="s">
        <v>220</v>
      </c>
      <c r="R166" s="240" t="s">
        <v>221</v>
      </c>
      <c r="S166" s="241" t="s">
        <v>22</v>
      </c>
    </row>
    <row r="167" spans="3:19" ht="15.75" hidden="1">
      <c r="C167" s="305" t="s">
        <v>390</v>
      </c>
      <c r="D167" s="288" t="s">
        <v>386</v>
      </c>
      <c r="E167" s="239" t="e">
        <f>G167*E86/G86</f>
        <v>#DIV/0!</v>
      </c>
      <c r="F167" s="240" t="e">
        <f>G167-E167</f>
        <v>#DIV/0!</v>
      </c>
      <c r="G167" s="321"/>
      <c r="H167" s="239" t="e">
        <f>J167*H86/J86</f>
        <v>#DIV/0!</v>
      </c>
      <c r="I167" s="240" t="e">
        <f t="shared" ref="I167" si="123">J167-H167</f>
        <v>#DIV/0!</v>
      </c>
      <c r="J167" s="321"/>
      <c r="K167" s="239" t="e">
        <f>M167*K86/M86</f>
        <v>#DIV/0!</v>
      </c>
      <c r="L167" s="240" t="e">
        <f t="shared" ref="L167" si="124">M167-K167</f>
        <v>#DIV/0!</v>
      </c>
      <c r="M167" s="321"/>
      <c r="N167" s="239" t="e">
        <f>P167*N86/P86</f>
        <v>#DIV/0!</v>
      </c>
      <c r="O167" s="240" t="e">
        <f t="shared" ref="O167" si="125">P167-N167</f>
        <v>#DIV/0!</v>
      </c>
      <c r="P167" s="321"/>
      <c r="Q167" s="239" t="e">
        <f>S167*Q86/S86</f>
        <v>#DIV/0!</v>
      </c>
      <c r="R167" s="240" t="e">
        <f t="shared" ref="R167" si="126">S167-Q167</f>
        <v>#DIV/0!</v>
      </c>
      <c r="S167" s="321"/>
    </row>
    <row r="168" spans="3:19" ht="15.75" hidden="1" outlineLevel="1">
      <c r="C168" s="319" t="str">
        <f>E60</f>
        <v>ГУП "ТЭК СПб"</v>
      </c>
      <c r="D168" s="320" t="s">
        <v>386</v>
      </c>
      <c r="E168" s="294" t="e">
        <f t="shared" ref="E168:E175" si="127">G168*$E$167/$G$167</f>
        <v>#DIV/0!</v>
      </c>
      <c r="F168" s="295" t="e">
        <f>G168-E168</f>
        <v>#DIV/0!</v>
      </c>
      <c r="G168" s="321"/>
      <c r="H168" s="294" t="e">
        <f t="shared" ref="H168:H175" si="128">J168*$H$167/$J$167</f>
        <v>#DIV/0!</v>
      </c>
      <c r="I168" s="295" t="e">
        <f t="shared" ref="I168:R175" si="129">J168-H168</f>
        <v>#DIV/0!</v>
      </c>
      <c r="J168" s="321"/>
      <c r="K168" s="294" t="e">
        <f t="shared" ref="K168:K175" si="130">M168*$K$167/$M$167</f>
        <v>#DIV/0!</v>
      </c>
      <c r="L168" s="295" t="e">
        <f t="shared" ref="L168" si="131">M168-K168</f>
        <v>#DIV/0!</v>
      </c>
      <c r="M168" s="321"/>
      <c r="N168" s="294" t="e">
        <f t="shared" ref="N168:N175" si="132">P168*$N$167/$P$167</f>
        <v>#DIV/0!</v>
      </c>
      <c r="O168" s="295" t="e">
        <f t="shared" ref="O168" si="133">P168-N168</f>
        <v>#DIV/0!</v>
      </c>
      <c r="P168" s="321"/>
      <c r="Q168" s="294" t="e">
        <f t="shared" ref="Q168:Q175" si="134">S168*$Q$167/$S$167</f>
        <v>#DIV/0!</v>
      </c>
      <c r="R168" s="295" t="e">
        <f t="shared" ref="R168" si="135">S168-Q168</f>
        <v>#DIV/0!</v>
      </c>
      <c r="S168" s="321"/>
    </row>
    <row r="169" spans="3:19" ht="15.75" hidden="1" outlineLevel="1">
      <c r="C169" s="319" t="str">
        <f>F60</f>
        <v>ПАО "ТГК-1"</v>
      </c>
      <c r="D169" s="320" t="s">
        <v>386</v>
      </c>
      <c r="E169" s="294" t="e">
        <f t="shared" si="127"/>
        <v>#DIV/0!</v>
      </c>
      <c r="F169" s="295" t="e">
        <f t="shared" ref="F169:F175" si="136">G169-E169</f>
        <v>#DIV/0!</v>
      </c>
      <c r="G169" s="321"/>
      <c r="H169" s="294" t="e">
        <f t="shared" si="128"/>
        <v>#DIV/0!</v>
      </c>
      <c r="I169" s="295" t="e">
        <f t="shared" si="129"/>
        <v>#DIV/0!</v>
      </c>
      <c r="J169" s="321"/>
      <c r="K169" s="294" t="e">
        <f t="shared" si="130"/>
        <v>#DIV/0!</v>
      </c>
      <c r="L169" s="295" t="e">
        <f t="shared" si="129"/>
        <v>#DIV/0!</v>
      </c>
      <c r="M169" s="321"/>
      <c r="N169" s="294" t="e">
        <f t="shared" si="132"/>
        <v>#DIV/0!</v>
      </c>
      <c r="O169" s="295" t="e">
        <f t="shared" si="129"/>
        <v>#DIV/0!</v>
      </c>
      <c r="P169" s="321"/>
      <c r="Q169" s="294" t="e">
        <f t="shared" si="134"/>
        <v>#DIV/0!</v>
      </c>
      <c r="R169" s="295" t="e">
        <f t="shared" si="129"/>
        <v>#DIV/0!</v>
      </c>
      <c r="S169" s="321"/>
    </row>
    <row r="170" spans="3:19" ht="15.75" hidden="1" outlineLevel="1">
      <c r="C170" s="319" t="str">
        <f>G60</f>
        <v>ООО "Петербургтеплоэнерго"</v>
      </c>
      <c r="D170" s="320" t="s">
        <v>386</v>
      </c>
      <c r="E170" s="294" t="e">
        <f t="shared" si="127"/>
        <v>#DIV/0!</v>
      </c>
      <c r="F170" s="295" t="e">
        <f t="shared" si="136"/>
        <v>#DIV/0!</v>
      </c>
      <c r="G170" s="321"/>
      <c r="H170" s="294" t="e">
        <f t="shared" si="128"/>
        <v>#DIV/0!</v>
      </c>
      <c r="I170" s="295" t="e">
        <f t="shared" si="129"/>
        <v>#DIV/0!</v>
      </c>
      <c r="J170" s="321"/>
      <c r="K170" s="294" t="e">
        <f t="shared" si="130"/>
        <v>#DIV/0!</v>
      </c>
      <c r="L170" s="295" t="e">
        <f t="shared" si="129"/>
        <v>#DIV/0!</v>
      </c>
      <c r="M170" s="321"/>
      <c r="N170" s="294" t="e">
        <f t="shared" si="132"/>
        <v>#DIV/0!</v>
      </c>
      <c r="O170" s="295" t="e">
        <f t="shared" si="129"/>
        <v>#DIV/0!</v>
      </c>
      <c r="P170" s="321"/>
      <c r="Q170" s="294" t="e">
        <f t="shared" si="134"/>
        <v>#DIV/0!</v>
      </c>
      <c r="R170" s="295" t="e">
        <f t="shared" si="129"/>
        <v>#DIV/0!</v>
      </c>
      <c r="S170" s="321"/>
    </row>
    <row r="171" spans="3:19" ht="15.75" hidden="1" outlineLevel="1">
      <c r="C171" s="319" t="str">
        <f>H60</f>
        <v>Иные</v>
      </c>
      <c r="D171" s="320" t="s">
        <v>386</v>
      </c>
      <c r="E171" s="294" t="e">
        <f t="shared" si="127"/>
        <v>#DIV/0!</v>
      </c>
      <c r="F171" s="295" t="e">
        <f t="shared" si="136"/>
        <v>#DIV/0!</v>
      </c>
      <c r="G171" s="321"/>
      <c r="H171" s="294" t="e">
        <f t="shared" si="128"/>
        <v>#DIV/0!</v>
      </c>
      <c r="I171" s="295" t="e">
        <f t="shared" si="129"/>
        <v>#DIV/0!</v>
      </c>
      <c r="J171" s="321"/>
      <c r="K171" s="294" t="e">
        <f t="shared" si="130"/>
        <v>#DIV/0!</v>
      </c>
      <c r="L171" s="295" t="e">
        <f t="shared" si="129"/>
        <v>#DIV/0!</v>
      </c>
      <c r="M171" s="321"/>
      <c r="N171" s="294" t="e">
        <f t="shared" si="132"/>
        <v>#DIV/0!</v>
      </c>
      <c r="O171" s="295" t="e">
        <f t="shared" si="129"/>
        <v>#DIV/0!</v>
      </c>
      <c r="P171" s="321"/>
      <c r="Q171" s="294" t="e">
        <f t="shared" si="134"/>
        <v>#DIV/0!</v>
      </c>
      <c r="R171" s="295" t="e">
        <f t="shared" si="129"/>
        <v>#DIV/0!</v>
      </c>
      <c r="S171" s="321"/>
    </row>
    <row r="172" spans="3:19" ht="15.75" hidden="1" outlineLevel="1">
      <c r="C172" s="319" t="str">
        <f>I60</f>
        <v>Иные</v>
      </c>
      <c r="D172" s="320" t="s">
        <v>386</v>
      </c>
      <c r="E172" s="294" t="e">
        <f t="shared" si="127"/>
        <v>#DIV/0!</v>
      </c>
      <c r="F172" s="295" t="e">
        <f t="shared" si="136"/>
        <v>#DIV/0!</v>
      </c>
      <c r="G172" s="321"/>
      <c r="H172" s="294" t="e">
        <f t="shared" si="128"/>
        <v>#DIV/0!</v>
      </c>
      <c r="I172" s="295" t="e">
        <f t="shared" si="129"/>
        <v>#DIV/0!</v>
      </c>
      <c r="J172" s="321"/>
      <c r="K172" s="294" t="e">
        <f t="shared" si="130"/>
        <v>#DIV/0!</v>
      </c>
      <c r="L172" s="295" t="e">
        <f t="shared" si="129"/>
        <v>#DIV/0!</v>
      </c>
      <c r="M172" s="321"/>
      <c r="N172" s="294" t="e">
        <f t="shared" si="132"/>
        <v>#DIV/0!</v>
      </c>
      <c r="O172" s="295" t="e">
        <f t="shared" si="129"/>
        <v>#DIV/0!</v>
      </c>
      <c r="P172" s="321"/>
      <c r="Q172" s="294" t="e">
        <f t="shared" si="134"/>
        <v>#DIV/0!</v>
      </c>
      <c r="R172" s="295" t="e">
        <f t="shared" si="129"/>
        <v>#DIV/0!</v>
      </c>
      <c r="S172" s="321"/>
    </row>
    <row r="173" spans="3:19" ht="15.75" hidden="1" outlineLevel="1">
      <c r="C173" s="319" t="str">
        <f>J60</f>
        <v>Иные</v>
      </c>
      <c r="D173" s="320" t="s">
        <v>386</v>
      </c>
      <c r="E173" s="294" t="e">
        <f t="shared" si="127"/>
        <v>#DIV/0!</v>
      </c>
      <c r="F173" s="295" t="e">
        <f t="shared" si="136"/>
        <v>#DIV/0!</v>
      </c>
      <c r="G173" s="321"/>
      <c r="H173" s="294" t="e">
        <f t="shared" si="128"/>
        <v>#DIV/0!</v>
      </c>
      <c r="I173" s="295" t="e">
        <f t="shared" si="129"/>
        <v>#DIV/0!</v>
      </c>
      <c r="J173" s="321"/>
      <c r="K173" s="294" t="e">
        <f t="shared" si="130"/>
        <v>#DIV/0!</v>
      </c>
      <c r="L173" s="295" t="e">
        <f t="shared" si="129"/>
        <v>#DIV/0!</v>
      </c>
      <c r="M173" s="321"/>
      <c r="N173" s="294" t="e">
        <f t="shared" si="132"/>
        <v>#DIV/0!</v>
      </c>
      <c r="O173" s="295" t="e">
        <f t="shared" si="129"/>
        <v>#DIV/0!</v>
      </c>
      <c r="P173" s="321"/>
      <c r="Q173" s="294" t="e">
        <f t="shared" si="134"/>
        <v>#DIV/0!</v>
      </c>
      <c r="R173" s="295" t="e">
        <f t="shared" si="129"/>
        <v>#DIV/0!</v>
      </c>
      <c r="S173" s="321"/>
    </row>
    <row r="174" spans="3:19" ht="15.75" hidden="1" outlineLevel="1">
      <c r="C174" s="319" t="str">
        <f>K60</f>
        <v>Иные</v>
      </c>
      <c r="D174" s="320" t="s">
        <v>386</v>
      </c>
      <c r="E174" s="294" t="e">
        <f t="shared" si="127"/>
        <v>#DIV/0!</v>
      </c>
      <c r="F174" s="295" t="e">
        <f t="shared" si="136"/>
        <v>#DIV/0!</v>
      </c>
      <c r="G174" s="321"/>
      <c r="H174" s="294" t="e">
        <f t="shared" si="128"/>
        <v>#DIV/0!</v>
      </c>
      <c r="I174" s="295" t="e">
        <f t="shared" si="129"/>
        <v>#DIV/0!</v>
      </c>
      <c r="J174" s="321"/>
      <c r="K174" s="294" t="e">
        <f t="shared" si="130"/>
        <v>#DIV/0!</v>
      </c>
      <c r="L174" s="295" t="e">
        <f t="shared" si="129"/>
        <v>#DIV/0!</v>
      </c>
      <c r="M174" s="321"/>
      <c r="N174" s="294" t="e">
        <f t="shared" si="132"/>
        <v>#DIV/0!</v>
      </c>
      <c r="O174" s="295" t="e">
        <f t="shared" si="129"/>
        <v>#DIV/0!</v>
      </c>
      <c r="P174" s="321"/>
      <c r="Q174" s="294" t="e">
        <f t="shared" si="134"/>
        <v>#DIV/0!</v>
      </c>
      <c r="R174" s="295" t="e">
        <f t="shared" si="129"/>
        <v>#DIV/0!</v>
      </c>
      <c r="S174" s="321"/>
    </row>
    <row r="175" spans="3:19" ht="16.5" hidden="1" outlineLevel="1" thickBot="1">
      <c r="C175" s="319" t="str">
        <f>L60</f>
        <v>Иные</v>
      </c>
      <c r="D175" s="320" t="s">
        <v>386</v>
      </c>
      <c r="E175" s="309" t="e">
        <f t="shared" si="127"/>
        <v>#DIV/0!</v>
      </c>
      <c r="F175" s="310" t="e">
        <f t="shared" si="136"/>
        <v>#DIV/0!</v>
      </c>
      <c r="G175" s="324"/>
      <c r="H175" s="309" t="e">
        <f t="shared" si="128"/>
        <v>#DIV/0!</v>
      </c>
      <c r="I175" s="310" t="e">
        <f t="shared" si="129"/>
        <v>#DIV/0!</v>
      </c>
      <c r="J175" s="324"/>
      <c r="K175" s="309" t="e">
        <f t="shared" si="130"/>
        <v>#DIV/0!</v>
      </c>
      <c r="L175" s="310" t="e">
        <f t="shared" si="129"/>
        <v>#DIV/0!</v>
      </c>
      <c r="M175" s="324"/>
      <c r="N175" s="309" t="e">
        <f t="shared" si="132"/>
        <v>#DIV/0!</v>
      </c>
      <c r="O175" s="310" t="e">
        <f t="shared" si="129"/>
        <v>#DIV/0!</v>
      </c>
      <c r="P175" s="324"/>
      <c r="Q175" s="309" t="e">
        <f t="shared" si="134"/>
        <v>#DIV/0!</v>
      </c>
      <c r="R175" s="310" t="e">
        <f>S175-Q175</f>
        <v>#DIV/0!</v>
      </c>
      <c r="S175" s="324"/>
    </row>
    <row r="176" spans="3:19" hidden="1" collapsed="1"/>
  </sheetData>
  <mergeCells count="39">
    <mergeCell ref="E165:G165"/>
    <mergeCell ref="H165:J165"/>
    <mergeCell ref="K165:M165"/>
    <mergeCell ref="N165:P165"/>
    <mergeCell ref="Q165:S165"/>
    <mergeCell ref="E142:G142"/>
    <mergeCell ref="H142:J142"/>
    <mergeCell ref="K142:M142"/>
    <mergeCell ref="N142:P142"/>
    <mergeCell ref="Q142:S142"/>
    <mergeCell ref="Q126:S126"/>
    <mergeCell ref="Q137:S137"/>
    <mergeCell ref="E126:G126"/>
    <mergeCell ref="H126:J126"/>
    <mergeCell ref="K126:M126"/>
    <mergeCell ref="N126:P126"/>
    <mergeCell ref="E137:G137"/>
    <mergeCell ref="H137:J137"/>
    <mergeCell ref="K137:M137"/>
    <mergeCell ref="N137:P137"/>
    <mergeCell ref="Q91:S91"/>
    <mergeCell ref="Q120:S120"/>
    <mergeCell ref="E91:G91"/>
    <mergeCell ref="H91:J91"/>
    <mergeCell ref="K91:M91"/>
    <mergeCell ref="N91:P91"/>
    <mergeCell ref="E120:G120"/>
    <mergeCell ref="H120:J120"/>
    <mergeCell ref="K120:M120"/>
    <mergeCell ref="N120:P120"/>
    <mergeCell ref="L23:O23"/>
    <mergeCell ref="C76:V76"/>
    <mergeCell ref="E78:G78"/>
    <mergeCell ref="H78:J78"/>
    <mergeCell ref="K78:M78"/>
    <mergeCell ref="N78:P78"/>
    <mergeCell ref="Q78:S78"/>
    <mergeCell ref="E48:F48"/>
    <mergeCell ref="E59:L59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Лист1!$A$1:$A$26</xm:f>
          </x14:formula1>
          <xm:sqref>F49</xm:sqref>
        </x14:dataValidation>
        <x14:dataValidation type="list" allowBlank="1" showInputMessage="1" showErrorMessage="1">
          <x14:formula1>
            <xm:f>Лист1!$A$28:$A$70</xm:f>
          </x14:formula1>
          <xm:sqref>H60:L60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22"/>
  <sheetViews>
    <sheetView workbookViewId="0">
      <selection activeCell="B13" sqref="B13:B17"/>
    </sheetView>
  </sheetViews>
  <sheetFormatPr defaultRowHeight="15"/>
  <cols>
    <col min="1" max="1" width="4.625" style="890" customWidth="1"/>
    <col min="2" max="2" width="22.75" style="891" customWidth="1"/>
    <col min="3" max="3" width="8.75" style="891" customWidth="1"/>
    <col min="4" max="4" width="11.75" style="891" customWidth="1"/>
    <col min="5" max="5" width="11.875" style="891" customWidth="1"/>
    <col min="6" max="6" width="10.75" style="891" hidden="1" customWidth="1"/>
    <col min="7" max="8" width="14.625" style="891" customWidth="1"/>
    <col min="9" max="9" width="13.625" style="891" customWidth="1"/>
    <col min="10" max="10" width="15.625" style="891" customWidth="1"/>
    <col min="11" max="11" width="9.125" style="891" customWidth="1"/>
    <col min="12" max="18" width="13.75" style="891" customWidth="1"/>
    <col min="19" max="234" width="9" style="891"/>
    <col min="235" max="235" width="6.75" style="891" customWidth="1"/>
    <col min="236" max="236" width="57.25" style="891" customWidth="1"/>
    <col min="237" max="237" width="11.5" style="891" customWidth="1"/>
    <col min="238" max="238" width="19" style="891" customWidth="1"/>
    <col min="239" max="260" width="0" style="891" hidden="1" customWidth="1"/>
    <col min="261" max="261" width="9" style="891"/>
    <col min="262" max="262" width="8.875" style="891" bestFit="1" customWidth="1"/>
    <col min="263" max="490" width="9" style="891"/>
    <col min="491" max="491" width="6.75" style="891" customWidth="1"/>
    <col min="492" max="492" width="57.25" style="891" customWidth="1"/>
    <col min="493" max="493" width="11.5" style="891" customWidth="1"/>
    <col min="494" max="494" width="19" style="891" customWidth="1"/>
    <col min="495" max="516" width="0" style="891" hidden="1" customWidth="1"/>
    <col min="517" max="517" width="9" style="891"/>
    <col min="518" max="518" width="8.875" style="891" bestFit="1" customWidth="1"/>
    <col min="519" max="746" width="9" style="891"/>
    <col min="747" max="747" width="6.75" style="891" customWidth="1"/>
    <col min="748" max="748" width="57.25" style="891" customWidth="1"/>
    <col min="749" max="749" width="11.5" style="891" customWidth="1"/>
    <col min="750" max="750" width="19" style="891" customWidth="1"/>
    <col min="751" max="772" width="0" style="891" hidden="1" customWidth="1"/>
    <col min="773" max="773" width="9" style="891"/>
    <col min="774" max="774" width="8.875" style="891" bestFit="1" customWidth="1"/>
    <col min="775" max="1002" width="9" style="891"/>
    <col min="1003" max="1003" width="6.75" style="891" customWidth="1"/>
    <col min="1004" max="1004" width="57.25" style="891" customWidth="1"/>
    <col min="1005" max="1005" width="11.5" style="891" customWidth="1"/>
    <col min="1006" max="1006" width="19" style="891" customWidth="1"/>
    <col min="1007" max="1028" width="0" style="891" hidden="1" customWidth="1"/>
    <col min="1029" max="1029" width="9" style="891"/>
    <col min="1030" max="1030" width="8.875" style="891" bestFit="1" customWidth="1"/>
    <col min="1031" max="1258" width="9" style="891"/>
    <col min="1259" max="1259" width="6.75" style="891" customWidth="1"/>
    <col min="1260" max="1260" width="57.25" style="891" customWidth="1"/>
    <col min="1261" max="1261" width="11.5" style="891" customWidth="1"/>
    <col min="1262" max="1262" width="19" style="891" customWidth="1"/>
    <col min="1263" max="1284" width="0" style="891" hidden="1" customWidth="1"/>
    <col min="1285" max="1285" width="9" style="891"/>
    <col min="1286" max="1286" width="8.875" style="891" bestFit="1" customWidth="1"/>
    <col min="1287" max="1514" width="9" style="891"/>
    <col min="1515" max="1515" width="6.75" style="891" customWidth="1"/>
    <col min="1516" max="1516" width="57.25" style="891" customWidth="1"/>
    <col min="1517" max="1517" width="11.5" style="891" customWidth="1"/>
    <col min="1518" max="1518" width="19" style="891" customWidth="1"/>
    <col min="1519" max="1540" width="0" style="891" hidden="1" customWidth="1"/>
    <col min="1541" max="1541" width="9" style="891"/>
    <col min="1542" max="1542" width="8.875" style="891" bestFit="1" customWidth="1"/>
    <col min="1543" max="1770" width="9" style="891"/>
    <col min="1771" max="1771" width="6.75" style="891" customWidth="1"/>
    <col min="1772" max="1772" width="57.25" style="891" customWidth="1"/>
    <col min="1773" max="1773" width="11.5" style="891" customWidth="1"/>
    <col min="1774" max="1774" width="19" style="891" customWidth="1"/>
    <col min="1775" max="1796" width="0" style="891" hidden="1" customWidth="1"/>
    <col min="1797" max="1797" width="9" style="891"/>
    <col min="1798" max="1798" width="8.875" style="891" bestFit="1" customWidth="1"/>
    <col min="1799" max="2026" width="9" style="891"/>
    <col min="2027" max="2027" width="6.75" style="891" customWidth="1"/>
    <col min="2028" max="2028" width="57.25" style="891" customWidth="1"/>
    <col min="2029" max="2029" width="11.5" style="891" customWidth="1"/>
    <col min="2030" max="2030" width="19" style="891" customWidth="1"/>
    <col min="2031" max="2052" width="0" style="891" hidden="1" customWidth="1"/>
    <col min="2053" max="2053" width="9" style="891"/>
    <col min="2054" max="2054" width="8.875" style="891" bestFit="1" customWidth="1"/>
    <col min="2055" max="2282" width="9" style="891"/>
    <col min="2283" max="2283" width="6.75" style="891" customWidth="1"/>
    <col min="2284" max="2284" width="57.25" style="891" customWidth="1"/>
    <col min="2285" max="2285" width="11.5" style="891" customWidth="1"/>
    <col min="2286" max="2286" width="19" style="891" customWidth="1"/>
    <col min="2287" max="2308" width="0" style="891" hidden="1" customWidth="1"/>
    <col min="2309" max="2309" width="9" style="891"/>
    <col min="2310" max="2310" width="8.875" style="891" bestFit="1" customWidth="1"/>
    <col min="2311" max="2538" width="9" style="891"/>
    <col min="2539" max="2539" width="6.75" style="891" customWidth="1"/>
    <col min="2540" max="2540" width="57.25" style="891" customWidth="1"/>
    <col min="2541" max="2541" width="11.5" style="891" customWidth="1"/>
    <col min="2542" max="2542" width="19" style="891" customWidth="1"/>
    <col min="2543" max="2564" width="0" style="891" hidden="1" customWidth="1"/>
    <col min="2565" max="2565" width="9" style="891"/>
    <col min="2566" max="2566" width="8.875" style="891" bestFit="1" customWidth="1"/>
    <col min="2567" max="2794" width="9" style="891"/>
    <col min="2795" max="2795" width="6.75" style="891" customWidth="1"/>
    <col min="2796" max="2796" width="57.25" style="891" customWidth="1"/>
    <col min="2797" max="2797" width="11.5" style="891" customWidth="1"/>
    <col min="2798" max="2798" width="19" style="891" customWidth="1"/>
    <col min="2799" max="2820" width="0" style="891" hidden="1" customWidth="1"/>
    <col min="2821" max="2821" width="9" style="891"/>
    <col min="2822" max="2822" width="8.875" style="891" bestFit="1" customWidth="1"/>
    <col min="2823" max="3050" width="9" style="891"/>
    <col min="3051" max="3051" width="6.75" style="891" customWidth="1"/>
    <col min="3052" max="3052" width="57.25" style="891" customWidth="1"/>
    <col min="3053" max="3053" width="11.5" style="891" customWidth="1"/>
    <col min="3054" max="3054" width="19" style="891" customWidth="1"/>
    <col min="3055" max="3076" width="0" style="891" hidden="1" customWidth="1"/>
    <col min="3077" max="3077" width="9" style="891"/>
    <col min="3078" max="3078" width="8.875" style="891" bestFit="1" customWidth="1"/>
    <col min="3079" max="3306" width="9" style="891"/>
    <col min="3307" max="3307" width="6.75" style="891" customWidth="1"/>
    <col min="3308" max="3308" width="57.25" style="891" customWidth="1"/>
    <col min="3309" max="3309" width="11.5" style="891" customWidth="1"/>
    <col min="3310" max="3310" width="19" style="891" customWidth="1"/>
    <col min="3311" max="3332" width="0" style="891" hidden="1" customWidth="1"/>
    <col min="3333" max="3333" width="9" style="891"/>
    <col min="3334" max="3334" width="8.875" style="891" bestFit="1" customWidth="1"/>
    <col min="3335" max="3562" width="9" style="891"/>
    <col min="3563" max="3563" width="6.75" style="891" customWidth="1"/>
    <col min="3564" max="3564" width="57.25" style="891" customWidth="1"/>
    <col min="3565" max="3565" width="11.5" style="891" customWidth="1"/>
    <col min="3566" max="3566" width="19" style="891" customWidth="1"/>
    <col min="3567" max="3588" width="0" style="891" hidden="1" customWidth="1"/>
    <col min="3589" max="3589" width="9" style="891"/>
    <col min="3590" max="3590" width="8.875" style="891" bestFit="1" customWidth="1"/>
    <col min="3591" max="3818" width="9" style="891"/>
    <col min="3819" max="3819" width="6.75" style="891" customWidth="1"/>
    <col min="3820" max="3820" width="57.25" style="891" customWidth="1"/>
    <col min="3821" max="3821" width="11.5" style="891" customWidth="1"/>
    <col min="3822" max="3822" width="19" style="891" customWidth="1"/>
    <col min="3823" max="3844" width="0" style="891" hidden="1" customWidth="1"/>
    <col min="3845" max="3845" width="9" style="891"/>
    <col min="3846" max="3846" width="8.875" style="891" bestFit="1" customWidth="1"/>
    <col min="3847" max="4074" width="9" style="891"/>
    <col min="4075" max="4075" width="6.75" style="891" customWidth="1"/>
    <col min="4076" max="4076" width="57.25" style="891" customWidth="1"/>
    <col min="4077" max="4077" width="11.5" style="891" customWidth="1"/>
    <col min="4078" max="4078" width="19" style="891" customWidth="1"/>
    <col min="4079" max="4100" width="0" style="891" hidden="1" customWidth="1"/>
    <col min="4101" max="4101" width="9" style="891"/>
    <col min="4102" max="4102" width="8.875" style="891" bestFit="1" customWidth="1"/>
    <col min="4103" max="4330" width="9" style="891"/>
    <col min="4331" max="4331" width="6.75" style="891" customWidth="1"/>
    <col min="4332" max="4332" width="57.25" style="891" customWidth="1"/>
    <col min="4333" max="4333" width="11.5" style="891" customWidth="1"/>
    <col min="4334" max="4334" width="19" style="891" customWidth="1"/>
    <col min="4335" max="4356" width="0" style="891" hidden="1" customWidth="1"/>
    <col min="4357" max="4357" width="9" style="891"/>
    <col min="4358" max="4358" width="8.875" style="891" bestFit="1" customWidth="1"/>
    <col min="4359" max="4586" width="9" style="891"/>
    <col min="4587" max="4587" width="6.75" style="891" customWidth="1"/>
    <col min="4588" max="4588" width="57.25" style="891" customWidth="1"/>
    <col min="4589" max="4589" width="11.5" style="891" customWidth="1"/>
    <col min="4590" max="4590" width="19" style="891" customWidth="1"/>
    <col min="4591" max="4612" width="0" style="891" hidden="1" customWidth="1"/>
    <col min="4613" max="4613" width="9" style="891"/>
    <col min="4614" max="4614" width="8.875" style="891" bestFit="1" customWidth="1"/>
    <col min="4615" max="4842" width="9" style="891"/>
    <col min="4843" max="4843" width="6.75" style="891" customWidth="1"/>
    <col min="4844" max="4844" width="57.25" style="891" customWidth="1"/>
    <col min="4845" max="4845" width="11.5" style="891" customWidth="1"/>
    <col min="4846" max="4846" width="19" style="891" customWidth="1"/>
    <col min="4847" max="4868" width="0" style="891" hidden="1" customWidth="1"/>
    <col min="4869" max="4869" width="9" style="891"/>
    <col min="4870" max="4870" width="8.875" style="891" bestFit="1" customWidth="1"/>
    <col min="4871" max="5098" width="9" style="891"/>
    <col min="5099" max="5099" width="6.75" style="891" customWidth="1"/>
    <col min="5100" max="5100" width="57.25" style="891" customWidth="1"/>
    <col min="5101" max="5101" width="11.5" style="891" customWidth="1"/>
    <col min="5102" max="5102" width="19" style="891" customWidth="1"/>
    <col min="5103" max="5124" width="0" style="891" hidden="1" customWidth="1"/>
    <col min="5125" max="5125" width="9" style="891"/>
    <col min="5126" max="5126" width="8.875" style="891" bestFit="1" customWidth="1"/>
    <col min="5127" max="5354" width="9" style="891"/>
    <col min="5355" max="5355" width="6.75" style="891" customWidth="1"/>
    <col min="5356" max="5356" width="57.25" style="891" customWidth="1"/>
    <col min="5357" max="5357" width="11.5" style="891" customWidth="1"/>
    <col min="5358" max="5358" width="19" style="891" customWidth="1"/>
    <col min="5359" max="5380" width="0" style="891" hidden="1" customWidth="1"/>
    <col min="5381" max="5381" width="9" style="891"/>
    <col min="5382" max="5382" width="8.875" style="891" bestFit="1" customWidth="1"/>
    <col min="5383" max="5610" width="9" style="891"/>
    <col min="5611" max="5611" width="6.75" style="891" customWidth="1"/>
    <col min="5612" max="5612" width="57.25" style="891" customWidth="1"/>
    <col min="5613" max="5613" width="11.5" style="891" customWidth="1"/>
    <col min="5614" max="5614" width="19" style="891" customWidth="1"/>
    <col min="5615" max="5636" width="0" style="891" hidden="1" customWidth="1"/>
    <col min="5637" max="5637" width="9" style="891"/>
    <col min="5638" max="5638" width="8.875" style="891" bestFit="1" customWidth="1"/>
    <col min="5639" max="5866" width="9" style="891"/>
    <col min="5867" max="5867" width="6.75" style="891" customWidth="1"/>
    <col min="5868" max="5868" width="57.25" style="891" customWidth="1"/>
    <col min="5869" max="5869" width="11.5" style="891" customWidth="1"/>
    <col min="5870" max="5870" width="19" style="891" customWidth="1"/>
    <col min="5871" max="5892" width="0" style="891" hidden="1" customWidth="1"/>
    <col min="5893" max="5893" width="9" style="891"/>
    <col min="5894" max="5894" width="8.875" style="891" bestFit="1" customWidth="1"/>
    <col min="5895" max="6122" width="9" style="891"/>
    <col min="6123" max="6123" width="6.75" style="891" customWidth="1"/>
    <col min="6124" max="6124" width="57.25" style="891" customWidth="1"/>
    <col min="6125" max="6125" width="11.5" style="891" customWidth="1"/>
    <col min="6126" max="6126" width="19" style="891" customWidth="1"/>
    <col min="6127" max="6148" width="0" style="891" hidden="1" customWidth="1"/>
    <col min="6149" max="6149" width="9" style="891"/>
    <col min="6150" max="6150" width="8.875" style="891" bestFit="1" customWidth="1"/>
    <col min="6151" max="6378" width="9" style="891"/>
    <col min="6379" max="6379" width="6.75" style="891" customWidth="1"/>
    <col min="6380" max="6380" width="57.25" style="891" customWidth="1"/>
    <col min="6381" max="6381" width="11.5" style="891" customWidth="1"/>
    <col min="6382" max="6382" width="19" style="891" customWidth="1"/>
    <col min="6383" max="6404" width="0" style="891" hidden="1" customWidth="1"/>
    <col min="6405" max="6405" width="9" style="891"/>
    <col min="6406" max="6406" width="8.875" style="891" bestFit="1" customWidth="1"/>
    <col min="6407" max="6634" width="9" style="891"/>
    <col min="6635" max="6635" width="6.75" style="891" customWidth="1"/>
    <col min="6636" max="6636" width="57.25" style="891" customWidth="1"/>
    <col min="6637" max="6637" width="11.5" style="891" customWidth="1"/>
    <col min="6638" max="6638" width="19" style="891" customWidth="1"/>
    <col min="6639" max="6660" width="0" style="891" hidden="1" customWidth="1"/>
    <col min="6661" max="6661" width="9" style="891"/>
    <col min="6662" max="6662" width="8.875" style="891" bestFit="1" customWidth="1"/>
    <col min="6663" max="6890" width="9" style="891"/>
    <col min="6891" max="6891" width="6.75" style="891" customWidth="1"/>
    <col min="6892" max="6892" width="57.25" style="891" customWidth="1"/>
    <col min="6893" max="6893" width="11.5" style="891" customWidth="1"/>
    <col min="6894" max="6894" width="19" style="891" customWidth="1"/>
    <col min="6895" max="6916" width="0" style="891" hidden="1" customWidth="1"/>
    <col min="6917" max="6917" width="9" style="891"/>
    <col min="6918" max="6918" width="8.875" style="891" bestFit="1" customWidth="1"/>
    <col min="6919" max="7146" width="9" style="891"/>
    <col min="7147" max="7147" width="6.75" style="891" customWidth="1"/>
    <col min="7148" max="7148" width="57.25" style="891" customWidth="1"/>
    <col min="7149" max="7149" width="11.5" style="891" customWidth="1"/>
    <col min="7150" max="7150" width="19" style="891" customWidth="1"/>
    <col min="7151" max="7172" width="0" style="891" hidden="1" customWidth="1"/>
    <col min="7173" max="7173" width="9" style="891"/>
    <col min="7174" max="7174" width="8.875" style="891" bestFit="1" customWidth="1"/>
    <col min="7175" max="7402" width="9" style="891"/>
    <col min="7403" max="7403" width="6.75" style="891" customWidth="1"/>
    <col min="7404" max="7404" width="57.25" style="891" customWidth="1"/>
    <col min="7405" max="7405" width="11.5" style="891" customWidth="1"/>
    <col min="7406" max="7406" width="19" style="891" customWidth="1"/>
    <col min="7407" max="7428" width="0" style="891" hidden="1" customWidth="1"/>
    <col min="7429" max="7429" width="9" style="891"/>
    <col min="7430" max="7430" width="8.875" style="891" bestFit="1" customWidth="1"/>
    <col min="7431" max="7658" width="9" style="891"/>
    <col min="7659" max="7659" width="6.75" style="891" customWidth="1"/>
    <col min="7660" max="7660" width="57.25" style="891" customWidth="1"/>
    <col min="7661" max="7661" width="11.5" style="891" customWidth="1"/>
    <col min="7662" max="7662" width="19" style="891" customWidth="1"/>
    <col min="7663" max="7684" width="0" style="891" hidden="1" customWidth="1"/>
    <col min="7685" max="7685" width="9" style="891"/>
    <col min="7686" max="7686" width="8.875" style="891" bestFit="1" customWidth="1"/>
    <col min="7687" max="7914" width="9" style="891"/>
    <col min="7915" max="7915" width="6.75" style="891" customWidth="1"/>
    <col min="7916" max="7916" width="57.25" style="891" customWidth="1"/>
    <col min="7917" max="7917" width="11.5" style="891" customWidth="1"/>
    <col min="7918" max="7918" width="19" style="891" customWidth="1"/>
    <col min="7919" max="7940" width="0" style="891" hidden="1" customWidth="1"/>
    <col min="7941" max="7941" width="9" style="891"/>
    <col min="7942" max="7942" width="8.875" style="891" bestFit="1" customWidth="1"/>
    <col min="7943" max="8170" width="9" style="891"/>
    <col min="8171" max="8171" width="6.75" style="891" customWidth="1"/>
    <col min="8172" max="8172" width="57.25" style="891" customWidth="1"/>
    <col min="8173" max="8173" width="11.5" style="891" customWidth="1"/>
    <col min="8174" max="8174" width="19" style="891" customWidth="1"/>
    <col min="8175" max="8196" width="0" style="891" hidden="1" customWidth="1"/>
    <col min="8197" max="8197" width="9" style="891"/>
    <col min="8198" max="8198" width="8.875" style="891" bestFit="1" customWidth="1"/>
    <col min="8199" max="8426" width="9" style="891"/>
    <col min="8427" max="8427" width="6.75" style="891" customWidth="1"/>
    <col min="8428" max="8428" width="57.25" style="891" customWidth="1"/>
    <col min="8429" max="8429" width="11.5" style="891" customWidth="1"/>
    <col min="8430" max="8430" width="19" style="891" customWidth="1"/>
    <col min="8431" max="8452" width="0" style="891" hidden="1" customWidth="1"/>
    <col min="8453" max="8453" width="9" style="891"/>
    <col min="8454" max="8454" width="8.875" style="891" bestFit="1" customWidth="1"/>
    <col min="8455" max="8682" width="9" style="891"/>
    <col min="8683" max="8683" width="6.75" style="891" customWidth="1"/>
    <col min="8684" max="8684" width="57.25" style="891" customWidth="1"/>
    <col min="8685" max="8685" width="11.5" style="891" customWidth="1"/>
    <col min="8686" max="8686" width="19" style="891" customWidth="1"/>
    <col min="8687" max="8708" width="0" style="891" hidden="1" customWidth="1"/>
    <col min="8709" max="8709" width="9" style="891"/>
    <col min="8710" max="8710" width="8.875" style="891" bestFit="1" customWidth="1"/>
    <col min="8711" max="8938" width="9" style="891"/>
    <col min="8939" max="8939" width="6.75" style="891" customWidth="1"/>
    <col min="8940" max="8940" width="57.25" style="891" customWidth="1"/>
    <col min="8941" max="8941" width="11.5" style="891" customWidth="1"/>
    <col min="8942" max="8942" width="19" style="891" customWidth="1"/>
    <col min="8943" max="8964" width="0" style="891" hidden="1" customWidth="1"/>
    <col min="8965" max="8965" width="9" style="891"/>
    <col min="8966" max="8966" width="8.875" style="891" bestFit="1" customWidth="1"/>
    <col min="8967" max="9194" width="9" style="891"/>
    <col min="9195" max="9195" width="6.75" style="891" customWidth="1"/>
    <col min="9196" max="9196" width="57.25" style="891" customWidth="1"/>
    <col min="9197" max="9197" width="11.5" style="891" customWidth="1"/>
    <col min="9198" max="9198" width="19" style="891" customWidth="1"/>
    <col min="9199" max="9220" width="0" style="891" hidden="1" customWidth="1"/>
    <col min="9221" max="9221" width="9" style="891"/>
    <col min="9222" max="9222" width="8.875" style="891" bestFit="1" customWidth="1"/>
    <col min="9223" max="9450" width="9" style="891"/>
    <col min="9451" max="9451" width="6.75" style="891" customWidth="1"/>
    <col min="9452" max="9452" width="57.25" style="891" customWidth="1"/>
    <col min="9453" max="9453" width="11.5" style="891" customWidth="1"/>
    <col min="9454" max="9454" width="19" style="891" customWidth="1"/>
    <col min="9455" max="9476" width="0" style="891" hidden="1" customWidth="1"/>
    <col min="9477" max="9477" width="9" style="891"/>
    <col min="9478" max="9478" width="8.875" style="891" bestFit="1" customWidth="1"/>
    <col min="9479" max="9706" width="9" style="891"/>
    <col min="9707" max="9707" width="6.75" style="891" customWidth="1"/>
    <col min="9708" max="9708" width="57.25" style="891" customWidth="1"/>
    <col min="9709" max="9709" width="11.5" style="891" customWidth="1"/>
    <col min="9710" max="9710" width="19" style="891" customWidth="1"/>
    <col min="9711" max="9732" width="0" style="891" hidden="1" customWidth="1"/>
    <col min="9733" max="9733" width="9" style="891"/>
    <col min="9734" max="9734" width="8.875" style="891" bestFit="1" customWidth="1"/>
    <col min="9735" max="9962" width="9" style="891"/>
    <col min="9963" max="9963" width="6.75" style="891" customWidth="1"/>
    <col min="9964" max="9964" width="57.25" style="891" customWidth="1"/>
    <col min="9965" max="9965" width="11.5" style="891" customWidth="1"/>
    <col min="9966" max="9966" width="19" style="891" customWidth="1"/>
    <col min="9967" max="9988" width="0" style="891" hidden="1" customWidth="1"/>
    <col min="9989" max="9989" width="9" style="891"/>
    <col min="9990" max="9990" width="8.875" style="891" bestFit="1" customWidth="1"/>
    <col min="9991" max="10218" width="9" style="891"/>
    <col min="10219" max="10219" width="6.75" style="891" customWidth="1"/>
    <col min="10220" max="10220" width="57.25" style="891" customWidth="1"/>
    <col min="10221" max="10221" width="11.5" style="891" customWidth="1"/>
    <col min="10222" max="10222" width="19" style="891" customWidth="1"/>
    <col min="10223" max="10244" width="0" style="891" hidden="1" customWidth="1"/>
    <col min="10245" max="10245" width="9" style="891"/>
    <col min="10246" max="10246" width="8.875" style="891" bestFit="1" customWidth="1"/>
    <col min="10247" max="10474" width="9" style="891"/>
    <col min="10475" max="10475" width="6.75" style="891" customWidth="1"/>
    <col min="10476" max="10476" width="57.25" style="891" customWidth="1"/>
    <col min="10477" max="10477" width="11.5" style="891" customWidth="1"/>
    <col min="10478" max="10478" width="19" style="891" customWidth="1"/>
    <col min="10479" max="10500" width="0" style="891" hidden="1" customWidth="1"/>
    <col min="10501" max="10501" width="9" style="891"/>
    <col min="10502" max="10502" width="8.875" style="891" bestFit="1" customWidth="1"/>
    <col min="10503" max="10730" width="9" style="891"/>
    <col min="10731" max="10731" width="6.75" style="891" customWidth="1"/>
    <col min="10732" max="10732" width="57.25" style="891" customWidth="1"/>
    <col min="10733" max="10733" width="11.5" style="891" customWidth="1"/>
    <col min="10734" max="10734" width="19" style="891" customWidth="1"/>
    <col min="10735" max="10756" width="0" style="891" hidden="1" customWidth="1"/>
    <col min="10757" max="10757" width="9" style="891"/>
    <col min="10758" max="10758" width="8.875" style="891" bestFit="1" customWidth="1"/>
    <col min="10759" max="10986" width="9" style="891"/>
    <col min="10987" max="10987" width="6.75" style="891" customWidth="1"/>
    <col min="10988" max="10988" width="57.25" style="891" customWidth="1"/>
    <col min="10989" max="10989" width="11.5" style="891" customWidth="1"/>
    <col min="10990" max="10990" width="19" style="891" customWidth="1"/>
    <col min="10991" max="11012" width="0" style="891" hidden="1" customWidth="1"/>
    <col min="11013" max="11013" width="9" style="891"/>
    <col min="11014" max="11014" width="8.875" style="891" bestFit="1" customWidth="1"/>
    <col min="11015" max="11242" width="9" style="891"/>
    <col min="11243" max="11243" width="6.75" style="891" customWidth="1"/>
    <col min="11244" max="11244" width="57.25" style="891" customWidth="1"/>
    <col min="11245" max="11245" width="11.5" style="891" customWidth="1"/>
    <col min="11246" max="11246" width="19" style="891" customWidth="1"/>
    <col min="11247" max="11268" width="0" style="891" hidden="1" customWidth="1"/>
    <col min="11269" max="11269" width="9" style="891"/>
    <col min="11270" max="11270" width="8.875" style="891" bestFit="1" customWidth="1"/>
    <col min="11271" max="11498" width="9" style="891"/>
    <col min="11499" max="11499" width="6.75" style="891" customWidth="1"/>
    <col min="11500" max="11500" width="57.25" style="891" customWidth="1"/>
    <col min="11501" max="11501" width="11.5" style="891" customWidth="1"/>
    <col min="11502" max="11502" width="19" style="891" customWidth="1"/>
    <col min="11503" max="11524" width="0" style="891" hidden="1" customWidth="1"/>
    <col min="11525" max="11525" width="9" style="891"/>
    <col min="11526" max="11526" width="8.875" style="891" bestFit="1" customWidth="1"/>
    <col min="11527" max="11754" width="9" style="891"/>
    <col min="11755" max="11755" width="6.75" style="891" customWidth="1"/>
    <col min="11756" max="11756" width="57.25" style="891" customWidth="1"/>
    <col min="11757" max="11757" width="11.5" style="891" customWidth="1"/>
    <col min="11758" max="11758" width="19" style="891" customWidth="1"/>
    <col min="11759" max="11780" width="0" style="891" hidden="1" customWidth="1"/>
    <col min="11781" max="11781" width="9" style="891"/>
    <col min="11782" max="11782" width="8.875" style="891" bestFit="1" customWidth="1"/>
    <col min="11783" max="12010" width="9" style="891"/>
    <col min="12011" max="12011" width="6.75" style="891" customWidth="1"/>
    <col min="12012" max="12012" width="57.25" style="891" customWidth="1"/>
    <col min="12013" max="12013" width="11.5" style="891" customWidth="1"/>
    <col min="12014" max="12014" width="19" style="891" customWidth="1"/>
    <col min="12015" max="12036" width="0" style="891" hidden="1" customWidth="1"/>
    <col min="12037" max="12037" width="9" style="891"/>
    <col min="12038" max="12038" width="8.875" style="891" bestFit="1" customWidth="1"/>
    <col min="12039" max="12266" width="9" style="891"/>
    <col min="12267" max="12267" width="6.75" style="891" customWidth="1"/>
    <col min="12268" max="12268" width="57.25" style="891" customWidth="1"/>
    <col min="12269" max="12269" width="11.5" style="891" customWidth="1"/>
    <col min="12270" max="12270" width="19" style="891" customWidth="1"/>
    <col min="12271" max="12292" width="0" style="891" hidden="1" customWidth="1"/>
    <col min="12293" max="12293" width="9" style="891"/>
    <col min="12294" max="12294" width="8.875" style="891" bestFit="1" customWidth="1"/>
    <col min="12295" max="12522" width="9" style="891"/>
    <col min="12523" max="12523" width="6.75" style="891" customWidth="1"/>
    <col min="12524" max="12524" width="57.25" style="891" customWidth="1"/>
    <col min="12525" max="12525" width="11.5" style="891" customWidth="1"/>
    <col min="12526" max="12526" width="19" style="891" customWidth="1"/>
    <col min="12527" max="12548" width="0" style="891" hidden="1" customWidth="1"/>
    <col min="12549" max="12549" width="9" style="891"/>
    <col min="12550" max="12550" width="8.875" style="891" bestFit="1" customWidth="1"/>
    <col min="12551" max="12778" width="9" style="891"/>
    <col min="12779" max="12779" width="6.75" style="891" customWidth="1"/>
    <col min="12780" max="12780" width="57.25" style="891" customWidth="1"/>
    <col min="12781" max="12781" width="11.5" style="891" customWidth="1"/>
    <col min="12782" max="12782" width="19" style="891" customWidth="1"/>
    <col min="12783" max="12804" width="0" style="891" hidden="1" customWidth="1"/>
    <col min="12805" max="12805" width="9" style="891"/>
    <col min="12806" max="12806" width="8.875" style="891" bestFit="1" customWidth="1"/>
    <col min="12807" max="13034" width="9" style="891"/>
    <col min="13035" max="13035" width="6.75" style="891" customWidth="1"/>
    <col min="13036" max="13036" width="57.25" style="891" customWidth="1"/>
    <col min="13037" max="13037" width="11.5" style="891" customWidth="1"/>
    <col min="13038" max="13038" width="19" style="891" customWidth="1"/>
    <col min="13039" max="13060" width="0" style="891" hidden="1" customWidth="1"/>
    <col min="13061" max="13061" width="9" style="891"/>
    <col min="13062" max="13062" width="8.875" style="891" bestFit="1" customWidth="1"/>
    <col min="13063" max="13290" width="9" style="891"/>
    <col min="13291" max="13291" width="6.75" style="891" customWidth="1"/>
    <col min="13292" max="13292" width="57.25" style="891" customWidth="1"/>
    <col min="13293" max="13293" width="11.5" style="891" customWidth="1"/>
    <col min="13294" max="13294" width="19" style="891" customWidth="1"/>
    <col min="13295" max="13316" width="0" style="891" hidden="1" customWidth="1"/>
    <col min="13317" max="13317" width="9" style="891"/>
    <col min="13318" max="13318" width="8.875" style="891" bestFit="1" customWidth="1"/>
    <col min="13319" max="13546" width="9" style="891"/>
    <col min="13547" max="13547" width="6.75" style="891" customWidth="1"/>
    <col min="13548" max="13548" width="57.25" style="891" customWidth="1"/>
    <col min="13549" max="13549" width="11.5" style="891" customWidth="1"/>
    <col min="13550" max="13550" width="19" style="891" customWidth="1"/>
    <col min="13551" max="13572" width="0" style="891" hidden="1" customWidth="1"/>
    <col min="13573" max="13573" width="9" style="891"/>
    <col min="13574" max="13574" width="8.875" style="891" bestFit="1" customWidth="1"/>
    <col min="13575" max="13802" width="9" style="891"/>
    <col min="13803" max="13803" width="6.75" style="891" customWidth="1"/>
    <col min="13804" max="13804" width="57.25" style="891" customWidth="1"/>
    <col min="13805" max="13805" width="11.5" style="891" customWidth="1"/>
    <col min="13806" max="13806" width="19" style="891" customWidth="1"/>
    <col min="13807" max="13828" width="0" style="891" hidden="1" customWidth="1"/>
    <col min="13829" max="13829" width="9" style="891"/>
    <col min="13830" max="13830" width="8.875" style="891" bestFit="1" customWidth="1"/>
    <col min="13831" max="14058" width="9" style="891"/>
    <col min="14059" max="14059" width="6.75" style="891" customWidth="1"/>
    <col min="14060" max="14060" width="57.25" style="891" customWidth="1"/>
    <col min="14061" max="14061" width="11.5" style="891" customWidth="1"/>
    <col min="14062" max="14062" width="19" style="891" customWidth="1"/>
    <col min="14063" max="14084" width="0" style="891" hidden="1" customWidth="1"/>
    <col min="14085" max="14085" width="9" style="891"/>
    <col min="14086" max="14086" width="8.875" style="891" bestFit="1" customWidth="1"/>
    <col min="14087" max="14314" width="9" style="891"/>
    <col min="14315" max="14315" width="6.75" style="891" customWidth="1"/>
    <col min="14316" max="14316" width="57.25" style="891" customWidth="1"/>
    <col min="14317" max="14317" width="11.5" style="891" customWidth="1"/>
    <col min="14318" max="14318" width="19" style="891" customWidth="1"/>
    <col min="14319" max="14340" width="0" style="891" hidden="1" customWidth="1"/>
    <col min="14341" max="14341" width="9" style="891"/>
    <col min="14342" max="14342" width="8.875" style="891" bestFit="1" customWidth="1"/>
    <col min="14343" max="14570" width="9" style="891"/>
    <col min="14571" max="14571" width="6.75" style="891" customWidth="1"/>
    <col min="14572" max="14572" width="57.25" style="891" customWidth="1"/>
    <col min="14573" max="14573" width="11.5" style="891" customWidth="1"/>
    <col min="14574" max="14574" width="19" style="891" customWidth="1"/>
    <col min="14575" max="14596" width="0" style="891" hidden="1" customWidth="1"/>
    <col min="14597" max="14597" width="9" style="891"/>
    <col min="14598" max="14598" width="8.875" style="891" bestFit="1" customWidth="1"/>
    <col min="14599" max="14826" width="9" style="891"/>
    <col min="14827" max="14827" width="6.75" style="891" customWidth="1"/>
    <col min="14828" max="14828" width="57.25" style="891" customWidth="1"/>
    <col min="14829" max="14829" width="11.5" style="891" customWidth="1"/>
    <col min="14830" max="14830" width="19" style="891" customWidth="1"/>
    <col min="14831" max="14852" width="0" style="891" hidden="1" customWidth="1"/>
    <col min="14853" max="14853" width="9" style="891"/>
    <col min="14854" max="14854" width="8.875" style="891" bestFit="1" customWidth="1"/>
    <col min="14855" max="15082" width="9" style="891"/>
    <col min="15083" max="15083" width="6.75" style="891" customWidth="1"/>
    <col min="15084" max="15084" width="57.25" style="891" customWidth="1"/>
    <col min="15085" max="15085" width="11.5" style="891" customWidth="1"/>
    <col min="15086" max="15086" width="19" style="891" customWidth="1"/>
    <col min="15087" max="15108" width="0" style="891" hidden="1" customWidth="1"/>
    <col min="15109" max="15109" width="9" style="891"/>
    <col min="15110" max="15110" width="8.875" style="891" bestFit="1" customWidth="1"/>
    <col min="15111" max="15338" width="9" style="891"/>
    <col min="15339" max="15339" width="6.75" style="891" customWidth="1"/>
    <col min="15340" max="15340" width="57.25" style="891" customWidth="1"/>
    <col min="15341" max="15341" width="11.5" style="891" customWidth="1"/>
    <col min="15342" max="15342" width="19" style="891" customWidth="1"/>
    <col min="15343" max="15364" width="0" style="891" hidden="1" customWidth="1"/>
    <col min="15365" max="15365" width="9" style="891"/>
    <col min="15366" max="15366" width="8.875" style="891" bestFit="1" customWidth="1"/>
    <col min="15367" max="15594" width="9" style="891"/>
    <col min="15595" max="15595" width="6.75" style="891" customWidth="1"/>
    <col min="15596" max="15596" width="57.25" style="891" customWidth="1"/>
    <col min="15597" max="15597" width="11.5" style="891" customWidth="1"/>
    <col min="15598" max="15598" width="19" style="891" customWidth="1"/>
    <col min="15599" max="15620" width="0" style="891" hidden="1" customWidth="1"/>
    <col min="15621" max="15621" width="9" style="891"/>
    <col min="15622" max="15622" width="8.875" style="891" bestFit="1" customWidth="1"/>
    <col min="15623" max="15850" width="9" style="891"/>
    <col min="15851" max="15851" width="6.75" style="891" customWidth="1"/>
    <col min="15852" max="15852" width="57.25" style="891" customWidth="1"/>
    <col min="15853" max="15853" width="11.5" style="891" customWidth="1"/>
    <col min="15854" max="15854" width="19" style="891" customWidth="1"/>
    <col min="15855" max="15876" width="0" style="891" hidden="1" customWidth="1"/>
    <col min="15877" max="15877" width="9" style="891"/>
    <col min="15878" max="15878" width="8.875" style="891" bestFit="1" customWidth="1"/>
    <col min="15879" max="16106" width="9" style="891"/>
    <col min="16107" max="16107" width="6.75" style="891" customWidth="1"/>
    <col min="16108" max="16108" width="57.25" style="891" customWidth="1"/>
    <col min="16109" max="16109" width="11.5" style="891" customWidth="1"/>
    <col min="16110" max="16110" width="19" style="891" customWidth="1"/>
    <col min="16111" max="16132" width="0" style="891" hidden="1" customWidth="1"/>
    <col min="16133" max="16133" width="9" style="891"/>
    <col min="16134" max="16134" width="8.875" style="891" bestFit="1" customWidth="1"/>
    <col min="16135" max="16384" width="9" style="891"/>
  </cols>
  <sheetData>
    <row r="1" spans="1:11" ht="117" customHeight="1">
      <c r="C1" s="922"/>
      <c r="D1" s="922"/>
      <c r="E1" s="922"/>
      <c r="F1" s="922"/>
      <c r="I1" s="1292" t="s">
        <v>650</v>
      </c>
      <c r="J1" s="1293"/>
      <c r="K1" s="1293"/>
    </row>
    <row r="2" spans="1:11" ht="18" customHeight="1">
      <c r="B2" s="1281"/>
      <c r="C2" s="1281"/>
      <c r="D2" s="1281"/>
    </row>
    <row r="3" spans="1:11" ht="50.25" customHeight="1">
      <c r="A3" s="1294" t="s">
        <v>643</v>
      </c>
      <c r="B3" s="1294"/>
      <c r="C3" s="1294"/>
      <c r="D3" s="1294"/>
      <c r="E3" s="1294"/>
      <c r="F3" s="1294"/>
      <c r="G3" s="1294"/>
      <c r="H3" s="1294"/>
      <c r="I3" s="1294"/>
      <c r="J3" s="1294"/>
      <c r="K3" s="1294"/>
    </row>
    <row r="4" spans="1:11" s="923" customFormat="1" ht="32.450000000000003" customHeight="1">
      <c r="A4" s="1286" t="s">
        <v>62</v>
      </c>
      <c r="B4" s="1286" t="s">
        <v>590</v>
      </c>
      <c r="C4" s="1286" t="s">
        <v>591</v>
      </c>
      <c r="D4" s="1286" t="s">
        <v>592</v>
      </c>
      <c r="E4" s="1286" t="s">
        <v>593</v>
      </c>
      <c r="F4" s="1289" t="s">
        <v>594</v>
      </c>
      <c r="G4" s="1304" t="s">
        <v>595</v>
      </c>
      <c r="H4" s="1305"/>
      <c r="I4" s="1306"/>
      <c r="J4" s="1289" t="s">
        <v>596</v>
      </c>
      <c r="K4" s="1289" t="s">
        <v>597</v>
      </c>
    </row>
    <row r="5" spans="1:11" s="923" customFormat="1" ht="149.25" customHeight="1">
      <c r="A5" s="1287"/>
      <c r="B5" s="1287"/>
      <c r="C5" s="1287"/>
      <c r="D5" s="1288"/>
      <c r="E5" s="1288"/>
      <c r="F5" s="1290"/>
      <c r="G5" s="924" t="s">
        <v>598</v>
      </c>
      <c r="H5" s="924" t="s">
        <v>599</v>
      </c>
      <c r="I5" s="924" t="s">
        <v>600</v>
      </c>
      <c r="J5" s="1290"/>
      <c r="K5" s="1290"/>
    </row>
    <row r="6" spans="1:11" s="923" customFormat="1" ht="27.75" customHeight="1">
      <c r="A6" s="1288"/>
      <c r="B6" s="1307"/>
      <c r="C6" s="1288"/>
      <c r="D6" s="925" t="s">
        <v>587</v>
      </c>
      <c r="E6" s="925" t="s">
        <v>1</v>
      </c>
      <c r="F6" s="924" t="s">
        <v>1</v>
      </c>
      <c r="G6" s="924" t="s">
        <v>581</v>
      </c>
      <c r="H6" s="1200" t="s">
        <v>668</v>
      </c>
      <c r="I6" s="1200" t="s">
        <v>1</v>
      </c>
      <c r="J6" s="925"/>
      <c r="K6" s="924"/>
    </row>
    <row r="7" spans="1:11" s="929" customFormat="1" ht="20.25" customHeight="1">
      <c r="A7" s="926">
        <v>1</v>
      </c>
      <c r="B7" s="927">
        <v>2</v>
      </c>
      <c r="C7" s="927">
        <v>3</v>
      </c>
      <c r="D7" s="928">
        <v>4</v>
      </c>
      <c r="E7" s="927">
        <v>5</v>
      </c>
      <c r="F7" s="927">
        <v>6</v>
      </c>
      <c r="G7" s="928">
        <v>6</v>
      </c>
      <c r="H7" s="927">
        <v>7</v>
      </c>
      <c r="I7" s="928">
        <v>8</v>
      </c>
      <c r="J7" s="927">
        <v>9</v>
      </c>
      <c r="K7" s="928">
        <v>10</v>
      </c>
    </row>
    <row r="8" spans="1:11" s="901" customFormat="1" ht="19.5" customHeight="1">
      <c r="A8" s="1295">
        <v>1</v>
      </c>
      <c r="B8" s="1298" t="s">
        <v>601</v>
      </c>
      <c r="C8" s="930" t="s">
        <v>421</v>
      </c>
      <c r="D8" s="1301">
        <v>1045.96</v>
      </c>
      <c r="E8" s="931">
        <f>'[180]Кальк_2016-2018'!F7</f>
        <v>0.01</v>
      </c>
      <c r="F8" s="931">
        <f>'[180]Кальк_2016-2018'!F98</f>
        <v>0.13490935287956796</v>
      </c>
      <c r="G8" s="932" t="s">
        <v>602</v>
      </c>
      <c r="H8" s="1056">
        <v>2.9</v>
      </c>
      <c r="I8" s="1056">
        <v>5.3</v>
      </c>
      <c r="J8" s="932" t="s">
        <v>602</v>
      </c>
      <c r="K8" s="932" t="s">
        <v>602</v>
      </c>
    </row>
    <row r="9" spans="1:11" ht="19.5" customHeight="1">
      <c r="A9" s="1296"/>
      <c r="B9" s="1299"/>
      <c r="C9" s="930" t="s">
        <v>450</v>
      </c>
      <c r="D9" s="1302"/>
      <c r="E9" s="931">
        <v>0.01</v>
      </c>
      <c r="F9" s="931">
        <f>'[180]Кальк_2016-2018'!K98</f>
        <v>0.14413500565299092</v>
      </c>
      <c r="G9" s="932" t="s">
        <v>602</v>
      </c>
      <c r="H9" s="1056">
        <v>2.9</v>
      </c>
      <c r="I9" s="1056">
        <v>5.3</v>
      </c>
      <c r="J9" s="932" t="s">
        <v>602</v>
      </c>
      <c r="K9" s="932" t="s">
        <v>602</v>
      </c>
    </row>
    <row r="10" spans="1:11" ht="19.5" customHeight="1">
      <c r="A10" s="1296"/>
      <c r="B10" s="1299"/>
      <c r="C10" s="930" t="s">
        <v>451</v>
      </c>
      <c r="D10" s="1302"/>
      <c r="E10" s="931">
        <v>0.01</v>
      </c>
      <c r="F10" s="931"/>
      <c r="G10" s="932" t="s">
        <v>602</v>
      </c>
      <c r="H10" s="1056">
        <v>2.9</v>
      </c>
      <c r="I10" s="1056">
        <v>5.3</v>
      </c>
      <c r="J10" s="932" t="s">
        <v>602</v>
      </c>
      <c r="K10" s="932" t="s">
        <v>602</v>
      </c>
    </row>
    <row r="11" spans="1:11" ht="19.5" customHeight="1">
      <c r="A11" s="1296"/>
      <c r="B11" s="1299"/>
      <c r="C11" s="930" t="s">
        <v>454</v>
      </c>
      <c r="D11" s="1302"/>
      <c r="E11" s="931">
        <v>0.01</v>
      </c>
      <c r="F11" s="931"/>
      <c r="G11" s="932" t="s">
        <v>602</v>
      </c>
      <c r="H11" s="1056">
        <v>2.9</v>
      </c>
      <c r="I11" s="1056">
        <v>5.3</v>
      </c>
      <c r="J11" s="932" t="s">
        <v>602</v>
      </c>
      <c r="K11" s="932" t="s">
        <v>602</v>
      </c>
    </row>
    <row r="12" spans="1:11" s="905" customFormat="1" ht="19.5" customHeight="1">
      <c r="A12" s="1297"/>
      <c r="B12" s="1300"/>
      <c r="C12" s="930" t="s">
        <v>455</v>
      </c>
      <c r="D12" s="1303"/>
      <c r="E12" s="931">
        <v>0.01</v>
      </c>
      <c r="F12" s="931">
        <f>'[180]Кальк_2016-2018'!P98</f>
        <v>0.13816198770483315</v>
      </c>
      <c r="G12" s="932" t="s">
        <v>602</v>
      </c>
      <c r="H12" s="1056">
        <v>2.9</v>
      </c>
      <c r="I12" s="1056">
        <v>5.3</v>
      </c>
      <c r="J12" s="932" t="s">
        <v>602</v>
      </c>
      <c r="K12" s="932" t="s">
        <v>602</v>
      </c>
    </row>
    <row r="13" spans="1:11" s="901" customFormat="1" ht="19.5" customHeight="1">
      <c r="A13" s="1295">
        <v>2</v>
      </c>
      <c r="B13" s="1298" t="s">
        <v>603</v>
      </c>
      <c r="C13" s="930" t="s">
        <v>421</v>
      </c>
      <c r="D13" s="1301">
        <v>5981.62</v>
      </c>
      <c r="E13" s="931">
        <v>0.01</v>
      </c>
      <c r="F13" s="931">
        <f>F8</f>
        <v>0.13490935287956796</v>
      </c>
      <c r="G13" s="932" t="s">
        <v>602</v>
      </c>
      <c r="H13" s="1056">
        <v>2.9</v>
      </c>
      <c r="I13" s="1056">
        <v>5.3</v>
      </c>
      <c r="J13" s="932" t="s">
        <v>602</v>
      </c>
      <c r="K13" s="932" t="s">
        <v>602</v>
      </c>
    </row>
    <row r="14" spans="1:11" ht="19.5" customHeight="1">
      <c r="A14" s="1296"/>
      <c r="B14" s="1299"/>
      <c r="C14" s="930" t="s">
        <v>450</v>
      </c>
      <c r="D14" s="1302"/>
      <c r="E14" s="931">
        <v>0.01</v>
      </c>
      <c r="F14" s="931">
        <f>F9</f>
        <v>0.14413500565299092</v>
      </c>
      <c r="G14" s="932" t="s">
        <v>602</v>
      </c>
      <c r="H14" s="1056">
        <v>2.9</v>
      </c>
      <c r="I14" s="1056">
        <v>5.3</v>
      </c>
      <c r="J14" s="932" t="s">
        <v>602</v>
      </c>
      <c r="K14" s="932" t="s">
        <v>602</v>
      </c>
    </row>
    <row r="15" spans="1:11" ht="19.5" customHeight="1">
      <c r="A15" s="1296"/>
      <c r="B15" s="1299"/>
      <c r="C15" s="930" t="s">
        <v>451</v>
      </c>
      <c r="D15" s="1302"/>
      <c r="E15" s="931">
        <v>0.01</v>
      </c>
      <c r="F15" s="931"/>
      <c r="G15" s="932" t="s">
        <v>602</v>
      </c>
      <c r="H15" s="1056">
        <v>2.9</v>
      </c>
      <c r="I15" s="1056">
        <v>5.3</v>
      </c>
      <c r="J15" s="932" t="s">
        <v>602</v>
      </c>
      <c r="K15" s="932" t="s">
        <v>602</v>
      </c>
    </row>
    <row r="16" spans="1:11" ht="19.5" customHeight="1">
      <c r="A16" s="1296"/>
      <c r="B16" s="1299"/>
      <c r="C16" s="930" t="s">
        <v>454</v>
      </c>
      <c r="D16" s="1302"/>
      <c r="E16" s="931">
        <v>0.01</v>
      </c>
      <c r="F16" s="931"/>
      <c r="G16" s="932" t="s">
        <v>602</v>
      </c>
      <c r="H16" s="1056">
        <v>2.9</v>
      </c>
      <c r="I16" s="1056">
        <v>5.3</v>
      </c>
      <c r="J16" s="932" t="s">
        <v>602</v>
      </c>
      <c r="K16" s="932" t="s">
        <v>602</v>
      </c>
    </row>
    <row r="17" spans="1:11" s="905" customFormat="1" ht="19.5" customHeight="1">
      <c r="A17" s="1297"/>
      <c r="B17" s="1300"/>
      <c r="C17" s="930" t="s">
        <v>455</v>
      </c>
      <c r="D17" s="1303"/>
      <c r="E17" s="931">
        <v>0.01</v>
      </c>
      <c r="F17" s="931">
        <f t="shared" ref="F17" si="0">F12</f>
        <v>0.13816198770483315</v>
      </c>
      <c r="G17" s="932" t="s">
        <v>602</v>
      </c>
      <c r="H17" s="1056">
        <v>2.9</v>
      </c>
      <c r="I17" s="1056">
        <v>5.3</v>
      </c>
      <c r="J17" s="932" t="s">
        <v>602</v>
      </c>
      <c r="K17" s="932" t="s">
        <v>602</v>
      </c>
    </row>
    <row r="18" spans="1:11" s="905" customFormat="1" ht="31.9" customHeight="1">
      <c r="A18" s="901"/>
      <c r="B18" s="1291"/>
      <c r="C18" s="1291"/>
      <c r="D18" s="1291"/>
      <c r="E18" s="1291"/>
      <c r="F18" s="1291"/>
      <c r="G18" s="1291"/>
      <c r="H18" s="1291"/>
      <c r="I18" s="1291"/>
      <c r="J18" s="1291"/>
      <c r="K18" s="1291"/>
    </row>
    <row r="19" spans="1:11" s="905" customFormat="1" ht="15.75">
      <c r="A19" s="901"/>
    </row>
    <row r="20" spans="1:11" s="905" customFormat="1" ht="15.75">
      <c r="A20" s="901"/>
    </row>
    <row r="21" spans="1:11" s="905" customFormat="1" ht="15.75">
      <c r="A21" s="901"/>
    </row>
    <row r="22" spans="1:11" s="905" customFormat="1" ht="15.75">
      <c r="A22" s="901"/>
    </row>
  </sheetData>
  <mergeCells count="19">
    <mergeCell ref="I1:K1"/>
    <mergeCell ref="K4:K5"/>
    <mergeCell ref="B2:D2"/>
    <mergeCell ref="A3:K3"/>
    <mergeCell ref="A13:A17"/>
    <mergeCell ref="B13:B17"/>
    <mergeCell ref="D13:D17"/>
    <mergeCell ref="G4:I4"/>
    <mergeCell ref="J4:J5"/>
    <mergeCell ref="A8:A12"/>
    <mergeCell ref="B8:B12"/>
    <mergeCell ref="D8:D12"/>
    <mergeCell ref="A4:A6"/>
    <mergeCell ref="B4:B6"/>
    <mergeCell ref="C4:C6"/>
    <mergeCell ref="D4:D5"/>
    <mergeCell ref="E4:E5"/>
    <mergeCell ref="F4:F5"/>
    <mergeCell ref="B18:K18"/>
  </mergeCells>
  <printOptions horizontalCentered="1"/>
  <pageMargins left="0" right="0" top="0.39370078740157483" bottom="0.35433070866141736" header="0.31496062992125984" footer="0.31496062992125984"/>
  <pageSetup paperSize="9" scale="92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E99"/>
  <sheetViews>
    <sheetView showGridLines="0" view="pageBreakPreview" topLeftCell="A41" zoomScale="80" zoomScaleNormal="80" zoomScaleSheetLayoutView="80" workbookViewId="0">
      <selection activeCell="K65" sqref="K65"/>
    </sheetView>
  </sheetViews>
  <sheetFormatPr defaultRowHeight="15.75" outlineLevelRow="1" outlineLevelCol="1"/>
  <cols>
    <col min="1" max="1" width="9" style="933"/>
    <col min="2" max="2" width="50.125" style="933" customWidth="1"/>
    <col min="3" max="3" width="12.75" style="933" customWidth="1"/>
    <col min="4" max="4" width="13" style="933" hidden="1" customWidth="1"/>
    <col min="5" max="5" width="13.25" style="933" customWidth="1" outlineLevel="1"/>
    <col min="6" max="6" width="15" style="933" customWidth="1"/>
    <col min="7" max="7" width="16.25" style="933" hidden="1" customWidth="1"/>
    <col min="8" max="8" width="15.375" style="933" hidden="1" customWidth="1"/>
    <col min="9" max="9" width="13.875" style="933" hidden="1" customWidth="1" outlineLevel="1"/>
    <col min="10" max="10" width="15.75" style="933" customWidth="1" outlineLevel="1"/>
    <col min="11" max="11" width="40" style="933" customWidth="1" outlineLevel="1"/>
    <col min="12" max="12" width="13.25" style="933" hidden="1" customWidth="1"/>
    <col min="13" max="13" width="16" style="933" customWidth="1"/>
    <col min="14" max="14" width="13.625" style="933" hidden="1" customWidth="1"/>
    <col min="15" max="15" width="13.875" style="933" hidden="1" customWidth="1"/>
    <col min="16" max="16" width="14.125" style="933" hidden="1" customWidth="1" outlineLevel="1"/>
    <col min="17" max="17" width="12.625" style="933" hidden="1" customWidth="1"/>
    <col min="18" max="18" width="13.875" style="933" customWidth="1"/>
    <col min="19" max="19" width="12.375" style="933" hidden="1" customWidth="1"/>
    <col min="20" max="20" width="13.875" style="933" hidden="1" customWidth="1"/>
    <col min="21" max="21" width="13.5" style="933" hidden="1" customWidth="1" outlineLevel="1"/>
    <col min="22" max="29" width="0" style="933" hidden="1" customWidth="1"/>
    <col min="30" max="31" width="16.375" style="933" customWidth="1"/>
    <col min="32" max="16384" width="9" style="933"/>
  </cols>
  <sheetData>
    <row r="1" spans="1:31" ht="43.5" customHeight="1">
      <c r="F1" s="934"/>
      <c r="G1" s="934"/>
      <c r="H1" s="934"/>
      <c r="I1" s="934"/>
      <c r="J1" s="934"/>
      <c r="K1" s="1325" t="s">
        <v>651</v>
      </c>
      <c r="L1" s="1326"/>
      <c r="M1" s="1326"/>
      <c r="N1" s="1326"/>
      <c r="O1" s="1326"/>
      <c r="P1" s="1326"/>
      <c r="Q1" s="1326"/>
      <c r="R1" s="1326"/>
      <c r="S1" s="1326"/>
      <c r="T1" s="1326"/>
      <c r="U1" s="1326"/>
      <c r="V1" s="1326"/>
      <c r="W1" s="1326"/>
      <c r="X1" s="1326"/>
      <c r="Y1" s="1326"/>
      <c r="Z1" s="1326"/>
      <c r="AA1" s="1326"/>
      <c r="AB1" s="1326"/>
      <c r="AC1" s="1326"/>
      <c r="AD1" s="1326"/>
      <c r="AE1" s="1326"/>
    </row>
    <row r="2" spans="1:31" ht="54.75" customHeight="1">
      <c r="F2" s="934"/>
      <c r="G2" s="934"/>
      <c r="H2" s="934"/>
      <c r="I2" s="934"/>
      <c r="J2" s="934"/>
      <c r="K2" s="1326"/>
      <c r="L2" s="1326"/>
      <c r="M2" s="1326"/>
      <c r="N2" s="1326"/>
      <c r="O2" s="1326"/>
      <c r="P2" s="1326"/>
      <c r="Q2" s="1326"/>
      <c r="R2" s="1326"/>
      <c r="S2" s="1326"/>
      <c r="T2" s="1326"/>
      <c r="U2" s="1326"/>
      <c r="V2" s="1326"/>
      <c r="W2" s="1326"/>
      <c r="X2" s="1326"/>
      <c r="Y2" s="1326"/>
      <c r="Z2" s="1326"/>
      <c r="AA2" s="1326"/>
      <c r="AB2" s="1326"/>
      <c r="AC2" s="1326"/>
      <c r="AD2" s="1326"/>
      <c r="AE2" s="1326"/>
    </row>
    <row r="3" spans="1:31" ht="20.25" customHeight="1">
      <c r="F3" s="934"/>
      <c r="G3" s="934"/>
      <c r="H3" s="934"/>
      <c r="I3" s="934"/>
      <c r="J3" s="934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326"/>
      <c r="Y3" s="1326"/>
      <c r="Z3" s="1326"/>
      <c r="AA3" s="1326"/>
      <c r="AB3" s="1326"/>
      <c r="AC3" s="1326"/>
      <c r="AD3" s="1326"/>
      <c r="AE3" s="1326"/>
    </row>
    <row r="4" spans="1:31">
      <c r="F4" s="934"/>
      <c r="G4" s="934"/>
      <c r="H4" s="934"/>
      <c r="I4" s="934"/>
      <c r="J4" s="934"/>
      <c r="K4" s="1326"/>
      <c r="L4" s="1326"/>
      <c r="M4" s="1326"/>
      <c r="N4" s="1326"/>
      <c r="O4" s="1326"/>
      <c r="P4" s="1326"/>
      <c r="Q4" s="1326"/>
      <c r="R4" s="1326"/>
      <c r="S4" s="1326"/>
      <c r="T4" s="1326"/>
      <c r="U4" s="1326"/>
      <c r="V4" s="1326"/>
      <c r="W4" s="1326"/>
      <c r="X4" s="1326"/>
      <c r="Y4" s="1326"/>
      <c r="Z4" s="1326"/>
      <c r="AA4" s="1326"/>
      <c r="AB4" s="1326"/>
      <c r="AC4" s="1326"/>
      <c r="AD4" s="1326"/>
      <c r="AE4" s="1326"/>
    </row>
    <row r="5" spans="1:31" ht="48" customHeight="1">
      <c r="A5" s="1310" t="s">
        <v>644</v>
      </c>
      <c r="B5" s="1310"/>
      <c r="C5" s="1310"/>
      <c r="D5" s="1310"/>
      <c r="E5" s="1310"/>
      <c r="F5" s="1310"/>
      <c r="G5" s="1310"/>
      <c r="H5" s="1310"/>
      <c r="I5" s="1310"/>
      <c r="J5" s="1310"/>
      <c r="K5" s="1310"/>
      <c r="L5" s="1310"/>
      <c r="M5" s="1310"/>
      <c r="N5" s="1310"/>
      <c r="O5" s="1310"/>
      <c r="P5" s="1310"/>
      <c r="Q5" s="1310"/>
      <c r="R5" s="1310"/>
      <c r="S5" s="1310"/>
      <c r="T5" s="1310"/>
      <c r="U5" s="1310"/>
      <c r="V5" s="1310"/>
    </row>
    <row r="6" spans="1:31" ht="28.5" customHeight="1">
      <c r="A6" s="1311" t="s">
        <v>604</v>
      </c>
      <c r="B6" s="1311"/>
      <c r="C6" s="1311"/>
      <c r="D6" s="1311"/>
      <c r="E6" s="1311"/>
      <c r="F6" s="1311"/>
      <c r="G6" s="1311"/>
      <c r="H6" s="1311"/>
      <c r="I6" s="1311"/>
      <c r="J6" s="1311"/>
      <c r="K6" s="1311"/>
      <c r="L6" s="1311"/>
      <c r="M6" s="1311"/>
      <c r="N6" s="1311"/>
      <c r="O6" s="1311"/>
      <c r="P6" s="1311"/>
      <c r="Q6" s="1311"/>
      <c r="R6" s="1311"/>
    </row>
    <row r="7" spans="1:31" s="938" customFormat="1" ht="26.25" customHeight="1">
      <c r="A7" s="1312" t="s">
        <v>76</v>
      </c>
      <c r="B7" s="1312" t="s">
        <v>77</v>
      </c>
      <c r="C7" s="1312" t="s">
        <v>78</v>
      </c>
      <c r="D7" s="1312" t="s">
        <v>605</v>
      </c>
      <c r="E7" s="1312" t="s">
        <v>421</v>
      </c>
      <c r="F7" s="1312"/>
      <c r="G7" s="1312"/>
      <c r="H7" s="1312"/>
      <c r="I7" s="1312"/>
      <c r="J7" s="1312"/>
      <c r="K7" s="1312"/>
      <c r="L7" s="1312" t="s">
        <v>606</v>
      </c>
      <c r="M7" s="1315" t="s">
        <v>149</v>
      </c>
      <c r="N7" s="935"/>
      <c r="O7" s="935"/>
      <c r="P7" s="935"/>
      <c r="Q7" s="1312" t="s">
        <v>607</v>
      </c>
      <c r="R7" s="1315" t="s">
        <v>150</v>
      </c>
      <c r="S7" s="936"/>
      <c r="T7" s="936"/>
      <c r="U7" s="937"/>
      <c r="V7" s="1329" t="s">
        <v>608</v>
      </c>
      <c r="W7" s="1329" t="s">
        <v>609</v>
      </c>
      <c r="AD7" s="1315" t="s">
        <v>195</v>
      </c>
      <c r="AE7" s="1315" t="s">
        <v>212</v>
      </c>
    </row>
    <row r="8" spans="1:31" s="938" customFormat="1" ht="76.5" customHeight="1">
      <c r="A8" s="1313"/>
      <c r="B8" s="1314"/>
      <c r="C8" s="1314"/>
      <c r="D8" s="1314"/>
      <c r="E8" s="1332" t="s">
        <v>610</v>
      </c>
      <c r="F8" s="1334" t="s">
        <v>611</v>
      </c>
      <c r="G8" s="939" t="s">
        <v>424</v>
      </c>
      <c r="H8" s="939" t="s">
        <v>425</v>
      </c>
      <c r="I8" s="939" t="s">
        <v>612</v>
      </c>
      <c r="J8" s="1315" t="s">
        <v>613</v>
      </c>
      <c r="K8" s="1335" t="s">
        <v>614</v>
      </c>
      <c r="L8" s="1312"/>
      <c r="M8" s="1316"/>
      <c r="N8" s="939" t="s">
        <v>424</v>
      </c>
      <c r="O8" s="939" t="s">
        <v>425</v>
      </c>
      <c r="P8" s="939" t="s">
        <v>612</v>
      </c>
      <c r="Q8" s="1312"/>
      <c r="R8" s="1316"/>
      <c r="S8" s="940" t="s">
        <v>424</v>
      </c>
      <c r="T8" s="939" t="s">
        <v>425</v>
      </c>
      <c r="U8" s="939" t="s">
        <v>612</v>
      </c>
      <c r="V8" s="1330"/>
      <c r="W8" s="1330"/>
      <c r="AD8" s="1316"/>
      <c r="AE8" s="1316"/>
    </row>
    <row r="9" spans="1:31" s="947" customFormat="1" ht="34.5" hidden="1" customHeight="1">
      <c r="A9" s="1321" t="s">
        <v>80</v>
      </c>
      <c r="B9" s="1322"/>
      <c r="C9" s="941"/>
      <c r="D9" s="941"/>
      <c r="E9" s="1333"/>
      <c r="F9" s="1334"/>
      <c r="G9" s="942"/>
      <c r="H9" s="942"/>
      <c r="I9" s="942"/>
      <c r="J9" s="1316"/>
      <c r="K9" s="1336"/>
      <c r="L9" s="943"/>
      <c r="M9" s="944">
        <f>IF(AND(N9=O9,O9=P9),N9,"расчет")</f>
        <v>1.0494000000000001</v>
      </c>
      <c r="N9" s="944">
        <f>(1-M11)*(1+M10)*(1+N12*M15)</f>
        <v>1.0494000000000001</v>
      </c>
      <c r="O9" s="944">
        <f>(1-M11)*(1+M10)*(1+O12*M15)</f>
        <v>1.0494000000000001</v>
      </c>
      <c r="P9" s="944">
        <f>(1-M11)*(1+M10)*(1+P12*M15)</f>
        <v>1.0494000000000001</v>
      </c>
      <c r="Q9" s="943"/>
      <c r="R9" s="944">
        <f>IF(AND(S9=T9,T9=U9),S9,"расчет")</f>
        <v>1.0395000000000001</v>
      </c>
      <c r="S9" s="945">
        <f>(1-R11)*(1+R10)*(1+S12*R15)</f>
        <v>1.0395000000000001</v>
      </c>
      <c r="T9" s="944">
        <f>(1-R11)*(1+R10)*(1+T12*R15)</f>
        <v>1.0395000000000001</v>
      </c>
      <c r="U9" s="944">
        <f>(1-R11)*(1+R10)*(1+U12*R15)</f>
        <v>1.0395000000000001</v>
      </c>
      <c r="V9" s="946" t="str">
        <f>IF(ISERROR(M9/F9)," ",M9/F9)</f>
        <v xml:space="preserve"> </v>
      </c>
      <c r="W9" s="946">
        <f>IF(ISERROR(R9/M9)," ",R9/M9)</f>
        <v>0.99056603773584906</v>
      </c>
      <c r="AD9" s="1058"/>
      <c r="AE9" s="1058"/>
    </row>
    <row r="10" spans="1:31" s="938" customFormat="1" ht="32.25" hidden="1" customHeight="1" outlineLevel="1">
      <c r="A10" s="948"/>
      <c r="B10" s="949" t="s">
        <v>81</v>
      </c>
      <c r="C10" s="950" t="s">
        <v>1</v>
      </c>
      <c r="D10" s="950"/>
      <c r="E10" s="951">
        <v>4.3999999999999997E-2</v>
      </c>
      <c r="F10" s="952">
        <f>([181]индексы!H5-1)</f>
        <v>6.4000000000000057E-2</v>
      </c>
      <c r="G10" s="953"/>
      <c r="H10" s="953"/>
      <c r="I10" s="953"/>
      <c r="J10" s="953"/>
      <c r="K10" s="953"/>
      <c r="L10" s="951"/>
      <c r="M10" s="952">
        <f>([181]индексы!I5-1)</f>
        <v>6.0000000000000053E-2</v>
      </c>
      <c r="N10" s="953"/>
      <c r="O10" s="953"/>
      <c r="P10" s="953"/>
      <c r="Q10" s="951"/>
      <c r="R10" s="952">
        <f>[181]индексы!J5-1</f>
        <v>5.0000000000000044E-2</v>
      </c>
      <c r="S10" s="954"/>
      <c r="T10" s="953"/>
      <c r="U10" s="953"/>
      <c r="V10" s="946">
        <f t="shared" ref="V10:V61" si="0">IF(ISERROR(M10/F10)," ",M10/F10)</f>
        <v>0.9375</v>
      </c>
      <c r="W10" s="946">
        <f t="shared" ref="W10:W61" si="1">IF(ISERROR(R10/M10)," ",R10/M10)</f>
        <v>0.83333333333333337</v>
      </c>
      <c r="AD10" s="1057"/>
      <c r="AE10" s="1057"/>
    </row>
    <row r="11" spans="1:31" s="938" customFormat="1" ht="15" hidden="1" customHeight="1" outlineLevel="1">
      <c r="A11" s="948"/>
      <c r="B11" s="949" t="s">
        <v>82</v>
      </c>
      <c r="C11" s="950" t="s">
        <v>1</v>
      </c>
      <c r="D11" s="950"/>
      <c r="E11" s="955"/>
      <c r="F11" s="956">
        <v>0.01</v>
      </c>
      <c r="G11" s="953"/>
      <c r="H11" s="953"/>
      <c r="I11" s="953"/>
      <c r="J11" s="953"/>
      <c r="K11" s="953"/>
      <c r="L11" s="955"/>
      <c r="M11" s="956">
        <v>0.01</v>
      </c>
      <c r="N11" s="953"/>
      <c r="O11" s="953"/>
      <c r="P11" s="953"/>
      <c r="Q11" s="955"/>
      <c r="R11" s="956">
        <v>0.01</v>
      </c>
      <c r="S11" s="954"/>
      <c r="T11" s="953"/>
      <c r="U11" s="953"/>
      <c r="V11" s="946">
        <f t="shared" si="0"/>
        <v>1</v>
      </c>
      <c r="W11" s="946">
        <f t="shared" si="1"/>
        <v>1</v>
      </c>
      <c r="AD11" s="1057"/>
      <c r="AE11" s="1057"/>
    </row>
    <row r="12" spans="1:31" s="938" customFormat="1" ht="18.75" hidden="1" customHeight="1" outlineLevel="1">
      <c r="A12" s="948"/>
      <c r="B12" s="949" t="s">
        <v>83</v>
      </c>
      <c r="C12" s="950" t="s">
        <v>1</v>
      </c>
      <c r="D12" s="950"/>
      <c r="E12" s="950"/>
      <c r="F12" s="957" t="s">
        <v>602</v>
      </c>
      <c r="G12" s="953"/>
      <c r="H12" s="953"/>
      <c r="I12" s="953"/>
      <c r="J12" s="953"/>
      <c r="K12" s="953"/>
      <c r="L12" s="950"/>
      <c r="M12" s="957">
        <f>IF(AND(N12=O12,O12=P12),N12,"расчет")</f>
        <v>0</v>
      </c>
      <c r="N12" s="957">
        <f>(M13-F13)/F13</f>
        <v>0</v>
      </c>
      <c r="O12" s="957">
        <f>(M14-F14)/F14</f>
        <v>0</v>
      </c>
      <c r="P12" s="957">
        <f>N12</f>
        <v>0</v>
      </c>
      <c r="Q12" s="950"/>
      <c r="R12" s="957">
        <f>IF(AND(S12=T12,T12=U12),S12,"расчет")</f>
        <v>0</v>
      </c>
      <c r="S12" s="958">
        <f>(R13-M13)/M13</f>
        <v>0</v>
      </c>
      <c r="T12" s="957">
        <f>(R14-M14)/M14</f>
        <v>0</v>
      </c>
      <c r="U12" s="957">
        <f>S12</f>
        <v>0</v>
      </c>
      <c r="V12" s="946" t="str">
        <f t="shared" si="0"/>
        <v xml:space="preserve"> </v>
      </c>
      <c r="W12" s="946" t="str">
        <f t="shared" si="1"/>
        <v xml:space="preserve"> </v>
      </c>
      <c r="AD12" s="1057"/>
      <c r="AE12" s="1057"/>
    </row>
    <row r="13" spans="1:31" s="938" customFormat="1" ht="33" hidden="1" customHeight="1" outlineLevel="1">
      <c r="A13" s="948"/>
      <c r="B13" s="949" t="s">
        <v>84</v>
      </c>
      <c r="C13" s="950" t="s">
        <v>75</v>
      </c>
      <c r="D13" s="950"/>
      <c r="E13" s="959"/>
      <c r="F13" s="960">
        <v>15.22</v>
      </c>
      <c r="G13" s="961"/>
      <c r="H13" s="953"/>
      <c r="I13" s="953"/>
      <c r="J13" s="953"/>
      <c r="K13" s="953"/>
      <c r="L13" s="959"/>
      <c r="M13" s="960">
        <f>F13</f>
        <v>15.22</v>
      </c>
      <c r="N13" s="961"/>
      <c r="O13" s="953"/>
      <c r="P13" s="953"/>
      <c r="Q13" s="959"/>
      <c r="R13" s="960">
        <f>F13</f>
        <v>15.22</v>
      </c>
      <c r="T13" s="953"/>
      <c r="U13" s="953"/>
      <c r="V13" s="946">
        <f t="shared" si="0"/>
        <v>1</v>
      </c>
      <c r="W13" s="946">
        <f t="shared" si="1"/>
        <v>1</v>
      </c>
      <c r="AD13" s="1057"/>
      <c r="AE13" s="1057"/>
    </row>
    <row r="14" spans="1:31" s="938" customFormat="1" ht="51" hidden="1" customHeight="1" outlineLevel="1">
      <c r="A14" s="948"/>
      <c r="B14" s="949" t="s">
        <v>85</v>
      </c>
      <c r="C14" s="950" t="s">
        <v>86</v>
      </c>
      <c r="D14" s="950"/>
      <c r="E14" s="959"/>
      <c r="F14" s="962">
        <v>1</v>
      </c>
      <c r="G14" s="953"/>
      <c r="H14" s="961"/>
      <c r="I14" s="953"/>
      <c r="J14" s="953"/>
      <c r="K14" s="953"/>
      <c r="L14" s="959"/>
      <c r="M14" s="960">
        <f>F14</f>
        <v>1</v>
      </c>
      <c r="N14" s="953"/>
      <c r="O14" s="961"/>
      <c r="P14" s="953"/>
      <c r="Q14" s="959"/>
      <c r="R14" s="960">
        <f>F14</f>
        <v>1</v>
      </c>
      <c r="S14" s="954"/>
      <c r="U14" s="953"/>
      <c r="V14" s="946">
        <f t="shared" si="0"/>
        <v>1</v>
      </c>
      <c r="W14" s="946">
        <f t="shared" si="1"/>
        <v>1</v>
      </c>
      <c r="AD14" s="1057"/>
      <c r="AE14" s="1057"/>
    </row>
    <row r="15" spans="1:31" s="938" customFormat="1" ht="16.5" hidden="1" outlineLevel="1">
      <c r="A15" s="948"/>
      <c r="B15" s="949" t="s">
        <v>615</v>
      </c>
      <c r="C15" s="950"/>
      <c r="D15" s="950"/>
      <c r="E15" s="950"/>
      <c r="F15" s="939">
        <v>0.75</v>
      </c>
      <c r="G15" s="953"/>
      <c r="H15" s="953"/>
      <c r="I15" s="953"/>
      <c r="J15" s="953"/>
      <c r="K15" s="953"/>
      <c r="L15" s="950"/>
      <c r="M15" s="939">
        <v>0.75</v>
      </c>
      <c r="N15" s="953"/>
      <c r="O15" s="953"/>
      <c r="P15" s="953"/>
      <c r="Q15" s="950"/>
      <c r="R15" s="939">
        <v>0.75</v>
      </c>
      <c r="S15" s="954"/>
      <c r="T15" s="953"/>
      <c r="U15" s="953"/>
      <c r="V15" s="946">
        <f t="shared" si="0"/>
        <v>1</v>
      </c>
      <c r="W15" s="946">
        <f t="shared" si="1"/>
        <v>1</v>
      </c>
      <c r="AD15" s="1057"/>
      <c r="AE15" s="1057"/>
    </row>
    <row r="16" spans="1:31" s="938" customFormat="1" outlineLevel="1">
      <c r="A16" s="963" t="s">
        <v>28</v>
      </c>
      <c r="B16" s="963">
        <v>2</v>
      </c>
      <c r="C16" s="963">
        <v>3</v>
      </c>
      <c r="D16" s="963"/>
      <c r="E16" s="963">
        <v>4</v>
      </c>
      <c r="F16" s="963">
        <v>5</v>
      </c>
      <c r="G16" s="963"/>
      <c r="H16" s="963"/>
      <c r="I16" s="963"/>
      <c r="J16" s="963">
        <v>6</v>
      </c>
      <c r="K16" s="963">
        <v>7</v>
      </c>
      <c r="L16" s="963"/>
      <c r="M16" s="963">
        <v>8</v>
      </c>
      <c r="N16" s="963"/>
      <c r="O16" s="963"/>
      <c r="P16" s="963"/>
      <c r="Q16" s="963"/>
      <c r="R16" s="963">
        <v>9</v>
      </c>
      <c r="S16" s="954"/>
      <c r="T16" s="953"/>
      <c r="U16" s="953"/>
      <c r="V16" s="946"/>
      <c r="W16" s="946"/>
      <c r="AD16" s="1059">
        <v>10</v>
      </c>
      <c r="AE16" s="1059">
        <v>11</v>
      </c>
    </row>
    <row r="17" spans="1:31" s="947" customFormat="1" ht="58.5" customHeight="1">
      <c r="A17" s="1319" t="s">
        <v>616</v>
      </c>
      <c r="B17" s="1320"/>
      <c r="C17" s="943" t="s">
        <v>0</v>
      </c>
      <c r="D17" s="964">
        <f>SUM(D18:D22)</f>
        <v>26683.88</v>
      </c>
      <c r="E17" s="965">
        <f>SUM(E18:E22)</f>
        <v>15453.859999999999</v>
      </c>
      <c r="F17" s="965">
        <f>SUM(F18:F22)</f>
        <v>20078.599999999999</v>
      </c>
      <c r="G17" s="965">
        <f>SUM(G18:G22)</f>
        <v>13808.73</v>
      </c>
      <c r="H17" s="965">
        <f>SUM(H18:H22)</f>
        <v>839.93</v>
      </c>
      <c r="I17" s="965">
        <f t="shared" ref="I17" si="2">SUM(I18:I22)</f>
        <v>1922.18</v>
      </c>
      <c r="J17" s="965">
        <f>F17-E17</f>
        <v>4624.74</v>
      </c>
      <c r="K17" s="1331" t="s">
        <v>654</v>
      </c>
      <c r="L17" s="965">
        <f>SUM(L18:L22)</f>
        <v>18012.226031999999</v>
      </c>
      <c r="M17" s="965">
        <f>SUM(M20:M22)</f>
        <v>20445.2</v>
      </c>
      <c r="N17" s="965">
        <f t="shared" ref="N17:AE17" si="3">SUM(N20:N22)</f>
        <v>13167.529999999999</v>
      </c>
      <c r="O17" s="965">
        <f t="shared" si="3"/>
        <v>939.53</v>
      </c>
      <c r="P17" s="965">
        <f t="shared" si="3"/>
        <v>2164.98</v>
      </c>
      <c r="Q17" s="965">
        <f t="shared" si="3"/>
        <v>18786.697200000002</v>
      </c>
      <c r="R17" s="965">
        <f t="shared" si="3"/>
        <v>21688.809999999998</v>
      </c>
      <c r="S17" s="965">
        <f t="shared" si="3"/>
        <v>13792.779999999999</v>
      </c>
      <c r="T17" s="965">
        <f t="shared" si="3"/>
        <v>1036.28</v>
      </c>
      <c r="U17" s="965">
        <f t="shared" si="3"/>
        <v>2285.8599999999997</v>
      </c>
      <c r="V17" s="965">
        <f t="shared" si="3"/>
        <v>2.0332072786859179</v>
      </c>
      <c r="W17" s="965">
        <f t="shared" si="3"/>
        <v>2.1003286352613841</v>
      </c>
      <c r="X17" s="965">
        <f t="shared" si="3"/>
        <v>0</v>
      </c>
      <c r="Y17" s="965">
        <f t="shared" si="3"/>
        <v>0</v>
      </c>
      <c r="Z17" s="965">
        <f t="shared" si="3"/>
        <v>0</v>
      </c>
      <c r="AA17" s="965">
        <f t="shared" si="3"/>
        <v>0</v>
      </c>
      <c r="AB17" s="965">
        <f t="shared" si="3"/>
        <v>0</v>
      </c>
      <c r="AC17" s="965">
        <f t="shared" si="3"/>
        <v>0</v>
      </c>
      <c r="AD17" s="965">
        <f t="shared" si="3"/>
        <v>22708.07</v>
      </c>
      <c r="AE17" s="965">
        <f t="shared" si="3"/>
        <v>23748.639999999999</v>
      </c>
    </row>
    <row r="18" spans="1:31" s="938" customFormat="1" ht="15.75" hidden="1" customHeight="1" outlineLevel="1">
      <c r="A18" s="948"/>
      <c r="B18" s="967" t="s">
        <v>35</v>
      </c>
      <c r="C18" s="968" t="s">
        <v>0</v>
      </c>
      <c r="D18" s="969">
        <f>[181]Кальк_2016_ЭОР!E8</f>
        <v>0</v>
      </c>
      <c r="E18" s="970">
        <f>[181]Кальк_2016_ЭОР!H8</f>
        <v>0</v>
      </c>
      <c r="F18" s="971">
        <f>G18+H18+I18</f>
        <v>0</v>
      </c>
      <c r="G18" s="972">
        <f>[181]Кальк_2016_ЭОР!R8</f>
        <v>0</v>
      </c>
      <c r="H18" s="972"/>
      <c r="I18" s="972"/>
      <c r="J18" s="972"/>
      <c r="K18" s="1331"/>
      <c r="L18" s="972"/>
      <c r="M18" s="971">
        <f>N18+O18+P18</f>
        <v>0</v>
      </c>
      <c r="N18" s="972"/>
      <c r="O18" s="972"/>
      <c r="P18" s="972"/>
      <c r="Q18" s="972"/>
      <c r="R18" s="971">
        <f>S18+T18+U18</f>
        <v>0</v>
      </c>
      <c r="S18" s="973"/>
      <c r="T18" s="974"/>
      <c r="U18" s="974"/>
      <c r="V18" s="946" t="str">
        <f t="shared" si="0"/>
        <v xml:space="preserve"> </v>
      </c>
      <c r="W18" s="946" t="str">
        <f t="shared" si="1"/>
        <v xml:space="preserve"> </v>
      </c>
      <c r="AD18" s="1061"/>
      <c r="AE18" s="1061"/>
    </row>
    <row r="19" spans="1:31" s="938" customFormat="1" ht="16.5" hidden="1" customHeight="1" outlineLevel="1">
      <c r="A19" s="948"/>
      <c r="B19" s="967" t="s">
        <v>89</v>
      </c>
      <c r="C19" s="968" t="s">
        <v>0</v>
      </c>
      <c r="D19" s="969"/>
      <c r="E19" s="970"/>
      <c r="F19" s="971">
        <f t="shared" ref="F19:F21" si="4">G19+H19+I19</f>
        <v>0</v>
      </c>
      <c r="G19" s="972"/>
      <c r="H19" s="972"/>
      <c r="I19" s="972"/>
      <c r="J19" s="972"/>
      <c r="K19" s="1331"/>
      <c r="L19" s="972"/>
      <c r="M19" s="971">
        <f t="shared" ref="M19:M21" si="5">N19+O19+P19</f>
        <v>0</v>
      </c>
      <c r="N19" s="972"/>
      <c r="O19" s="972"/>
      <c r="P19" s="972"/>
      <c r="Q19" s="972"/>
      <c r="R19" s="971">
        <f t="shared" ref="R19:R21" si="6">S19+T19+U19</f>
        <v>0</v>
      </c>
      <c r="S19" s="973"/>
      <c r="T19" s="974"/>
      <c r="U19" s="974"/>
      <c r="V19" s="946" t="str">
        <f t="shared" si="0"/>
        <v xml:space="preserve"> </v>
      </c>
      <c r="W19" s="946" t="str">
        <f t="shared" si="1"/>
        <v xml:space="preserve"> </v>
      </c>
      <c r="AD19" s="1061"/>
      <c r="AE19" s="1061"/>
    </row>
    <row r="20" spans="1:31" s="938" customFormat="1" ht="15.75" customHeight="1" outlineLevel="1">
      <c r="A20" s="948" t="s">
        <v>28</v>
      </c>
      <c r="B20" s="967" t="s">
        <v>90</v>
      </c>
      <c r="C20" s="968" t="s">
        <v>0</v>
      </c>
      <c r="D20" s="969">
        <f>[181]Кальк_2016_ЭОР!D10</f>
        <v>24953.040000000001</v>
      </c>
      <c r="E20" s="970">
        <v>13783.3</v>
      </c>
      <c r="F20" s="975">
        <v>17384.439999999999</v>
      </c>
      <c r="G20" s="972">
        <f>[181]Кальк_2016_ЭОР!R10</f>
        <v>13605.58</v>
      </c>
      <c r="H20" s="972">
        <f>[181]Кальк_2016_ЭОР!S10</f>
        <v>0</v>
      </c>
      <c r="I20" s="972">
        <f>[181]Кальк_2016_ЭОР!T10</f>
        <v>1918.8</v>
      </c>
      <c r="J20" s="972">
        <f t="shared" ref="J20:J65" si="7">F20-E20</f>
        <v>3601.1399999999994</v>
      </c>
      <c r="K20" s="1331"/>
      <c r="L20" s="972">
        <v>17028.080999999998</v>
      </c>
      <c r="M20" s="975">
        <v>17712.400000000001</v>
      </c>
      <c r="N20" s="972">
        <f>ROUND(([181]переменные!L12),2)</f>
        <v>12812.8</v>
      </c>
      <c r="O20" s="972"/>
      <c r="P20" s="972">
        <f>ROUND(([181]переменные!L43),2)</f>
        <v>2160.7800000000002</v>
      </c>
      <c r="Q20" s="972">
        <v>17760.270980000001</v>
      </c>
      <c r="R20" s="975">
        <v>18858.689999999999</v>
      </c>
      <c r="S20" s="973">
        <f>ROUND(([181]переменные!O12),2)</f>
        <v>13379.48</v>
      </c>
      <c r="T20" s="974"/>
      <c r="U20" s="974">
        <f>ROUND(([181]переменные!O43),2)</f>
        <v>2281.16</v>
      </c>
      <c r="V20" s="946">
        <f t="shared" si="0"/>
        <v>1.0188651460731553</v>
      </c>
      <c r="W20" s="946">
        <f t="shared" si="1"/>
        <v>1.0647168085634922</v>
      </c>
      <c r="AD20" s="1061">
        <v>19783.259999999998</v>
      </c>
      <c r="AE20" s="1061">
        <v>20753.21</v>
      </c>
    </row>
    <row r="21" spans="1:31" s="938" customFormat="1" ht="16.5" hidden="1" customHeight="1" outlineLevel="1">
      <c r="A21" s="976"/>
      <c r="B21" s="977" t="s">
        <v>36</v>
      </c>
      <c r="C21" s="968" t="s">
        <v>0</v>
      </c>
      <c r="D21" s="969">
        <f>[181]Кальк_2016_ЭОР!E12+[181]Кальк_2016_ЭОР!G12</f>
        <v>0</v>
      </c>
      <c r="E21" s="970">
        <f>[181]Кальк_2016_ЭОР!H12</f>
        <v>0</v>
      </c>
      <c r="F21" s="975">
        <f t="shared" si="4"/>
        <v>0</v>
      </c>
      <c r="G21" s="972">
        <f>[181]Кальк_2016_ЭОР!R12</f>
        <v>0</v>
      </c>
      <c r="H21" s="972"/>
      <c r="I21" s="972">
        <f>[181]Кальк_2016_ЭОР!T12</f>
        <v>0</v>
      </c>
      <c r="J21" s="972">
        <f t="shared" si="7"/>
        <v>0</v>
      </c>
      <c r="K21" s="1331"/>
      <c r="L21" s="972"/>
      <c r="M21" s="975">
        <f t="shared" si="5"/>
        <v>0</v>
      </c>
      <c r="N21" s="972"/>
      <c r="O21" s="972"/>
      <c r="P21" s="972"/>
      <c r="Q21" s="972"/>
      <c r="R21" s="975">
        <f t="shared" si="6"/>
        <v>0</v>
      </c>
      <c r="S21" s="973">
        <f>[181]переменные!I44</f>
        <v>0</v>
      </c>
      <c r="T21" s="974"/>
      <c r="U21" s="974"/>
      <c r="V21" s="946" t="str">
        <f t="shared" si="0"/>
        <v xml:space="preserve"> </v>
      </c>
      <c r="W21" s="946" t="str">
        <f t="shared" si="1"/>
        <v xml:space="preserve"> </v>
      </c>
      <c r="AD21" s="1061"/>
      <c r="AE21" s="1061"/>
    </row>
    <row r="22" spans="1:31" s="938" customFormat="1" ht="16.5" customHeight="1" outlineLevel="1" collapsed="1">
      <c r="A22" s="976" t="s">
        <v>31</v>
      </c>
      <c r="B22" s="977" t="s">
        <v>37</v>
      </c>
      <c r="C22" s="968" t="s">
        <v>0</v>
      </c>
      <c r="D22" s="969">
        <f>[181]Кальк_2016_ЭОР!D13</f>
        <v>1730.8400000000001</v>
      </c>
      <c r="E22" s="970">
        <v>1670.56</v>
      </c>
      <c r="F22" s="975">
        <v>2694.16</v>
      </c>
      <c r="G22" s="972">
        <f>[181]Кальк_2016_ЭОР!R13</f>
        <v>203.15</v>
      </c>
      <c r="H22" s="972">
        <f>[181]Кальк_2016_ЭОР!S13</f>
        <v>839.93</v>
      </c>
      <c r="I22" s="972">
        <f>[181]Кальк_2016_ЭОР!T13</f>
        <v>3.38</v>
      </c>
      <c r="J22" s="972">
        <f t="shared" si="7"/>
        <v>1023.5999999999999</v>
      </c>
      <c r="K22" s="1331"/>
      <c r="L22" s="972">
        <v>984.14503200000001</v>
      </c>
      <c r="M22" s="975">
        <v>2732.8</v>
      </c>
      <c r="N22" s="972">
        <f>ROUND(([181]теплоноситель!H17+[181]переменные!L26),2)</f>
        <v>354.73</v>
      </c>
      <c r="O22" s="972">
        <f>ROUND(([181]теплоноситель!H16+[181]теплоноситель!H22),2)</f>
        <v>939.53</v>
      </c>
      <c r="P22" s="972">
        <f>ROUND(([181]переменные!L23),2)</f>
        <v>4.2</v>
      </c>
      <c r="Q22" s="972">
        <v>1026.4262200000001</v>
      </c>
      <c r="R22" s="975">
        <v>2830.12</v>
      </c>
      <c r="S22" s="973">
        <f>ROUND(([181]теплоноситель!K17+[181]переменные!O26),2)</f>
        <v>413.3</v>
      </c>
      <c r="T22" s="974">
        <f>ROUND(([181]теплоноситель!K16+[181]теплоноситель!K22),2)</f>
        <v>1036.28</v>
      </c>
      <c r="U22" s="974">
        <f>ROUND(([181]переменные!O23),2)</f>
        <v>4.7</v>
      </c>
      <c r="V22" s="946">
        <f t="shared" si="0"/>
        <v>1.0143421326127626</v>
      </c>
      <c r="W22" s="946">
        <f t="shared" si="1"/>
        <v>1.0356118266978922</v>
      </c>
      <c r="AD22" s="1061">
        <v>2924.81</v>
      </c>
      <c r="AE22" s="1061">
        <v>2995.43</v>
      </c>
    </row>
    <row r="23" spans="1:31" s="947" customFormat="1" ht="60.75" customHeight="1">
      <c r="A23" s="1317" t="s">
        <v>617</v>
      </c>
      <c r="B23" s="1323"/>
      <c r="C23" s="943" t="s">
        <v>0</v>
      </c>
      <c r="D23" s="964" t="e">
        <f>SUM(D25:D28,D30,D38:D41)</f>
        <v>#REF!</v>
      </c>
      <c r="E23" s="965">
        <f>E26+E27+E28+E30+E38+E40+E41</f>
        <v>11088.63</v>
      </c>
      <c r="F23" s="965">
        <f>F26+F27+F28+F30+F38+F40+F41</f>
        <v>7027.58</v>
      </c>
      <c r="G23" s="965" t="e">
        <f>SUM(G25:G28,G30,G38:G41)</f>
        <v>#REF!</v>
      </c>
      <c r="H23" s="965" t="e">
        <f>SUM(H25:H28,H30,H38:H41)</f>
        <v>#REF!</v>
      </c>
      <c r="I23" s="965">
        <f>SUM(I26:I30,I38:I41)</f>
        <v>3591.37</v>
      </c>
      <c r="J23" s="965">
        <f t="shared" si="7"/>
        <v>-4061.0499999999993</v>
      </c>
      <c r="K23" s="1188"/>
      <c r="L23" s="965">
        <f>SUM(L25:L28,L30,L38:L41)</f>
        <v>2407.1396999999997</v>
      </c>
      <c r="M23" s="965">
        <f>M26+M27+M28+M30+M38+M40+M41+0.02</f>
        <v>7171.9900000000007</v>
      </c>
      <c r="N23" s="965">
        <f t="shared" ref="N23:AE23" si="8">N26+N27+N28+N30+N38+N40+N41</f>
        <v>1226.3600000000001</v>
      </c>
      <c r="O23" s="965">
        <f t="shared" si="8"/>
        <v>0</v>
      </c>
      <c r="P23" s="965">
        <f t="shared" si="8"/>
        <v>3768.7799999999997</v>
      </c>
      <c r="Q23" s="965">
        <f t="shared" si="8"/>
        <v>2510.6467070999997</v>
      </c>
      <c r="R23" s="965">
        <f>R26+R27+R28+R30+R38+R40+R41</f>
        <v>7384.29</v>
      </c>
      <c r="S23" s="965">
        <f t="shared" si="8"/>
        <v>1274.8000000000002</v>
      </c>
      <c r="T23" s="965">
        <f t="shared" si="8"/>
        <v>0</v>
      </c>
      <c r="U23" s="965">
        <f t="shared" si="8"/>
        <v>3917.64</v>
      </c>
      <c r="V23" s="965" t="e">
        <f t="shared" si="8"/>
        <v>#VALUE!</v>
      </c>
      <c r="W23" s="965" t="e">
        <f t="shared" si="8"/>
        <v>#VALUE!</v>
      </c>
      <c r="X23" s="965">
        <f t="shared" si="8"/>
        <v>0</v>
      </c>
      <c r="Y23" s="965">
        <f t="shared" si="8"/>
        <v>0</v>
      </c>
      <c r="Z23" s="965">
        <f t="shared" si="8"/>
        <v>0</v>
      </c>
      <c r="AA23" s="965">
        <f t="shared" si="8"/>
        <v>0</v>
      </c>
      <c r="AB23" s="965">
        <f t="shared" si="8"/>
        <v>0</v>
      </c>
      <c r="AC23" s="965">
        <f t="shared" si="8"/>
        <v>0</v>
      </c>
      <c r="AD23" s="965">
        <f>AD26+AD27+AD28+AD30+AD38+AD40+AD41</f>
        <v>7602.86</v>
      </c>
      <c r="AE23" s="965">
        <f t="shared" si="8"/>
        <v>7827.9</v>
      </c>
    </row>
    <row r="24" spans="1:31" s="947" customFormat="1" ht="29.25" hidden="1" customHeight="1">
      <c r="A24" s="978"/>
      <c r="B24" s="979" t="s">
        <v>618</v>
      </c>
      <c r="C24" s="943"/>
      <c r="D24" s="964"/>
      <c r="E24" s="965"/>
      <c r="F24" s="980" t="e">
        <f>F23/(D23*H24)</f>
        <v>#REF!</v>
      </c>
      <c r="G24" s="981" t="s">
        <v>619</v>
      </c>
      <c r="H24" s="982">
        <f>[181]Кальк_2016_ЭОР!Q77/[181]Кальк_2016_ЭОР!D77</f>
        <v>0.91060228627457374</v>
      </c>
      <c r="I24" s="965"/>
      <c r="J24" s="965" t="e">
        <f t="shared" si="7"/>
        <v>#REF!</v>
      </c>
      <c r="K24" s="1188"/>
      <c r="L24" s="965"/>
      <c r="M24" s="965"/>
      <c r="N24" s="965"/>
      <c r="O24" s="965"/>
      <c r="P24" s="965"/>
      <c r="Q24" s="965"/>
      <c r="R24" s="965"/>
      <c r="S24" s="966"/>
      <c r="T24" s="964"/>
      <c r="U24" s="964"/>
      <c r="V24" s="946"/>
      <c r="W24" s="946"/>
      <c r="AD24" s="1060"/>
      <c r="AE24" s="1060"/>
    </row>
    <row r="25" spans="1:31" s="938" customFormat="1" ht="17.25" hidden="1" customHeight="1">
      <c r="A25" s="976">
        <v>1</v>
      </c>
      <c r="B25" s="977" t="s">
        <v>91</v>
      </c>
      <c r="C25" s="968" t="s">
        <v>0</v>
      </c>
      <c r="D25" s="983">
        <f>[181]Кальк_2016_ЭОР!D7</f>
        <v>0</v>
      </c>
      <c r="E25" s="972">
        <f>[181]Кальк_2016_ЭОР!H7</f>
        <v>0</v>
      </c>
      <c r="F25" s="975">
        <f>G25+H25+I25</f>
        <v>0</v>
      </c>
      <c r="G25" s="972">
        <f>[181]Кальк_2016_ЭОР!R7</f>
        <v>0</v>
      </c>
      <c r="H25" s="972">
        <f>[181]Кальк_2016_ЭОР!S7</f>
        <v>0</v>
      </c>
      <c r="I25" s="972"/>
      <c r="J25" s="972">
        <f t="shared" si="7"/>
        <v>0</v>
      </c>
      <c r="K25" s="1189"/>
      <c r="L25" s="972">
        <f t="shared" ref="L25:L31" si="9">E25*1.043</f>
        <v>0</v>
      </c>
      <c r="M25" s="975">
        <f>N25+O25+P25</f>
        <v>0</v>
      </c>
      <c r="N25" s="972">
        <f t="shared" ref="N25:O25" si="10">ROUND((G25*$N$9),2)</f>
        <v>0</v>
      </c>
      <c r="O25" s="972">
        <f t="shared" si="10"/>
        <v>0</v>
      </c>
      <c r="P25" s="972"/>
      <c r="Q25" s="972">
        <f>L25*1.043</f>
        <v>0</v>
      </c>
      <c r="R25" s="975">
        <f>S25+T25+U25</f>
        <v>0</v>
      </c>
      <c r="S25" s="973">
        <f t="shared" ref="S25:T25" si="11">ROUND((N25*$S$9),2)</f>
        <v>0</v>
      </c>
      <c r="T25" s="974">
        <f t="shared" si="11"/>
        <v>0</v>
      </c>
      <c r="U25" s="983"/>
      <c r="V25" s="946" t="str">
        <f t="shared" si="0"/>
        <v xml:space="preserve"> </v>
      </c>
      <c r="W25" s="946" t="str">
        <f t="shared" si="1"/>
        <v xml:space="preserve"> </v>
      </c>
      <c r="AD25" s="1061"/>
      <c r="AE25" s="1061"/>
    </row>
    <row r="26" spans="1:31" s="938" customFormat="1" ht="84.75" customHeight="1">
      <c r="A26" s="976" t="s">
        <v>28</v>
      </c>
      <c r="B26" s="977" t="s">
        <v>92</v>
      </c>
      <c r="C26" s="968" t="s">
        <v>0</v>
      </c>
      <c r="D26" s="983">
        <f>[181]Кальк_2016_ЭОР!D25</f>
        <v>2569.27</v>
      </c>
      <c r="E26" s="972">
        <v>4066.74</v>
      </c>
      <c r="F26" s="975">
        <v>2720.45</v>
      </c>
      <c r="G26" s="972">
        <f>[181]Кальк_2016_ЭОР!R25</f>
        <v>539.21</v>
      </c>
      <c r="H26" s="972">
        <f>[181]Кальк_2016_ЭОР!S25</f>
        <v>0</v>
      </c>
      <c r="I26" s="972">
        <f>[181]Кальк_2016_ЭОР!T25</f>
        <v>1657.08</v>
      </c>
      <c r="J26" s="972">
        <f>F26-E26</f>
        <v>-1346.29</v>
      </c>
      <c r="K26" s="1190" t="s">
        <v>655</v>
      </c>
      <c r="L26" s="972"/>
      <c r="M26" s="975">
        <v>2784.81</v>
      </c>
      <c r="N26" s="972">
        <f t="shared" ref="N26:P27" si="12">ROUND((G26*N$9),2)</f>
        <v>565.85</v>
      </c>
      <c r="O26" s="972">
        <f t="shared" si="12"/>
        <v>0</v>
      </c>
      <c r="P26" s="972">
        <f t="shared" si="12"/>
        <v>1738.94</v>
      </c>
      <c r="Q26" s="972">
        <f t="shared" ref="Q26:Q29" si="13">L26*1.043</f>
        <v>0</v>
      </c>
      <c r="R26" s="975">
        <v>2867.24</v>
      </c>
      <c r="S26" s="973">
        <f>ROUND((N26*S$9),2)</f>
        <v>588.20000000000005</v>
      </c>
      <c r="T26" s="974">
        <f t="shared" ref="T26:U27" si="14">ROUND((O26*T$9),2)</f>
        <v>0</v>
      </c>
      <c r="U26" s="974">
        <f t="shared" si="14"/>
        <v>1807.63</v>
      </c>
      <c r="V26" s="946">
        <f t="shared" si="0"/>
        <v>1.0236578507232259</v>
      </c>
      <c r="W26" s="946">
        <f t="shared" si="1"/>
        <v>1.0295998649818119</v>
      </c>
      <c r="X26" s="984"/>
      <c r="AD26" s="1061">
        <v>2952.11</v>
      </c>
      <c r="AE26" s="1061">
        <v>3039.5</v>
      </c>
    </row>
    <row r="27" spans="1:31" s="938" customFormat="1" ht="66" customHeight="1">
      <c r="A27" s="976" t="s">
        <v>31</v>
      </c>
      <c r="B27" s="977" t="s">
        <v>93</v>
      </c>
      <c r="C27" s="968" t="s">
        <v>0</v>
      </c>
      <c r="D27" s="983">
        <f>[181]Кальк_2016_ЭОР!D17</f>
        <v>2169.8799999999997</v>
      </c>
      <c r="E27" s="972">
        <v>3352.8</v>
      </c>
      <c r="F27" s="975">
        <v>3328.8</v>
      </c>
      <c r="G27" s="972">
        <f>[181]Кальк_2016_ЭОР!R17</f>
        <v>549.77</v>
      </c>
      <c r="H27" s="972">
        <f>[181]Кальк_2016_ЭОР!S17</f>
        <v>0</v>
      </c>
      <c r="I27" s="972">
        <f>[181]Кальк_2016_ЭОР!T17</f>
        <v>1689.54</v>
      </c>
      <c r="J27" s="972">
        <f>F27-E27</f>
        <v>-24</v>
      </c>
      <c r="K27" s="1190" t="s">
        <v>656</v>
      </c>
      <c r="L27" s="972"/>
      <c r="M27" s="975">
        <v>3407.56</v>
      </c>
      <c r="N27" s="972">
        <f t="shared" si="12"/>
        <v>576.92999999999995</v>
      </c>
      <c r="O27" s="972">
        <f t="shared" si="12"/>
        <v>0</v>
      </c>
      <c r="P27" s="972">
        <f t="shared" si="12"/>
        <v>1773</v>
      </c>
      <c r="Q27" s="972">
        <f t="shared" si="13"/>
        <v>0</v>
      </c>
      <c r="R27" s="975">
        <v>3508.43</v>
      </c>
      <c r="S27" s="985">
        <f>ROUND((N27*S$9),2)</f>
        <v>599.72</v>
      </c>
      <c r="T27" s="983">
        <f t="shared" si="14"/>
        <v>0</v>
      </c>
      <c r="U27" s="983">
        <f t="shared" si="14"/>
        <v>1843.03</v>
      </c>
      <c r="V27" s="946">
        <f t="shared" si="0"/>
        <v>1.0236601778418648</v>
      </c>
      <c r="W27" s="946">
        <f t="shared" si="1"/>
        <v>1.0296018265268989</v>
      </c>
      <c r="AD27" s="1061">
        <v>3612.28</v>
      </c>
      <c r="AE27" s="1061">
        <v>3719.2</v>
      </c>
    </row>
    <row r="28" spans="1:31" s="938" customFormat="1" ht="30.75" customHeight="1">
      <c r="A28" s="976" t="s">
        <v>32</v>
      </c>
      <c r="B28" s="977" t="s">
        <v>100</v>
      </c>
      <c r="C28" s="968" t="s">
        <v>0</v>
      </c>
      <c r="D28" s="983" t="e">
        <f>D29+#REF!</f>
        <v>#REF!</v>
      </c>
      <c r="E28" s="972">
        <f>E29</f>
        <v>1135</v>
      </c>
      <c r="F28" s="975">
        <f>F29</f>
        <v>0</v>
      </c>
      <c r="G28" s="972" t="e">
        <f>G29+#REF!</f>
        <v>#REF!</v>
      </c>
      <c r="H28" s="972" t="e">
        <f>H29+#REF!</f>
        <v>#REF!</v>
      </c>
      <c r="I28" s="972"/>
      <c r="J28" s="972">
        <f t="shared" si="7"/>
        <v>-1135</v>
      </c>
      <c r="K28" s="1308" t="s">
        <v>666</v>
      </c>
      <c r="L28" s="972">
        <f>SUM(L29:L29)</f>
        <v>1183.8049999999998</v>
      </c>
      <c r="M28" s="975">
        <f>M29</f>
        <v>0</v>
      </c>
      <c r="N28" s="975">
        <f t="shared" ref="N28:AE28" si="15">N29</f>
        <v>0</v>
      </c>
      <c r="O28" s="975">
        <f t="shared" si="15"/>
        <v>0</v>
      </c>
      <c r="P28" s="975">
        <f t="shared" si="15"/>
        <v>0</v>
      </c>
      <c r="Q28" s="975">
        <f t="shared" si="15"/>
        <v>1234.7086149999998</v>
      </c>
      <c r="R28" s="975">
        <f t="shared" si="15"/>
        <v>0</v>
      </c>
      <c r="S28" s="975">
        <f t="shared" si="15"/>
        <v>0</v>
      </c>
      <c r="T28" s="975">
        <f t="shared" si="15"/>
        <v>0</v>
      </c>
      <c r="U28" s="975">
        <f t="shared" si="15"/>
        <v>0</v>
      </c>
      <c r="V28" s="975" t="str">
        <f t="shared" si="15"/>
        <v xml:space="preserve"> </v>
      </c>
      <c r="W28" s="975" t="str">
        <f t="shared" si="15"/>
        <v xml:space="preserve"> </v>
      </c>
      <c r="X28" s="975">
        <f t="shared" si="15"/>
        <v>0</v>
      </c>
      <c r="Y28" s="975">
        <f t="shared" si="15"/>
        <v>0</v>
      </c>
      <c r="Z28" s="975">
        <f t="shared" si="15"/>
        <v>0</v>
      </c>
      <c r="AA28" s="975">
        <f t="shared" si="15"/>
        <v>0</v>
      </c>
      <c r="AB28" s="975">
        <f t="shared" si="15"/>
        <v>0</v>
      </c>
      <c r="AC28" s="975">
        <f t="shared" si="15"/>
        <v>0</v>
      </c>
      <c r="AD28" s="975">
        <f t="shared" si="15"/>
        <v>0</v>
      </c>
      <c r="AE28" s="975">
        <f t="shared" si="15"/>
        <v>0</v>
      </c>
    </row>
    <row r="29" spans="1:31" s="938" customFormat="1" ht="30" customHeight="1" outlineLevel="1">
      <c r="A29" s="976"/>
      <c r="B29" s="986" t="s">
        <v>645</v>
      </c>
      <c r="C29" s="968" t="s">
        <v>0</v>
      </c>
      <c r="D29" s="974">
        <f>[181]Кальк_2016_ЭОР!D30</f>
        <v>0</v>
      </c>
      <c r="E29" s="972">
        <v>1135</v>
      </c>
      <c r="F29" s="975">
        <f t="shared" ref="F29:F45" si="16">G29+H29+I29</f>
        <v>0</v>
      </c>
      <c r="G29" s="972">
        <f>[181]Кальк_2016_ЭОР!R30</f>
        <v>0</v>
      </c>
      <c r="H29" s="972">
        <f>[181]Кальк_2016_ЭОР!S30</f>
        <v>0</v>
      </c>
      <c r="I29" s="972"/>
      <c r="J29" s="972">
        <f t="shared" si="7"/>
        <v>-1135</v>
      </c>
      <c r="K29" s="1309"/>
      <c r="L29" s="972">
        <f t="shared" si="9"/>
        <v>1183.8049999999998</v>
      </c>
      <c r="M29" s="975">
        <f t="shared" ref="M29" si="17">N29+O29+P29</f>
        <v>0</v>
      </c>
      <c r="N29" s="972">
        <f t="shared" ref="N29" si="18">ROUND((G29*$N$9),2)</f>
        <v>0</v>
      </c>
      <c r="O29" s="972">
        <f>ROUND((H29*$O$9),2)</f>
        <v>0</v>
      </c>
      <c r="P29" s="972"/>
      <c r="Q29" s="972">
        <f t="shared" si="13"/>
        <v>1234.7086149999998</v>
      </c>
      <c r="R29" s="975">
        <f t="shared" ref="R29" si="19">S29+T29+U29</f>
        <v>0</v>
      </c>
      <c r="S29" s="973">
        <f t="shared" ref="S29" si="20">ROUND((N29*$S$9),2)</f>
        <v>0</v>
      </c>
      <c r="T29" s="974">
        <f>ROUND((O29*$T$9),2)</f>
        <v>0</v>
      </c>
      <c r="U29" s="974"/>
      <c r="V29" s="946" t="str">
        <f t="shared" si="0"/>
        <v xml:space="preserve"> </v>
      </c>
      <c r="W29" s="946" t="str">
        <f t="shared" si="1"/>
        <v xml:space="preserve"> </v>
      </c>
      <c r="AD29" s="1061">
        <v>0</v>
      </c>
      <c r="AE29" s="1061">
        <v>0</v>
      </c>
    </row>
    <row r="30" spans="1:31" s="938" customFormat="1" ht="32.25" customHeight="1">
      <c r="A30" s="976" t="s">
        <v>34</v>
      </c>
      <c r="B30" s="977" t="s">
        <v>620</v>
      </c>
      <c r="C30" s="968" t="s">
        <v>0</v>
      </c>
      <c r="D30" s="983">
        <f>SUM(D31:D36)</f>
        <v>0</v>
      </c>
      <c r="E30" s="972">
        <f>SUM(E31:E37)</f>
        <v>2025.8</v>
      </c>
      <c r="F30" s="972">
        <f>SUM(F31:F37)</f>
        <v>561.21</v>
      </c>
      <c r="G30" s="972">
        <f>SUM(G31:G36)</f>
        <v>0</v>
      </c>
      <c r="H30" s="972">
        <f>SUM(H31:H36)</f>
        <v>0</v>
      </c>
      <c r="I30" s="972">
        <f>SUM(I31:I36)</f>
        <v>0</v>
      </c>
      <c r="J30" s="972">
        <f t="shared" si="7"/>
        <v>-1464.59</v>
      </c>
      <c r="K30" s="1337" t="s">
        <v>657</v>
      </c>
      <c r="L30" s="972">
        <f>SUM(L31:L36)</f>
        <v>802.06699999999989</v>
      </c>
      <c r="M30" s="975">
        <f>M31+M32+M33+M34+M35+M36+M37</f>
        <v>552.61</v>
      </c>
      <c r="N30" s="975">
        <f t="shared" ref="N30:AE30" si="21">N31+N32+N33+N34+N35+N36+N37</f>
        <v>0</v>
      </c>
      <c r="O30" s="975">
        <f t="shared" si="21"/>
        <v>0</v>
      </c>
      <c r="P30" s="975">
        <f t="shared" si="21"/>
        <v>0</v>
      </c>
      <c r="Q30" s="975">
        <f t="shared" si="21"/>
        <v>836.55588099999977</v>
      </c>
      <c r="R30" s="975">
        <f t="shared" si="21"/>
        <v>568.99</v>
      </c>
      <c r="S30" s="975">
        <f t="shared" si="21"/>
        <v>0</v>
      </c>
      <c r="T30" s="975">
        <f t="shared" si="21"/>
        <v>0</v>
      </c>
      <c r="U30" s="975">
        <f t="shared" si="21"/>
        <v>0</v>
      </c>
      <c r="V30" s="975">
        <f t="shared" si="21"/>
        <v>7.005184494288283</v>
      </c>
      <c r="W30" s="975">
        <f t="shared" si="21"/>
        <v>7.2076428103610191</v>
      </c>
      <c r="X30" s="975">
        <f t="shared" si="21"/>
        <v>0</v>
      </c>
      <c r="Y30" s="975">
        <f t="shared" si="21"/>
        <v>0</v>
      </c>
      <c r="Z30" s="975">
        <f t="shared" si="21"/>
        <v>0</v>
      </c>
      <c r="AA30" s="975">
        <f t="shared" si="21"/>
        <v>0</v>
      </c>
      <c r="AB30" s="975">
        <f t="shared" si="21"/>
        <v>0</v>
      </c>
      <c r="AC30" s="975">
        <f t="shared" si="21"/>
        <v>0</v>
      </c>
      <c r="AD30" s="975">
        <f t="shared" si="21"/>
        <v>585.82999999999993</v>
      </c>
      <c r="AE30" s="975">
        <f t="shared" si="21"/>
        <v>603.16</v>
      </c>
    </row>
    <row r="31" spans="1:31" s="938" customFormat="1" ht="15" customHeight="1" outlineLevel="1">
      <c r="A31" s="976"/>
      <c r="B31" s="986" t="s">
        <v>621</v>
      </c>
      <c r="C31" s="968" t="s">
        <v>0</v>
      </c>
      <c r="D31" s="969"/>
      <c r="E31" s="970">
        <v>173</v>
      </c>
      <c r="F31" s="975">
        <v>109.08</v>
      </c>
      <c r="G31" s="972"/>
      <c r="H31" s="972"/>
      <c r="I31" s="972"/>
      <c r="J31" s="972">
        <f t="shared" si="7"/>
        <v>-63.92</v>
      </c>
      <c r="K31" s="1338"/>
      <c r="L31" s="972">
        <f t="shared" si="9"/>
        <v>180.43899999999999</v>
      </c>
      <c r="M31" s="975">
        <v>111.66</v>
      </c>
      <c r="N31" s="972">
        <f t="shared" ref="N31:O34" si="22">ROUND((G31*$N$9),2)</f>
        <v>0</v>
      </c>
      <c r="O31" s="972">
        <f t="shared" si="22"/>
        <v>0</v>
      </c>
      <c r="P31" s="972"/>
      <c r="Q31" s="972">
        <f t="shared" ref="Q31:Q45" si="23">L31*1.043</f>
        <v>188.19787699999998</v>
      </c>
      <c r="R31" s="975">
        <v>114.97</v>
      </c>
      <c r="S31" s="973">
        <f t="shared" ref="S31:T34" si="24">ROUND((N31*$S$9),2)</f>
        <v>0</v>
      </c>
      <c r="T31" s="974">
        <f t="shared" si="24"/>
        <v>0</v>
      </c>
      <c r="U31" s="974"/>
      <c r="V31" s="946">
        <f t="shared" si="0"/>
        <v>1.0236523652365237</v>
      </c>
      <c r="W31" s="946">
        <f t="shared" si="1"/>
        <v>1.0296435608096006</v>
      </c>
      <c r="AD31" s="1061">
        <v>118.37</v>
      </c>
      <c r="AE31" s="1061">
        <v>121.87</v>
      </c>
    </row>
    <row r="32" spans="1:31" s="938" customFormat="1" ht="15.75" customHeight="1" outlineLevel="1" collapsed="1">
      <c r="A32" s="976"/>
      <c r="B32" s="986" t="s">
        <v>622</v>
      </c>
      <c r="C32" s="968" t="s">
        <v>0</v>
      </c>
      <c r="D32" s="969"/>
      <c r="E32" s="970">
        <v>611</v>
      </c>
      <c r="F32" s="975">
        <v>186.42</v>
      </c>
      <c r="G32" s="972"/>
      <c r="H32" s="972"/>
      <c r="I32" s="972"/>
      <c r="J32" s="972">
        <f t="shared" si="7"/>
        <v>-424.58000000000004</v>
      </c>
      <c r="K32" s="1338"/>
      <c r="L32" s="972"/>
      <c r="M32" s="975">
        <v>190.83</v>
      </c>
      <c r="N32" s="972">
        <f t="shared" si="22"/>
        <v>0</v>
      </c>
      <c r="O32" s="972">
        <f t="shared" si="22"/>
        <v>0</v>
      </c>
      <c r="P32" s="972"/>
      <c r="Q32" s="972">
        <f t="shared" si="23"/>
        <v>0</v>
      </c>
      <c r="R32" s="975">
        <v>196.48</v>
      </c>
      <c r="S32" s="973">
        <f t="shared" si="24"/>
        <v>0</v>
      </c>
      <c r="T32" s="974">
        <f t="shared" si="24"/>
        <v>0</v>
      </c>
      <c r="U32" s="974"/>
      <c r="V32" s="946">
        <f t="shared" si="0"/>
        <v>1.0236562600579338</v>
      </c>
      <c r="W32" s="946">
        <f t="shared" si="1"/>
        <v>1.0296075040612063</v>
      </c>
      <c r="AD32" s="1061">
        <v>202.29</v>
      </c>
      <c r="AE32" s="1061">
        <v>208.28</v>
      </c>
    </row>
    <row r="33" spans="1:31" s="938" customFormat="1" ht="15" customHeight="1" outlineLevel="1">
      <c r="A33" s="976"/>
      <c r="B33" s="986" t="s">
        <v>623</v>
      </c>
      <c r="C33" s="968" t="s">
        <v>0</v>
      </c>
      <c r="D33" s="969"/>
      <c r="E33" s="970">
        <v>593</v>
      </c>
      <c r="F33" s="975">
        <v>32.729999999999997</v>
      </c>
      <c r="G33" s="972"/>
      <c r="H33" s="972"/>
      <c r="I33" s="972"/>
      <c r="J33" s="972">
        <f t="shared" si="7"/>
        <v>-560.27</v>
      </c>
      <c r="K33" s="1338"/>
      <c r="L33" s="972">
        <f t="shared" ref="L33:L34" si="25">E33*1.043</f>
        <v>618.49899999999991</v>
      </c>
      <c r="M33" s="975">
        <v>33.5</v>
      </c>
      <c r="N33" s="972">
        <f t="shared" si="22"/>
        <v>0</v>
      </c>
      <c r="O33" s="972">
        <f t="shared" si="22"/>
        <v>0</v>
      </c>
      <c r="P33" s="972"/>
      <c r="Q33" s="972">
        <f t="shared" si="23"/>
        <v>645.09445699999981</v>
      </c>
      <c r="R33" s="975">
        <v>34.5</v>
      </c>
      <c r="S33" s="973">
        <f t="shared" si="24"/>
        <v>0</v>
      </c>
      <c r="T33" s="974">
        <f t="shared" si="24"/>
        <v>0</v>
      </c>
      <c r="U33" s="974"/>
      <c r="V33" s="946">
        <f t="shared" si="0"/>
        <v>1.0235258172930035</v>
      </c>
      <c r="W33" s="946">
        <f t="shared" si="1"/>
        <v>1.0298507462686568</v>
      </c>
      <c r="AD33" s="1061">
        <v>35.520000000000003</v>
      </c>
      <c r="AE33" s="1061">
        <v>36.57</v>
      </c>
    </row>
    <row r="34" spans="1:31" s="938" customFormat="1" ht="15.75" customHeight="1" outlineLevel="1">
      <c r="A34" s="976"/>
      <c r="B34" s="986" t="s">
        <v>646</v>
      </c>
      <c r="C34" s="968" t="s">
        <v>0</v>
      </c>
      <c r="D34" s="969"/>
      <c r="E34" s="970">
        <v>3</v>
      </c>
      <c r="F34" s="975">
        <v>3</v>
      </c>
      <c r="G34" s="972"/>
      <c r="H34" s="972"/>
      <c r="I34" s="972"/>
      <c r="J34" s="972">
        <f t="shared" si="7"/>
        <v>0</v>
      </c>
      <c r="K34" s="1338"/>
      <c r="L34" s="972">
        <f t="shared" si="25"/>
        <v>3.1289999999999996</v>
      </c>
      <c r="M34" s="975">
        <v>3.07</v>
      </c>
      <c r="N34" s="972">
        <f t="shared" si="22"/>
        <v>0</v>
      </c>
      <c r="O34" s="972">
        <f t="shared" si="22"/>
        <v>0</v>
      </c>
      <c r="P34" s="972"/>
      <c r="Q34" s="972">
        <f t="shared" si="23"/>
        <v>3.2635469999999995</v>
      </c>
      <c r="R34" s="975">
        <v>3.16</v>
      </c>
      <c r="S34" s="973">
        <f t="shared" si="24"/>
        <v>0</v>
      </c>
      <c r="T34" s="974">
        <f t="shared" si="24"/>
        <v>0</v>
      </c>
      <c r="U34" s="974"/>
      <c r="V34" s="946">
        <f t="shared" si="0"/>
        <v>1.0233333333333332</v>
      </c>
      <c r="W34" s="946">
        <f t="shared" si="1"/>
        <v>1.0293159609120521</v>
      </c>
      <c r="AD34" s="1061">
        <v>3.26</v>
      </c>
      <c r="AE34" s="1061">
        <v>3.35</v>
      </c>
    </row>
    <row r="35" spans="1:31" s="938" customFormat="1" ht="42" customHeight="1" outlineLevel="1">
      <c r="A35" s="976"/>
      <c r="B35" s="986" t="s">
        <v>50</v>
      </c>
      <c r="C35" s="968" t="s">
        <v>0</v>
      </c>
      <c r="D35" s="969"/>
      <c r="E35" s="970">
        <v>15</v>
      </c>
      <c r="F35" s="975">
        <v>15</v>
      </c>
      <c r="G35" s="972"/>
      <c r="H35" s="972"/>
      <c r="I35" s="972"/>
      <c r="J35" s="972">
        <f t="shared" si="7"/>
        <v>0</v>
      </c>
      <c r="K35" s="1339"/>
      <c r="L35" s="972"/>
      <c r="M35" s="975">
        <v>15.35</v>
      </c>
      <c r="N35" s="972"/>
      <c r="O35" s="972"/>
      <c r="P35" s="972"/>
      <c r="Q35" s="972"/>
      <c r="R35" s="975">
        <v>15.81</v>
      </c>
      <c r="S35" s="973"/>
      <c r="T35" s="974"/>
      <c r="U35" s="974"/>
      <c r="V35" s="946">
        <f t="shared" si="0"/>
        <v>1.0233333333333332</v>
      </c>
      <c r="W35" s="946">
        <f t="shared" si="1"/>
        <v>1.0299674267100978</v>
      </c>
      <c r="AD35" s="1061">
        <v>16.28</v>
      </c>
      <c r="AE35" s="1061">
        <v>16.760000000000002</v>
      </c>
    </row>
    <row r="36" spans="1:31" s="938" customFormat="1" ht="42.75" customHeight="1" outlineLevel="1">
      <c r="A36" s="976"/>
      <c r="B36" s="986" t="s">
        <v>51</v>
      </c>
      <c r="C36" s="968" t="s">
        <v>0</v>
      </c>
      <c r="D36" s="969">
        <f>[181]Кальк_2016_ЭОР!D47</f>
        <v>0</v>
      </c>
      <c r="E36" s="970">
        <v>115</v>
      </c>
      <c r="F36" s="975">
        <v>77.98</v>
      </c>
      <c r="G36" s="972">
        <f>[181]Кальк_2016_ЭОР!R47</f>
        <v>0</v>
      </c>
      <c r="H36" s="972">
        <f>[181]Кальк_2016_ЭОР!S47</f>
        <v>0</v>
      </c>
      <c r="I36" s="972">
        <f>[181]Кальк_2016_ЭОР!T47</f>
        <v>0</v>
      </c>
      <c r="J36" s="972">
        <f t="shared" si="7"/>
        <v>-37.019999999999996</v>
      </c>
      <c r="K36" s="1309"/>
      <c r="L36" s="972"/>
      <c r="M36" s="975">
        <v>79.819999999999993</v>
      </c>
      <c r="N36" s="972"/>
      <c r="O36" s="972"/>
      <c r="P36" s="972"/>
      <c r="Q36" s="972"/>
      <c r="R36" s="975">
        <v>82.19</v>
      </c>
      <c r="S36" s="973"/>
      <c r="T36" s="974"/>
      <c r="U36" s="974"/>
      <c r="V36" s="946">
        <f t="shared" si="0"/>
        <v>1.0235957937932803</v>
      </c>
      <c r="W36" s="946">
        <f t="shared" si="1"/>
        <v>1.0296918065647709</v>
      </c>
      <c r="AD36" s="1061">
        <v>84.62</v>
      </c>
      <c r="AE36" s="1061">
        <v>87.13</v>
      </c>
    </row>
    <row r="37" spans="1:31" s="938" customFormat="1" ht="27" customHeight="1" outlineLevel="1">
      <c r="A37" s="976"/>
      <c r="B37" s="986" t="s">
        <v>233</v>
      </c>
      <c r="C37" s="968" t="s">
        <v>0</v>
      </c>
      <c r="D37" s="969"/>
      <c r="E37" s="970">
        <v>515.79999999999995</v>
      </c>
      <c r="F37" s="975">
        <v>137</v>
      </c>
      <c r="G37" s="972"/>
      <c r="H37" s="972"/>
      <c r="I37" s="972"/>
      <c r="J37" s="972">
        <f>F37-E37</f>
        <v>-378.79999999999995</v>
      </c>
      <c r="K37" s="1189"/>
      <c r="L37" s="972"/>
      <c r="M37" s="975">
        <v>118.38</v>
      </c>
      <c r="N37" s="972"/>
      <c r="O37" s="972"/>
      <c r="P37" s="972"/>
      <c r="Q37" s="972"/>
      <c r="R37" s="975">
        <v>121.88</v>
      </c>
      <c r="S37" s="973"/>
      <c r="T37" s="974"/>
      <c r="U37" s="974"/>
      <c r="V37" s="946">
        <f t="shared" si="0"/>
        <v>0.86408759124087586</v>
      </c>
      <c r="W37" s="946">
        <f t="shared" si="1"/>
        <v>1.0295658050346341</v>
      </c>
      <c r="AD37" s="1061">
        <v>125.49</v>
      </c>
      <c r="AE37" s="1061">
        <v>129.19999999999999</v>
      </c>
    </row>
    <row r="38" spans="1:31" s="938" customFormat="1" ht="69" customHeight="1">
      <c r="A38" s="976" t="s">
        <v>33</v>
      </c>
      <c r="B38" s="977" t="s">
        <v>103</v>
      </c>
      <c r="C38" s="968" t="s">
        <v>0</v>
      </c>
      <c r="D38" s="983">
        <f>[181]Кальк_2016_ЭОР!D53</f>
        <v>16.82</v>
      </c>
      <c r="E38" s="972">
        <v>25</v>
      </c>
      <c r="F38" s="975">
        <v>19.329999999999998</v>
      </c>
      <c r="G38" s="972">
        <f>[181]Кальк_2016_ЭОР!R53</f>
        <v>4.26</v>
      </c>
      <c r="H38" s="972">
        <f>[181]Кальк_2016_ЭОР!S53</f>
        <v>0</v>
      </c>
      <c r="I38" s="972">
        <f>[181]Кальк_2016_ЭОР!T53</f>
        <v>13.1</v>
      </c>
      <c r="J38" s="972">
        <f t="shared" si="7"/>
        <v>-5.6700000000000017</v>
      </c>
      <c r="K38" s="1190" t="s">
        <v>658</v>
      </c>
      <c r="L38" s="972"/>
      <c r="M38" s="975">
        <v>19.79</v>
      </c>
      <c r="N38" s="972">
        <f>ROUND((G38*N$9),2)</f>
        <v>4.47</v>
      </c>
      <c r="O38" s="972">
        <f>ROUND((H38*O$9),2)</f>
        <v>0</v>
      </c>
      <c r="P38" s="972">
        <f>ROUND((I38*P$9),2)</f>
        <v>13.75</v>
      </c>
      <c r="Q38" s="972">
        <f t="shared" si="23"/>
        <v>0</v>
      </c>
      <c r="R38" s="975">
        <v>20.37</v>
      </c>
      <c r="S38" s="985">
        <f>ROUND((N38*S$9),2)</f>
        <v>4.6500000000000004</v>
      </c>
      <c r="T38" s="983">
        <f t="shared" ref="T38:U40" si="26">ROUND((O38*T$9),2)</f>
        <v>0</v>
      </c>
      <c r="U38" s="983">
        <f t="shared" si="26"/>
        <v>14.29</v>
      </c>
      <c r="V38" s="946">
        <f t="shared" si="0"/>
        <v>1.0237972064148992</v>
      </c>
      <c r="W38" s="946">
        <f t="shared" si="1"/>
        <v>1.0293077311773624</v>
      </c>
      <c r="AD38" s="1061">
        <v>20.98</v>
      </c>
      <c r="AE38" s="1061">
        <v>21.6</v>
      </c>
    </row>
    <row r="39" spans="1:31" s="938" customFormat="1" ht="15" hidden="1" customHeight="1">
      <c r="A39" s="976" t="s">
        <v>45</v>
      </c>
      <c r="B39" s="977" t="s">
        <v>104</v>
      </c>
      <c r="C39" s="968" t="s">
        <v>0</v>
      </c>
      <c r="D39" s="983"/>
      <c r="E39" s="972"/>
      <c r="F39" s="975">
        <f t="shared" si="16"/>
        <v>0</v>
      </c>
      <c r="G39" s="972"/>
      <c r="H39" s="972"/>
      <c r="I39" s="972"/>
      <c r="J39" s="972">
        <f t="shared" si="7"/>
        <v>0</v>
      </c>
      <c r="K39" s="1190" t="s">
        <v>624</v>
      </c>
      <c r="L39" s="972"/>
      <c r="M39" s="975">
        <f t="shared" ref="M39:M45" si="27">N39+O39+P39</f>
        <v>0</v>
      </c>
      <c r="N39" s="972"/>
      <c r="O39" s="972"/>
      <c r="P39" s="972">
        <f>ROUND((I39*P$9),2)</f>
        <v>0</v>
      </c>
      <c r="Q39" s="972"/>
      <c r="R39" s="975">
        <f t="shared" ref="R39:R45" si="28">S39+T39+U39</f>
        <v>0</v>
      </c>
      <c r="S39" s="985"/>
      <c r="T39" s="983"/>
      <c r="U39" s="983">
        <f t="shared" si="26"/>
        <v>0</v>
      </c>
      <c r="V39" s="946" t="str">
        <f t="shared" si="0"/>
        <v xml:space="preserve"> </v>
      </c>
      <c r="W39" s="946" t="str">
        <f t="shared" si="1"/>
        <v xml:space="preserve"> </v>
      </c>
      <c r="AD39" s="1061"/>
      <c r="AE39" s="1061"/>
    </row>
    <row r="40" spans="1:31" s="938" customFormat="1" ht="21" customHeight="1">
      <c r="A40" s="976" t="s">
        <v>25</v>
      </c>
      <c r="B40" s="977" t="s">
        <v>105</v>
      </c>
      <c r="C40" s="968" t="s">
        <v>0</v>
      </c>
      <c r="D40" s="987">
        <f>[181]Кальк_2016_ЭОР!$D$49</f>
        <v>270.61</v>
      </c>
      <c r="E40" s="988">
        <v>318.39999999999998</v>
      </c>
      <c r="F40" s="975">
        <v>318.39999999999998</v>
      </c>
      <c r="G40" s="989">
        <f>[181]Кальк_2016_ЭОР!$R$49</f>
        <v>68.56</v>
      </c>
      <c r="H40" s="989">
        <f>[181]Кальк_2016_ЭОР!S33</f>
        <v>0</v>
      </c>
      <c r="I40" s="989">
        <f>[181]Кальк_2016_ЭОР!$T$49</f>
        <v>210.71</v>
      </c>
      <c r="J40" s="989">
        <f t="shared" si="7"/>
        <v>0</v>
      </c>
      <c r="K40" s="1190"/>
      <c r="L40" s="972">
        <f>E40*1.043</f>
        <v>332.09119999999996</v>
      </c>
      <c r="M40" s="975">
        <v>325.93</v>
      </c>
      <c r="N40" s="972">
        <f>ROUND((G40*$N$9),2)</f>
        <v>71.95</v>
      </c>
      <c r="O40" s="972">
        <f>ROUND((H40*$O$9),2)</f>
        <v>0</v>
      </c>
      <c r="P40" s="972">
        <f>ROUND((I40*P$9),2)</f>
        <v>221.12</v>
      </c>
      <c r="Q40" s="972">
        <f t="shared" si="23"/>
        <v>346.37112159999992</v>
      </c>
      <c r="R40" s="975">
        <v>335.58</v>
      </c>
      <c r="S40" s="985">
        <f>ROUND((N40*$S$9),2)</f>
        <v>74.790000000000006</v>
      </c>
      <c r="T40" s="983">
        <f>ROUND((O40*$T$9),2)</f>
        <v>0</v>
      </c>
      <c r="U40" s="983">
        <f t="shared" si="26"/>
        <v>229.85</v>
      </c>
      <c r="V40" s="946">
        <f t="shared" si="0"/>
        <v>1.0236494974874373</v>
      </c>
      <c r="W40" s="946">
        <f t="shared" si="1"/>
        <v>1.0296075844506489</v>
      </c>
      <c r="AD40" s="1061">
        <v>345.51</v>
      </c>
      <c r="AE40" s="1061">
        <v>355.74</v>
      </c>
    </row>
    <row r="41" spans="1:31" s="938" customFormat="1" ht="18.75" customHeight="1">
      <c r="A41" s="976" t="s">
        <v>23</v>
      </c>
      <c r="B41" s="977" t="s">
        <v>625</v>
      </c>
      <c r="C41" s="968" t="s">
        <v>0</v>
      </c>
      <c r="D41" s="983">
        <f>D43+D44+D45</f>
        <v>0</v>
      </c>
      <c r="E41" s="972">
        <f>SUM(E42:E44)</f>
        <v>164.89000000000001</v>
      </c>
      <c r="F41" s="972">
        <f t="shared" ref="F41:I41" si="29">SUM(F42:F44)</f>
        <v>79.39</v>
      </c>
      <c r="G41" s="972">
        <f t="shared" si="29"/>
        <v>6.82</v>
      </c>
      <c r="H41" s="972">
        <f t="shared" si="29"/>
        <v>0</v>
      </c>
      <c r="I41" s="972">
        <f t="shared" si="29"/>
        <v>20.94</v>
      </c>
      <c r="J41" s="989">
        <f t="shared" si="7"/>
        <v>-85.500000000000014</v>
      </c>
      <c r="K41" s="1189"/>
      <c r="L41" s="972">
        <f>L43+L44+L45</f>
        <v>89.17649999999999</v>
      </c>
      <c r="M41" s="975">
        <f>SUM(M42:M44)</f>
        <v>81.27</v>
      </c>
      <c r="N41" s="975">
        <f t="shared" ref="N41:AE41" si="30">SUM(N42:N44)</f>
        <v>7.16</v>
      </c>
      <c r="O41" s="975">
        <f t="shared" si="30"/>
        <v>0</v>
      </c>
      <c r="P41" s="975">
        <f t="shared" si="30"/>
        <v>21.97</v>
      </c>
      <c r="Q41" s="975">
        <f t="shared" si="30"/>
        <v>93.011089499999983</v>
      </c>
      <c r="R41" s="975">
        <f t="shared" si="30"/>
        <v>83.68</v>
      </c>
      <c r="S41" s="975">
        <f t="shared" si="30"/>
        <v>7.44</v>
      </c>
      <c r="T41" s="975">
        <f t="shared" si="30"/>
        <v>0</v>
      </c>
      <c r="U41" s="975">
        <f t="shared" si="30"/>
        <v>22.84</v>
      </c>
      <c r="V41" s="975">
        <f t="shared" si="30"/>
        <v>1.0235878336436994</v>
      </c>
      <c r="W41" s="975">
        <f t="shared" si="30"/>
        <v>1.0297149787750153</v>
      </c>
      <c r="X41" s="975">
        <f t="shared" si="30"/>
        <v>0</v>
      </c>
      <c r="Y41" s="975">
        <f t="shared" si="30"/>
        <v>0</v>
      </c>
      <c r="Z41" s="975">
        <f t="shared" si="30"/>
        <v>0</v>
      </c>
      <c r="AA41" s="975">
        <f t="shared" si="30"/>
        <v>0</v>
      </c>
      <c r="AB41" s="975">
        <f t="shared" si="30"/>
        <v>0</v>
      </c>
      <c r="AC41" s="975">
        <f t="shared" si="30"/>
        <v>0</v>
      </c>
      <c r="AD41" s="975">
        <f t="shared" si="30"/>
        <v>86.15</v>
      </c>
      <c r="AE41" s="975">
        <f t="shared" si="30"/>
        <v>88.7</v>
      </c>
    </row>
    <row r="42" spans="1:31" s="938" customFormat="1" ht="18.75" customHeight="1">
      <c r="A42" s="976"/>
      <c r="B42" s="986" t="s">
        <v>626</v>
      </c>
      <c r="C42" s="968" t="s">
        <v>0</v>
      </c>
      <c r="D42" s="983"/>
      <c r="E42" s="972">
        <v>47.17</v>
      </c>
      <c r="F42" s="975">
        <v>47.17</v>
      </c>
      <c r="G42" s="972"/>
      <c r="H42" s="972"/>
      <c r="I42" s="972"/>
      <c r="J42" s="989"/>
      <c r="K42" s="1189"/>
      <c r="L42" s="972"/>
      <c r="M42" s="975">
        <v>48.29</v>
      </c>
      <c r="N42" s="975"/>
      <c r="O42" s="975"/>
      <c r="P42" s="975"/>
      <c r="Q42" s="975"/>
      <c r="R42" s="975">
        <v>49.72</v>
      </c>
      <c r="S42" s="1062"/>
      <c r="T42" s="975"/>
      <c r="U42" s="975"/>
      <c r="V42" s="975"/>
      <c r="W42" s="975"/>
      <c r="X42" s="1063"/>
      <c r="Y42" s="1063"/>
      <c r="Z42" s="1063"/>
      <c r="AA42" s="1063"/>
      <c r="AB42" s="1063"/>
      <c r="AC42" s="1063"/>
      <c r="AD42" s="975">
        <v>51.19</v>
      </c>
      <c r="AE42" s="975">
        <v>52.7</v>
      </c>
    </row>
    <row r="43" spans="1:31" s="938" customFormat="1" ht="34.5" customHeight="1">
      <c r="A43" s="976"/>
      <c r="B43" s="986" t="s">
        <v>628</v>
      </c>
      <c r="C43" s="968" t="s">
        <v>0</v>
      </c>
      <c r="D43" s="974"/>
      <c r="E43" s="972">
        <v>85.5</v>
      </c>
      <c r="F43" s="975">
        <f t="shared" si="16"/>
        <v>0</v>
      </c>
      <c r="G43" s="972">
        <f>[181]Кальк_2016_ЭОР!R56</f>
        <v>0</v>
      </c>
      <c r="H43" s="972">
        <f>[181]Кальк_2016_ЭОР!S56</f>
        <v>0</v>
      </c>
      <c r="I43" s="972"/>
      <c r="J43" s="989">
        <f t="shared" si="7"/>
        <v>-85.5</v>
      </c>
      <c r="K43" s="1197" t="s">
        <v>659</v>
      </c>
      <c r="L43" s="972">
        <f>E43*1.043</f>
        <v>89.17649999999999</v>
      </c>
      <c r="M43" s="975">
        <f t="shared" si="27"/>
        <v>0</v>
      </c>
      <c r="N43" s="972">
        <f t="shared" ref="N43" si="31">ROUND((G43*$N$9),2)</f>
        <v>0</v>
      </c>
      <c r="O43" s="972">
        <f>ROUND((H43*$O$9),2)</f>
        <v>0</v>
      </c>
      <c r="P43" s="972"/>
      <c r="Q43" s="972">
        <f t="shared" si="23"/>
        <v>93.011089499999983</v>
      </c>
      <c r="R43" s="975">
        <f t="shared" si="28"/>
        <v>0</v>
      </c>
      <c r="S43" s="973">
        <f t="shared" ref="S43" si="32">ROUND((N43*$S$9),2)</f>
        <v>0</v>
      </c>
      <c r="T43" s="974">
        <f t="shared" ref="T43" si="33">ROUND((O43*$T$9),2)</f>
        <v>0</v>
      </c>
      <c r="U43" s="983"/>
      <c r="V43" s="946" t="str">
        <f t="shared" si="0"/>
        <v xml:space="preserve"> </v>
      </c>
      <c r="W43" s="946" t="str">
        <f t="shared" si="1"/>
        <v xml:space="preserve"> </v>
      </c>
      <c r="AD43" s="1061">
        <v>0</v>
      </c>
      <c r="AE43" s="1061">
        <v>0</v>
      </c>
    </row>
    <row r="44" spans="1:31" s="938" customFormat="1" ht="16.5" customHeight="1">
      <c r="A44" s="976"/>
      <c r="B44" s="986" t="s">
        <v>627</v>
      </c>
      <c r="C44" s="968" t="s">
        <v>0</v>
      </c>
      <c r="D44" s="974">
        <f>[181]Кальк_2016_ЭОР!D67</f>
        <v>0</v>
      </c>
      <c r="E44" s="972">
        <v>32.22</v>
      </c>
      <c r="F44" s="975">
        <v>32.22</v>
      </c>
      <c r="G44" s="972">
        <f>[181]Кальк_2016_ЭОР!R67</f>
        <v>6.82</v>
      </c>
      <c r="H44" s="972">
        <f>[181]Кальк_2016_ЭОР!S67</f>
        <v>0</v>
      </c>
      <c r="I44" s="972">
        <f>[181]Кальк_2016_ЭОР!T67</f>
        <v>20.94</v>
      </c>
      <c r="J44" s="989">
        <f t="shared" si="7"/>
        <v>0</v>
      </c>
      <c r="K44" s="1189"/>
      <c r="L44" s="972"/>
      <c r="M44" s="975">
        <v>32.979999999999997</v>
      </c>
      <c r="N44" s="972">
        <f>ROUND((G44*N$9),2)</f>
        <v>7.16</v>
      </c>
      <c r="O44" s="972">
        <f>ROUND((H44*O$9),2)</f>
        <v>0</v>
      </c>
      <c r="P44" s="972">
        <f>ROUND((I44*P$9),2)</f>
        <v>21.97</v>
      </c>
      <c r="Q44" s="972">
        <f t="shared" si="23"/>
        <v>0</v>
      </c>
      <c r="R44" s="975">
        <v>33.96</v>
      </c>
      <c r="S44" s="973">
        <f>ROUND((N44*S$9),2)</f>
        <v>7.44</v>
      </c>
      <c r="T44" s="974">
        <f t="shared" ref="T44:U44" si="34">ROUND((O44*T$9),2)</f>
        <v>0</v>
      </c>
      <c r="U44" s="974">
        <f t="shared" si="34"/>
        <v>22.84</v>
      </c>
      <c r="V44" s="946">
        <f t="shared" si="0"/>
        <v>1.0235878336436994</v>
      </c>
      <c r="W44" s="946">
        <f t="shared" si="1"/>
        <v>1.0297149787750153</v>
      </c>
      <c r="AD44" s="1061">
        <v>34.96</v>
      </c>
      <c r="AE44" s="1061">
        <v>36</v>
      </c>
    </row>
    <row r="45" spans="1:31" s="938" customFormat="1" ht="16.5" hidden="1" customHeight="1">
      <c r="A45" s="976"/>
      <c r="B45" s="986" t="s">
        <v>628</v>
      </c>
      <c r="C45" s="968" t="s">
        <v>0</v>
      </c>
      <c r="D45" s="974"/>
      <c r="E45" s="972"/>
      <c r="F45" s="971">
        <f t="shared" si="16"/>
        <v>0</v>
      </c>
      <c r="G45" s="972"/>
      <c r="H45" s="972"/>
      <c r="I45" s="990"/>
      <c r="J45" s="990">
        <f t="shared" si="7"/>
        <v>0</v>
      </c>
      <c r="K45" s="1191"/>
      <c r="L45" s="972">
        <f t="shared" ref="L45" si="35">E45*1.043</f>
        <v>0</v>
      </c>
      <c r="M45" s="971">
        <f t="shared" si="27"/>
        <v>0</v>
      </c>
      <c r="N45" s="972">
        <f t="shared" ref="N45" si="36">ROUND((G45*$N$9),2)</f>
        <v>0</v>
      </c>
      <c r="O45" s="972">
        <f t="shared" ref="O45" si="37">ROUND((H45*$O$9),2)</f>
        <v>0</v>
      </c>
      <c r="P45" s="990"/>
      <c r="Q45" s="972">
        <f t="shared" si="23"/>
        <v>0</v>
      </c>
      <c r="R45" s="971">
        <f t="shared" si="28"/>
        <v>0</v>
      </c>
      <c r="S45" s="973">
        <f t="shared" ref="S45" si="38">ROUND((N45*$S$9),2)</f>
        <v>0</v>
      </c>
      <c r="T45" s="974">
        <f t="shared" ref="T45" si="39">ROUND((O45*$T$9),2)</f>
        <v>0</v>
      </c>
      <c r="U45" s="983"/>
      <c r="V45" s="946" t="str">
        <f t="shared" si="0"/>
        <v xml:space="preserve"> </v>
      </c>
      <c r="W45" s="946" t="str">
        <f t="shared" si="1"/>
        <v xml:space="preserve"> </v>
      </c>
      <c r="AD45" s="1061"/>
      <c r="AE45" s="1061"/>
    </row>
    <row r="46" spans="1:31" s="947" customFormat="1" ht="30.75" customHeight="1">
      <c r="A46" s="1317" t="s">
        <v>124</v>
      </c>
      <c r="B46" s="1324"/>
      <c r="C46" s="943" t="s">
        <v>0</v>
      </c>
      <c r="D46" s="964" t="e">
        <f>SUM(D47,D50,D55:D59,#REF!,D62:D62)</f>
        <v>#REF!</v>
      </c>
      <c r="E46" s="965">
        <f>E50+E57+E58+E59+E62</f>
        <v>4445.51</v>
      </c>
      <c r="F46" s="965">
        <f>F50+F57+F58+F59+F62</f>
        <v>2326.7399999999998</v>
      </c>
      <c r="G46" s="965" t="e">
        <f>SUM(G47,G50,G55:G59,#REF!,G62:G62)</f>
        <v>#REF!</v>
      </c>
      <c r="H46" s="965" t="e">
        <f>SUM(H47,H50,H55:H59,#REF!,H62:H62)</f>
        <v>#REF!</v>
      </c>
      <c r="I46" s="965" t="e">
        <f>SUM(I47,I50,I55:I59,#REF!,I62:I62)</f>
        <v>#REF!</v>
      </c>
      <c r="J46" s="965">
        <f t="shared" si="7"/>
        <v>-2118.7700000000004</v>
      </c>
      <c r="K46" s="1188"/>
      <c r="L46" s="965" t="e">
        <f>SUM(L47,L50,L55:L59,#REF!,L62:L62)</f>
        <v>#REF!</v>
      </c>
      <c r="M46" s="965">
        <f>M50+M57+M58+M59+M62</f>
        <v>2350.4300000000003</v>
      </c>
      <c r="N46" s="965" t="e">
        <f t="shared" ref="N46:AE46" si="40">N50+N57+N58+N59+N62</f>
        <v>#REF!</v>
      </c>
      <c r="O46" s="965" t="e">
        <f t="shared" si="40"/>
        <v>#REF!</v>
      </c>
      <c r="P46" s="965">
        <f t="shared" si="40"/>
        <v>796.53</v>
      </c>
      <c r="Q46" s="965">
        <f t="shared" si="40"/>
        <v>3022.1750000000002</v>
      </c>
      <c r="R46" s="965">
        <f t="shared" si="40"/>
        <v>2380.8000000000002</v>
      </c>
      <c r="S46" s="965" t="e">
        <f t="shared" si="40"/>
        <v>#REF!</v>
      </c>
      <c r="T46" s="965" t="e">
        <f t="shared" si="40"/>
        <v>#REF!</v>
      </c>
      <c r="U46" s="965">
        <f t="shared" si="40"/>
        <v>818.26</v>
      </c>
      <c r="V46" s="965" t="e">
        <f t="shared" si="40"/>
        <v>#VALUE!</v>
      </c>
      <c r="W46" s="965" t="e">
        <f t="shared" si="40"/>
        <v>#VALUE!</v>
      </c>
      <c r="X46" s="965">
        <f t="shared" si="40"/>
        <v>0</v>
      </c>
      <c r="Y46" s="965">
        <f t="shared" si="40"/>
        <v>0</v>
      </c>
      <c r="Z46" s="965">
        <f t="shared" si="40"/>
        <v>0</v>
      </c>
      <c r="AA46" s="965">
        <f t="shared" si="40"/>
        <v>0</v>
      </c>
      <c r="AB46" s="965">
        <f t="shared" si="40"/>
        <v>0</v>
      </c>
      <c r="AC46" s="965">
        <f t="shared" si="40"/>
        <v>0</v>
      </c>
      <c r="AD46" s="965">
        <f t="shared" si="40"/>
        <v>2412.0699999999997</v>
      </c>
      <c r="AE46" s="965">
        <f t="shared" si="40"/>
        <v>2429.92</v>
      </c>
    </row>
    <row r="47" spans="1:31" s="938" customFormat="1" ht="43.5" hidden="1" customHeight="1">
      <c r="A47" s="976" t="s">
        <v>28</v>
      </c>
      <c r="B47" s="991" t="s">
        <v>107</v>
      </c>
      <c r="C47" s="992" t="s">
        <v>587</v>
      </c>
      <c r="D47" s="993">
        <f>SUM(D48:D49)</f>
        <v>0</v>
      </c>
      <c r="E47" s="989">
        <f>SUM(E48:E49)</f>
        <v>0</v>
      </c>
      <c r="F47" s="975">
        <f>G47+H47+I47</f>
        <v>0</v>
      </c>
      <c r="G47" s="989">
        <f>SUM(G48:G49)</f>
        <v>0</v>
      </c>
      <c r="H47" s="989">
        <f t="shared" ref="H47" si="41">SUM(H48:H49)</f>
        <v>0</v>
      </c>
      <c r="I47" s="989"/>
      <c r="J47" s="989">
        <f t="shared" si="7"/>
        <v>0</v>
      </c>
      <c r="K47" s="1192"/>
      <c r="L47" s="989">
        <f>SUM(L48:L49)</f>
        <v>0</v>
      </c>
      <c r="M47" s="975">
        <f>N47+O47+P47</f>
        <v>0</v>
      </c>
      <c r="N47" s="989">
        <f>SUM(N48:N49)</f>
        <v>0</v>
      </c>
      <c r="O47" s="989">
        <f t="shared" ref="O47:P47" si="42">SUM(O48:O49)</f>
        <v>0</v>
      </c>
      <c r="P47" s="989">
        <f t="shared" si="42"/>
        <v>0</v>
      </c>
      <c r="Q47" s="989">
        <f>SUM(Q48:Q49)</f>
        <v>0</v>
      </c>
      <c r="R47" s="975">
        <f>S47+T47+U47</f>
        <v>0</v>
      </c>
      <c r="S47" s="994">
        <f>SUM(S48:S49)</f>
        <v>0</v>
      </c>
      <c r="T47" s="993">
        <f t="shared" ref="T47:U47" si="43">SUM(T48:T49)</f>
        <v>0</v>
      </c>
      <c r="U47" s="993">
        <f t="shared" si="43"/>
        <v>0</v>
      </c>
      <c r="V47" s="946" t="str">
        <f t="shared" si="0"/>
        <v xml:space="preserve"> </v>
      </c>
      <c r="W47" s="946" t="str">
        <f t="shared" si="1"/>
        <v xml:space="preserve"> </v>
      </c>
      <c r="AD47" s="1061"/>
      <c r="AE47" s="1061"/>
    </row>
    <row r="48" spans="1:31" s="938" customFormat="1" ht="15.75" hidden="1" customHeight="1" outlineLevel="1">
      <c r="A48" s="976"/>
      <c r="B48" s="995" t="s">
        <v>108</v>
      </c>
      <c r="C48" s="992" t="s">
        <v>0</v>
      </c>
      <c r="D48" s="987">
        <f>[181]Кальк_2016_ЭОР!D27</f>
        <v>0</v>
      </c>
      <c r="E48" s="988">
        <f>[181]Кальк_2016_ЭОР!H27</f>
        <v>0</v>
      </c>
      <c r="F48" s="975">
        <f t="shared" ref="F48:F62" si="44">G48+H48+I48</f>
        <v>0</v>
      </c>
      <c r="G48" s="972"/>
      <c r="H48" s="972">
        <f>[181]Кальк_2016_ЭОР!S27</f>
        <v>0</v>
      </c>
      <c r="I48" s="972"/>
      <c r="J48" s="972">
        <f t="shared" si="7"/>
        <v>0</v>
      </c>
      <c r="K48" s="1189"/>
      <c r="L48" s="988"/>
      <c r="M48" s="975">
        <f t="shared" ref="M48:M62" si="45">N48+O48+P48</f>
        <v>0</v>
      </c>
      <c r="N48" s="972"/>
      <c r="O48" s="972"/>
      <c r="P48" s="972"/>
      <c r="Q48" s="975"/>
      <c r="R48" s="975">
        <f t="shared" ref="R48:R62" si="46">S48+T48+U48</f>
        <v>0</v>
      </c>
      <c r="S48" s="973"/>
      <c r="T48" s="974"/>
      <c r="U48" s="974"/>
      <c r="V48" s="946" t="str">
        <f t="shared" si="0"/>
        <v xml:space="preserve"> </v>
      </c>
      <c r="W48" s="946" t="str">
        <f t="shared" si="1"/>
        <v xml:space="preserve"> </v>
      </c>
      <c r="AD48" s="1061"/>
      <c r="AE48" s="1061"/>
    </row>
    <row r="49" spans="1:31" s="938" customFormat="1" ht="12.75" hidden="1" outlineLevel="1">
      <c r="A49" s="976" t="s">
        <v>30</v>
      </c>
      <c r="B49" s="995" t="s">
        <v>47</v>
      </c>
      <c r="C49" s="992" t="s">
        <v>0</v>
      </c>
      <c r="D49" s="996"/>
      <c r="E49" s="992"/>
      <c r="F49" s="975">
        <f t="shared" si="44"/>
        <v>0</v>
      </c>
      <c r="G49" s="972">
        <f>[181]Кальк_2016_ЭОР!R28</f>
        <v>0</v>
      </c>
      <c r="H49" s="972">
        <f>[181]Кальк_2016_ЭОР!S28</f>
        <v>0</v>
      </c>
      <c r="I49" s="972"/>
      <c r="J49" s="972">
        <f t="shared" si="7"/>
        <v>0</v>
      </c>
      <c r="K49" s="1189"/>
      <c r="L49" s="992"/>
      <c r="M49" s="975">
        <f t="shared" si="45"/>
        <v>0</v>
      </c>
      <c r="N49" s="972"/>
      <c r="O49" s="972"/>
      <c r="P49" s="972"/>
      <c r="Q49" s="997"/>
      <c r="R49" s="975">
        <f t="shared" si="46"/>
        <v>0</v>
      </c>
      <c r="S49" s="973"/>
      <c r="T49" s="974"/>
      <c r="U49" s="974"/>
      <c r="V49" s="946" t="str">
        <f t="shared" si="0"/>
        <v xml:space="preserve"> </v>
      </c>
      <c r="W49" s="946" t="str">
        <f t="shared" si="1"/>
        <v xml:space="preserve"> </v>
      </c>
      <c r="AD49" s="1061"/>
      <c r="AE49" s="1061"/>
    </row>
    <row r="50" spans="1:31" s="938" customFormat="1" ht="29.25" customHeight="1" collapsed="1">
      <c r="A50" s="976" t="s">
        <v>28</v>
      </c>
      <c r="B50" s="991" t="s">
        <v>109</v>
      </c>
      <c r="C50" s="992" t="s">
        <v>587</v>
      </c>
      <c r="D50" s="998">
        <f t="shared" ref="D50:I50" si="47">SUM(D51:D54)</f>
        <v>26.660000000000004</v>
      </c>
      <c r="E50" s="989">
        <f t="shared" si="47"/>
        <v>987.14</v>
      </c>
      <c r="F50" s="989">
        <f t="shared" si="47"/>
        <v>266.77</v>
      </c>
      <c r="G50" s="989">
        <f t="shared" si="47"/>
        <v>7.28</v>
      </c>
      <c r="H50" s="989">
        <f t="shared" si="47"/>
        <v>0</v>
      </c>
      <c r="I50" s="989">
        <f t="shared" si="47"/>
        <v>22.36</v>
      </c>
      <c r="J50" s="989">
        <f t="shared" si="7"/>
        <v>-720.37</v>
      </c>
      <c r="K50" s="1337" t="s">
        <v>660</v>
      </c>
      <c r="L50" s="989">
        <f>SUM(L51:L54)</f>
        <v>31.12</v>
      </c>
      <c r="M50" s="975">
        <f>M52+M53+M54</f>
        <v>266.77</v>
      </c>
      <c r="N50" s="975" t="e">
        <f t="shared" ref="N50:AE50" si="48">N52+N53+N54</f>
        <v>#REF!</v>
      </c>
      <c r="O50" s="975" t="e">
        <f t="shared" si="48"/>
        <v>#REF!</v>
      </c>
      <c r="P50" s="975">
        <f t="shared" si="48"/>
        <v>23.03</v>
      </c>
      <c r="Q50" s="975">
        <f t="shared" si="48"/>
        <v>32.67</v>
      </c>
      <c r="R50" s="975">
        <f t="shared" si="48"/>
        <v>266.77</v>
      </c>
      <c r="S50" s="975" t="e">
        <f t="shared" si="48"/>
        <v>#REF!</v>
      </c>
      <c r="T50" s="975" t="e">
        <f t="shared" si="48"/>
        <v>#REF!</v>
      </c>
      <c r="U50" s="975">
        <f t="shared" si="48"/>
        <v>23.61</v>
      </c>
      <c r="V50" s="975" t="e">
        <f t="shared" si="48"/>
        <v>#VALUE!</v>
      </c>
      <c r="W50" s="975" t="e">
        <f t="shared" si="48"/>
        <v>#VALUE!</v>
      </c>
      <c r="X50" s="975">
        <f t="shared" si="48"/>
        <v>0</v>
      </c>
      <c r="Y50" s="975">
        <f t="shared" si="48"/>
        <v>0</v>
      </c>
      <c r="Z50" s="975">
        <f t="shared" si="48"/>
        <v>0</v>
      </c>
      <c r="AA50" s="975">
        <f t="shared" si="48"/>
        <v>0</v>
      </c>
      <c r="AB50" s="975">
        <f t="shared" si="48"/>
        <v>0</v>
      </c>
      <c r="AC50" s="975">
        <f t="shared" si="48"/>
        <v>0</v>
      </c>
      <c r="AD50" s="975">
        <f t="shared" si="48"/>
        <v>266.77</v>
      </c>
      <c r="AE50" s="975">
        <f t="shared" si="48"/>
        <v>266.77</v>
      </c>
    </row>
    <row r="51" spans="1:31" s="938" customFormat="1" ht="15" hidden="1" customHeight="1" outlineLevel="1">
      <c r="A51" s="976"/>
      <c r="B51" s="1000" t="s">
        <v>629</v>
      </c>
      <c r="C51" s="1001" t="s">
        <v>587</v>
      </c>
      <c r="D51" s="987">
        <f>[181]Кальк_2016_ЭОР!D48</f>
        <v>0</v>
      </c>
      <c r="E51" s="988">
        <f>[181]Кальк_2016_ЭОР!H48</f>
        <v>0</v>
      </c>
      <c r="F51" s="975">
        <f t="shared" si="44"/>
        <v>0</v>
      </c>
      <c r="G51" s="989">
        <f>[181]Кальк_2016_ЭОР!R48</f>
        <v>0</v>
      </c>
      <c r="H51" s="989">
        <f>[181]Кальк_2016_ЭОР!S48</f>
        <v>0</v>
      </c>
      <c r="I51" s="989"/>
      <c r="J51" s="989">
        <f t="shared" si="7"/>
        <v>0</v>
      </c>
      <c r="K51" s="1339"/>
      <c r="L51" s="988"/>
      <c r="M51" s="975">
        <f t="shared" si="45"/>
        <v>0</v>
      </c>
      <c r="N51" s="989">
        <f>G51</f>
        <v>0</v>
      </c>
      <c r="O51" s="989">
        <f>H51</f>
        <v>0</v>
      </c>
      <c r="P51" s="989"/>
      <c r="Q51" s="975"/>
      <c r="R51" s="975">
        <f t="shared" si="46"/>
        <v>0</v>
      </c>
      <c r="S51" s="994">
        <f>N51</f>
        <v>0</v>
      </c>
      <c r="T51" s="993">
        <f>O51</f>
        <v>0</v>
      </c>
      <c r="U51" s="993"/>
      <c r="V51" s="946" t="str">
        <f t="shared" si="0"/>
        <v xml:space="preserve"> </v>
      </c>
      <c r="W51" s="946" t="str">
        <f t="shared" si="1"/>
        <v xml:space="preserve"> </v>
      </c>
      <c r="AD51" s="1061"/>
      <c r="AE51" s="1061"/>
    </row>
    <row r="52" spans="1:31" s="938" customFormat="1" ht="15" outlineLevel="1">
      <c r="A52" s="976"/>
      <c r="B52" s="1000" t="s">
        <v>110</v>
      </c>
      <c r="C52" s="1001" t="s">
        <v>587</v>
      </c>
      <c r="D52" s="987">
        <f>[181]Кальк_2016_ЭОР!D54</f>
        <v>26.660000000000004</v>
      </c>
      <c r="E52" s="988">
        <v>26.96</v>
      </c>
      <c r="F52" s="975">
        <v>18.170000000000002</v>
      </c>
      <c r="G52" s="989">
        <f>[181]Кальк_2016_ЭОР!R54</f>
        <v>7.28</v>
      </c>
      <c r="H52" s="989">
        <f>[181]Кальк_2016_ЭОР!S54</f>
        <v>0</v>
      </c>
      <c r="I52" s="989">
        <f>[181]Кальк_2016_ЭОР!T54</f>
        <v>22.36</v>
      </c>
      <c r="J52" s="989">
        <f t="shared" si="7"/>
        <v>-8.7899999999999991</v>
      </c>
      <c r="K52" s="1339"/>
      <c r="L52" s="988">
        <v>31.12</v>
      </c>
      <c r="M52" s="975">
        <v>18.170000000000002</v>
      </c>
      <c r="N52" s="989">
        <f>ROUND((G52/2+G52/2*[181]индексы!$I$5),2)</f>
        <v>7.5</v>
      </c>
      <c r="O52" s="989">
        <f>H52/2+H52/2*[181]индексы!$I$5</f>
        <v>0</v>
      </c>
      <c r="P52" s="989">
        <f>ROUND((I52/2+I52/2*[181]индексы!$I$5),2)</f>
        <v>23.03</v>
      </c>
      <c r="Q52" s="975">
        <v>32.67</v>
      </c>
      <c r="R52" s="975">
        <v>18.170000000000002</v>
      </c>
      <c r="S52" s="994">
        <f>ROUND((N52/2+N52/2*[181]индексы!$J$5),2)</f>
        <v>7.69</v>
      </c>
      <c r="T52" s="993">
        <f>O52/2+O52/2*[181]индексы!$J$5</f>
        <v>0</v>
      </c>
      <c r="U52" s="993">
        <f>ROUND((P52/2+P52/2*[181]индексы!$J$5),2)</f>
        <v>23.61</v>
      </c>
      <c r="V52" s="946">
        <f t="shared" si="0"/>
        <v>1</v>
      </c>
      <c r="W52" s="946">
        <f t="shared" si="1"/>
        <v>1</v>
      </c>
      <c r="AD52" s="1061">
        <v>18.170000000000002</v>
      </c>
      <c r="AE52" s="1061">
        <v>18.170000000000002</v>
      </c>
    </row>
    <row r="53" spans="1:31" s="938" customFormat="1" ht="15" outlineLevel="1">
      <c r="A53" s="976"/>
      <c r="B53" s="1000" t="s">
        <v>111</v>
      </c>
      <c r="C53" s="1001" t="s">
        <v>587</v>
      </c>
      <c r="D53" s="987">
        <f>[181]Кальк_2016_ЭОР!D57</f>
        <v>0</v>
      </c>
      <c r="E53" s="988">
        <v>17.899999999999999</v>
      </c>
      <c r="F53" s="975">
        <f t="shared" si="44"/>
        <v>0</v>
      </c>
      <c r="G53" s="989">
        <f>[181]Кальк_2016_ЭОР!R57</f>
        <v>0</v>
      </c>
      <c r="H53" s="989">
        <f>[181]Кальк_2016_ЭОР!S57</f>
        <v>0</v>
      </c>
      <c r="I53" s="989"/>
      <c r="J53" s="989">
        <f t="shared" si="7"/>
        <v>-17.899999999999999</v>
      </c>
      <c r="K53" s="1339"/>
      <c r="L53" s="972"/>
      <c r="M53" s="975">
        <f t="shared" si="45"/>
        <v>0</v>
      </c>
      <c r="N53" s="989">
        <f>G53</f>
        <v>0</v>
      </c>
      <c r="O53" s="989">
        <f>H53</f>
        <v>0</v>
      </c>
      <c r="P53" s="989"/>
      <c r="Q53" s="975"/>
      <c r="R53" s="975">
        <f t="shared" si="46"/>
        <v>0</v>
      </c>
      <c r="S53" s="994">
        <f t="shared" ref="S53:T53" si="49">N53</f>
        <v>0</v>
      </c>
      <c r="T53" s="993">
        <f t="shared" si="49"/>
        <v>0</v>
      </c>
      <c r="U53" s="993"/>
      <c r="V53" s="946" t="str">
        <f t="shared" si="0"/>
        <v xml:space="preserve"> </v>
      </c>
      <c r="W53" s="946" t="str">
        <f t="shared" si="1"/>
        <v xml:space="preserve"> </v>
      </c>
      <c r="AD53" s="1061">
        <v>0</v>
      </c>
      <c r="AE53" s="1061">
        <v>0</v>
      </c>
    </row>
    <row r="54" spans="1:31" s="938" customFormat="1" ht="15" outlineLevel="1">
      <c r="A54" s="976"/>
      <c r="B54" s="1000" t="s">
        <v>113</v>
      </c>
      <c r="C54" s="1001" t="s">
        <v>587</v>
      </c>
      <c r="D54" s="987"/>
      <c r="E54" s="988">
        <v>942.28</v>
      </c>
      <c r="F54" s="975">
        <v>248.6</v>
      </c>
      <c r="G54" s="989">
        <f>[181]Кальк_2016_ЭОР!R74</f>
        <v>0</v>
      </c>
      <c r="H54" s="989">
        <f>[181]Кальк_2016_ЭОР!S74</f>
        <v>0</v>
      </c>
      <c r="I54" s="989"/>
      <c r="J54" s="989">
        <f t="shared" si="7"/>
        <v>-693.68</v>
      </c>
      <c r="K54" s="1309"/>
      <c r="L54" s="988"/>
      <c r="M54" s="975">
        <v>248.6</v>
      </c>
      <c r="N54" s="989" t="e">
        <f>ROUND((N63*0.2/0.8),2)</f>
        <v>#REF!</v>
      </c>
      <c r="O54" s="989" t="e">
        <f>ROUND((O63*0.8/0.2),2)</f>
        <v>#REF!</v>
      </c>
      <c r="P54" s="989"/>
      <c r="Q54" s="975"/>
      <c r="R54" s="975">
        <v>248.6</v>
      </c>
      <c r="S54" s="994" t="e">
        <f>ROUND((S63*0.2/0.8),2)</f>
        <v>#REF!</v>
      </c>
      <c r="T54" s="993" t="e">
        <f>ROUND((T63*0.8/0.2),2)</f>
        <v>#REF!</v>
      </c>
      <c r="U54" s="993"/>
      <c r="V54" s="946">
        <f t="shared" si="0"/>
        <v>1</v>
      </c>
      <c r="W54" s="946">
        <f t="shared" si="1"/>
        <v>1</v>
      </c>
      <c r="AD54" s="975">
        <v>248.6</v>
      </c>
      <c r="AE54" s="975">
        <v>248.6</v>
      </c>
    </row>
    <row r="55" spans="1:31" s="938" customFormat="1" ht="15" hidden="1">
      <c r="A55" s="976" t="s">
        <v>32</v>
      </c>
      <c r="B55" s="991" t="s">
        <v>117</v>
      </c>
      <c r="C55" s="1001" t="s">
        <v>587</v>
      </c>
      <c r="D55" s="1003"/>
      <c r="E55" s="1001"/>
      <c r="F55" s="975">
        <f t="shared" si="44"/>
        <v>0</v>
      </c>
      <c r="G55" s="989"/>
      <c r="H55" s="989"/>
      <c r="I55" s="989"/>
      <c r="J55" s="989">
        <f t="shared" si="7"/>
        <v>0</v>
      </c>
      <c r="K55" s="1192"/>
      <c r="L55" s="1001"/>
      <c r="M55" s="975">
        <f t="shared" si="45"/>
        <v>0</v>
      </c>
      <c r="N55" s="989"/>
      <c r="O55" s="989"/>
      <c r="P55" s="989"/>
      <c r="Q55" s="1004"/>
      <c r="R55" s="1002">
        <f t="shared" si="46"/>
        <v>0</v>
      </c>
      <c r="S55" s="999"/>
      <c r="T55" s="998"/>
      <c r="U55" s="998"/>
      <c r="V55" s="946" t="str">
        <f t="shared" si="0"/>
        <v xml:space="preserve"> </v>
      </c>
      <c r="W55" s="946" t="str">
        <f t="shared" si="1"/>
        <v xml:space="preserve"> </v>
      </c>
      <c r="AD55" s="1061"/>
      <c r="AE55" s="1061"/>
    </row>
    <row r="56" spans="1:31" s="938" customFormat="1" ht="28.5" hidden="1" customHeight="1" collapsed="1">
      <c r="A56" s="976" t="s">
        <v>34</v>
      </c>
      <c r="B56" s="991" t="s">
        <v>630</v>
      </c>
      <c r="C56" s="1001" t="s">
        <v>587</v>
      </c>
      <c r="D56" s="987"/>
      <c r="E56" s="988"/>
      <c r="F56" s="975">
        <f t="shared" si="44"/>
        <v>0</v>
      </c>
      <c r="G56" s="989"/>
      <c r="H56" s="989"/>
      <c r="I56" s="989"/>
      <c r="J56" s="989">
        <f t="shared" si="7"/>
        <v>0</v>
      </c>
      <c r="K56" s="1192"/>
      <c r="L56" s="972"/>
      <c r="M56" s="975">
        <f t="shared" si="45"/>
        <v>0</v>
      </c>
      <c r="N56" s="989">
        <f>ROUND((G56/2+G56/2*[181]индексы!$I$5),2)</f>
        <v>0</v>
      </c>
      <c r="O56" s="989">
        <f>H56/2+H56/2*[181]индексы!$I$5</f>
        <v>0</v>
      </c>
      <c r="P56" s="989">
        <f>ROUND((I56/2+I56/2*[181]индексы!$I$5),2)</f>
        <v>0</v>
      </c>
      <c r="Q56" s="975"/>
      <c r="R56" s="1002">
        <f t="shared" si="46"/>
        <v>0</v>
      </c>
      <c r="S56" s="999">
        <f>ROUND((N56/2+N56/2*[181]индексы!$J$5),2)</f>
        <v>0</v>
      </c>
      <c r="T56" s="998">
        <f>O56/2+O56/2*[181]индексы!$J$5</f>
        <v>0</v>
      </c>
      <c r="U56" s="998">
        <f>ROUND((P56/2+P56/2*[181]индексы!$J$5),2)</f>
        <v>0</v>
      </c>
      <c r="V56" s="946" t="str">
        <f t="shared" si="0"/>
        <v xml:space="preserve"> </v>
      </c>
      <c r="W56" s="946" t="str">
        <f t="shared" si="1"/>
        <v xml:space="preserve"> </v>
      </c>
      <c r="AD56" s="1061"/>
      <c r="AE56" s="1061"/>
    </row>
    <row r="57" spans="1:31" s="938" customFormat="1" ht="45.75" customHeight="1">
      <c r="A57" s="976" t="s">
        <v>31</v>
      </c>
      <c r="B57" s="991" t="s">
        <v>118</v>
      </c>
      <c r="C57" s="1001" t="s">
        <v>587</v>
      </c>
      <c r="D57" s="1003"/>
      <c r="E57" s="975">
        <v>1009.02</v>
      </c>
      <c r="F57" s="975">
        <f t="shared" si="44"/>
        <v>0</v>
      </c>
      <c r="G57" s="989"/>
      <c r="H57" s="989"/>
      <c r="I57" s="989"/>
      <c r="J57" s="989">
        <f t="shared" si="7"/>
        <v>-1009.02</v>
      </c>
      <c r="K57" s="1193" t="s">
        <v>661</v>
      </c>
      <c r="L57" s="972">
        <v>3128</v>
      </c>
      <c r="M57" s="975">
        <f t="shared" si="45"/>
        <v>0</v>
      </c>
      <c r="N57" s="989"/>
      <c r="O57" s="989"/>
      <c r="P57" s="989"/>
      <c r="Q57" s="972">
        <v>850</v>
      </c>
      <c r="R57" s="1002">
        <f t="shared" si="46"/>
        <v>0</v>
      </c>
      <c r="S57" s="999"/>
      <c r="T57" s="998"/>
      <c r="U57" s="998"/>
      <c r="V57" s="946" t="str">
        <f t="shared" si="0"/>
        <v xml:space="preserve"> </v>
      </c>
      <c r="W57" s="946" t="str">
        <f t="shared" si="1"/>
        <v xml:space="preserve"> </v>
      </c>
      <c r="AD57" s="1061">
        <v>0</v>
      </c>
      <c r="AE57" s="1061">
        <v>0</v>
      </c>
    </row>
    <row r="58" spans="1:31" s="938" customFormat="1" ht="45">
      <c r="A58" s="976" t="s">
        <v>32</v>
      </c>
      <c r="B58" s="991" t="s">
        <v>631</v>
      </c>
      <c r="C58" s="1001" t="s">
        <v>587</v>
      </c>
      <c r="D58" s="1005">
        <f>[181]Кальк_2016_ЭОР!D21</f>
        <v>655.29999999999995</v>
      </c>
      <c r="E58" s="975">
        <v>1012.55</v>
      </c>
      <c r="F58" s="975">
        <v>1001.97</v>
      </c>
      <c r="G58" s="989">
        <f>[181]Кальк_2016_ЭОР!R21</f>
        <v>166.03</v>
      </c>
      <c r="H58" s="989">
        <f>[181]Кальк_2016_ЭОР!S21</f>
        <v>0</v>
      </c>
      <c r="I58" s="989">
        <f>[181]Кальк_2016_ЭОР!T21</f>
        <v>510.25</v>
      </c>
      <c r="J58" s="989">
        <f t="shared" si="7"/>
        <v>-10.579999999999927</v>
      </c>
      <c r="K58" s="1194" t="s">
        <v>662</v>
      </c>
      <c r="L58" s="972">
        <v>916.8</v>
      </c>
      <c r="M58" s="975">
        <v>1025.6600000000001</v>
      </c>
      <c r="N58" s="989">
        <f>ROUND((G58*N$9),2)</f>
        <v>174.23</v>
      </c>
      <c r="O58" s="989">
        <f>ROUND((H58*O$9),2)</f>
        <v>0</v>
      </c>
      <c r="P58" s="989">
        <f>ROUND((I58*P$9),2)</f>
        <v>535.46</v>
      </c>
      <c r="Q58" s="972">
        <v>955.30499999999995</v>
      </c>
      <c r="R58" s="1002">
        <v>1056.03</v>
      </c>
      <c r="S58" s="999">
        <f>ROUND((N58*$S$9),2)</f>
        <v>181.11</v>
      </c>
      <c r="T58" s="998">
        <f>ROUND((O58*$S$9),2)</f>
        <v>0</v>
      </c>
      <c r="U58" s="998">
        <f>ROUND(P58*U$9,2)</f>
        <v>556.61</v>
      </c>
      <c r="V58" s="946">
        <f t="shared" si="0"/>
        <v>1.0236434224577582</v>
      </c>
      <c r="W58" s="946">
        <f t="shared" si="1"/>
        <v>1.029610202211259</v>
      </c>
      <c r="AD58" s="1061">
        <v>1087.3</v>
      </c>
      <c r="AE58" s="1061">
        <v>1119.48</v>
      </c>
    </row>
    <row r="59" spans="1:31" s="938" customFormat="1" ht="51.75" customHeight="1">
      <c r="A59" s="976" t="s">
        <v>34</v>
      </c>
      <c r="B59" s="991" t="s">
        <v>632</v>
      </c>
      <c r="C59" s="1001" t="s">
        <v>587</v>
      </c>
      <c r="D59" s="998">
        <f>SUM(D60:D61)</f>
        <v>315.5</v>
      </c>
      <c r="E59" s="989">
        <f>SUM(E60:E61)</f>
        <v>1058</v>
      </c>
      <c r="F59" s="975">
        <v>1058</v>
      </c>
      <c r="G59" s="989">
        <f>SUM(G60:G61)</f>
        <v>77.459999999999994</v>
      </c>
      <c r="H59" s="989">
        <f t="shared" ref="H59:I59" si="50">SUM(H60:H61)</f>
        <v>0</v>
      </c>
      <c r="I59" s="989">
        <f t="shared" si="50"/>
        <v>238.04</v>
      </c>
      <c r="J59" s="989">
        <f t="shared" si="7"/>
        <v>0</v>
      </c>
      <c r="K59" s="1193"/>
      <c r="L59" s="989">
        <f>SUM(L60:L61)</f>
        <v>1114.2</v>
      </c>
      <c r="M59" s="975">
        <v>1058</v>
      </c>
      <c r="N59" s="975">
        <f t="shared" ref="N59:AC59" si="51">N60</f>
        <v>77.459999999999994</v>
      </c>
      <c r="O59" s="975">
        <f t="shared" si="51"/>
        <v>0</v>
      </c>
      <c r="P59" s="975">
        <f t="shared" si="51"/>
        <v>238.04</v>
      </c>
      <c r="Q59" s="975">
        <f t="shared" si="51"/>
        <v>1184.2</v>
      </c>
      <c r="R59" s="975">
        <v>1058</v>
      </c>
      <c r="S59" s="975">
        <f t="shared" si="51"/>
        <v>77.459999999999994</v>
      </c>
      <c r="T59" s="975">
        <f t="shared" si="51"/>
        <v>0</v>
      </c>
      <c r="U59" s="975">
        <f t="shared" si="51"/>
        <v>238.04</v>
      </c>
      <c r="V59" s="975">
        <f t="shared" si="51"/>
        <v>1</v>
      </c>
      <c r="W59" s="975">
        <f t="shared" si="51"/>
        <v>1</v>
      </c>
      <c r="X59" s="975">
        <f t="shared" si="51"/>
        <v>0</v>
      </c>
      <c r="Y59" s="975">
        <f t="shared" si="51"/>
        <v>0</v>
      </c>
      <c r="Z59" s="975">
        <f t="shared" si="51"/>
        <v>0</v>
      </c>
      <c r="AA59" s="975">
        <f t="shared" si="51"/>
        <v>0</v>
      </c>
      <c r="AB59" s="975">
        <f t="shared" si="51"/>
        <v>0</v>
      </c>
      <c r="AC59" s="975">
        <f t="shared" si="51"/>
        <v>0</v>
      </c>
      <c r="AD59" s="975">
        <v>1058</v>
      </c>
      <c r="AE59" s="975">
        <v>1043.67</v>
      </c>
    </row>
    <row r="60" spans="1:31" s="938" customFormat="1" ht="15" outlineLevel="1">
      <c r="A60" s="1006"/>
      <c r="B60" s="1000" t="s">
        <v>633</v>
      </c>
      <c r="C60" s="1001" t="s">
        <v>587</v>
      </c>
      <c r="D60" s="1005">
        <f>[181]Кальк_2016_ЭОР!D14</f>
        <v>315.5</v>
      </c>
      <c r="E60" s="975">
        <v>1058</v>
      </c>
      <c r="F60" s="975">
        <v>1133.5</v>
      </c>
      <c r="G60" s="989">
        <f>[181]Кальк_2016_ЭОР!R14</f>
        <v>77.459999999999994</v>
      </c>
      <c r="H60" s="989">
        <f>[181]Кальк_2016_ЭОР!S14</f>
        <v>0</v>
      </c>
      <c r="I60" s="989">
        <f>[181]Кальк_2016_ЭОР!T14</f>
        <v>238.04</v>
      </c>
      <c r="J60" s="989">
        <f t="shared" si="7"/>
        <v>75.5</v>
      </c>
      <c r="K60" s="1193"/>
      <c r="L60" s="975">
        <v>1114.2</v>
      </c>
      <c r="M60" s="975">
        <v>1133.5</v>
      </c>
      <c r="N60" s="989">
        <f>G60</f>
        <v>77.459999999999994</v>
      </c>
      <c r="O60" s="989"/>
      <c r="P60" s="989">
        <f>I60</f>
        <v>238.04</v>
      </c>
      <c r="Q60" s="975">
        <v>1184.2</v>
      </c>
      <c r="R60" s="975">
        <v>1133.5</v>
      </c>
      <c r="S60" s="994">
        <f>N60</f>
        <v>77.459999999999994</v>
      </c>
      <c r="T60" s="993"/>
      <c r="U60" s="993">
        <f>P60</f>
        <v>238.04</v>
      </c>
      <c r="V60" s="946">
        <f t="shared" si="0"/>
        <v>1</v>
      </c>
      <c r="W60" s="946">
        <f t="shared" si="1"/>
        <v>1</v>
      </c>
      <c r="AD60" s="975">
        <v>1133.5</v>
      </c>
      <c r="AE60" s="975">
        <v>1133.5</v>
      </c>
    </row>
    <row r="61" spans="1:31" s="938" customFormat="1" ht="15" hidden="1" customHeight="1" outlineLevel="1">
      <c r="A61" s="1006"/>
      <c r="B61" s="1000" t="s">
        <v>634</v>
      </c>
      <c r="C61" s="1001" t="s">
        <v>587</v>
      </c>
      <c r="D61" s="1003"/>
      <c r="E61" s="1001"/>
      <c r="F61" s="975">
        <f t="shared" si="44"/>
        <v>0</v>
      </c>
      <c r="G61" s="989"/>
      <c r="H61" s="989"/>
      <c r="I61" s="989"/>
      <c r="J61" s="989">
        <f t="shared" si="7"/>
        <v>0</v>
      </c>
      <c r="K61" s="1195"/>
      <c r="L61" s="1001"/>
      <c r="M61" s="975">
        <f t="shared" si="45"/>
        <v>0</v>
      </c>
      <c r="N61" s="989"/>
      <c r="O61" s="989"/>
      <c r="P61" s="989"/>
      <c r="Q61" s="1004"/>
      <c r="R61" s="975">
        <f t="shared" si="46"/>
        <v>0</v>
      </c>
      <c r="S61" s="999"/>
      <c r="T61" s="998"/>
      <c r="U61" s="998"/>
      <c r="V61" s="946" t="str">
        <f t="shared" si="0"/>
        <v xml:space="preserve"> </v>
      </c>
      <c r="W61" s="946" t="str">
        <f t="shared" si="1"/>
        <v xml:space="preserve"> </v>
      </c>
      <c r="AD61" s="1061"/>
      <c r="AE61" s="1061"/>
    </row>
    <row r="62" spans="1:31" s="938" customFormat="1" ht="28.5" customHeight="1" collapsed="1">
      <c r="A62" s="1006" t="s">
        <v>33</v>
      </c>
      <c r="B62" s="1007" t="s">
        <v>122</v>
      </c>
      <c r="C62" s="1001" t="s">
        <v>587</v>
      </c>
      <c r="D62" s="1003"/>
      <c r="E62" s="989">
        <v>378.8</v>
      </c>
      <c r="F62" s="975">
        <f t="shared" si="44"/>
        <v>0</v>
      </c>
      <c r="G62" s="989"/>
      <c r="H62" s="989"/>
      <c r="I62" s="989"/>
      <c r="J62" s="989">
        <f t="shared" si="7"/>
        <v>-378.8</v>
      </c>
      <c r="K62" s="1192"/>
      <c r="L62" s="989"/>
      <c r="M62" s="975">
        <f t="shared" si="45"/>
        <v>0</v>
      </c>
      <c r="N62" s="989"/>
      <c r="O62" s="989"/>
      <c r="P62" s="989"/>
      <c r="Q62" s="989"/>
      <c r="R62" s="975">
        <f t="shared" si="46"/>
        <v>0</v>
      </c>
      <c r="S62" s="999"/>
      <c r="T62" s="998"/>
      <c r="U62" s="998"/>
      <c r="V62" s="946" t="str">
        <f t="shared" ref="V62:V73" si="52">IF(ISERROR(M62/F62)," ",M62/F62)</f>
        <v xml:space="preserve"> </v>
      </c>
      <c r="W62" s="946" t="str">
        <f t="shared" ref="W62:W73" si="53">IF(ISERROR(R62/M62)," ",R62/M62)</f>
        <v xml:space="preserve"> </v>
      </c>
      <c r="AD62" s="1061">
        <v>0</v>
      </c>
      <c r="AE62" s="1061">
        <v>0</v>
      </c>
    </row>
    <row r="63" spans="1:31" s="947" customFormat="1" ht="39.75" customHeight="1">
      <c r="A63" s="1317" t="s">
        <v>647</v>
      </c>
      <c r="B63" s="1323"/>
      <c r="C63" s="943" t="s">
        <v>0</v>
      </c>
      <c r="D63" s="964" t="e">
        <f>SUM(#REF!)</f>
        <v>#REF!</v>
      </c>
      <c r="E63" s="965">
        <v>1867.8</v>
      </c>
      <c r="F63" s="965">
        <v>994.4</v>
      </c>
      <c r="G63" s="965" t="e">
        <f>SUM(#REF!)</f>
        <v>#REF!</v>
      </c>
      <c r="H63" s="965" t="e">
        <f>SUM(#REF!)</f>
        <v>#REF!</v>
      </c>
      <c r="I63" s="965" t="e">
        <f>SUM(#REF!)</f>
        <v>#REF!</v>
      </c>
      <c r="J63" s="965">
        <f t="shared" si="7"/>
        <v>-873.4</v>
      </c>
      <c r="K63" s="1193" t="s">
        <v>663</v>
      </c>
      <c r="L63" s="965" t="e">
        <f>SUM(#REF!)</f>
        <v>#REF!</v>
      </c>
      <c r="M63" s="965">
        <v>994.4</v>
      </c>
      <c r="N63" s="965" t="e">
        <f>SUM(#REF!)</f>
        <v>#REF!</v>
      </c>
      <c r="O63" s="965" t="e">
        <f>SUM(#REF!)</f>
        <v>#REF!</v>
      </c>
      <c r="P63" s="965" t="e">
        <f>SUM(#REF!)</f>
        <v>#REF!</v>
      </c>
      <c r="Q63" s="965" t="e">
        <f>SUM(#REF!)</f>
        <v>#REF!</v>
      </c>
      <c r="R63" s="965">
        <v>994.4</v>
      </c>
      <c r="S63" s="966" t="e">
        <f>SUM(#REF!)</f>
        <v>#REF!</v>
      </c>
      <c r="T63" s="964" t="e">
        <f>SUM(#REF!)</f>
        <v>#REF!</v>
      </c>
      <c r="U63" s="964" t="e">
        <f>SUM(#REF!)</f>
        <v>#REF!</v>
      </c>
      <c r="V63" s="946">
        <f t="shared" si="52"/>
        <v>1</v>
      </c>
      <c r="W63" s="946">
        <f t="shared" si="53"/>
        <v>1</v>
      </c>
      <c r="AD63" s="965">
        <v>994.4</v>
      </c>
      <c r="AE63" s="965">
        <v>994.4</v>
      </c>
    </row>
    <row r="64" spans="1:31" s="947" customFormat="1" ht="49.5" customHeight="1">
      <c r="A64" s="1327" t="s">
        <v>176</v>
      </c>
      <c r="B64" s="1328"/>
      <c r="C64" s="943" t="s">
        <v>0</v>
      </c>
      <c r="D64" s="964"/>
      <c r="E64" s="965">
        <v>686.3</v>
      </c>
      <c r="F64" s="965">
        <v>467.72</v>
      </c>
      <c r="G64" s="965"/>
      <c r="H64" s="965"/>
      <c r="I64" s="965"/>
      <c r="J64" s="965">
        <f t="shared" si="7"/>
        <v>-218.57999999999993</v>
      </c>
      <c r="K64" s="1193" t="s">
        <v>664</v>
      </c>
      <c r="L64" s="965"/>
      <c r="M64" s="965">
        <v>477.22</v>
      </c>
      <c r="N64" s="965"/>
      <c r="O64" s="965"/>
      <c r="P64" s="965"/>
      <c r="Q64" s="965"/>
      <c r="R64" s="965">
        <v>489.38</v>
      </c>
      <c r="S64" s="966"/>
      <c r="T64" s="964"/>
      <c r="U64" s="964"/>
      <c r="V64" s="946"/>
      <c r="W64" s="946"/>
      <c r="AD64" s="965">
        <v>501.19</v>
      </c>
      <c r="AE64" s="965">
        <v>514.08000000000004</v>
      </c>
    </row>
    <row r="65" spans="1:31" s="947" customFormat="1" ht="104.25" customHeight="1">
      <c r="A65" s="1317" t="s">
        <v>128</v>
      </c>
      <c r="B65" s="1318"/>
      <c r="C65" s="943" t="s">
        <v>0</v>
      </c>
      <c r="D65" s="964">
        <f>[181]Кальк_2016_ЭОР!D75</f>
        <v>54</v>
      </c>
      <c r="E65" s="965">
        <v>0</v>
      </c>
      <c r="F65" s="965">
        <v>-1735</v>
      </c>
      <c r="G65" s="965">
        <f>[181]Кальк_2016_ЭОР!R75</f>
        <v>269.12</v>
      </c>
      <c r="H65" s="965">
        <f>[181]Кальк_2016_ЭОР!S75</f>
        <v>0</v>
      </c>
      <c r="I65" s="965">
        <f>[181]Кальк_2016_ЭОР!T75</f>
        <v>827.04</v>
      </c>
      <c r="J65" s="965">
        <f t="shared" si="7"/>
        <v>-1735</v>
      </c>
      <c r="K65" s="1196" t="s">
        <v>665</v>
      </c>
      <c r="L65" s="965">
        <v>6860.75</v>
      </c>
      <c r="M65" s="965">
        <v>-1065.98</v>
      </c>
      <c r="N65" s="965"/>
      <c r="O65" s="965"/>
      <c r="P65" s="965"/>
      <c r="Q65" s="965">
        <v>3850</v>
      </c>
      <c r="R65" s="965">
        <v>0</v>
      </c>
      <c r="S65" s="966"/>
      <c r="T65" s="964"/>
      <c r="U65" s="964"/>
      <c r="V65" s="946">
        <f t="shared" si="52"/>
        <v>0.61439769452449566</v>
      </c>
      <c r="W65" s="946">
        <f t="shared" si="53"/>
        <v>0</v>
      </c>
      <c r="AD65" s="1064">
        <v>0</v>
      </c>
      <c r="AE65" s="1064">
        <v>0</v>
      </c>
    </row>
    <row r="66" spans="1:31" s="947" customFormat="1" ht="23.25" hidden="1" customHeight="1">
      <c r="A66" s="1319" t="s">
        <v>635</v>
      </c>
      <c r="B66" s="1320"/>
      <c r="C66" s="943" t="s">
        <v>0</v>
      </c>
      <c r="D66" s="964"/>
      <c r="E66" s="965"/>
      <c r="F66" s="965"/>
      <c r="G66" s="965"/>
      <c r="H66" s="965"/>
      <c r="I66" s="965"/>
      <c r="J66" s="965">
        <f t="shared" ref="J66:J67" si="54">F66-E66</f>
        <v>0</v>
      </c>
      <c r="K66" s="1188"/>
      <c r="L66" s="965"/>
      <c r="M66" s="965"/>
      <c r="N66" s="965"/>
      <c r="O66" s="965"/>
      <c r="P66" s="965"/>
      <c r="Q66" s="965"/>
      <c r="R66" s="965"/>
      <c r="S66" s="966"/>
      <c r="T66" s="964"/>
      <c r="U66" s="964"/>
      <c r="V66" s="946" t="str">
        <f t="shared" si="52"/>
        <v xml:space="preserve"> </v>
      </c>
      <c r="W66" s="946" t="str">
        <f t="shared" si="53"/>
        <v xml:space="preserve"> </v>
      </c>
      <c r="AD66" s="1060"/>
      <c r="AE66" s="1060"/>
    </row>
    <row r="67" spans="1:31" s="947" customFormat="1" ht="24" customHeight="1">
      <c r="A67" s="1317" t="s">
        <v>135</v>
      </c>
      <c r="B67" s="1318"/>
      <c r="C67" s="943" t="s">
        <v>0</v>
      </c>
      <c r="D67" s="964" t="e">
        <f>SUM(D68:D72)</f>
        <v>#REF!</v>
      </c>
      <c r="E67" s="965">
        <f>E17+E23+E46+E63+E64+E65-0.02</f>
        <v>33542.080000000009</v>
      </c>
      <c r="F67" s="965">
        <f>F17+F23+F46+F63+F64+F65</f>
        <v>29160.04</v>
      </c>
      <c r="G67" s="965" t="e">
        <f>SUM(G68:G72)</f>
        <v>#REF!</v>
      </c>
      <c r="H67" s="965" t="e">
        <f>SUM(H68:H72)</f>
        <v>#REF!</v>
      </c>
      <c r="I67" s="965" t="e">
        <f>SUM(I68:I72)</f>
        <v>#REF!</v>
      </c>
      <c r="J67" s="965">
        <f t="shared" si="54"/>
        <v>-4382.0400000000081</v>
      </c>
      <c r="K67" s="1188"/>
      <c r="L67" s="965" t="e">
        <f>SUM(L68:L72)</f>
        <v>#REF!</v>
      </c>
      <c r="M67" s="965">
        <f>M17+M23+M46+M63+M64+M65+0.01</f>
        <v>30373.270000000004</v>
      </c>
      <c r="N67" s="965" t="e">
        <f t="shared" ref="N67:AE67" si="55">N17+N23+N46+N63+N64+N65</f>
        <v>#REF!</v>
      </c>
      <c r="O67" s="965" t="e">
        <f t="shared" si="55"/>
        <v>#REF!</v>
      </c>
      <c r="P67" s="965" t="e">
        <f t="shared" si="55"/>
        <v>#REF!</v>
      </c>
      <c r="Q67" s="965" t="e">
        <f t="shared" si="55"/>
        <v>#REF!</v>
      </c>
      <c r="R67" s="965">
        <f t="shared" si="55"/>
        <v>32937.68</v>
      </c>
      <c r="S67" s="965" t="e">
        <f t="shared" si="55"/>
        <v>#REF!</v>
      </c>
      <c r="T67" s="965" t="e">
        <f t="shared" si="55"/>
        <v>#REF!</v>
      </c>
      <c r="U67" s="965" t="e">
        <f t="shared" si="55"/>
        <v>#REF!</v>
      </c>
      <c r="V67" s="965" t="e">
        <f t="shared" si="55"/>
        <v>#VALUE!</v>
      </c>
      <c r="W67" s="965" t="e">
        <f t="shared" si="55"/>
        <v>#VALUE!</v>
      </c>
      <c r="X67" s="965">
        <f t="shared" si="55"/>
        <v>0</v>
      </c>
      <c r="Y67" s="965">
        <f t="shared" si="55"/>
        <v>0</v>
      </c>
      <c r="Z67" s="965">
        <f t="shared" si="55"/>
        <v>0</v>
      </c>
      <c r="AA67" s="965">
        <f t="shared" si="55"/>
        <v>0</v>
      </c>
      <c r="AB67" s="965">
        <f t="shared" si="55"/>
        <v>0</v>
      </c>
      <c r="AC67" s="965">
        <f t="shared" si="55"/>
        <v>0</v>
      </c>
      <c r="AD67" s="965">
        <f>AD17+AD23+AD46+AD63+AD64+AD65+0.72</f>
        <v>34219.310000000005</v>
      </c>
      <c r="AE67" s="965">
        <f t="shared" si="55"/>
        <v>35514.94</v>
      </c>
    </row>
    <row r="68" spans="1:31" s="938" customFormat="1" ht="15" hidden="1" outlineLevel="1">
      <c r="A68" s="1008"/>
      <c r="B68" s="1009" t="s">
        <v>123</v>
      </c>
      <c r="C68" s="1010" t="s">
        <v>0</v>
      </c>
      <c r="D68" s="974" t="e">
        <f>D23</f>
        <v>#REF!</v>
      </c>
      <c r="E68" s="972">
        <f>E23</f>
        <v>11088.63</v>
      </c>
      <c r="F68" s="971" t="e">
        <f>G68+H68+I68</f>
        <v>#REF!</v>
      </c>
      <c r="G68" s="972" t="e">
        <f>G23</f>
        <v>#REF!</v>
      </c>
      <c r="H68" s="972" t="e">
        <f>H23</f>
        <v>#REF!</v>
      </c>
      <c r="I68" s="972">
        <f>I23</f>
        <v>3591.37</v>
      </c>
      <c r="J68" s="972"/>
      <c r="K68" s="972"/>
      <c r="L68" s="972">
        <f>L23</f>
        <v>2407.1396999999997</v>
      </c>
      <c r="M68" s="971">
        <f>N68+O68+P68</f>
        <v>4995.1399999999994</v>
      </c>
      <c r="N68" s="972">
        <f>N23</f>
        <v>1226.3600000000001</v>
      </c>
      <c r="O68" s="972">
        <f>O23</f>
        <v>0</v>
      </c>
      <c r="P68" s="972">
        <f>P23</f>
        <v>3768.7799999999997</v>
      </c>
      <c r="Q68" s="972">
        <f>Q23</f>
        <v>2510.6467070999997</v>
      </c>
      <c r="R68" s="971">
        <f>S68+T68+U68</f>
        <v>5192.4400000000005</v>
      </c>
      <c r="S68" s="974">
        <f>S23</f>
        <v>1274.8000000000002</v>
      </c>
      <c r="T68" s="974">
        <f>T23</f>
        <v>0</v>
      </c>
      <c r="U68" s="974">
        <f>U23</f>
        <v>3917.64</v>
      </c>
      <c r="V68" s="946" t="str">
        <f t="shared" si="52"/>
        <v xml:space="preserve"> </v>
      </c>
      <c r="W68" s="946">
        <f t="shared" si="53"/>
        <v>1.0394983924374495</v>
      </c>
    </row>
    <row r="69" spans="1:31" s="938" customFormat="1" ht="15" hidden="1" outlineLevel="1">
      <c r="A69" s="1008"/>
      <c r="B69" s="1009" t="s">
        <v>124</v>
      </c>
      <c r="C69" s="1010" t="s">
        <v>0</v>
      </c>
      <c r="D69" s="974" t="e">
        <f>D46</f>
        <v>#REF!</v>
      </c>
      <c r="E69" s="972">
        <f>E46</f>
        <v>4445.51</v>
      </c>
      <c r="F69" s="971" t="e">
        <f t="shared" ref="F69:F72" si="56">G69+H69+I69</f>
        <v>#REF!</v>
      </c>
      <c r="G69" s="972" t="e">
        <f>G46</f>
        <v>#REF!</v>
      </c>
      <c r="H69" s="972" t="e">
        <f>H46</f>
        <v>#REF!</v>
      </c>
      <c r="I69" s="972" t="e">
        <f>I46</f>
        <v>#REF!</v>
      </c>
      <c r="J69" s="972"/>
      <c r="K69" s="972"/>
      <c r="L69" s="972" t="e">
        <f>L46</f>
        <v>#REF!</v>
      </c>
      <c r="M69" s="971" t="e">
        <f t="shared" ref="M69:M72" si="57">N69+O69+P69</f>
        <v>#REF!</v>
      </c>
      <c r="N69" s="972" t="e">
        <f>N46</f>
        <v>#REF!</v>
      </c>
      <c r="O69" s="972" t="e">
        <f>O46</f>
        <v>#REF!</v>
      </c>
      <c r="P69" s="972">
        <f>P46</f>
        <v>796.53</v>
      </c>
      <c r="Q69" s="972">
        <f>Q46</f>
        <v>3022.1750000000002</v>
      </c>
      <c r="R69" s="971" t="e">
        <f t="shared" ref="R69:R72" si="58">S69+T69+U69</f>
        <v>#REF!</v>
      </c>
      <c r="S69" s="974" t="e">
        <f>S46</f>
        <v>#REF!</v>
      </c>
      <c r="T69" s="974" t="e">
        <f>T46</f>
        <v>#REF!</v>
      </c>
      <c r="U69" s="974">
        <f>U46</f>
        <v>818.26</v>
      </c>
      <c r="V69" s="946" t="str">
        <f t="shared" si="52"/>
        <v xml:space="preserve"> </v>
      </c>
      <c r="W69" s="946" t="str">
        <f t="shared" si="53"/>
        <v xml:space="preserve"> </v>
      </c>
    </row>
    <row r="70" spans="1:31" s="938" customFormat="1" ht="15" hidden="1" outlineLevel="1">
      <c r="A70" s="1008"/>
      <c r="B70" s="1009" t="s">
        <v>125</v>
      </c>
      <c r="C70" s="1010" t="s">
        <v>0</v>
      </c>
      <c r="D70" s="974">
        <f>D17</f>
        <v>26683.88</v>
      </c>
      <c r="E70" s="972">
        <f>E17</f>
        <v>15453.859999999999</v>
      </c>
      <c r="F70" s="971">
        <f t="shared" si="56"/>
        <v>16570.84</v>
      </c>
      <c r="G70" s="972">
        <f>G17</f>
        <v>13808.73</v>
      </c>
      <c r="H70" s="972">
        <f>H17</f>
        <v>839.93</v>
      </c>
      <c r="I70" s="972">
        <f>I17</f>
        <v>1922.18</v>
      </c>
      <c r="J70" s="972"/>
      <c r="K70" s="972"/>
      <c r="L70" s="972">
        <f>L17</f>
        <v>18012.226031999999</v>
      </c>
      <c r="M70" s="971">
        <f t="shared" si="57"/>
        <v>16272.039999999999</v>
      </c>
      <c r="N70" s="972">
        <f>N17</f>
        <v>13167.529999999999</v>
      </c>
      <c r="O70" s="972">
        <f>O17</f>
        <v>939.53</v>
      </c>
      <c r="P70" s="972">
        <f>P17</f>
        <v>2164.98</v>
      </c>
      <c r="Q70" s="972">
        <f>Q17</f>
        <v>18786.697200000002</v>
      </c>
      <c r="R70" s="971">
        <f t="shared" si="58"/>
        <v>17114.919999999998</v>
      </c>
      <c r="S70" s="974">
        <f>S17</f>
        <v>13792.779999999999</v>
      </c>
      <c r="T70" s="974">
        <f>T17</f>
        <v>1036.28</v>
      </c>
      <c r="U70" s="974">
        <f>U17</f>
        <v>2285.8599999999997</v>
      </c>
      <c r="V70" s="946">
        <f t="shared" si="52"/>
        <v>0.9819683250818908</v>
      </c>
      <c r="W70" s="946">
        <f t="shared" si="53"/>
        <v>1.0517992826959619</v>
      </c>
    </row>
    <row r="71" spans="1:31" s="938" customFormat="1" ht="15" hidden="1" outlineLevel="1">
      <c r="A71" s="1008"/>
      <c r="B71" s="1009" t="s">
        <v>126</v>
      </c>
      <c r="C71" s="1010" t="s">
        <v>0</v>
      </c>
      <c r="D71" s="974" t="e">
        <f>D63</f>
        <v>#REF!</v>
      </c>
      <c r="E71" s="972">
        <f>E63</f>
        <v>1867.8</v>
      </c>
      <c r="F71" s="971" t="e">
        <f t="shared" si="56"/>
        <v>#REF!</v>
      </c>
      <c r="G71" s="972" t="e">
        <f>G63</f>
        <v>#REF!</v>
      </c>
      <c r="H71" s="972" t="e">
        <f>H63</f>
        <v>#REF!</v>
      </c>
      <c r="I71" s="972" t="e">
        <f>I63</f>
        <v>#REF!</v>
      </c>
      <c r="J71" s="972"/>
      <c r="K71" s="972"/>
      <c r="L71" s="972" t="e">
        <f>L63</f>
        <v>#REF!</v>
      </c>
      <c r="M71" s="971" t="e">
        <f t="shared" si="57"/>
        <v>#REF!</v>
      </c>
      <c r="N71" s="972" t="e">
        <f>N63</f>
        <v>#REF!</v>
      </c>
      <c r="O71" s="972" t="e">
        <f>O63</f>
        <v>#REF!</v>
      </c>
      <c r="P71" s="972" t="e">
        <f>P63</f>
        <v>#REF!</v>
      </c>
      <c r="Q71" s="972" t="e">
        <f>Q63</f>
        <v>#REF!</v>
      </c>
      <c r="R71" s="971" t="e">
        <f t="shared" si="58"/>
        <v>#REF!</v>
      </c>
      <c r="S71" s="974" t="e">
        <f>S63</f>
        <v>#REF!</v>
      </c>
      <c r="T71" s="974" t="e">
        <f>T63</f>
        <v>#REF!</v>
      </c>
      <c r="U71" s="974" t="e">
        <f>U63</f>
        <v>#REF!</v>
      </c>
      <c r="V71" s="946" t="str">
        <f t="shared" si="52"/>
        <v xml:space="preserve"> </v>
      </c>
      <c r="W71" s="946" t="str">
        <f t="shared" si="53"/>
        <v xml:space="preserve"> </v>
      </c>
    </row>
    <row r="72" spans="1:31" s="938" customFormat="1" ht="15" hidden="1" outlineLevel="1">
      <c r="A72" s="1008"/>
      <c r="B72" s="1009" t="s">
        <v>127</v>
      </c>
      <c r="C72" s="1010" t="s">
        <v>0</v>
      </c>
      <c r="D72" s="1011">
        <f>[181]Кальк_2016_ЭОР!D75</f>
        <v>54</v>
      </c>
      <c r="E72" s="1012">
        <f>E65</f>
        <v>0</v>
      </c>
      <c r="F72" s="971">
        <f t="shared" si="56"/>
        <v>1096.1599999999999</v>
      </c>
      <c r="G72" s="972">
        <f>[181]Кальк_2016_ЭОР!R75</f>
        <v>269.12</v>
      </c>
      <c r="H72" s="972"/>
      <c r="I72" s="972">
        <f>I65</f>
        <v>827.04</v>
      </c>
      <c r="J72" s="972"/>
      <c r="K72" s="972"/>
      <c r="L72" s="972"/>
      <c r="M72" s="971">
        <f t="shared" si="57"/>
        <v>269.12</v>
      </c>
      <c r="N72" s="972">
        <f>G72</f>
        <v>269.12</v>
      </c>
      <c r="O72" s="972"/>
      <c r="P72" s="972"/>
      <c r="Q72" s="972"/>
      <c r="R72" s="971">
        <f t="shared" si="58"/>
        <v>269.12</v>
      </c>
      <c r="S72" s="993">
        <f>N72</f>
        <v>269.12</v>
      </c>
      <c r="T72" s="993"/>
      <c r="U72" s="993"/>
      <c r="V72" s="946">
        <f t="shared" si="52"/>
        <v>0.24551160414538029</v>
      </c>
      <c r="W72" s="946">
        <f t="shared" si="53"/>
        <v>1</v>
      </c>
    </row>
    <row r="73" spans="1:31" s="938" customFormat="1" ht="15" hidden="1" outlineLevel="1">
      <c r="A73" s="1008"/>
      <c r="B73" s="1013" t="s">
        <v>128</v>
      </c>
      <c r="C73" s="1010" t="s">
        <v>0</v>
      </c>
      <c r="D73" s="1011"/>
      <c r="E73" s="1012"/>
      <c r="F73" s="971"/>
      <c r="G73" s="972"/>
      <c r="H73" s="972"/>
      <c r="I73" s="972"/>
      <c r="J73" s="972"/>
      <c r="K73" s="972"/>
      <c r="L73" s="972"/>
      <c r="M73" s="971"/>
      <c r="N73" s="972"/>
      <c r="O73" s="972"/>
      <c r="P73" s="972"/>
      <c r="Q73" s="972"/>
      <c r="R73" s="971"/>
      <c r="S73" s="993"/>
      <c r="T73" s="993"/>
      <c r="U73" s="993"/>
      <c r="V73" s="946" t="str">
        <f t="shared" si="52"/>
        <v xml:space="preserve"> </v>
      </c>
      <c r="W73" s="946" t="str">
        <f t="shared" si="53"/>
        <v xml:space="preserve"> </v>
      </c>
    </row>
    <row r="74" spans="1:31" s="938" customFormat="1" ht="15" hidden="1">
      <c r="A74" s="1014"/>
      <c r="B74" s="1015"/>
      <c r="C74" s="1016"/>
      <c r="D74" s="1016"/>
      <c r="E74" s="1017"/>
      <c r="F74" s="1018"/>
      <c r="G74" s="1018"/>
      <c r="H74" s="1018"/>
      <c r="I74" s="1017"/>
      <c r="J74" s="1017"/>
      <c r="K74" s="1017"/>
      <c r="L74" s="1017"/>
      <c r="M74" s="1018"/>
      <c r="N74" s="1018"/>
      <c r="O74" s="1018"/>
      <c r="P74" s="1017"/>
      <c r="Q74" s="1017"/>
      <c r="R74" s="1019"/>
      <c r="S74" s="1020"/>
      <c r="T74" s="1020"/>
      <c r="U74" s="1021"/>
      <c r="V74" s="1021"/>
    </row>
    <row r="75" spans="1:31" s="938" customFormat="1" ht="15" hidden="1">
      <c r="A75" s="1022" t="s">
        <v>70</v>
      </c>
      <c r="B75" s="967" t="s">
        <v>636</v>
      </c>
      <c r="C75" s="1010" t="s">
        <v>0</v>
      </c>
      <c r="D75" s="971" t="e">
        <f>D67-D63-D54</f>
        <v>#REF!</v>
      </c>
      <c r="E75" s="971">
        <f>E67-E63-E54</f>
        <v>30732.000000000011</v>
      </c>
      <c r="F75" s="971">
        <f>F67-F63-F54</f>
        <v>27917.040000000001</v>
      </c>
      <c r="G75" s="975" t="e">
        <f>G67-G63-G54</f>
        <v>#REF!</v>
      </c>
      <c r="H75" s="975" t="e">
        <f>H67-H63-H54</f>
        <v>#REF!</v>
      </c>
      <c r="I75" s="972"/>
      <c r="J75" s="972"/>
      <c r="K75" s="972"/>
      <c r="L75" s="971" t="e">
        <f>L67-L63-L54</f>
        <v>#REF!</v>
      </c>
      <c r="M75" s="971">
        <f>M67-M63-M54</f>
        <v>29130.270000000004</v>
      </c>
      <c r="N75" s="975" t="e">
        <f>N67-N63-N54</f>
        <v>#REF!</v>
      </c>
      <c r="O75" s="975" t="e">
        <f>O67-O63-O54</f>
        <v>#REF!</v>
      </c>
      <c r="P75" s="972"/>
      <c r="Q75" s="971" t="e">
        <f>Q67-Q63-Q54</f>
        <v>#REF!</v>
      </c>
      <c r="R75" s="971">
        <f>R67-R63-R54</f>
        <v>31694.68</v>
      </c>
      <c r="S75" s="975" t="e">
        <f>S67-S63-S54</f>
        <v>#REF!</v>
      </c>
      <c r="T75" s="975" t="e">
        <f>T67-T63-T54</f>
        <v>#REF!</v>
      </c>
      <c r="U75" s="993"/>
      <c r="V75" s="946">
        <f t="shared" ref="V75:V79" si="59">IF(ISERROR(M75/F75)," ",M75/F75)</f>
        <v>1.043458403899554</v>
      </c>
      <c r="W75" s="946">
        <f t="shared" ref="W75:W79" si="60">IF(ISERROR(R75/M75)," ",R75/M75)</f>
        <v>1.0880324830494188</v>
      </c>
    </row>
    <row r="76" spans="1:31" s="938" customFormat="1" ht="15" hidden="1">
      <c r="A76" s="1022" t="s">
        <v>71</v>
      </c>
      <c r="B76" s="967" t="s">
        <v>126</v>
      </c>
      <c r="C76" s="1010" t="s">
        <v>0</v>
      </c>
      <c r="D76" s="971" t="e">
        <f>D63</f>
        <v>#REF!</v>
      </c>
      <c r="E76" s="971">
        <f>E63</f>
        <v>1867.8</v>
      </c>
      <c r="F76" s="971">
        <f>F63</f>
        <v>994.4</v>
      </c>
      <c r="G76" s="975" t="e">
        <f>G63</f>
        <v>#REF!</v>
      </c>
      <c r="H76" s="975" t="e">
        <f>H63</f>
        <v>#REF!</v>
      </c>
      <c r="I76" s="974"/>
      <c r="J76" s="974"/>
      <c r="K76" s="974"/>
      <c r="L76" s="971"/>
      <c r="M76" s="971">
        <f>M63</f>
        <v>994.4</v>
      </c>
      <c r="N76" s="975" t="e">
        <f>N63</f>
        <v>#REF!</v>
      </c>
      <c r="O76" s="975" t="e">
        <f>O63</f>
        <v>#REF!</v>
      </c>
      <c r="P76" s="974"/>
      <c r="Q76" s="974"/>
      <c r="R76" s="971">
        <f>R63</f>
        <v>994.4</v>
      </c>
      <c r="S76" s="975" t="e">
        <f>S63</f>
        <v>#REF!</v>
      </c>
      <c r="T76" s="975" t="e">
        <f>T63</f>
        <v>#REF!</v>
      </c>
      <c r="U76" s="993"/>
      <c r="V76" s="946">
        <f t="shared" si="59"/>
        <v>1</v>
      </c>
      <c r="W76" s="946">
        <f t="shared" si="60"/>
        <v>1</v>
      </c>
    </row>
    <row r="77" spans="1:31" s="938" customFormat="1" ht="15" hidden="1">
      <c r="A77" s="1022" t="s">
        <v>72</v>
      </c>
      <c r="B77" s="967" t="s">
        <v>637</v>
      </c>
      <c r="C77" s="1010" t="s">
        <v>0</v>
      </c>
      <c r="D77" s="971">
        <f>D54</f>
        <v>0</v>
      </c>
      <c r="E77" s="971">
        <f>E54</f>
        <v>942.28</v>
      </c>
      <c r="F77" s="971">
        <f>F54</f>
        <v>248.6</v>
      </c>
      <c r="G77" s="975">
        <f>G54</f>
        <v>0</v>
      </c>
      <c r="H77" s="975">
        <f>H54</f>
        <v>0</v>
      </c>
      <c r="I77" s="974"/>
      <c r="J77" s="974"/>
      <c r="K77" s="974"/>
      <c r="L77" s="971"/>
      <c r="M77" s="971">
        <f>M54</f>
        <v>248.6</v>
      </c>
      <c r="N77" s="975" t="e">
        <f>N54</f>
        <v>#REF!</v>
      </c>
      <c r="O77" s="975" t="e">
        <f>O54</f>
        <v>#REF!</v>
      </c>
      <c r="P77" s="974"/>
      <c r="Q77" s="974"/>
      <c r="R77" s="971">
        <f>R54</f>
        <v>248.6</v>
      </c>
      <c r="S77" s="975" t="e">
        <f>S54</f>
        <v>#REF!</v>
      </c>
      <c r="T77" s="975" t="e">
        <f>T54</f>
        <v>#REF!</v>
      </c>
      <c r="U77" s="993"/>
      <c r="V77" s="946">
        <f t="shared" si="59"/>
        <v>1</v>
      </c>
      <c r="W77" s="946">
        <f t="shared" si="60"/>
        <v>1</v>
      </c>
    </row>
    <row r="78" spans="1:31" s="938" customFormat="1" ht="15" hidden="1">
      <c r="A78" s="1022" t="s">
        <v>73</v>
      </c>
      <c r="B78" s="1023" t="s">
        <v>129</v>
      </c>
      <c r="C78" s="1010" t="s">
        <v>0</v>
      </c>
      <c r="D78" s="971" t="e">
        <f>D75+D76+D77</f>
        <v>#REF!</v>
      </c>
      <c r="E78" s="971">
        <f>E75+E76+E77</f>
        <v>33542.080000000009</v>
      </c>
      <c r="F78" s="971">
        <f>F75+F76+F77</f>
        <v>29160.04</v>
      </c>
      <c r="G78" s="975" t="e">
        <f>G75+G76+G77</f>
        <v>#REF!</v>
      </c>
      <c r="H78" s="975" t="e">
        <f>H75+H76+H77</f>
        <v>#REF!</v>
      </c>
      <c r="I78" s="974"/>
      <c r="J78" s="974"/>
      <c r="K78" s="974"/>
      <c r="L78" s="971" t="e">
        <f>L75+L76+L77</f>
        <v>#REF!</v>
      </c>
      <c r="M78" s="971">
        <f>M75+M76+M77</f>
        <v>30373.270000000004</v>
      </c>
      <c r="N78" s="975" t="e">
        <f>N75+N76+N77</f>
        <v>#REF!</v>
      </c>
      <c r="O78" s="975" t="e">
        <f>O75+O76+O77</f>
        <v>#REF!</v>
      </c>
      <c r="P78" s="974"/>
      <c r="Q78" s="971" t="e">
        <f>Q75+Q76+Q77</f>
        <v>#REF!</v>
      </c>
      <c r="R78" s="971">
        <f>R75+R76+R77</f>
        <v>32937.68</v>
      </c>
      <c r="S78" s="975" t="e">
        <f>S75+S76+S77</f>
        <v>#REF!</v>
      </c>
      <c r="T78" s="975" t="e">
        <f>T75+T76+T77</f>
        <v>#REF!</v>
      </c>
      <c r="U78" s="993"/>
      <c r="V78" s="946">
        <f t="shared" si="59"/>
        <v>1.0416059100056105</v>
      </c>
      <c r="W78" s="946">
        <f t="shared" si="60"/>
        <v>1.0844298292544727</v>
      </c>
    </row>
    <row r="79" spans="1:31" s="1029" customFormat="1" ht="30" hidden="1" outlineLevel="1">
      <c r="A79" s="1022"/>
      <c r="B79" s="1024" t="s">
        <v>638</v>
      </c>
      <c r="C79" s="1025" t="s">
        <v>1</v>
      </c>
      <c r="D79" s="1026" t="e">
        <f>D63/(D67-D63-D54)</f>
        <v>#REF!</v>
      </c>
      <c r="E79" s="1026">
        <f>E63/(E67-E63-E54)</f>
        <v>6.0777040218664563E-2</v>
      </c>
      <c r="F79" s="1026">
        <f>F63/(F67-F63-F54)</f>
        <v>3.5619822158796201E-2</v>
      </c>
      <c r="G79" s="1027"/>
      <c r="H79" s="1027"/>
      <c r="I79" s="1027"/>
      <c r="J79" s="1027"/>
      <c r="K79" s="1027"/>
      <c r="L79" s="1026" t="e">
        <f>L63/(L67-L63-L54)</f>
        <v>#REF!</v>
      </c>
      <c r="M79" s="1026">
        <f>M63/(M67-M63-M54)</f>
        <v>3.4136312502424451E-2</v>
      </c>
      <c r="N79" s="1027"/>
      <c r="O79" s="1027"/>
      <c r="P79" s="1027"/>
      <c r="Q79" s="1027" t="e">
        <f>Q63/(Q67-Q63-Q54)</f>
        <v>#REF!</v>
      </c>
      <c r="R79" s="1026">
        <f>R63/(R67-R63-R54)</f>
        <v>3.1374350521917241E-2</v>
      </c>
      <c r="S79" s="1028"/>
      <c r="T79" s="1028"/>
      <c r="U79" s="1028"/>
      <c r="V79" s="946">
        <f t="shared" si="59"/>
        <v>0.95835157037679364</v>
      </c>
      <c r="W79" s="946">
        <f t="shared" si="60"/>
        <v>0.9190902069369371</v>
      </c>
    </row>
    <row r="80" spans="1:31" s="1029" customFormat="1" ht="15" hidden="1">
      <c r="A80" s="1022"/>
      <c r="B80" s="1024"/>
      <c r="C80" s="1025"/>
      <c r="D80" s="1026"/>
      <c r="E80" s="1030"/>
      <c r="F80" s="1030"/>
      <c r="G80" s="1027"/>
      <c r="H80" s="1027"/>
      <c r="I80" s="1027"/>
      <c r="J80" s="1027"/>
      <c r="K80" s="1027"/>
      <c r="L80" s="1026"/>
      <c r="M80" s="1030"/>
      <c r="N80" s="1027"/>
      <c r="O80" s="1027"/>
      <c r="P80" s="1027"/>
      <c r="Q80" s="1027"/>
      <c r="R80" s="1030"/>
      <c r="S80" s="1028"/>
      <c r="T80" s="1028"/>
      <c r="U80" s="1031"/>
      <c r="V80" s="1032"/>
      <c r="W80" s="1032"/>
    </row>
    <row r="81" spans="1:23" hidden="1">
      <c r="A81" s="1022"/>
      <c r="B81" s="967" t="s">
        <v>639</v>
      </c>
      <c r="C81" s="1010" t="s">
        <v>10</v>
      </c>
      <c r="D81" s="974">
        <f>D82+D83</f>
        <v>21232.36</v>
      </c>
      <c r="E81" s="974">
        <f>E82+E83</f>
        <v>12358</v>
      </c>
      <c r="F81" s="1033">
        <f>F82+F83</f>
        <v>12358</v>
      </c>
      <c r="G81" s="974"/>
      <c r="H81" s="974"/>
      <c r="I81" s="974"/>
      <c r="J81" s="974"/>
      <c r="K81" s="974"/>
      <c r="L81" s="974"/>
      <c r="M81" s="1033">
        <f>M82+M83</f>
        <v>12358</v>
      </c>
      <c r="N81" s="974"/>
      <c r="O81" s="974"/>
      <c r="P81" s="974"/>
      <c r="Q81" s="974"/>
      <c r="R81" s="1033">
        <f>R82+R83</f>
        <v>12358</v>
      </c>
      <c r="S81" s="974"/>
      <c r="T81" s="974"/>
      <c r="U81" s="974"/>
      <c r="V81" s="946">
        <f t="shared" ref="V81:V92" si="61">IF(ISERROR(M81/F81)," ",M81/F81)</f>
        <v>1</v>
      </c>
      <c r="W81" s="946">
        <f t="shared" ref="W81:W92" si="62">IF(ISERROR(R81/M81)," ",R81/M81)</f>
        <v>1</v>
      </c>
    </row>
    <row r="82" spans="1:23" hidden="1" outlineLevel="1">
      <c r="A82" s="1022"/>
      <c r="B82" s="967" t="s">
        <v>130</v>
      </c>
      <c r="C82" s="1010" t="s">
        <v>10</v>
      </c>
      <c r="D82" s="1034"/>
      <c r="E82" s="1034"/>
      <c r="F82" s="1034"/>
      <c r="G82" s="1027"/>
      <c r="H82" s="1027"/>
      <c r="I82" s="1034">
        <f>E82</f>
        <v>0</v>
      </c>
      <c r="J82" s="1034"/>
      <c r="K82" s="1034"/>
      <c r="L82" s="1034">
        <f>D82</f>
        <v>0</v>
      </c>
      <c r="M82" s="1034"/>
      <c r="N82" s="1027"/>
      <c r="O82" s="1027"/>
      <c r="P82" s="1034"/>
      <c r="Q82" s="1034"/>
      <c r="R82" s="1034"/>
      <c r="S82" s="1027"/>
      <c r="T82" s="1027"/>
      <c r="U82" s="1034"/>
      <c r="V82" s="946" t="str">
        <f t="shared" si="61"/>
        <v xml:space="preserve"> </v>
      </c>
      <c r="W82" s="946" t="str">
        <f t="shared" si="62"/>
        <v xml:space="preserve"> </v>
      </c>
    </row>
    <row r="83" spans="1:23" hidden="1" outlineLevel="1">
      <c r="A83" s="1022"/>
      <c r="B83" s="967" t="s">
        <v>430</v>
      </c>
      <c r="C83" s="1010" t="s">
        <v>10</v>
      </c>
      <c r="D83" s="1034">
        <f>[181]Кальк_2016_ЭОР!E77</f>
        <v>21232.36</v>
      </c>
      <c r="E83" s="1034">
        <f>[181]Кальк_2016_ЭОР!H77</f>
        <v>12358</v>
      </c>
      <c r="F83" s="1034">
        <f>[181]Кальк_2016_ЭОР!R77</f>
        <v>12358</v>
      </c>
      <c r="G83" s="1027"/>
      <c r="H83" s="1027"/>
      <c r="I83" s="1034"/>
      <c r="J83" s="1034"/>
      <c r="K83" s="1034"/>
      <c r="L83" s="1034"/>
      <c r="M83" s="1034">
        <f>F83</f>
        <v>12358</v>
      </c>
      <c r="N83" s="1027"/>
      <c r="O83" s="1027"/>
      <c r="P83" s="1034"/>
      <c r="Q83" s="1034">
        <f>L83</f>
        <v>0</v>
      </c>
      <c r="R83" s="1034">
        <f>M83</f>
        <v>12358</v>
      </c>
      <c r="S83" s="1027"/>
      <c r="T83" s="1027"/>
      <c r="U83" s="1034"/>
      <c r="V83" s="946">
        <f t="shared" si="61"/>
        <v>1</v>
      </c>
      <c r="W83" s="946">
        <f t="shared" si="62"/>
        <v>1</v>
      </c>
    </row>
    <row r="84" spans="1:23" hidden="1" outlineLevel="1">
      <c r="A84" s="1022"/>
      <c r="B84" s="967" t="s">
        <v>535</v>
      </c>
      <c r="C84" s="1010" t="s">
        <v>75</v>
      </c>
      <c r="D84" s="1034">
        <f>[181]Кальк_2016_ЭОР!G85</f>
        <v>11.02</v>
      </c>
      <c r="E84" s="1034"/>
      <c r="F84" s="1034">
        <f>[181]Кальк_2016_ЭОР!T85</f>
        <v>25.873999999999999</v>
      </c>
      <c r="G84" s="1027"/>
      <c r="H84" s="1027"/>
      <c r="I84" s="1034"/>
      <c r="J84" s="1034"/>
      <c r="K84" s="1034"/>
      <c r="L84" s="1034"/>
      <c r="M84" s="1034">
        <f>F84</f>
        <v>25.873999999999999</v>
      </c>
      <c r="N84" s="1027"/>
      <c r="O84" s="1027"/>
      <c r="P84" s="1034"/>
      <c r="Q84" s="1034"/>
      <c r="R84" s="1034">
        <f>M84</f>
        <v>25.873999999999999</v>
      </c>
      <c r="S84" s="1027"/>
      <c r="T84" s="1027"/>
      <c r="U84" s="1034"/>
      <c r="V84" s="946"/>
      <c r="W84" s="946"/>
    </row>
    <row r="85" spans="1:23" hidden="1">
      <c r="A85" s="1022"/>
      <c r="B85" s="967" t="s">
        <v>640</v>
      </c>
      <c r="C85" s="1010" t="s">
        <v>10</v>
      </c>
      <c r="D85" s="1034">
        <f>[181]Кальк_2016_ЭОР!E78</f>
        <v>1187.3</v>
      </c>
      <c r="E85" s="1034">
        <f>[181]Кальк_2016_ЭОР!H78</f>
        <v>0</v>
      </c>
      <c r="F85" s="1034">
        <f>[181]Кальк_2016_ЭОР!R78</f>
        <v>711.7</v>
      </c>
      <c r="G85" s="1027"/>
      <c r="H85" s="1027"/>
      <c r="I85" s="1034"/>
      <c r="J85" s="1034"/>
      <c r="K85" s="1034"/>
      <c r="L85" s="1034">
        <f t="shared" ref="L85:L86" si="63">E85</f>
        <v>0</v>
      </c>
      <c r="M85" s="1034">
        <f>F85</f>
        <v>711.7</v>
      </c>
      <c r="N85" s="1027"/>
      <c r="O85" s="1027"/>
      <c r="P85" s="1034"/>
      <c r="Q85" s="1034">
        <f>L85</f>
        <v>0</v>
      </c>
      <c r="R85" s="1034">
        <f>M85</f>
        <v>711.7</v>
      </c>
      <c r="S85" s="1027"/>
      <c r="T85" s="1027"/>
      <c r="U85" s="1034"/>
      <c r="V85" s="946">
        <f t="shared" si="61"/>
        <v>1</v>
      </c>
      <c r="W85" s="946">
        <f t="shared" si="62"/>
        <v>1</v>
      </c>
    </row>
    <row r="86" spans="1:23" hidden="1">
      <c r="A86" s="1022"/>
      <c r="B86" s="967" t="s">
        <v>54</v>
      </c>
      <c r="C86" s="1010" t="s">
        <v>55</v>
      </c>
      <c r="D86" s="1035">
        <f>[181]Кальк_2016_ЭОР!F87</f>
        <v>75516.27</v>
      </c>
      <c r="E86" s="1034">
        <f>[181]Кальк_2016_ЭОР!H87</f>
        <v>0</v>
      </c>
      <c r="F86" s="1035">
        <f>[181]Кальк_2016_ЭОР!S87</f>
        <v>40037</v>
      </c>
      <c r="G86" s="1027"/>
      <c r="H86" s="1027"/>
      <c r="I86" s="1035"/>
      <c r="J86" s="1035"/>
      <c r="K86" s="1035"/>
      <c r="L86" s="1034">
        <f t="shared" si="63"/>
        <v>0</v>
      </c>
      <c r="M86" s="1035">
        <f>F86</f>
        <v>40037</v>
      </c>
      <c r="N86" s="1027"/>
      <c r="O86" s="1027"/>
      <c r="P86" s="1035"/>
      <c r="Q86" s="1034">
        <f>E86</f>
        <v>0</v>
      </c>
      <c r="R86" s="1035">
        <f>M86</f>
        <v>40037</v>
      </c>
      <c r="S86" s="1027"/>
      <c r="T86" s="1027"/>
      <c r="U86" s="1035"/>
      <c r="V86" s="946">
        <f t="shared" si="61"/>
        <v>1</v>
      </c>
      <c r="W86" s="946">
        <f t="shared" si="62"/>
        <v>1</v>
      </c>
    </row>
    <row r="87" spans="1:23" hidden="1">
      <c r="A87" s="1022"/>
      <c r="B87" s="967" t="s">
        <v>131</v>
      </c>
      <c r="C87" s="1010" t="s">
        <v>0</v>
      </c>
      <c r="D87" s="1035">
        <f>[181]Кальк_2016_ЭОР!E79</f>
        <v>1251.9000000000001</v>
      </c>
      <c r="E87" s="1035">
        <f>[181]Кальк_2016_ЭОР!H79</f>
        <v>0</v>
      </c>
      <c r="F87" s="1035" t="e">
        <f>ROUND(G89*F85/1000,2)</f>
        <v>#REF!</v>
      </c>
      <c r="G87" s="1035"/>
      <c r="H87" s="1035"/>
      <c r="I87" s="1035"/>
      <c r="J87" s="1035"/>
      <c r="K87" s="1035"/>
      <c r="L87" s="1035">
        <f>972.56*L85/1000</f>
        <v>0</v>
      </c>
      <c r="M87" s="1035" t="e">
        <f>ROUND(N89*M85/1000,2)</f>
        <v>#REF!</v>
      </c>
      <c r="N87" s="1035"/>
      <c r="O87" s="1035"/>
      <c r="P87" s="1035"/>
      <c r="Q87" s="1035">
        <f>1007.24*Q85/1000</f>
        <v>0</v>
      </c>
      <c r="R87" s="1035" t="e">
        <f>ROUND(S89*R85/1000,2)</f>
        <v>#REF!</v>
      </c>
      <c r="S87" s="1035"/>
      <c r="T87" s="1035"/>
      <c r="U87" s="1028"/>
      <c r="V87" s="946" t="str">
        <f t="shared" si="61"/>
        <v xml:space="preserve"> </v>
      </c>
      <c r="W87" s="946" t="str">
        <f t="shared" si="62"/>
        <v xml:space="preserve"> </v>
      </c>
    </row>
    <row r="88" spans="1:23" hidden="1">
      <c r="A88" s="1022"/>
      <c r="B88" s="967" t="s">
        <v>132</v>
      </c>
      <c r="C88" s="1010" t="s">
        <v>0</v>
      </c>
      <c r="D88" s="1035">
        <f>D87+[181]Кальк_2016_ЭОР!E76</f>
        <v>26205.670000000002</v>
      </c>
      <c r="E88" s="1035">
        <f>E87+[181]Кальк_2016_ЭОР!J76</f>
        <v>0</v>
      </c>
      <c r="F88" s="1035" t="e">
        <f>F87+G67</f>
        <v>#REF!</v>
      </c>
      <c r="G88" s="1035"/>
      <c r="H88" s="1035"/>
      <c r="I88" s="1035"/>
      <c r="J88" s="1035"/>
      <c r="K88" s="1035"/>
      <c r="L88" s="1035">
        <f>O96+L87</f>
        <v>0</v>
      </c>
      <c r="M88" s="1035" t="e">
        <f>M87+N67</f>
        <v>#REF!</v>
      </c>
      <c r="N88" s="1035"/>
      <c r="O88" s="1035"/>
      <c r="P88" s="1035"/>
      <c r="Q88" s="1035">
        <f>T96+Q87</f>
        <v>0</v>
      </c>
      <c r="R88" s="1035" t="e">
        <f>R87+S67</f>
        <v>#REF!</v>
      </c>
      <c r="S88" s="1035"/>
      <c r="T88" s="1035"/>
      <c r="U88" s="1028"/>
      <c r="V88" s="946" t="str">
        <f t="shared" si="61"/>
        <v xml:space="preserve"> </v>
      </c>
      <c r="W88" s="946" t="str">
        <f t="shared" si="62"/>
        <v xml:space="preserve"> </v>
      </c>
    </row>
    <row r="89" spans="1:23" hidden="1">
      <c r="A89" s="1022"/>
      <c r="B89" s="1036" t="s">
        <v>431</v>
      </c>
      <c r="C89" s="1037" t="s">
        <v>9</v>
      </c>
      <c r="D89" s="1038">
        <f>[181]Кальк_2016_ЭОР!E80</f>
        <v>1175.27</v>
      </c>
      <c r="E89" s="1038">
        <f>[181]Кальк_2016_ЭОР!H80</f>
        <v>1327.55</v>
      </c>
      <c r="F89" s="1038" t="e">
        <f>G89+H89</f>
        <v>#REF!</v>
      </c>
      <c r="G89" s="1035" t="e">
        <f>(G67)*1000/(F81)</f>
        <v>#REF!</v>
      </c>
      <c r="H89" s="1035"/>
      <c r="I89" s="1038">
        <f>IF(ISERROR(I66/I81),0,I66/I81*1000)</f>
        <v>0</v>
      </c>
      <c r="J89" s="1038"/>
      <c r="K89" s="1038"/>
      <c r="L89" s="1038"/>
      <c r="M89" s="1038" t="e">
        <f>N89+O89</f>
        <v>#REF!</v>
      </c>
      <c r="N89" s="1035" t="e">
        <f>(N67)*1000/(M81)</f>
        <v>#REF!</v>
      </c>
      <c r="O89" s="1035"/>
      <c r="P89" s="1038"/>
      <c r="Q89" s="1038"/>
      <c r="R89" s="1038" t="e">
        <f>S89+T89</f>
        <v>#REF!</v>
      </c>
      <c r="S89" s="1035" t="e">
        <f>(S67)*1000/(R81)</f>
        <v>#REF!</v>
      </c>
      <c r="T89" s="1035"/>
      <c r="U89" s="1038"/>
      <c r="V89" s="946" t="str">
        <f t="shared" si="61"/>
        <v xml:space="preserve"> </v>
      </c>
      <c r="W89" s="946" t="str">
        <f t="shared" si="62"/>
        <v xml:space="preserve"> </v>
      </c>
    </row>
    <row r="90" spans="1:23" ht="30.75" hidden="1" customHeight="1">
      <c r="A90" s="1022"/>
      <c r="B90" s="1036" t="s">
        <v>641</v>
      </c>
      <c r="C90" s="1037" t="s">
        <v>537</v>
      </c>
      <c r="D90" s="1038">
        <f>[181]Кальк_2016_ЭОР!G86</f>
        <v>50630.75</v>
      </c>
      <c r="E90" s="1038"/>
      <c r="F90" s="1038" t="e">
        <f>I67/F84/12*1000</f>
        <v>#REF!</v>
      </c>
      <c r="G90" s="1035"/>
      <c r="H90" s="1035"/>
      <c r="I90" s="1038"/>
      <c r="J90" s="1038"/>
      <c r="K90" s="1038"/>
      <c r="L90" s="1038"/>
      <c r="M90" s="1038" t="e">
        <f>P67/M84/12*1000</f>
        <v>#REF!</v>
      </c>
      <c r="N90" s="1035"/>
      <c r="O90" s="1035"/>
      <c r="P90" s="1038"/>
      <c r="Q90" s="1038"/>
      <c r="R90" s="1038" t="e">
        <f>U67/R84/12*1000</f>
        <v>#REF!</v>
      </c>
      <c r="S90" s="1035"/>
      <c r="T90" s="1035"/>
      <c r="U90" s="1038"/>
      <c r="V90" s="946"/>
      <c r="W90" s="946"/>
    </row>
    <row r="91" spans="1:23" hidden="1">
      <c r="A91" s="1022"/>
      <c r="B91" s="1039" t="s">
        <v>217</v>
      </c>
      <c r="C91" s="1037" t="s">
        <v>39</v>
      </c>
      <c r="D91" s="1038">
        <f>[181]Кальк_2016_ЭОР!F88</f>
        <v>19.23</v>
      </c>
      <c r="E91" s="1038">
        <f>[181]Кальк_2016_ЭОР!H88</f>
        <v>23.67</v>
      </c>
      <c r="F91" s="1038" t="e">
        <f>H67/F86*1000</f>
        <v>#REF!</v>
      </c>
      <c r="G91" s="1027"/>
      <c r="H91" s="1027"/>
      <c r="I91" s="1038"/>
      <c r="J91" s="1038"/>
      <c r="K91" s="1038"/>
      <c r="L91" s="1038"/>
      <c r="M91" s="1038" t="e">
        <f>O67/M86*1000</f>
        <v>#REF!</v>
      </c>
      <c r="N91" s="1027"/>
      <c r="O91" s="1027"/>
      <c r="P91" s="1038"/>
      <c r="Q91" s="1038"/>
      <c r="R91" s="1038" t="e">
        <f>T67/R86*1000</f>
        <v>#REF!</v>
      </c>
      <c r="S91" s="1027"/>
      <c r="T91" s="1027"/>
      <c r="U91" s="1038"/>
      <c r="V91" s="946" t="str">
        <f t="shared" si="61"/>
        <v xml:space="preserve"> </v>
      </c>
      <c r="W91" s="946" t="str">
        <f t="shared" si="62"/>
        <v xml:space="preserve"> </v>
      </c>
    </row>
    <row r="92" spans="1:23" hidden="1" outlineLevel="1">
      <c r="A92" s="1022"/>
      <c r="B92" s="1040" t="s">
        <v>101</v>
      </c>
      <c r="C92" s="1041"/>
      <c r="D92" s="1042">
        <f>[181]Кальк_2016_ЭОР!D80</f>
        <v>0</v>
      </c>
      <c r="E92" s="1042">
        <f>[181]Кальк_2016_ЭОР!H80</f>
        <v>1327.55</v>
      </c>
      <c r="F92" s="1042" t="e">
        <f>IF(F82&gt;0,"---",(G67+H67)/F81*1000)</f>
        <v>#REF!</v>
      </c>
      <c r="G92" s="1027"/>
      <c r="H92" s="1027"/>
      <c r="I92" s="1042"/>
      <c r="J92" s="1042"/>
      <c r="K92" s="1042"/>
      <c r="L92" s="1042"/>
      <c r="M92" s="1042" t="e">
        <f>IF(M82&gt;0,"---",(N67+O67)/M81*1000)</f>
        <v>#REF!</v>
      </c>
      <c r="N92" s="1027"/>
      <c r="O92" s="1042"/>
      <c r="P92" s="1042"/>
      <c r="Q92" s="1042"/>
      <c r="R92" s="1042" t="e">
        <f>IF(R82&gt;0,"---",(S67+T67)/R81*1000)</f>
        <v>#REF!</v>
      </c>
      <c r="S92" s="1028" t="str">
        <f t="shared" ref="S92" si="64">IF(ISERROR(L92/F92)," ",L92/F92)</f>
        <v xml:space="preserve"> </v>
      </c>
      <c r="T92" s="1028" t="str">
        <f t="shared" ref="T92" si="65">IF(ISERROR(P92/L92)," ",P92/L92)</f>
        <v xml:space="preserve"> </v>
      </c>
      <c r="U92" s="1042"/>
      <c r="V92" s="946" t="str">
        <f t="shared" si="61"/>
        <v xml:space="preserve"> </v>
      </c>
      <c r="W92" s="946" t="str">
        <f t="shared" si="62"/>
        <v xml:space="preserve"> </v>
      </c>
    </row>
    <row r="93" spans="1:23" hidden="1" outlineLevel="1">
      <c r="A93" s="1043"/>
      <c r="B93" s="1044"/>
      <c r="C93" s="1045"/>
      <c r="D93" s="1046"/>
      <c r="E93" s="1046"/>
      <c r="F93" s="1046"/>
      <c r="G93" s="1047" t="e">
        <f>(G67-G20-G22)/F81*1000</f>
        <v>#REF!</v>
      </c>
      <c r="H93" s="1047"/>
      <c r="I93" s="1047"/>
      <c r="J93" s="1047"/>
      <c r="K93" s="1047"/>
      <c r="L93" s="1047"/>
      <c r="M93" s="1047"/>
      <c r="N93" s="1047" t="e">
        <f>(N67-N20-N22)/M81*1000</f>
        <v>#REF!</v>
      </c>
      <c r="O93" s="1047"/>
      <c r="P93" s="1047"/>
      <c r="Q93" s="1047"/>
      <c r="R93" s="1047"/>
      <c r="S93" s="1047" t="e">
        <f>(S67-S20-S22)/R81*1000</f>
        <v>#REF!</v>
      </c>
      <c r="T93" s="1047"/>
      <c r="U93" s="1047"/>
      <c r="V93" s="1048"/>
      <c r="W93" s="1048"/>
    </row>
    <row r="94" spans="1:23" hidden="1" outlineLevel="1">
      <c r="A94" s="1043"/>
      <c r="B94" s="1044"/>
      <c r="C94" s="1045"/>
      <c r="D94" s="1046"/>
      <c r="E94" s="1046"/>
      <c r="F94" s="1046"/>
      <c r="G94" s="1047" t="e">
        <f>F87/F81*1000</f>
        <v>#REF!</v>
      </c>
      <c r="H94" s="1047"/>
      <c r="I94" s="1047"/>
      <c r="J94" s="1047"/>
      <c r="K94" s="1047"/>
      <c r="L94" s="1047"/>
      <c r="M94" s="1047"/>
      <c r="N94" s="1047" t="e">
        <f>M87/M81*1000</f>
        <v>#REF!</v>
      </c>
      <c r="O94" s="1047"/>
      <c r="P94" s="1047"/>
      <c r="Q94" s="1047"/>
      <c r="R94" s="1047"/>
      <c r="S94" s="1047" t="e">
        <f>R87/R81*1000</f>
        <v>#REF!</v>
      </c>
      <c r="T94" s="1047"/>
      <c r="U94" s="1047"/>
      <c r="V94" s="1048"/>
      <c r="W94" s="1048"/>
    </row>
    <row r="95" spans="1:23" hidden="1">
      <c r="D95" s="1047"/>
      <c r="E95" s="1047"/>
      <c r="G95" s="1047" t="e">
        <f>G93+G94</f>
        <v>#REF!</v>
      </c>
      <c r="H95" s="1047"/>
      <c r="I95" s="1047"/>
      <c r="J95" s="1047"/>
      <c r="K95" s="1047"/>
      <c r="L95" s="1047"/>
      <c r="M95" s="1047"/>
      <c r="N95" s="1047" t="e">
        <f>N93+N94</f>
        <v>#REF!</v>
      </c>
      <c r="O95" s="1047"/>
      <c r="P95" s="1047"/>
      <c r="Q95" s="1047"/>
      <c r="R95" s="1047"/>
      <c r="S95" s="1047" t="e">
        <f>S93+S94</f>
        <v>#REF!</v>
      </c>
      <c r="T95" s="1047"/>
      <c r="U95" s="1047"/>
    </row>
    <row r="96" spans="1:23" hidden="1">
      <c r="D96" s="1047" t="e">
        <f>[181]Кальк_2016_ЭОР!D76-Прил4!D67</f>
        <v>#REF!</v>
      </c>
      <c r="F96" s="1047">
        <f>[181]Кальк_2016_ЭОР!Q76</f>
        <v>23896.890000000003</v>
      </c>
      <c r="G96" s="1047">
        <f>[181]Кальк_2016_ЭОР!R76</f>
        <v>15607.350000000002</v>
      </c>
      <c r="H96" s="1047">
        <f>[181]Кальк_2016_ЭОР!S76</f>
        <v>839.93</v>
      </c>
      <c r="I96" s="1047">
        <f>[181]Кальк_2016_ЭОР!T76</f>
        <v>7449.61</v>
      </c>
      <c r="J96" s="1047"/>
      <c r="K96" s="1047"/>
      <c r="M96" s="1049"/>
      <c r="P96" s="1050"/>
      <c r="R96" s="1051"/>
      <c r="T96" s="1050"/>
    </row>
    <row r="97" spans="4:19" hidden="1">
      <c r="D97" s="1047"/>
      <c r="L97" s="1047"/>
      <c r="P97" s="1050"/>
      <c r="Q97" s="1047"/>
    </row>
    <row r="98" spans="4:19" hidden="1">
      <c r="D98" s="1047"/>
      <c r="E98" s="1047"/>
      <c r="F98" s="1047"/>
      <c r="G98" s="1047"/>
      <c r="H98" s="1047"/>
      <c r="I98" s="1047"/>
      <c r="J98" s="1047"/>
      <c r="K98" s="1047"/>
      <c r="N98" s="1050"/>
      <c r="S98" s="1050"/>
    </row>
    <row r="99" spans="4:19" hidden="1">
      <c r="L99" s="1051"/>
      <c r="Q99" s="1051"/>
      <c r="R99" s="1050"/>
    </row>
  </sheetData>
  <mergeCells count="33">
    <mergeCell ref="K1:AE4"/>
    <mergeCell ref="AD7:AD8"/>
    <mergeCell ref="AE7:AE8"/>
    <mergeCell ref="A64:B64"/>
    <mergeCell ref="A63:B63"/>
    <mergeCell ref="V7:V8"/>
    <mergeCell ref="W7:W8"/>
    <mergeCell ref="K17:K22"/>
    <mergeCell ref="Q7:Q8"/>
    <mergeCell ref="R7:R8"/>
    <mergeCell ref="E8:E9"/>
    <mergeCell ref="F8:F9"/>
    <mergeCell ref="J8:J9"/>
    <mergeCell ref="K8:K9"/>
    <mergeCell ref="K30:K36"/>
    <mergeCell ref="K50:K54"/>
    <mergeCell ref="A65:B65"/>
    <mergeCell ref="A66:B66"/>
    <mergeCell ref="A67:B67"/>
    <mergeCell ref="A9:B9"/>
    <mergeCell ref="A17:B17"/>
    <mergeCell ref="A23:B23"/>
    <mergeCell ref="A46:B46"/>
    <mergeCell ref="K28:K29"/>
    <mergeCell ref="A5:V5"/>
    <mergeCell ref="A6:R6"/>
    <mergeCell ref="A7:A8"/>
    <mergeCell ref="B7:B8"/>
    <mergeCell ref="C7:C8"/>
    <mergeCell ref="D7:D8"/>
    <mergeCell ref="E7:K7"/>
    <mergeCell ref="L7:L8"/>
    <mergeCell ref="M7:M8"/>
  </mergeCells>
  <pageMargins left="0.39370078740157483" right="0.39370078740157483" top="0.39370078740157483" bottom="0.39370078740157483" header="0.31496062992125984" footer="0.31496062992125984"/>
  <pageSetup paperSize="9" scale="40" orientation="portrait" horizontalDpi="300" verticalDpi="3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22"/>
  <sheetViews>
    <sheetView tabSelected="1" workbookViewId="0">
      <selection activeCell="O4" sqref="O4"/>
    </sheetView>
  </sheetViews>
  <sheetFormatPr defaultRowHeight="15"/>
  <cols>
    <col min="1" max="1" width="4.625" style="890" customWidth="1"/>
    <col min="2" max="2" width="22.75" style="891" customWidth="1"/>
    <col min="3" max="3" width="8.75" style="891" customWidth="1"/>
    <col min="4" max="4" width="11.75" style="891" customWidth="1"/>
    <col min="5" max="5" width="11.875" style="891" customWidth="1"/>
    <col min="6" max="6" width="10.75" style="891" hidden="1" customWidth="1"/>
    <col min="7" max="8" width="14.625" style="891" customWidth="1"/>
    <col min="9" max="9" width="13.625" style="891" customWidth="1"/>
    <col min="10" max="10" width="15.625" style="891" customWidth="1"/>
    <col min="11" max="11" width="9.125" style="891" customWidth="1"/>
    <col min="12" max="18" width="13.75" style="891" customWidth="1"/>
    <col min="19" max="234" width="9" style="891"/>
    <col min="235" max="235" width="6.75" style="891" customWidth="1"/>
    <col min="236" max="236" width="57.25" style="891" customWidth="1"/>
    <col min="237" max="237" width="11.5" style="891" customWidth="1"/>
    <col min="238" max="238" width="19" style="891" customWidth="1"/>
    <col min="239" max="260" width="0" style="891" hidden="1" customWidth="1"/>
    <col min="261" max="261" width="9" style="891"/>
    <col min="262" max="262" width="8.875" style="891" bestFit="1" customWidth="1"/>
    <col min="263" max="490" width="9" style="891"/>
    <col min="491" max="491" width="6.75" style="891" customWidth="1"/>
    <col min="492" max="492" width="57.25" style="891" customWidth="1"/>
    <col min="493" max="493" width="11.5" style="891" customWidth="1"/>
    <col min="494" max="494" width="19" style="891" customWidth="1"/>
    <col min="495" max="516" width="0" style="891" hidden="1" customWidth="1"/>
    <col min="517" max="517" width="9" style="891"/>
    <col min="518" max="518" width="8.875" style="891" bestFit="1" customWidth="1"/>
    <col min="519" max="746" width="9" style="891"/>
    <col min="747" max="747" width="6.75" style="891" customWidth="1"/>
    <col min="748" max="748" width="57.25" style="891" customWidth="1"/>
    <col min="749" max="749" width="11.5" style="891" customWidth="1"/>
    <col min="750" max="750" width="19" style="891" customWidth="1"/>
    <col min="751" max="772" width="0" style="891" hidden="1" customWidth="1"/>
    <col min="773" max="773" width="9" style="891"/>
    <col min="774" max="774" width="8.875" style="891" bestFit="1" customWidth="1"/>
    <col min="775" max="1002" width="9" style="891"/>
    <col min="1003" max="1003" width="6.75" style="891" customWidth="1"/>
    <col min="1004" max="1004" width="57.25" style="891" customWidth="1"/>
    <col min="1005" max="1005" width="11.5" style="891" customWidth="1"/>
    <col min="1006" max="1006" width="19" style="891" customWidth="1"/>
    <col min="1007" max="1028" width="0" style="891" hidden="1" customWidth="1"/>
    <col min="1029" max="1029" width="9" style="891"/>
    <col min="1030" max="1030" width="8.875" style="891" bestFit="1" customWidth="1"/>
    <col min="1031" max="1258" width="9" style="891"/>
    <col min="1259" max="1259" width="6.75" style="891" customWidth="1"/>
    <col min="1260" max="1260" width="57.25" style="891" customWidth="1"/>
    <col min="1261" max="1261" width="11.5" style="891" customWidth="1"/>
    <col min="1262" max="1262" width="19" style="891" customWidth="1"/>
    <col min="1263" max="1284" width="0" style="891" hidden="1" customWidth="1"/>
    <col min="1285" max="1285" width="9" style="891"/>
    <col min="1286" max="1286" width="8.875" style="891" bestFit="1" customWidth="1"/>
    <col min="1287" max="1514" width="9" style="891"/>
    <col min="1515" max="1515" width="6.75" style="891" customWidth="1"/>
    <col min="1516" max="1516" width="57.25" style="891" customWidth="1"/>
    <col min="1517" max="1517" width="11.5" style="891" customWidth="1"/>
    <col min="1518" max="1518" width="19" style="891" customWidth="1"/>
    <col min="1519" max="1540" width="0" style="891" hidden="1" customWidth="1"/>
    <col min="1541" max="1541" width="9" style="891"/>
    <col min="1542" max="1542" width="8.875" style="891" bestFit="1" customWidth="1"/>
    <col min="1543" max="1770" width="9" style="891"/>
    <col min="1771" max="1771" width="6.75" style="891" customWidth="1"/>
    <col min="1772" max="1772" width="57.25" style="891" customWidth="1"/>
    <col min="1773" max="1773" width="11.5" style="891" customWidth="1"/>
    <col min="1774" max="1774" width="19" style="891" customWidth="1"/>
    <col min="1775" max="1796" width="0" style="891" hidden="1" customWidth="1"/>
    <col min="1797" max="1797" width="9" style="891"/>
    <col min="1798" max="1798" width="8.875" style="891" bestFit="1" customWidth="1"/>
    <col min="1799" max="2026" width="9" style="891"/>
    <col min="2027" max="2027" width="6.75" style="891" customWidth="1"/>
    <col min="2028" max="2028" width="57.25" style="891" customWidth="1"/>
    <col min="2029" max="2029" width="11.5" style="891" customWidth="1"/>
    <col min="2030" max="2030" width="19" style="891" customWidth="1"/>
    <col min="2031" max="2052" width="0" style="891" hidden="1" customWidth="1"/>
    <col min="2053" max="2053" width="9" style="891"/>
    <col min="2054" max="2054" width="8.875" style="891" bestFit="1" customWidth="1"/>
    <col min="2055" max="2282" width="9" style="891"/>
    <col min="2283" max="2283" width="6.75" style="891" customWidth="1"/>
    <col min="2284" max="2284" width="57.25" style="891" customWidth="1"/>
    <col min="2285" max="2285" width="11.5" style="891" customWidth="1"/>
    <col min="2286" max="2286" width="19" style="891" customWidth="1"/>
    <col min="2287" max="2308" width="0" style="891" hidden="1" customWidth="1"/>
    <col min="2309" max="2309" width="9" style="891"/>
    <col min="2310" max="2310" width="8.875" style="891" bestFit="1" customWidth="1"/>
    <col min="2311" max="2538" width="9" style="891"/>
    <col min="2539" max="2539" width="6.75" style="891" customWidth="1"/>
    <col min="2540" max="2540" width="57.25" style="891" customWidth="1"/>
    <col min="2541" max="2541" width="11.5" style="891" customWidth="1"/>
    <col min="2542" max="2542" width="19" style="891" customWidth="1"/>
    <col min="2543" max="2564" width="0" style="891" hidden="1" customWidth="1"/>
    <col min="2565" max="2565" width="9" style="891"/>
    <col min="2566" max="2566" width="8.875" style="891" bestFit="1" customWidth="1"/>
    <col min="2567" max="2794" width="9" style="891"/>
    <col min="2795" max="2795" width="6.75" style="891" customWidth="1"/>
    <col min="2796" max="2796" width="57.25" style="891" customWidth="1"/>
    <col min="2797" max="2797" width="11.5" style="891" customWidth="1"/>
    <col min="2798" max="2798" width="19" style="891" customWidth="1"/>
    <col min="2799" max="2820" width="0" style="891" hidden="1" customWidth="1"/>
    <col min="2821" max="2821" width="9" style="891"/>
    <col min="2822" max="2822" width="8.875" style="891" bestFit="1" customWidth="1"/>
    <col min="2823" max="3050" width="9" style="891"/>
    <col min="3051" max="3051" width="6.75" style="891" customWidth="1"/>
    <col min="3052" max="3052" width="57.25" style="891" customWidth="1"/>
    <col min="3053" max="3053" width="11.5" style="891" customWidth="1"/>
    <col min="3054" max="3054" width="19" style="891" customWidth="1"/>
    <col min="3055" max="3076" width="0" style="891" hidden="1" customWidth="1"/>
    <col min="3077" max="3077" width="9" style="891"/>
    <col min="3078" max="3078" width="8.875" style="891" bestFit="1" customWidth="1"/>
    <col min="3079" max="3306" width="9" style="891"/>
    <col min="3307" max="3307" width="6.75" style="891" customWidth="1"/>
    <col min="3308" max="3308" width="57.25" style="891" customWidth="1"/>
    <col min="3309" max="3309" width="11.5" style="891" customWidth="1"/>
    <col min="3310" max="3310" width="19" style="891" customWidth="1"/>
    <col min="3311" max="3332" width="0" style="891" hidden="1" customWidth="1"/>
    <col min="3333" max="3333" width="9" style="891"/>
    <col min="3334" max="3334" width="8.875" style="891" bestFit="1" customWidth="1"/>
    <col min="3335" max="3562" width="9" style="891"/>
    <col min="3563" max="3563" width="6.75" style="891" customWidth="1"/>
    <col min="3564" max="3564" width="57.25" style="891" customWidth="1"/>
    <col min="3565" max="3565" width="11.5" style="891" customWidth="1"/>
    <col min="3566" max="3566" width="19" style="891" customWidth="1"/>
    <col min="3567" max="3588" width="0" style="891" hidden="1" customWidth="1"/>
    <col min="3589" max="3589" width="9" style="891"/>
    <col min="3590" max="3590" width="8.875" style="891" bestFit="1" customWidth="1"/>
    <col min="3591" max="3818" width="9" style="891"/>
    <col min="3819" max="3819" width="6.75" style="891" customWidth="1"/>
    <col min="3820" max="3820" width="57.25" style="891" customWidth="1"/>
    <col min="3821" max="3821" width="11.5" style="891" customWidth="1"/>
    <col min="3822" max="3822" width="19" style="891" customWidth="1"/>
    <col min="3823" max="3844" width="0" style="891" hidden="1" customWidth="1"/>
    <col min="3845" max="3845" width="9" style="891"/>
    <col min="3846" max="3846" width="8.875" style="891" bestFit="1" customWidth="1"/>
    <col min="3847" max="4074" width="9" style="891"/>
    <col min="4075" max="4075" width="6.75" style="891" customWidth="1"/>
    <col min="4076" max="4076" width="57.25" style="891" customWidth="1"/>
    <col min="4077" max="4077" width="11.5" style="891" customWidth="1"/>
    <col min="4078" max="4078" width="19" style="891" customWidth="1"/>
    <col min="4079" max="4100" width="0" style="891" hidden="1" customWidth="1"/>
    <col min="4101" max="4101" width="9" style="891"/>
    <col min="4102" max="4102" width="8.875" style="891" bestFit="1" customWidth="1"/>
    <col min="4103" max="4330" width="9" style="891"/>
    <col min="4331" max="4331" width="6.75" style="891" customWidth="1"/>
    <col min="4332" max="4332" width="57.25" style="891" customWidth="1"/>
    <col min="4333" max="4333" width="11.5" style="891" customWidth="1"/>
    <col min="4334" max="4334" width="19" style="891" customWidth="1"/>
    <col min="4335" max="4356" width="0" style="891" hidden="1" customWidth="1"/>
    <col min="4357" max="4357" width="9" style="891"/>
    <col min="4358" max="4358" width="8.875" style="891" bestFit="1" customWidth="1"/>
    <col min="4359" max="4586" width="9" style="891"/>
    <col min="4587" max="4587" width="6.75" style="891" customWidth="1"/>
    <col min="4588" max="4588" width="57.25" style="891" customWidth="1"/>
    <col min="4589" max="4589" width="11.5" style="891" customWidth="1"/>
    <col min="4590" max="4590" width="19" style="891" customWidth="1"/>
    <col min="4591" max="4612" width="0" style="891" hidden="1" customWidth="1"/>
    <col min="4613" max="4613" width="9" style="891"/>
    <col min="4614" max="4614" width="8.875" style="891" bestFit="1" customWidth="1"/>
    <col min="4615" max="4842" width="9" style="891"/>
    <col min="4843" max="4843" width="6.75" style="891" customWidth="1"/>
    <col min="4844" max="4844" width="57.25" style="891" customWidth="1"/>
    <col min="4845" max="4845" width="11.5" style="891" customWidth="1"/>
    <col min="4846" max="4846" width="19" style="891" customWidth="1"/>
    <col min="4847" max="4868" width="0" style="891" hidden="1" customWidth="1"/>
    <col min="4869" max="4869" width="9" style="891"/>
    <col min="4870" max="4870" width="8.875" style="891" bestFit="1" customWidth="1"/>
    <col min="4871" max="5098" width="9" style="891"/>
    <col min="5099" max="5099" width="6.75" style="891" customWidth="1"/>
    <col min="5100" max="5100" width="57.25" style="891" customWidth="1"/>
    <col min="5101" max="5101" width="11.5" style="891" customWidth="1"/>
    <col min="5102" max="5102" width="19" style="891" customWidth="1"/>
    <col min="5103" max="5124" width="0" style="891" hidden="1" customWidth="1"/>
    <col min="5125" max="5125" width="9" style="891"/>
    <col min="5126" max="5126" width="8.875" style="891" bestFit="1" customWidth="1"/>
    <col min="5127" max="5354" width="9" style="891"/>
    <col min="5355" max="5355" width="6.75" style="891" customWidth="1"/>
    <col min="5356" max="5356" width="57.25" style="891" customWidth="1"/>
    <col min="5357" max="5357" width="11.5" style="891" customWidth="1"/>
    <col min="5358" max="5358" width="19" style="891" customWidth="1"/>
    <col min="5359" max="5380" width="0" style="891" hidden="1" customWidth="1"/>
    <col min="5381" max="5381" width="9" style="891"/>
    <col min="5382" max="5382" width="8.875" style="891" bestFit="1" customWidth="1"/>
    <col min="5383" max="5610" width="9" style="891"/>
    <col min="5611" max="5611" width="6.75" style="891" customWidth="1"/>
    <col min="5612" max="5612" width="57.25" style="891" customWidth="1"/>
    <col min="5613" max="5613" width="11.5" style="891" customWidth="1"/>
    <col min="5614" max="5614" width="19" style="891" customWidth="1"/>
    <col min="5615" max="5636" width="0" style="891" hidden="1" customWidth="1"/>
    <col min="5637" max="5637" width="9" style="891"/>
    <col min="5638" max="5638" width="8.875" style="891" bestFit="1" customWidth="1"/>
    <col min="5639" max="5866" width="9" style="891"/>
    <col min="5867" max="5867" width="6.75" style="891" customWidth="1"/>
    <col min="5868" max="5868" width="57.25" style="891" customWidth="1"/>
    <col min="5869" max="5869" width="11.5" style="891" customWidth="1"/>
    <col min="5870" max="5870" width="19" style="891" customWidth="1"/>
    <col min="5871" max="5892" width="0" style="891" hidden="1" customWidth="1"/>
    <col min="5893" max="5893" width="9" style="891"/>
    <col min="5894" max="5894" width="8.875" style="891" bestFit="1" customWidth="1"/>
    <col min="5895" max="6122" width="9" style="891"/>
    <col min="6123" max="6123" width="6.75" style="891" customWidth="1"/>
    <col min="6124" max="6124" width="57.25" style="891" customWidth="1"/>
    <col min="6125" max="6125" width="11.5" style="891" customWidth="1"/>
    <col min="6126" max="6126" width="19" style="891" customWidth="1"/>
    <col min="6127" max="6148" width="0" style="891" hidden="1" customWidth="1"/>
    <col min="6149" max="6149" width="9" style="891"/>
    <col min="6150" max="6150" width="8.875" style="891" bestFit="1" customWidth="1"/>
    <col min="6151" max="6378" width="9" style="891"/>
    <col min="6379" max="6379" width="6.75" style="891" customWidth="1"/>
    <col min="6380" max="6380" width="57.25" style="891" customWidth="1"/>
    <col min="6381" max="6381" width="11.5" style="891" customWidth="1"/>
    <col min="6382" max="6382" width="19" style="891" customWidth="1"/>
    <col min="6383" max="6404" width="0" style="891" hidden="1" customWidth="1"/>
    <col min="6405" max="6405" width="9" style="891"/>
    <col min="6406" max="6406" width="8.875" style="891" bestFit="1" customWidth="1"/>
    <col min="6407" max="6634" width="9" style="891"/>
    <col min="6635" max="6635" width="6.75" style="891" customWidth="1"/>
    <col min="6636" max="6636" width="57.25" style="891" customWidth="1"/>
    <col min="6637" max="6637" width="11.5" style="891" customWidth="1"/>
    <col min="6638" max="6638" width="19" style="891" customWidth="1"/>
    <col min="6639" max="6660" width="0" style="891" hidden="1" customWidth="1"/>
    <col min="6661" max="6661" width="9" style="891"/>
    <col min="6662" max="6662" width="8.875" style="891" bestFit="1" customWidth="1"/>
    <col min="6663" max="6890" width="9" style="891"/>
    <col min="6891" max="6891" width="6.75" style="891" customWidth="1"/>
    <col min="6892" max="6892" width="57.25" style="891" customWidth="1"/>
    <col min="6893" max="6893" width="11.5" style="891" customWidth="1"/>
    <col min="6894" max="6894" width="19" style="891" customWidth="1"/>
    <col min="6895" max="6916" width="0" style="891" hidden="1" customWidth="1"/>
    <col min="6917" max="6917" width="9" style="891"/>
    <col min="6918" max="6918" width="8.875" style="891" bestFit="1" customWidth="1"/>
    <col min="6919" max="7146" width="9" style="891"/>
    <col min="7147" max="7147" width="6.75" style="891" customWidth="1"/>
    <col min="7148" max="7148" width="57.25" style="891" customWidth="1"/>
    <col min="7149" max="7149" width="11.5" style="891" customWidth="1"/>
    <col min="7150" max="7150" width="19" style="891" customWidth="1"/>
    <col min="7151" max="7172" width="0" style="891" hidden="1" customWidth="1"/>
    <col min="7173" max="7173" width="9" style="891"/>
    <col min="7174" max="7174" width="8.875" style="891" bestFit="1" customWidth="1"/>
    <col min="7175" max="7402" width="9" style="891"/>
    <col min="7403" max="7403" width="6.75" style="891" customWidth="1"/>
    <col min="7404" max="7404" width="57.25" style="891" customWidth="1"/>
    <col min="7405" max="7405" width="11.5" style="891" customWidth="1"/>
    <col min="7406" max="7406" width="19" style="891" customWidth="1"/>
    <col min="7407" max="7428" width="0" style="891" hidden="1" customWidth="1"/>
    <col min="7429" max="7429" width="9" style="891"/>
    <col min="7430" max="7430" width="8.875" style="891" bestFit="1" customWidth="1"/>
    <col min="7431" max="7658" width="9" style="891"/>
    <col min="7659" max="7659" width="6.75" style="891" customWidth="1"/>
    <col min="7660" max="7660" width="57.25" style="891" customWidth="1"/>
    <col min="7661" max="7661" width="11.5" style="891" customWidth="1"/>
    <col min="7662" max="7662" width="19" style="891" customWidth="1"/>
    <col min="7663" max="7684" width="0" style="891" hidden="1" customWidth="1"/>
    <col min="7685" max="7685" width="9" style="891"/>
    <col min="7686" max="7686" width="8.875" style="891" bestFit="1" customWidth="1"/>
    <col min="7687" max="7914" width="9" style="891"/>
    <col min="7915" max="7915" width="6.75" style="891" customWidth="1"/>
    <col min="7916" max="7916" width="57.25" style="891" customWidth="1"/>
    <col min="7917" max="7917" width="11.5" style="891" customWidth="1"/>
    <col min="7918" max="7918" width="19" style="891" customWidth="1"/>
    <col min="7919" max="7940" width="0" style="891" hidden="1" customWidth="1"/>
    <col min="7941" max="7941" width="9" style="891"/>
    <col min="7942" max="7942" width="8.875" style="891" bestFit="1" customWidth="1"/>
    <col min="7943" max="8170" width="9" style="891"/>
    <col min="8171" max="8171" width="6.75" style="891" customWidth="1"/>
    <col min="8172" max="8172" width="57.25" style="891" customWidth="1"/>
    <col min="8173" max="8173" width="11.5" style="891" customWidth="1"/>
    <col min="8174" max="8174" width="19" style="891" customWidth="1"/>
    <col min="8175" max="8196" width="0" style="891" hidden="1" customWidth="1"/>
    <col min="8197" max="8197" width="9" style="891"/>
    <col min="8198" max="8198" width="8.875" style="891" bestFit="1" customWidth="1"/>
    <col min="8199" max="8426" width="9" style="891"/>
    <col min="8427" max="8427" width="6.75" style="891" customWidth="1"/>
    <col min="8428" max="8428" width="57.25" style="891" customWidth="1"/>
    <col min="8429" max="8429" width="11.5" style="891" customWidth="1"/>
    <col min="8430" max="8430" width="19" style="891" customWidth="1"/>
    <col min="8431" max="8452" width="0" style="891" hidden="1" customWidth="1"/>
    <col min="8453" max="8453" width="9" style="891"/>
    <col min="8454" max="8454" width="8.875" style="891" bestFit="1" customWidth="1"/>
    <col min="8455" max="8682" width="9" style="891"/>
    <col min="8683" max="8683" width="6.75" style="891" customWidth="1"/>
    <col min="8684" max="8684" width="57.25" style="891" customWidth="1"/>
    <col min="8685" max="8685" width="11.5" style="891" customWidth="1"/>
    <col min="8686" max="8686" width="19" style="891" customWidth="1"/>
    <col min="8687" max="8708" width="0" style="891" hidden="1" customWidth="1"/>
    <col min="8709" max="8709" width="9" style="891"/>
    <col min="8710" max="8710" width="8.875" style="891" bestFit="1" customWidth="1"/>
    <col min="8711" max="8938" width="9" style="891"/>
    <col min="8939" max="8939" width="6.75" style="891" customWidth="1"/>
    <col min="8940" max="8940" width="57.25" style="891" customWidth="1"/>
    <col min="8941" max="8941" width="11.5" style="891" customWidth="1"/>
    <col min="8942" max="8942" width="19" style="891" customWidth="1"/>
    <col min="8943" max="8964" width="0" style="891" hidden="1" customWidth="1"/>
    <col min="8965" max="8965" width="9" style="891"/>
    <col min="8966" max="8966" width="8.875" style="891" bestFit="1" customWidth="1"/>
    <col min="8967" max="9194" width="9" style="891"/>
    <col min="9195" max="9195" width="6.75" style="891" customWidth="1"/>
    <col min="9196" max="9196" width="57.25" style="891" customWidth="1"/>
    <col min="9197" max="9197" width="11.5" style="891" customWidth="1"/>
    <col min="9198" max="9198" width="19" style="891" customWidth="1"/>
    <col min="9199" max="9220" width="0" style="891" hidden="1" customWidth="1"/>
    <col min="9221" max="9221" width="9" style="891"/>
    <col min="9222" max="9222" width="8.875" style="891" bestFit="1" customWidth="1"/>
    <col min="9223" max="9450" width="9" style="891"/>
    <col min="9451" max="9451" width="6.75" style="891" customWidth="1"/>
    <col min="9452" max="9452" width="57.25" style="891" customWidth="1"/>
    <col min="9453" max="9453" width="11.5" style="891" customWidth="1"/>
    <col min="9454" max="9454" width="19" style="891" customWidth="1"/>
    <col min="9455" max="9476" width="0" style="891" hidden="1" customWidth="1"/>
    <col min="9477" max="9477" width="9" style="891"/>
    <col min="9478" max="9478" width="8.875" style="891" bestFit="1" customWidth="1"/>
    <col min="9479" max="9706" width="9" style="891"/>
    <col min="9707" max="9707" width="6.75" style="891" customWidth="1"/>
    <col min="9708" max="9708" width="57.25" style="891" customWidth="1"/>
    <col min="9709" max="9709" width="11.5" style="891" customWidth="1"/>
    <col min="9710" max="9710" width="19" style="891" customWidth="1"/>
    <col min="9711" max="9732" width="0" style="891" hidden="1" customWidth="1"/>
    <col min="9733" max="9733" width="9" style="891"/>
    <col min="9734" max="9734" width="8.875" style="891" bestFit="1" customWidth="1"/>
    <col min="9735" max="9962" width="9" style="891"/>
    <col min="9963" max="9963" width="6.75" style="891" customWidth="1"/>
    <col min="9964" max="9964" width="57.25" style="891" customWidth="1"/>
    <col min="9965" max="9965" width="11.5" style="891" customWidth="1"/>
    <col min="9966" max="9966" width="19" style="891" customWidth="1"/>
    <col min="9967" max="9988" width="0" style="891" hidden="1" customWidth="1"/>
    <col min="9989" max="9989" width="9" style="891"/>
    <col min="9990" max="9990" width="8.875" style="891" bestFit="1" customWidth="1"/>
    <col min="9991" max="10218" width="9" style="891"/>
    <col min="10219" max="10219" width="6.75" style="891" customWidth="1"/>
    <col min="10220" max="10220" width="57.25" style="891" customWidth="1"/>
    <col min="10221" max="10221" width="11.5" style="891" customWidth="1"/>
    <col min="10222" max="10222" width="19" style="891" customWidth="1"/>
    <col min="10223" max="10244" width="0" style="891" hidden="1" customWidth="1"/>
    <col min="10245" max="10245" width="9" style="891"/>
    <col min="10246" max="10246" width="8.875" style="891" bestFit="1" customWidth="1"/>
    <col min="10247" max="10474" width="9" style="891"/>
    <col min="10475" max="10475" width="6.75" style="891" customWidth="1"/>
    <col min="10476" max="10476" width="57.25" style="891" customWidth="1"/>
    <col min="10477" max="10477" width="11.5" style="891" customWidth="1"/>
    <col min="10478" max="10478" width="19" style="891" customWidth="1"/>
    <col min="10479" max="10500" width="0" style="891" hidden="1" customWidth="1"/>
    <col min="10501" max="10501" width="9" style="891"/>
    <col min="10502" max="10502" width="8.875" style="891" bestFit="1" customWidth="1"/>
    <col min="10503" max="10730" width="9" style="891"/>
    <col min="10731" max="10731" width="6.75" style="891" customWidth="1"/>
    <col min="10732" max="10732" width="57.25" style="891" customWidth="1"/>
    <col min="10733" max="10733" width="11.5" style="891" customWidth="1"/>
    <col min="10734" max="10734" width="19" style="891" customWidth="1"/>
    <col min="10735" max="10756" width="0" style="891" hidden="1" customWidth="1"/>
    <col min="10757" max="10757" width="9" style="891"/>
    <col min="10758" max="10758" width="8.875" style="891" bestFit="1" customWidth="1"/>
    <col min="10759" max="10986" width="9" style="891"/>
    <col min="10987" max="10987" width="6.75" style="891" customWidth="1"/>
    <col min="10988" max="10988" width="57.25" style="891" customWidth="1"/>
    <col min="10989" max="10989" width="11.5" style="891" customWidth="1"/>
    <col min="10990" max="10990" width="19" style="891" customWidth="1"/>
    <col min="10991" max="11012" width="0" style="891" hidden="1" customWidth="1"/>
    <col min="11013" max="11013" width="9" style="891"/>
    <col min="11014" max="11014" width="8.875" style="891" bestFit="1" customWidth="1"/>
    <col min="11015" max="11242" width="9" style="891"/>
    <col min="11243" max="11243" width="6.75" style="891" customWidth="1"/>
    <col min="11244" max="11244" width="57.25" style="891" customWidth="1"/>
    <col min="11245" max="11245" width="11.5" style="891" customWidth="1"/>
    <col min="11246" max="11246" width="19" style="891" customWidth="1"/>
    <col min="11247" max="11268" width="0" style="891" hidden="1" customWidth="1"/>
    <col min="11269" max="11269" width="9" style="891"/>
    <col min="11270" max="11270" width="8.875" style="891" bestFit="1" customWidth="1"/>
    <col min="11271" max="11498" width="9" style="891"/>
    <col min="11499" max="11499" width="6.75" style="891" customWidth="1"/>
    <col min="11500" max="11500" width="57.25" style="891" customWidth="1"/>
    <col min="11501" max="11501" width="11.5" style="891" customWidth="1"/>
    <col min="11502" max="11502" width="19" style="891" customWidth="1"/>
    <col min="11503" max="11524" width="0" style="891" hidden="1" customWidth="1"/>
    <col min="11525" max="11525" width="9" style="891"/>
    <col min="11526" max="11526" width="8.875" style="891" bestFit="1" customWidth="1"/>
    <col min="11527" max="11754" width="9" style="891"/>
    <col min="11755" max="11755" width="6.75" style="891" customWidth="1"/>
    <col min="11756" max="11756" width="57.25" style="891" customWidth="1"/>
    <col min="11757" max="11757" width="11.5" style="891" customWidth="1"/>
    <col min="11758" max="11758" width="19" style="891" customWidth="1"/>
    <col min="11759" max="11780" width="0" style="891" hidden="1" customWidth="1"/>
    <col min="11781" max="11781" width="9" style="891"/>
    <col min="11782" max="11782" width="8.875" style="891" bestFit="1" customWidth="1"/>
    <col min="11783" max="12010" width="9" style="891"/>
    <col min="12011" max="12011" width="6.75" style="891" customWidth="1"/>
    <col min="12012" max="12012" width="57.25" style="891" customWidth="1"/>
    <col min="12013" max="12013" width="11.5" style="891" customWidth="1"/>
    <col min="12014" max="12014" width="19" style="891" customWidth="1"/>
    <col min="12015" max="12036" width="0" style="891" hidden="1" customWidth="1"/>
    <col min="12037" max="12037" width="9" style="891"/>
    <col min="12038" max="12038" width="8.875" style="891" bestFit="1" customWidth="1"/>
    <col min="12039" max="12266" width="9" style="891"/>
    <col min="12267" max="12267" width="6.75" style="891" customWidth="1"/>
    <col min="12268" max="12268" width="57.25" style="891" customWidth="1"/>
    <col min="12269" max="12269" width="11.5" style="891" customWidth="1"/>
    <col min="12270" max="12270" width="19" style="891" customWidth="1"/>
    <col min="12271" max="12292" width="0" style="891" hidden="1" customWidth="1"/>
    <col min="12293" max="12293" width="9" style="891"/>
    <col min="12294" max="12294" width="8.875" style="891" bestFit="1" customWidth="1"/>
    <col min="12295" max="12522" width="9" style="891"/>
    <col min="12523" max="12523" width="6.75" style="891" customWidth="1"/>
    <col min="12524" max="12524" width="57.25" style="891" customWidth="1"/>
    <col min="12525" max="12525" width="11.5" style="891" customWidth="1"/>
    <col min="12526" max="12526" width="19" style="891" customWidth="1"/>
    <col min="12527" max="12548" width="0" style="891" hidden="1" customWidth="1"/>
    <col min="12549" max="12549" width="9" style="891"/>
    <col min="12550" max="12550" width="8.875" style="891" bestFit="1" customWidth="1"/>
    <col min="12551" max="12778" width="9" style="891"/>
    <col min="12779" max="12779" width="6.75" style="891" customWidth="1"/>
    <col min="12780" max="12780" width="57.25" style="891" customWidth="1"/>
    <col min="12781" max="12781" width="11.5" style="891" customWidth="1"/>
    <col min="12782" max="12782" width="19" style="891" customWidth="1"/>
    <col min="12783" max="12804" width="0" style="891" hidden="1" customWidth="1"/>
    <col min="12805" max="12805" width="9" style="891"/>
    <col min="12806" max="12806" width="8.875" style="891" bestFit="1" customWidth="1"/>
    <col min="12807" max="13034" width="9" style="891"/>
    <col min="13035" max="13035" width="6.75" style="891" customWidth="1"/>
    <col min="13036" max="13036" width="57.25" style="891" customWidth="1"/>
    <col min="13037" max="13037" width="11.5" style="891" customWidth="1"/>
    <col min="13038" max="13038" width="19" style="891" customWidth="1"/>
    <col min="13039" max="13060" width="0" style="891" hidden="1" customWidth="1"/>
    <col min="13061" max="13061" width="9" style="891"/>
    <col min="13062" max="13062" width="8.875" style="891" bestFit="1" customWidth="1"/>
    <col min="13063" max="13290" width="9" style="891"/>
    <col min="13291" max="13291" width="6.75" style="891" customWidth="1"/>
    <col min="13292" max="13292" width="57.25" style="891" customWidth="1"/>
    <col min="13293" max="13293" width="11.5" style="891" customWidth="1"/>
    <col min="13294" max="13294" width="19" style="891" customWidth="1"/>
    <col min="13295" max="13316" width="0" style="891" hidden="1" customWidth="1"/>
    <col min="13317" max="13317" width="9" style="891"/>
    <col min="13318" max="13318" width="8.875" style="891" bestFit="1" customWidth="1"/>
    <col min="13319" max="13546" width="9" style="891"/>
    <col min="13547" max="13547" width="6.75" style="891" customWidth="1"/>
    <col min="13548" max="13548" width="57.25" style="891" customWidth="1"/>
    <col min="13549" max="13549" width="11.5" style="891" customWidth="1"/>
    <col min="13550" max="13550" width="19" style="891" customWidth="1"/>
    <col min="13551" max="13572" width="0" style="891" hidden="1" customWidth="1"/>
    <col min="13573" max="13573" width="9" style="891"/>
    <col min="13574" max="13574" width="8.875" style="891" bestFit="1" customWidth="1"/>
    <col min="13575" max="13802" width="9" style="891"/>
    <col min="13803" max="13803" width="6.75" style="891" customWidth="1"/>
    <col min="13804" max="13804" width="57.25" style="891" customWidth="1"/>
    <col min="13805" max="13805" width="11.5" style="891" customWidth="1"/>
    <col min="13806" max="13806" width="19" style="891" customWidth="1"/>
    <col min="13807" max="13828" width="0" style="891" hidden="1" customWidth="1"/>
    <col min="13829" max="13829" width="9" style="891"/>
    <col min="13830" max="13830" width="8.875" style="891" bestFit="1" customWidth="1"/>
    <col min="13831" max="14058" width="9" style="891"/>
    <col min="14059" max="14059" width="6.75" style="891" customWidth="1"/>
    <col min="14060" max="14060" width="57.25" style="891" customWidth="1"/>
    <col min="14061" max="14061" width="11.5" style="891" customWidth="1"/>
    <col min="14062" max="14062" width="19" style="891" customWidth="1"/>
    <col min="14063" max="14084" width="0" style="891" hidden="1" customWidth="1"/>
    <col min="14085" max="14085" width="9" style="891"/>
    <col min="14086" max="14086" width="8.875" style="891" bestFit="1" customWidth="1"/>
    <col min="14087" max="14314" width="9" style="891"/>
    <col min="14315" max="14315" width="6.75" style="891" customWidth="1"/>
    <col min="14316" max="14316" width="57.25" style="891" customWidth="1"/>
    <col min="14317" max="14317" width="11.5" style="891" customWidth="1"/>
    <col min="14318" max="14318" width="19" style="891" customWidth="1"/>
    <col min="14319" max="14340" width="0" style="891" hidden="1" customWidth="1"/>
    <col min="14341" max="14341" width="9" style="891"/>
    <col min="14342" max="14342" width="8.875" style="891" bestFit="1" customWidth="1"/>
    <col min="14343" max="14570" width="9" style="891"/>
    <col min="14571" max="14571" width="6.75" style="891" customWidth="1"/>
    <col min="14572" max="14572" width="57.25" style="891" customWidth="1"/>
    <col min="14573" max="14573" width="11.5" style="891" customWidth="1"/>
    <col min="14574" max="14574" width="19" style="891" customWidth="1"/>
    <col min="14575" max="14596" width="0" style="891" hidden="1" customWidth="1"/>
    <col min="14597" max="14597" width="9" style="891"/>
    <col min="14598" max="14598" width="8.875" style="891" bestFit="1" customWidth="1"/>
    <col min="14599" max="14826" width="9" style="891"/>
    <col min="14827" max="14827" width="6.75" style="891" customWidth="1"/>
    <col min="14828" max="14828" width="57.25" style="891" customWidth="1"/>
    <col min="14829" max="14829" width="11.5" style="891" customWidth="1"/>
    <col min="14830" max="14830" width="19" style="891" customWidth="1"/>
    <col min="14831" max="14852" width="0" style="891" hidden="1" customWidth="1"/>
    <col min="14853" max="14853" width="9" style="891"/>
    <col min="14854" max="14854" width="8.875" style="891" bestFit="1" customWidth="1"/>
    <col min="14855" max="15082" width="9" style="891"/>
    <col min="15083" max="15083" width="6.75" style="891" customWidth="1"/>
    <col min="15084" max="15084" width="57.25" style="891" customWidth="1"/>
    <col min="15085" max="15085" width="11.5" style="891" customWidth="1"/>
    <col min="15086" max="15086" width="19" style="891" customWidth="1"/>
    <col min="15087" max="15108" width="0" style="891" hidden="1" customWidth="1"/>
    <col min="15109" max="15109" width="9" style="891"/>
    <col min="15110" max="15110" width="8.875" style="891" bestFit="1" customWidth="1"/>
    <col min="15111" max="15338" width="9" style="891"/>
    <col min="15339" max="15339" width="6.75" style="891" customWidth="1"/>
    <col min="15340" max="15340" width="57.25" style="891" customWidth="1"/>
    <col min="15341" max="15341" width="11.5" style="891" customWidth="1"/>
    <col min="15342" max="15342" width="19" style="891" customWidth="1"/>
    <col min="15343" max="15364" width="0" style="891" hidden="1" customWidth="1"/>
    <col min="15365" max="15365" width="9" style="891"/>
    <col min="15366" max="15366" width="8.875" style="891" bestFit="1" customWidth="1"/>
    <col min="15367" max="15594" width="9" style="891"/>
    <col min="15595" max="15595" width="6.75" style="891" customWidth="1"/>
    <col min="15596" max="15596" width="57.25" style="891" customWidth="1"/>
    <col min="15597" max="15597" width="11.5" style="891" customWidth="1"/>
    <col min="15598" max="15598" width="19" style="891" customWidth="1"/>
    <col min="15599" max="15620" width="0" style="891" hidden="1" customWidth="1"/>
    <col min="15621" max="15621" width="9" style="891"/>
    <col min="15622" max="15622" width="8.875" style="891" bestFit="1" customWidth="1"/>
    <col min="15623" max="15850" width="9" style="891"/>
    <col min="15851" max="15851" width="6.75" style="891" customWidth="1"/>
    <col min="15852" max="15852" width="57.25" style="891" customWidth="1"/>
    <col min="15853" max="15853" width="11.5" style="891" customWidth="1"/>
    <col min="15854" max="15854" width="19" style="891" customWidth="1"/>
    <col min="15855" max="15876" width="0" style="891" hidden="1" customWidth="1"/>
    <col min="15877" max="15877" width="9" style="891"/>
    <col min="15878" max="15878" width="8.875" style="891" bestFit="1" customWidth="1"/>
    <col min="15879" max="16106" width="9" style="891"/>
    <col min="16107" max="16107" width="6.75" style="891" customWidth="1"/>
    <col min="16108" max="16108" width="57.25" style="891" customWidth="1"/>
    <col min="16109" max="16109" width="11.5" style="891" customWidth="1"/>
    <col min="16110" max="16110" width="19" style="891" customWidth="1"/>
    <col min="16111" max="16132" width="0" style="891" hidden="1" customWidth="1"/>
    <col min="16133" max="16133" width="9" style="891"/>
    <col min="16134" max="16134" width="8.875" style="891" bestFit="1" customWidth="1"/>
    <col min="16135" max="16384" width="9" style="891"/>
  </cols>
  <sheetData>
    <row r="1" spans="1:11" ht="117" customHeight="1">
      <c r="C1" s="922"/>
      <c r="D1" s="922"/>
      <c r="E1" s="922"/>
      <c r="F1" s="922"/>
      <c r="I1" s="1340" t="s">
        <v>667</v>
      </c>
      <c r="J1" s="1341"/>
      <c r="K1" s="1341"/>
    </row>
    <row r="2" spans="1:11" ht="18" customHeight="1">
      <c r="B2" s="1281"/>
      <c r="C2" s="1281"/>
      <c r="D2" s="1281"/>
    </row>
    <row r="3" spans="1:11" ht="50.25" customHeight="1">
      <c r="A3" s="1294" t="s">
        <v>643</v>
      </c>
      <c r="B3" s="1294"/>
      <c r="C3" s="1294"/>
      <c r="D3" s="1294"/>
      <c r="E3" s="1294"/>
      <c r="F3" s="1294"/>
      <c r="G3" s="1294"/>
      <c r="H3" s="1294"/>
      <c r="I3" s="1294"/>
      <c r="J3" s="1294"/>
      <c r="K3" s="1294"/>
    </row>
    <row r="4" spans="1:11" s="923" customFormat="1" ht="32.450000000000003" customHeight="1">
      <c r="A4" s="1286" t="s">
        <v>62</v>
      </c>
      <c r="B4" s="1286" t="s">
        <v>590</v>
      </c>
      <c r="C4" s="1286" t="s">
        <v>591</v>
      </c>
      <c r="D4" s="1286" t="s">
        <v>592</v>
      </c>
      <c r="E4" s="1286" t="s">
        <v>593</v>
      </c>
      <c r="F4" s="1289" t="s">
        <v>594</v>
      </c>
      <c r="G4" s="1304" t="s">
        <v>595</v>
      </c>
      <c r="H4" s="1305"/>
      <c r="I4" s="1306"/>
      <c r="J4" s="1289" t="s">
        <v>596</v>
      </c>
      <c r="K4" s="1289" t="s">
        <v>597</v>
      </c>
    </row>
    <row r="5" spans="1:11" s="923" customFormat="1" ht="149.25" customHeight="1">
      <c r="A5" s="1287"/>
      <c r="B5" s="1287"/>
      <c r="C5" s="1287"/>
      <c r="D5" s="1288"/>
      <c r="E5" s="1288"/>
      <c r="F5" s="1290"/>
      <c r="G5" s="1198" t="s">
        <v>598</v>
      </c>
      <c r="H5" s="1198" t="s">
        <v>599</v>
      </c>
      <c r="I5" s="1198" t="s">
        <v>600</v>
      </c>
      <c r="J5" s="1290"/>
      <c r="K5" s="1290"/>
    </row>
    <row r="6" spans="1:11" s="923" customFormat="1" ht="27.75" customHeight="1">
      <c r="A6" s="1288"/>
      <c r="B6" s="1307"/>
      <c r="C6" s="1288"/>
      <c r="D6" s="1199" t="s">
        <v>587</v>
      </c>
      <c r="E6" s="1199" t="s">
        <v>1</v>
      </c>
      <c r="F6" s="1198" t="s">
        <v>1</v>
      </c>
      <c r="G6" s="1198" t="s">
        <v>581</v>
      </c>
      <c r="H6" s="1198" t="s">
        <v>668</v>
      </c>
      <c r="I6" s="1198" t="s">
        <v>1</v>
      </c>
      <c r="J6" s="1199"/>
      <c r="K6" s="1198"/>
    </row>
    <row r="7" spans="1:11" s="929" customFormat="1" ht="20.25" customHeight="1">
      <c r="A7" s="926">
        <v>1</v>
      </c>
      <c r="B7" s="927">
        <v>2</v>
      </c>
      <c r="C7" s="927">
        <v>3</v>
      </c>
      <c r="D7" s="928">
        <v>4</v>
      </c>
      <c r="E7" s="927">
        <v>5</v>
      </c>
      <c r="F7" s="927">
        <v>6</v>
      </c>
      <c r="G7" s="928">
        <v>6</v>
      </c>
      <c r="H7" s="927">
        <v>7</v>
      </c>
      <c r="I7" s="928">
        <v>8</v>
      </c>
      <c r="J7" s="927">
        <v>9</v>
      </c>
      <c r="K7" s="928">
        <v>10</v>
      </c>
    </row>
    <row r="8" spans="1:11" s="901" customFormat="1" ht="19.5" customHeight="1">
      <c r="A8" s="1295">
        <v>1</v>
      </c>
      <c r="B8" s="1298" t="s">
        <v>601</v>
      </c>
      <c r="C8" s="930" t="s">
        <v>421</v>
      </c>
      <c r="D8" s="1301">
        <v>1045.96</v>
      </c>
      <c r="E8" s="931">
        <f>'[180]Кальк_2016-2018'!F7</f>
        <v>0.01</v>
      </c>
      <c r="F8" s="931">
        <f>'[180]Кальк_2016-2018'!F98</f>
        <v>0.13490935287956796</v>
      </c>
      <c r="G8" s="932" t="s">
        <v>602</v>
      </c>
      <c r="H8" s="1056">
        <v>2.9</v>
      </c>
      <c r="I8" s="1056">
        <v>5.3</v>
      </c>
      <c r="J8" s="932" t="s">
        <v>602</v>
      </c>
      <c r="K8" s="932" t="s">
        <v>602</v>
      </c>
    </row>
    <row r="9" spans="1:11" ht="19.5" customHeight="1">
      <c r="A9" s="1296"/>
      <c r="B9" s="1299"/>
      <c r="C9" s="930" t="s">
        <v>450</v>
      </c>
      <c r="D9" s="1302"/>
      <c r="E9" s="931">
        <v>0.01</v>
      </c>
      <c r="F9" s="931">
        <f>'[180]Кальк_2016-2018'!K98</f>
        <v>0.14413500565299092</v>
      </c>
      <c r="G9" s="932" t="s">
        <v>602</v>
      </c>
      <c r="H9" s="1056">
        <v>2.9</v>
      </c>
      <c r="I9" s="1056">
        <v>5.3</v>
      </c>
      <c r="J9" s="932" t="s">
        <v>602</v>
      </c>
      <c r="K9" s="932" t="s">
        <v>602</v>
      </c>
    </row>
    <row r="10" spans="1:11" ht="19.5" customHeight="1">
      <c r="A10" s="1296"/>
      <c r="B10" s="1299"/>
      <c r="C10" s="930" t="s">
        <v>451</v>
      </c>
      <c r="D10" s="1302"/>
      <c r="E10" s="931">
        <v>0.01</v>
      </c>
      <c r="F10" s="931"/>
      <c r="G10" s="932" t="s">
        <v>602</v>
      </c>
      <c r="H10" s="1056">
        <v>2.9</v>
      </c>
      <c r="I10" s="1056">
        <v>5.3</v>
      </c>
      <c r="J10" s="932" t="s">
        <v>602</v>
      </c>
      <c r="K10" s="932" t="s">
        <v>602</v>
      </c>
    </row>
    <row r="11" spans="1:11" ht="19.5" customHeight="1">
      <c r="A11" s="1296"/>
      <c r="B11" s="1299"/>
      <c r="C11" s="930" t="s">
        <v>454</v>
      </c>
      <c r="D11" s="1302"/>
      <c r="E11" s="931">
        <v>0.01</v>
      </c>
      <c r="F11" s="931"/>
      <c r="G11" s="932" t="s">
        <v>602</v>
      </c>
      <c r="H11" s="1056">
        <v>2.9</v>
      </c>
      <c r="I11" s="1056">
        <v>5.3</v>
      </c>
      <c r="J11" s="932" t="s">
        <v>602</v>
      </c>
      <c r="K11" s="932" t="s">
        <v>602</v>
      </c>
    </row>
    <row r="12" spans="1:11" s="905" customFormat="1" ht="19.5" customHeight="1">
      <c r="A12" s="1297"/>
      <c r="B12" s="1300"/>
      <c r="C12" s="930" t="s">
        <v>455</v>
      </c>
      <c r="D12" s="1303"/>
      <c r="E12" s="931">
        <v>0.01</v>
      </c>
      <c r="F12" s="931">
        <f>'[180]Кальк_2016-2018'!P98</f>
        <v>0.13816198770483315</v>
      </c>
      <c r="G12" s="932" t="s">
        <v>602</v>
      </c>
      <c r="H12" s="1056">
        <v>2.9</v>
      </c>
      <c r="I12" s="1056">
        <v>5.3</v>
      </c>
      <c r="J12" s="932" t="s">
        <v>602</v>
      </c>
      <c r="K12" s="932" t="s">
        <v>602</v>
      </c>
    </row>
    <row r="13" spans="1:11" s="901" customFormat="1" ht="19.5" customHeight="1">
      <c r="A13" s="1295">
        <v>2</v>
      </c>
      <c r="B13" s="1298" t="s">
        <v>603</v>
      </c>
      <c r="C13" s="930" t="s">
        <v>421</v>
      </c>
      <c r="D13" s="1301">
        <v>5981.62</v>
      </c>
      <c r="E13" s="931">
        <v>0.01</v>
      </c>
      <c r="F13" s="931">
        <f>F8</f>
        <v>0.13490935287956796</v>
      </c>
      <c r="G13" s="932" t="s">
        <v>602</v>
      </c>
      <c r="H13" s="1056">
        <v>2.9</v>
      </c>
      <c r="I13" s="1056">
        <v>5.3</v>
      </c>
      <c r="J13" s="932" t="s">
        <v>602</v>
      </c>
      <c r="K13" s="932" t="s">
        <v>602</v>
      </c>
    </row>
    <row r="14" spans="1:11" ht="19.5" customHeight="1">
      <c r="A14" s="1296"/>
      <c r="B14" s="1299"/>
      <c r="C14" s="930" t="s">
        <v>450</v>
      </c>
      <c r="D14" s="1302"/>
      <c r="E14" s="931">
        <v>0.01</v>
      </c>
      <c r="F14" s="931">
        <f>F9</f>
        <v>0.14413500565299092</v>
      </c>
      <c r="G14" s="932" t="s">
        <v>602</v>
      </c>
      <c r="H14" s="1056">
        <v>2.9</v>
      </c>
      <c r="I14" s="1056">
        <v>5.3</v>
      </c>
      <c r="J14" s="932" t="s">
        <v>602</v>
      </c>
      <c r="K14" s="932" t="s">
        <v>602</v>
      </c>
    </row>
    <row r="15" spans="1:11" ht="19.5" customHeight="1">
      <c r="A15" s="1296"/>
      <c r="B15" s="1299"/>
      <c r="C15" s="930" t="s">
        <v>451</v>
      </c>
      <c r="D15" s="1302"/>
      <c r="E15" s="931">
        <v>0.01</v>
      </c>
      <c r="F15" s="931"/>
      <c r="G15" s="932" t="s">
        <v>602</v>
      </c>
      <c r="H15" s="1056">
        <v>2.9</v>
      </c>
      <c r="I15" s="1056">
        <v>5.3</v>
      </c>
      <c r="J15" s="932" t="s">
        <v>602</v>
      </c>
      <c r="K15" s="932" t="s">
        <v>602</v>
      </c>
    </row>
    <row r="16" spans="1:11" ht="19.5" customHeight="1">
      <c r="A16" s="1296"/>
      <c r="B16" s="1299"/>
      <c r="C16" s="930" t="s">
        <v>454</v>
      </c>
      <c r="D16" s="1302"/>
      <c r="E16" s="931">
        <v>0.01</v>
      </c>
      <c r="F16" s="931"/>
      <c r="G16" s="932" t="s">
        <v>602</v>
      </c>
      <c r="H16" s="1056">
        <v>2.9</v>
      </c>
      <c r="I16" s="1056">
        <v>5.3</v>
      </c>
      <c r="J16" s="932" t="s">
        <v>602</v>
      </c>
      <c r="K16" s="932" t="s">
        <v>602</v>
      </c>
    </row>
    <row r="17" spans="1:11" s="905" customFormat="1" ht="19.5" customHeight="1">
      <c r="A17" s="1297"/>
      <c r="B17" s="1300"/>
      <c r="C17" s="930" t="s">
        <v>455</v>
      </c>
      <c r="D17" s="1303"/>
      <c r="E17" s="931">
        <v>0.01</v>
      </c>
      <c r="F17" s="931">
        <f t="shared" ref="F17" si="0">F12</f>
        <v>0.13816198770483315</v>
      </c>
      <c r="G17" s="932" t="s">
        <v>602</v>
      </c>
      <c r="H17" s="1056">
        <v>2.9</v>
      </c>
      <c r="I17" s="1056">
        <v>5.3</v>
      </c>
      <c r="J17" s="932" t="s">
        <v>602</v>
      </c>
      <c r="K17" s="932" t="s">
        <v>602</v>
      </c>
    </row>
    <row r="18" spans="1:11" s="905" customFormat="1" ht="31.9" customHeight="1">
      <c r="A18" s="901"/>
      <c r="B18" s="1291"/>
      <c r="C18" s="1291"/>
      <c r="D18" s="1291"/>
      <c r="E18" s="1291"/>
      <c r="F18" s="1291"/>
      <c r="G18" s="1291"/>
      <c r="H18" s="1291"/>
      <c r="I18" s="1291"/>
      <c r="J18" s="1291"/>
      <c r="K18" s="1291"/>
    </row>
    <row r="19" spans="1:11" s="905" customFormat="1" ht="15.75">
      <c r="A19" s="901"/>
    </row>
    <row r="20" spans="1:11" s="905" customFormat="1" ht="15.75">
      <c r="A20" s="901"/>
    </row>
    <row r="21" spans="1:11" s="905" customFormat="1" ht="15.75">
      <c r="A21" s="901"/>
    </row>
    <row r="22" spans="1:11" s="905" customFormat="1" ht="15.75">
      <c r="A22" s="901"/>
    </row>
  </sheetData>
  <mergeCells count="19">
    <mergeCell ref="I1:K1"/>
    <mergeCell ref="B2:D2"/>
    <mergeCell ref="A3:K3"/>
    <mergeCell ref="A4:A6"/>
    <mergeCell ref="B4:B6"/>
    <mergeCell ref="C4:C6"/>
    <mergeCell ref="D4:D5"/>
    <mergeCell ref="E4:E5"/>
    <mergeCell ref="F4:F5"/>
    <mergeCell ref="G4:I4"/>
    <mergeCell ref="B18:K18"/>
    <mergeCell ref="J4:J5"/>
    <mergeCell ref="K4:K5"/>
    <mergeCell ref="A8:A12"/>
    <mergeCell ref="B8:B12"/>
    <mergeCell ref="D8:D12"/>
    <mergeCell ref="A13:A17"/>
    <mergeCell ref="B13:B17"/>
    <mergeCell ref="D13:D17"/>
  </mergeCells>
  <printOptions horizontalCentered="1"/>
  <pageMargins left="0" right="0" top="0.39370078740157483" bottom="0.35433070866141736" header="0.31496062992125984" footer="0.31496062992125984"/>
  <pageSetup paperSize="9" scale="92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5:V56"/>
  <sheetViews>
    <sheetView topLeftCell="H22" zoomScale="96" zoomScaleNormal="96" zoomScaleSheetLayoutView="70" workbookViewId="0">
      <selection activeCell="U8" sqref="U8"/>
    </sheetView>
  </sheetViews>
  <sheetFormatPr defaultRowHeight="12.75"/>
  <cols>
    <col min="1" max="1" width="2.125" style="2" customWidth="1"/>
    <col min="2" max="2" width="5.375" style="2" customWidth="1"/>
    <col min="3" max="3" width="37.5" style="3" customWidth="1"/>
    <col min="4" max="5" width="13.75" style="7" customWidth="1"/>
    <col min="6" max="6" width="12.5" style="7" customWidth="1"/>
    <col min="7" max="9" width="13.75" style="7" customWidth="1"/>
    <col min="10" max="10" width="12.5" style="7" customWidth="1"/>
    <col min="11" max="12" width="13.75" style="7" customWidth="1"/>
    <col min="13" max="13" width="12.5" style="7" customWidth="1"/>
    <col min="14" max="15" width="13.75" style="7" customWidth="1"/>
    <col min="16" max="16" width="11.5" style="7" customWidth="1"/>
    <col min="17" max="17" width="13.125" style="2" customWidth="1"/>
    <col min="18" max="18" width="11.375" style="2" customWidth="1"/>
    <col min="19" max="19" width="11.5" style="2" customWidth="1"/>
    <col min="20" max="20" width="13" style="2" customWidth="1"/>
    <col min="21" max="21" width="10" style="2" customWidth="1"/>
    <col min="22" max="22" width="10.625" style="2" customWidth="1"/>
    <col min="23" max="258" width="9" style="2"/>
    <col min="259" max="259" width="2.125" style="2" customWidth="1"/>
    <col min="260" max="260" width="27.875" style="2" customWidth="1"/>
    <col min="261" max="261" width="8.75" style="2" customWidth="1"/>
    <col min="262" max="263" width="13.75" style="2" customWidth="1"/>
    <col min="264" max="264" width="12.5" style="2" customWidth="1"/>
    <col min="265" max="265" width="12" style="2" customWidth="1"/>
    <col min="266" max="267" width="14.375" style="2" customWidth="1"/>
    <col min="268" max="270" width="12.5" style="2" customWidth="1"/>
    <col min="271" max="271" width="9" style="2"/>
    <col min="272" max="274" width="9.625" style="2" customWidth="1"/>
    <col min="275" max="514" width="9" style="2"/>
    <col min="515" max="515" width="2.125" style="2" customWidth="1"/>
    <col min="516" max="516" width="27.875" style="2" customWidth="1"/>
    <col min="517" max="517" width="8.75" style="2" customWidth="1"/>
    <col min="518" max="519" width="13.75" style="2" customWidth="1"/>
    <col min="520" max="520" width="12.5" style="2" customWidth="1"/>
    <col min="521" max="521" width="12" style="2" customWidth="1"/>
    <col min="522" max="523" width="14.375" style="2" customWidth="1"/>
    <col min="524" max="526" width="12.5" style="2" customWidth="1"/>
    <col min="527" max="527" width="9" style="2"/>
    <col min="528" max="530" width="9.625" style="2" customWidth="1"/>
    <col min="531" max="770" width="9" style="2"/>
    <col min="771" max="771" width="2.125" style="2" customWidth="1"/>
    <col min="772" max="772" width="27.875" style="2" customWidth="1"/>
    <col min="773" max="773" width="8.75" style="2" customWidth="1"/>
    <col min="774" max="775" width="13.75" style="2" customWidth="1"/>
    <col min="776" max="776" width="12.5" style="2" customWidth="1"/>
    <col min="777" max="777" width="12" style="2" customWidth="1"/>
    <col min="778" max="779" width="14.375" style="2" customWidth="1"/>
    <col min="780" max="782" width="12.5" style="2" customWidth="1"/>
    <col min="783" max="783" width="9" style="2"/>
    <col min="784" max="786" width="9.625" style="2" customWidth="1"/>
    <col min="787" max="1026" width="9" style="2"/>
    <col min="1027" max="1027" width="2.125" style="2" customWidth="1"/>
    <col min="1028" max="1028" width="27.875" style="2" customWidth="1"/>
    <col min="1029" max="1029" width="8.75" style="2" customWidth="1"/>
    <col min="1030" max="1031" width="13.75" style="2" customWidth="1"/>
    <col min="1032" max="1032" width="12.5" style="2" customWidth="1"/>
    <col min="1033" max="1033" width="12" style="2" customWidth="1"/>
    <col min="1034" max="1035" width="14.375" style="2" customWidth="1"/>
    <col min="1036" max="1038" width="12.5" style="2" customWidth="1"/>
    <col min="1039" max="1039" width="9" style="2"/>
    <col min="1040" max="1042" width="9.625" style="2" customWidth="1"/>
    <col min="1043" max="1282" width="9" style="2"/>
    <col min="1283" max="1283" width="2.125" style="2" customWidth="1"/>
    <col min="1284" max="1284" width="27.875" style="2" customWidth="1"/>
    <col min="1285" max="1285" width="8.75" style="2" customWidth="1"/>
    <col min="1286" max="1287" width="13.75" style="2" customWidth="1"/>
    <col min="1288" max="1288" width="12.5" style="2" customWidth="1"/>
    <col min="1289" max="1289" width="12" style="2" customWidth="1"/>
    <col min="1290" max="1291" width="14.375" style="2" customWidth="1"/>
    <col min="1292" max="1294" width="12.5" style="2" customWidth="1"/>
    <col min="1295" max="1295" width="9" style="2"/>
    <col min="1296" max="1298" width="9.625" style="2" customWidth="1"/>
    <col min="1299" max="1538" width="9" style="2"/>
    <col min="1539" max="1539" width="2.125" style="2" customWidth="1"/>
    <col min="1540" max="1540" width="27.875" style="2" customWidth="1"/>
    <col min="1541" max="1541" width="8.75" style="2" customWidth="1"/>
    <col min="1542" max="1543" width="13.75" style="2" customWidth="1"/>
    <col min="1544" max="1544" width="12.5" style="2" customWidth="1"/>
    <col min="1545" max="1545" width="12" style="2" customWidth="1"/>
    <col min="1546" max="1547" width="14.375" style="2" customWidth="1"/>
    <col min="1548" max="1550" width="12.5" style="2" customWidth="1"/>
    <col min="1551" max="1551" width="9" style="2"/>
    <col min="1552" max="1554" width="9.625" style="2" customWidth="1"/>
    <col min="1555" max="1794" width="9" style="2"/>
    <col min="1795" max="1795" width="2.125" style="2" customWidth="1"/>
    <col min="1796" max="1796" width="27.875" style="2" customWidth="1"/>
    <col min="1797" max="1797" width="8.75" style="2" customWidth="1"/>
    <col min="1798" max="1799" width="13.75" style="2" customWidth="1"/>
    <col min="1800" max="1800" width="12.5" style="2" customWidth="1"/>
    <col min="1801" max="1801" width="12" style="2" customWidth="1"/>
    <col min="1802" max="1803" width="14.375" style="2" customWidth="1"/>
    <col min="1804" max="1806" width="12.5" style="2" customWidth="1"/>
    <col min="1807" max="1807" width="9" style="2"/>
    <col min="1808" max="1810" width="9.625" style="2" customWidth="1"/>
    <col min="1811" max="2050" width="9" style="2"/>
    <col min="2051" max="2051" width="2.125" style="2" customWidth="1"/>
    <col min="2052" max="2052" width="27.875" style="2" customWidth="1"/>
    <col min="2053" max="2053" width="8.75" style="2" customWidth="1"/>
    <col min="2054" max="2055" width="13.75" style="2" customWidth="1"/>
    <col min="2056" max="2056" width="12.5" style="2" customWidth="1"/>
    <col min="2057" max="2057" width="12" style="2" customWidth="1"/>
    <col min="2058" max="2059" width="14.375" style="2" customWidth="1"/>
    <col min="2060" max="2062" width="12.5" style="2" customWidth="1"/>
    <col min="2063" max="2063" width="9" style="2"/>
    <col min="2064" max="2066" width="9.625" style="2" customWidth="1"/>
    <col min="2067" max="2306" width="9" style="2"/>
    <col min="2307" max="2307" width="2.125" style="2" customWidth="1"/>
    <col min="2308" max="2308" width="27.875" style="2" customWidth="1"/>
    <col min="2309" max="2309" width="8.75" style="2" customWidth="1"/>
    <col min="2310" max="2311" width="13.75" style="2" customWidth="1"/>
    <col min="2312" max="2312" width="12.5" style="2" customWidth="1"/>
    <col min="2313" max="2313" width="12" style="2" customWidth="1"/>
    <col min="2314" max="2315" width="14.375" style="2" customWidth="1"/>
    <col min="2316" max="2318" width="12.5" style="2" customWidth="1"/>
    <col min="2319" max="2319" width="9" style="2"/>
    <col min="2320" max="2322" width="9.625" style="2" customWidth="1"/>
    <col min="2323" max="2562" width="9" style="2"/>
    <col min="2563" max="2563" width="2.125" style="2" customWidth="1"/>
    <col min="2564" max="2564" width="27.875" style="2" customWidth="1"/>
    <col min="2565" max="2565" width="8.75" style="2" customWidth="1"/>
    <col min="2566" max="2567" width="13.75" style="2" customWidth="1"/>
    <col min="2568" max="2568" width="12.5" style="2" customWidth="1"/>
    <col min="2569" max="2569" width="12" style="2" customWidth="1"/>
    <col min="2570" max="2571" width="14.375" style="2" customWidth="1"/>
    <col min="2572" max="2574" width="12.5" style="2" customWidth="1"/>
    <col min="2575" max="2575" width="9" style="2"/>
    <col min="2576" max="2578" width="9.625" style="2" customWidth="1"/>
    <col min="2579" max="2818" width="9" style="2"/>
    <col min="2819" max="2819" width="2.125" style="2" customWidth="1"/>
    <col min="2820" max="2820" width="27.875" style="2" customWidth="1"/>
    <col min="2821" max="2821" width="8.75" style="2" customWidth="1"/>
    <col min="2822" max="2823" width="13.75" style="2" customWidth="1"/>
    <col min="2824" max="2824" width="12.5" style="2" customWidth="1"/>
    <col min="2825" max="2825" width="12" style="2" customWidth="1"/>
    <col min="2826" max="2827" width="14.375" style="2" customWidth="1"/>
    <col min="2828" max="2830" width="12.5" style="2" customWidth="1"/>
    <col min="2831" max="2831" width="9" style="2"/>
    <col min="2832" max="2834" width="9.625" style="2" customWidth="1"/>
    <col min="2835" max="3074" width="9" style="2"/>
    <col min="3075" max="3075" width="2.125" style="2" customWidth="1"/>
    <col min="3076" max="3076" width="27.875" style="2" customWidth="1"/>
    <col min="3077" max="3077" width="8.75" style="2" customWidth="1"/>
    <col min="3078" max="3079" width="13.75" style="2" customWidth="1"/>
    <col min="3080" max="3080" width="12.5" style="2" customWidth="1"/>
    <col min="3081" max="3081" width="12" style="2" customWidth="1"/>
    <col min="3082" max="3083" width="14.375" style="2" customWidth="1"/>
    <col min="3084" max="3086" width="12.5" style="2" customWidth="1"/>
    <col min="3087" max="3087" width="9" style="2"/>
    <col min="3088" max="3090" width="9.625" style="2" customWidth="1"/>
    <col min="3091" max="3330" width="9" style="2"/>
    <col min="3331" max="3331" width="2.125" style="2" customWidth="1"/>
    <col min="3332" max="3332" width="27.875" style="2" customWidth="1"/>
    <col min="3333" max="3333" width="8.75" style="2" customWidth="1"/>
    <col min="3334" max="3335" width="13.75" style="2" customWidth="1"/>
    <col min="3336" max="3336" width="12.5" style="2" customWidth="1"/>
    <col min="3337" max="3337" width="12" style="2" customWidth="1"/>
    <col min="3338" max="3339" width="14.375" style="2" customWidth="1"/>
    <col min="3340" max="3342" width="12.5" style="2" customWidth="1"/>
    <col min="3343" max="3343" width="9" style="2"/>
    <col min="3344" max="3346" width="9.625" style="2" customWidth="1"/>
    <col min="3347" max="3586" width="9" style="2"/>
    <col min="3587" max="3587" width="2.125" style="2" customWidth="1"/>
    <col min="3588" max="3588" width="27.875" style="2" customWidth="1"/>
    <col min="3589" max="3589" width="8.75" style="2" customWidth="1"/>
    <col min="3590" max="3591" width="13.75" style="2" customWidth="1"/>
    <col min="3592" max="3592" width="12.5" style="2" customWidth="1"/>
    <col min="3593" max="3593" width="12" style="2" customWidth="1"/>
    <col min="3594" max="3595" width="14.375" style="2" customWidth="1"/>
    <col min="3596" max="3598" width="12.5" style="2" customWidth="1"/>
    <col min="3599" max="3599" width="9" style="2"/>
    <col min="3600" max="3602" width="9.625" style="2" customWidth="1"/>
    <col min="3603" max="3842" width="9" style="2"/>
    <col min="3843" max="3843" width="2.125" style="2" customWidth="1"/>
    <col min="3844" max="3844" width="27.875" style="2" customWidth="1"/>
    <col min="3845" max="3845" width="8.75" style="2" customWidth="1"/>
    <col min="3846" max="3847" width="13.75" style="2" customWidth="1"/>
    <col min="3848" max="3848" width="12.5" style="2" customWidth="1"/>
    <col min="3849" max="3849" width="12" style="2" customWidth="1"/>
    <col min="3850" max="3851" width="14.375" style="2" customWidth="1"/>
    <col min="3852" max="3854" width="12.5" style="2" customWidth="1"/>
    <col min="3855" max="3855" width="9" style="2"/>
    <col min="3856" max="3858" width="9.625" style="2" customWidth="1"/>
    <col min="3859" max="4098" width="9" style="2"/>
    <col min="4099" max="4099" width="2.125" style="2" customWidth="1"/>
    <col min="4100" max="4100" width="27.875" style="2" customWidth="1"/>
    <col min="4101" max="4101" width="8.75" style="2" customWidth="1"/>
    <col min="4102" max="4103" width="13.75" style="2" customWidth="1"/>
    <col min="4104" max="4104" width="12.5" style="2" customWidth="1"/>
    <col min="4105" max="4105" width="12" style="2" customWidth="1"/>
    <col min="4106" max="4107" width="14.375" style="2" customWidth="1"/>
    <col min="4108" max="4110" width="12.5" style="2" customWidth="1"/>
    <col min="4111" max="4111" width="9" style="2"/>
    <col min="4112" max="4114" width="9.625" style="2" customWidth="1"/>
    <col min="4115" max="4354" width="9" style="2"/>
    <col min="4355" max="4355" width="2.125" style="2" customWidth="1"/>
    <col min="4356" max="4356" width="27.875" style="2" customWidth="1"/>
    <col min="4357" max="4357" width="8.75" style="2" customWidth="1"/>
    <col min="4358" max="4359" width="13.75" style="2" customWidth="1"/>
    <col min="4360" max="4360" width="12.5" style="2" customWidth="1"/>
    <col min="4361" max="4361" width="12" style="2" customWidth="1"/>
    <col min="4362" max="4363" width="14.375" style="2" customWidth="1"/>
    <col min="4364" max="4366" width="12.5" style="2" customWidth="1"/>
    <col min="4367" max="4367" width="9" style="2"/>
    <col min="4368" max="4370" width="9.625" style="2" customWidth="1"/>
    <col min="4371" max="4610" width="9" style="2"/>
    <col min="4611" max="4611" width="2.125" style="2" customWidth="1"/>
    <col min="4612" max="4612" width="27.875" style="2" customWidth="1"/>
    <col min="4613" max="4613" width="8.75" style="2" customWidth="1"/>
    <col min="4614" max="4615" width="13.75" style="2" customWidth="1"/>
    <col min="4616" max="4616" width="12.5" style="2" customWidth="1"/>
    <col min="4617" max="4617" width="12" style="2" customWidth="1"/>
    <col min="4618" max="4619" width="14.375" style="2" customWidth="1"/>
    <col min="4620" max="4622" width="12.5" style="2" customWidth="1"/>
    <col min="4623" max="4623" width="9" style="2"/>
    <col min="4624" max="4626" width="9.625" style="2" customWidth="1"/>
    <col min="4627" max="4866" width="9" style="2"/>
    <col min="4867" max="4867" width="2.125" style="2" customWidth="1"/>
    <col min="4868" max="4868" width="27.875" style="2" customWidth="1"/>
    <col min="4869" max="4869" width="8.75" style="2" customWidth="1"/>
    <col min="4870" max="4871" width="13.75" style="2" customWidth="1"/>
    <col min="4872" max="4872" width="12.5" style="2" customWidth="1"/>
    <col min="4873" max="4873" width="12" style="2" customWidth="1"/>
    <col min="4874" max="4875" width="14.375" style="2" customWidth="1"/>
    <col min="4876" max="4878" width="12.5" style="2" customWidth="1"/>
    <col min="4879" max="4879" width="9" style="2"/>
    <col min="4880" max="4882" width="9.625" style="2" customWidth="1"/>
    <col min="4883" max="5122" width="9" style="2"/>
    <col min="5123" max="5123" width="2.125" style="2" customWidth="1"/>
    <col min="5124" max="5124" width="27.875" style="2" customWidth="1"/>
    <col min="5125" max="5125" width="8.75" style="2" customWidth="1"/>
    <col min="5126" max="5127" width="13.75" style="2" customWidth="1"/>
    <col min="5128" max="5128" width="12.5" style="2" customWidth="1"/>
    <col min="5129" max="5129" width="12" style="2" customWidth="1"/>
    <col min="5130" max="5131" width="14.375" style="2" customWidth="1"/>
    <col min="5132" max="5134" width="12.5" style="2" customWidth="1"/>
    <col min="5135" max="5135" width="9" style="2"/>
    <col min="5136" max="5138" width="9.625" style="2" customWidth="1"/>
    <col min="5139" max="5378" width="9" style="2"/>
    <col min="5379" max="5379" width="2.125" style="2" customWidth="1"/>
    <col min="5380" max="5380" width="27.875" style="2" customWidth="1"/>
    <col min="5381" max="5381" width="8.75" style="2" customWidth="1"/>
    <col min="5382" max="5383" width="13.75" style="2" customWidth="1"/>
    <col min="5384" max="5384" width="12.5" style="2" customWidth="1"/>
    <col min="5385" max="5385" width="12" style="2" customWidth="1"/>
    <col min="5386" max="5387" width="14.375" style="2" customWidth="1"/>
    <col min="5388" max="5390" width="12.5" style="2" customWidth="1"/>
    <col min="5391" max="5391" width="9" style="2"/>
    <col min="5392" max="5394" width="9.625" style="2" customWidth="1"/>
    <col min="5395" max="5634" width="9" style="2"/>
    <col min="5635" max="5635" width="2.125" style="2" customWidth="1"/>
    <col min="5636" max="5636" width="27.875" style="2" customWidth="1"/>
    <col min="5637" max="5637" width="8.75" style="2" customWidth="1"/>
    <col min="5638" max="5639" width="13.75" style="2" customWidth="1"/>
    <col min="5640" max="5640" width="12.5" style="2" customWidth="1"/>
    <col min="5641" max="5641" width="12" style="2" customWidth="1"/>
    <col min="5642" max="5643" width="14.375" style="2" customWidth="1"/>
    <col min="5644" max="5646" width="12.5" style="2" customWidth="1"/>
    <col min="5647" max="5647" width="9" style="2"/>
    <col min="5648" max="5650" width="9.625" style="2" customWidth="1"/>
    <col min="5651" max="5890" width="9" style="2"/>
    <col min="5891" max="5891" width="2.125" style="2" customWidth="1"/>
    <col min="5892" max="5892" width="27.875" style="2" customWidth="1"/>
    <col min="5893" max="5893" width="8.75" style="2" customWidth="1"/>
    <col min="5894" max="5895" width="13.75" style="2" customWidth="1"/>
    <col min="5896" max="5896" width="12.5" style="2" customWidth="1"/>
    <col min="5897" max="5897" width="12" style="2" customWidth="1"/>
    <col min="5898" max="5899" width="14.375" style="2" customWidth="1"/>
    <col min="5900" max="5902" width="12.5" style="2" customWidth="1"/>
    <col min="5903" max="5903" width="9" style="2"/>
    <col min="5904" max="5906" width="9.625" style="2" customWidth="1"/>
    <col min="5907" max="6146" width="9" style="2"/>
    <col min="6147" max="6147" width="2.125" style="2" customWidth="1"/>
    <col min="6148" max="6148" width="27.875" style="2" customWidth="1"/>
    <col min="6149" max="6149" width="8.75" style="2" customWidth="1"/>
    <col min="6150" max="6151" width="13.75" style="2" customWidth="1"/>
    <col min="6152" max="6152" width="12.5" style="2" customWidth="1"/>
    <col min="6153" max="6153" width="12" style="2" customWidth="1"/>
    <col min="6154" max="6155" width="14.375" style="2" customWidth="1"/>
    <col min="6156" max="6158" width="12.5" style="2" customWidth="1"/>
    <col min="6159" max="6159" width="9" style="2"/>
    <col min="6160" max="6162" width="9.625" style="2" customWidth="1"/>
    <col min="6163" max="6402" width="9" style="2"/>
    <col min="6403" max="6403" width="2.125" style="2" customWidth="1"/>
    <col min="6404" max="6404" width="27.875" style="2" customWidth="1"/>
    <col min="6405" max="6405" width="8.75" style="2" customWidth="1"/>
    <col min="6406" max="6407" width="13.75" style="2" customWidth="1"/>
    <col min="6408" max="6408" width="12.5" style="2" customWidth="1"/>
    <col min="6409" max="6409" width="12" style="2" customWidth="1"/>
    <col min="6410" max="6411" width="14.375" style="2" customWidth="1"/>
    <col min="6412" max="6414" width="12.5" style="2" customWidth="1"/>
    <col min="6415" max="6415" width="9" style="2"/>
    <col min="6416" max="6418" width="9.625" style="2" customWidth="1"/>
    <col min="6419" max="6658" width="9" style="2"/>
    <col min="6659" max="6659" width="2.125" style="2" customWidth="1"/>
    <col min="6660" max="6660" width="27.875" style="2" customWidth="1"/>
    <col min="6661" max="6661" width="8.75" style="2" customWidth="1"/>
    <col min="6662" max="6663" width="13.75" style="2" customWidth="1"/>
    <col min="6664" max="6664" width="12.5" style="2" customWidth="1"/>
    <col min="6665" max="6665" width="12" style="2" customWidth="1"/>
    <col min="6666" max="6667" width="14.375" style="2" customWidth="1"/>
    <col min="6668" max="6670" width="12.5" style="2" customWidth="1"/>
    <col min="6671" max="6671" width="9" style="2"/>
    <col min="6672" max="6674" width="9.625" style="2" customWidth="1"/>
    <col min="6675" max="6914" width="9" style="2"/>
    <col min="6915" max="6915" width="2.125" style="2" customWidth="1"/>
    <col min="6916" max="6916" width="27.875" style="2" customWidth="1"/>
    <col min="6917" max="6917" width="8.75" style="2" customWidth="1"/>
    <col min="6918" max="6919" width="13.75" style="2" customWidth="1"/>
    <col min="6920" max="6920" width="12.5" style="2" customWidth="1"/>
    <col min="6921" max="6921" width="12" style="2" customWidth="1"/>
    <col min="6922" max="6923" width="14.375" style="2" customWidth="1"/>
    <col min="6924" max="6926" width="12.5" style="2" customWidth="1"/>
    <col min="6927" max="6927" width="9" style="2"/>
    <col min="6928" max="6930" width="9.625" style="2" customWidth="1"/>
    <col min="6931" max="7170" width="9" style="2"/>
    <col min="7171" max="7171" width="2.125" style="2" customWidth="1"/>
    <col min="7172" max="7172" width="27.875" style="2" customWidth="1"/>
    <col min="7173" max="7173" width="8.75" style="2" customWidth="1"/>
    <col min="7174" max="7175" width="13.75" style="2" customWidth="1"/>
    <col min="7176" max="7176" width="12.5" style="2" customWidth="1"/>
    <col min="7177" max="7177" width="12" style="2" customWidth="1"/>
    <col min="7178" max="7179" width="14.375" style="2" customWidth="1"/>
    <col min="7180" max="7182" width="12.5" style="2" customWidth="1"/>
    <col min="7183" max="7183" width="9" style="2"/>
    <col min="7184" max="7186" width="9.625" style="2" customWidth="1"/>
    <col min="7187" max="7426" width="9" style="2"/>
    <col min="7427" max="7427" width="2.125" style="2" customWidth="1"/>
    <col min="7428" max="7428" width="27.875" style="2" customWidth="1"/>
    <col min="7429" max="7429" width="8.75" style="2" customWidth="1"/>
    <col min="7430" max="7431" width="13.75" style="2" customWidth="1"/>
    <col min="7432" max="7432" width="12.5" style="2" customWidth="1"/>
    <col min="7433" max="7433" width="12" style="2" customWidth="1"/>
    <col min="7434" max="7435" width="14.375" style="2" customWidth="1"/>
    <col min="7436" max="7438" width="12.5" style="2" customWidth="1"/>
    <col min="7439" max="7439" width="9" style="2"/>
    <col min="7440" max="7442" width="9.625" style="2" customWidth="1"/>
    <col min="7443" max="7682" width="9" style="2"/>
    <col min="7683" max="7683" width="2.125" style="2" customWidth="1"/>
    <col min="7684" max="7684" width="27.875" style="2" customWidth="1"/>
    <col min="7685" max="7685" width="8.75" style="2" customWidth="1"/>
    <col min="7686" max="7687" width="13.75" style="2" customWidth="1"/>
    <col min="7688" max="7688" width="12.5" style="2" customWidth="1"/>
    <col min="7689" max="7689" width="12" style="2" customWidth="1"/>
    <col min="7690" max="7691" width="14.375" style="2" customWidth="1"/>
    <col min="7692" max="7694" width="12.5" style="2" customWidth="1"/>
    <col min="7695" max="7695" width="9" style="2"/>
    <col min="7696" max="7698" width="9.625" style="2" customWidth="1"/>
    <col min="7699" max="7938" width="9" style="2"/>
    <col min="7939" max="7939" width="2.125" style="2" customWidth="1"/>
    <col min="7940" max="7940" width="27.875" style="2" customWidth="1"/>
    <col min="7941" max="7941" width="8.75" style="2" customWidth="1"/>
    <col min="7942" max="7943" width="13.75" style="2" customWidth="1"/>
    <col min="7944" max="7944" width="12.5" style="2" customWidth="1"/>
    <col min="7945" max="7945" width="12" style="2" customWidth="1"/>
    <col min="7946" max="7947" width="14.375" style="2" customWidth="1"/>
    <col min="7948" max="7950" width="12.5" style="2" customWidth="1"/>
    <col min="7951" max="7951" width="9" style="2"/>
    <col min="7952" max="7954" width="9.625" style="2" customWidth="1"/>
    <col min="7955" max="8194" width="9" style="2"/>
    <col min="8195" max="8195" width="2.125" style="2" customWidth="1"/>
    <col min="8196" max="8196" width="27.875" style="2" customWidth="1"/>
    <col min="8197" max="8197" width="8.75" style="2" customWidth="1"/>
    <col min="8198" max="8199" width="13.75" style="2" customWidth="1"/>
    <col min="8200" max="8200" width="12.5" style="2" customWidth="1"/>
    <col min="8201" max="8201" width="12" style="2" customWidth="1"/>
    <col min="8202" max="8203" width="14.375" style="2" customWidth="1"/>
    <col min="8204" max="8206" width="12.5" style="2" customWidth="1"/>
    <col min="8207" max="8207" width="9" style="2"/>
    <col min="8208" max="8210" width="9.625" style="2" customWidth="1"/>
    <col min="8211" max="8450" width="9" style="2"/>
    <col min="8451" max="8451" width="2.125" style="2" customWidth="1"/>
    <col min="8452" max="8452" width="27.875" style="2" customWidth="1"/>
    <col min="8453" max="8453" width="8.75" style="2" customWidth="1"/>
    <col min="8454" max="8455" width="13.75" style="2" customWidth="1"/>
    <col min="8456" max="8456" width="12.5" style="2" customWidth="1"/>
    <col min="8457" max="8457" width="12" style="2" customWidth="1"/>
    <col min="8458" max="8459" width="14.375" style="2" customWidth="1"/>
    <col min="8460" max="8462" width="12.5" style="2" customWidth="1"/>
    <col min="8463" max="8463" width="9" style="2"/>
    <col min="8464" max="8466" width="9.625" style="2" customWidth="1"/>
    <col min="8467" max="8706" width="9" style="2"/>
    <col min="8707" max="8707" width="2.125" style="2" customWidth="1"/>
    <col min="8708" max="8708" width="27.875" style="2" customWidth="1"/>
    <col min="8709" max="8709" width="8.75" style="2" customWidth="1"/>
    <col min="8710" max="8711" width="13.75" style="2" customWidth="1"/>
    <col min="8712" max="8712" width="12.5" style="2" customWidth="1"/>
    <col min="8713" max="8713" width="12" style="2" customWidth="1"/>
    <col min="8714" max="8715" width="14.375" style="2" customWidth="1"/>
    <col min="8716" max="8718" width="12.5" style="2" customWidth="1"/>
    <col min="8719" max="8719" width="9" style="2"/>
    <col min="8720" max="8722" width="9.625" style="2" customWidth="1"/>
    <col min="8723" max="8962" width="9" style="2"/>
    <col min="8963" max="8963" width="2.125" style="2" customWidth="1"/>
    <col min="8964" max="8964" width="27.875" style="2" customWidth="1"/>
    <col min="8965" max="8965" width="8.75" style="2" customWidth="1"/>
    <col min="8966" max="8967" width="13.75" style="2" customWidth="1"/>
    <col min="8968" max="8968" width="12.5" style="2" customWidth="1"/>
    <col min="8969" max="8969" width="12" style="2" customWidth="1"/>
    <col min="8970" max="8971" width="14.375" style="2" customWidth="1"/>
    <col min="8972" max="8974" width="12.5" style="2" customWidth="1"/>
    <col min="8975" max="8975" width="9" style="2"/>
    <col min="8976" max="8978" width="9.625" style="2" customWidth="1"/>
    <col min="8979" max="9218" width="9" style="2"/>
    <col min="9219" max="9219" width="2.125" style="2" customWidth="1"/>
    <col min="9220" max="9220" width="27.875" style="2" customWidth="1"/>
    <col min="9221" max="9221" width="8.75" style="2" customWidth="1"/>
    <col min="9222" max="9223" width="13.75" style="2" customWidth="1"/>
    <col min="9224" max="9224" width="12.5" style="2" customWidth="1"/>
    <col min="9225" max="9225" width="12" style="2" customWidth="1"/>
    <col min="9226" max="9227" width="14.375" style="2" customWidth="1"/>
    <col min="9228" max="9230" width="12.5" style="2" customWidth="1"/>
    <col min="9231" max="9231" width="9" style="2"/>
    <col min="9232" max="9234" width="9.625" style="2" customWidth="1"/>
    <col min="9235" max="9474" width="9" style="2"/>
    <col min="9475" max="9475" width="2.125" style="2" customWidth="1"/>
    <col min="9476" max="9476" width="27.875" style="2" customWidth="1"/>
    <col min="9477" max="9477" width="8.75" style="2" customWidth="1"/>
    <col min="9478" max="9479" width="13.75" style="2" customWidth="1"/>
    <col min="9480" max="9480" width="12.5" style="2" customWidth="1"/>
    <col min="9481" max="9481" width="12" style="2" customWidth="1"/>
    <col min="9482" max="9483" width="14.375" style="2" customWidth="1"/>
    <col min="9484" max="9486" width="12.5" style="2" customWidth="1"/>
    <col min="9487" max="9487" width="9" style="2"/>
    <col min="9488" max="9490" width="9.625" style="2" customWidth="1"/>
    <col min="9491" max="9730" width="9" style="2"/>
    <col min="9731" max="9731" width="2.125" style="2" customWidth="1"/>
    <col min="9732" max="9732" width="27.875" style="2" customWidth="1"/>
    <col min="9733" max="9733" width="8.75" style="2" customWidth="1"/>
    <col min="9734" max="9735" width="13.75" style="2" customWidth="1"/>
    <col min="9736" max="9736" width="12.5" style="2" customWidth="1"/>
    <col min="9737" max="9737" width="12" style="2" customWidth="1"/>
    <col min="9738" max="9739" width="14.375" style="2" customWidth="1"/>
    <col min="9740" max="9742" width="12.5" style="2" customWidth="1"/>
    <col min="9743" max="9743" width="9" style="2"/>
    <col min="9744" max="9746" width="9.625" style="2" customWidth="1"/>
    <col min="9747" max="9986" width="9" style="2"/>
    <col min="9987" max="9987" width="2.125" style="2" customWidth="1"/>
    <col min="9988" max="9988" width="27.875" style="2" customWidth="1"/>
    <col min="9989" max="9989" width="8.75" style="2" customWidth="1"/>
    <col min="9990" max="9991" width="13.75" style="2" customWidth="1"/>
    <col min="9992" max="9992" width="12.5" style="2" customWidth="1"/>
    <col min="9993" max="9993" width="12" style="2" customWidth="1"/>
    <col min="9994" max="9995" width="14.375" style="2" customWidth="1"/>
    <col min="9996" max="9998" width="12.5" style="2" customWidth="1"/>
    <col min="9999" max="9999" width="9" style="2"/>
    <col min="10000" max="10002" width="9.625" style="2" customWidth="1"/>
    <col min="10003" max="10242" width="9" style="2"/>
    <col min="10243" max="10243" width="2.125" style="2" customWidth="1"/>
    <col min="10244" max="10244" width="27.875" style="2" customWidth="1"/>
    <col min="10245" max="10245" width="8.75" style="2" customWidth="1"/>
    <col min="10246" max="10247" width="13.75" style="2" customWidth="1"/>
    <col min="10248" max="10248" width="12.5" style="2" customWidth="1"/>
    <col min="10249" max="10249" width="12" style="2" customWidth="1"/>
    <col min="10250" max="10251" width="14.375" style="2" customWidth="1"/>
    <col min="10252" max="10254" width="12.5" style="2" customWidth="1"/>
    <col min="10255" max="10255" width="9" style="2"/>
    <col min="10256" max="10258" width="9.625" style="2" customWidth="1"/>
    <col min="10259" max="10498" width="9" style="2"/>
    <col min="10499" max="10499" width="2.125" style="2" customWidth="1"/>
    <col min="10500" max="10500" width="27.875" style="2" customWidth="1"/>
    <col min="10501" max="10501" width="8.75" style="2" customWidth="1"/>
    <col min="10502" max="10503" width="13.75" style="2" customWidth="1"/>
    <col min="10504" max="10504" width="12.5" style="2" customWidth="1"/>
    <col min="10505" max="10505" width="12" style="2" customWidth="1"/>
    <col min="10506" max="10507" width="14.375" style="2" customWidth="1"/>
    <col min="10508" max="10510" width="12.5" style="2" customWidth="1"/>
    <col min="10511" max="10511" width="9" style="2"/>
    <col min="10512" max="10514" width="9.625" style="2" customWidth="1"/>
    <col min="10515" max="10754" width="9" style="2"/>
    <col min="10755" max="10755" width="2.125" style="2" customWidth="1"/>
    <col min="10756" max="10756" width="27.875" style="2" customWidth="1"/>
    <col min="10757" max="10757" width="8.75" style="2" customWidth="1"/>
    <col min="10758" max="10759" width="13.75" style="2" customWidth="1"/>
    <col min="10760" max="10760" width="12.5" style="2" customWidth="1"/>
    <col min="10761" max="10761" width="12" style="2" customWidth="1"/>
    <col min="10762" max="10763" width="14.375" style="2" customWidth="1"/>
    <col min="10764" max="10766" width="12.5" style="2" customWidth="1"/>
    <col min="10767" max="10767" width="9" style="2"/>
    <col min="10768" max="10770" width="9.625" style="2" customWidth="1"/>
    <col min="10771" max="11010" width="9" style="2"/>
    <col min="11011" max="11011" width="2.125" style="2" customWidth="1"/>
    <col min="11012" max="11012" width="27.875" style="2" customWidth="1"/>
    <col min="11013" max="11013" width="8.75" style="2" customWidth="1"/>
    <col min="11014" max="11015" width="13.75" style="2" customWidth="1"/>
    <col min="11016" max="11016" width="12.5" style="2" customWidth="1"/>
    <col min="11017" max="11017" width="12" style="2" customWidth="1"/>
    <col min="11018" max="11019" width="14.375" style="2" customWidth="1"/>
    <col min="11020" max="11022" width="12.5" style="2" customWidth="1"/>
    <col min="11023" max="11023" width="9" style="2"/>
    <col min="11024" max="11026" width="9.625" style="2" customWidth="1"/>
    <col min="11027" max="11266" width="9" style="2"/>
    <col min="11267" max="11267" width="2.125" style="2" customWidth="1"/>
    <col min="11268" max="11268" width="27.875" style="2" customWidth="1"/>
    <col min="11269" max="11269" width="8.75" style="2" customWidth="1"/>
    <col min="11270" max="11271" width="13.75" style="2" customWidth="1"/>
    <col min="11272" max="11272" width="12.5" style="2" customWidth="1"/>
    <col min="11273" max="11273" width="12" style="2" customWidth="1"/>
    <col min="11274" max="11275" width="14.375" style="2" customWidth="1"/>
    <col min="11276" max="11278" width="12.5" style="2" customWidth="1"/>
    <col min="11279" max="11279" width="9" style="2"/>
    <col min="11280" max="11282" width="9.625" style="2" customWidth="1"/>
    <col min="11283" max="11522" width="9" style="2"/>
    <col min="11523" max="11523" width="2.125" style="2" customWidth="1"/>
    <col min="11524" max="11524" width="27.875" style="2" customWidth="1"/>
    <col min="11525" max="11525" width="8.75" style="2" customWidth="1"/>
    <col min="11526" max="11527" width="13.75" style="2" customWidth="1"/>
    <col min="11528" max="11528" width="12.5" style="2" customWidth="1"/>
    <col min="11529" max="11529" width="12" style="2" customWidth="1"/>
    <col min="11530" max="11531" width="14.375" style="2" customWidth="1"/>
    <col min="11532" max="11534" width="12.5" style="2" customWidth="1"/>
    <col min="11535" max="11535" width="9" style="2"/>
    <col min="11536" max="11538" width="9.625" style="2" customWidth="1"/>
    <col min="11539" max="11778" width="9" style="2"/>
    <col min="11779" max="11779" width="2.125" style="2" customWidth="1"/>
    <col min="11780" max="11780" width="27.875" style="2" customWidth="1"/>
    <col min="11781" max="11781" width="8.75" style="2" customWidth="1"/>
    <col min="11782" max="11783" width="13.75" style="2" customWidth="1"/>
    <col min="11784" max="11784" width="12.5" style="2" customWidth="1"/>
    <col min="11785" max="11785" width="12" style="2" customWidth="1"/>
    <col min="11786" max="11787" width="14.375" style="2" customWidth="1"/>
    <col min="11788" max="11790" width="12.5" style="2" customWidth="1"/>
    <col min="11791" max="11791" width="9" style="2"/>
    <col min="11792" max="11794" width="9.625" style="2" customWidth="1"/>
    <col min="11795" max="12034" width="9" style="2"/>
    <col min="12035" max="12035" width="2.125" style="2" customWidth="1"/>
    <col min="12036" max="12036" width="27.875" style="2" customWidth="1"/>
    <col min="12037" max="12037" width="8.75" style="2" customWidth="1"/>
    <col min="12038" max="12039" width="13.75" style="2" customWidth="1"/>
    <col min="12040" max="12040" width="12.5" style="2" customWidth="1"/>
    <col min="12041" max="12041" width="12" style="2" customWidth="1"/>
    <col min="12042" max="12043" width="14.375" style="2" customWidth="1"/>
    <col min="12044" max="12046" width="12.5" style="2" customWidth="1"/>
    <col min="12047" max="12047" width="9" style="2"/>
    <col min="12048" max="12050" width="9.625" style="2" customWidth="1"/>
    <col min="12051" max="12290" width="9" style="2"/>
    <col min="12291" max="12291" width="2.125" style="2" customWidth="1"/>
    <col min="12292" max="12292" width="27.875" style="2" customWidth="1"/>
    <col min="12293" max="12293" width="8.75" style="2" customWidth="1"/>
    <col min="12294" max="12295" width="13.75" style="2" customWidth="1"/>
    <col min="12296" max="12296" width="12.5" style="2" customWidth="1"/>
    <col min="12297" max="12297" width="12" style="2" customWidth="1"/>
    <col min="12298" max="12299" width="14.375" style="2" customWidth="1"/>
    <col min="12300" max="12302" width="12.5" style="2" customWidth="1"/>
    <col min="12303" max="12303" width="9" style="2"/>
    <col min="12304" max="12306" width="9.625" style="2" customWidth="1"/>
    <col min="12307" max="12546" width="9" style="2"/>
    <col min="12547" max="12547" width="2.125" style="2" customWidth="1"/>
    <col min="12548" max="12548" width="27.875" style="2" customWidth="1"/>
    <col min="12549" max="12549" width="8.75" style="2" customWidth="1"/>
    <col min="12550" max="12551" width="13.75" style="2" customWidth="1"/>
    <col min="12552" max="12552" width="12.5" style="2" customWidth="1"/>
    <col min="12553" max="12553" width="12" style="2" customWidth="1"/>
    <col min="12554" max="12555" width="14.375" style="2" customWidth="1"/>
    <col min="12556" max="12558" width="12.5" style="2" customWidth="1"/>
    <col min="12559" max="12559" width="9" style="2"/>
    <col min="12560" max="12562" width="9.625" style="2" customWidth="1"/>
    <col min="12563" max="12802" width="9" style="2"/>
    <col min="12803" max="12803" width="2.125" style="2" customWidth="1"/>
    <col min="12804" max="12804" width="27.875" style="2" customWidth="1"/>
    <col min="12805" max="12805" width="8.75" style="2" customWidth="1"/>
    <col min="12806" max="12807" width="13.75" style="2" customWidth="1"/>
    <col min="12808" max="12808" width="12.5" style="2" customWidth="1"/>
    <col min="12809" max="12809" width="12" style="2" customWidth="1"/>
    <col min="12810" max="12811" width="14.375" style="2" customWidth="1"/>
    <col min="12812" max="12814" width="12.5" style="2" customWidth="1"/>
    <col min="12815" max="12815" width="9" style="2"/>
    <col min="12816" max="12818" width="9.625" style="2" customWidth="1"/>
    <col min="12819" max="13058" width="9" style="2"/>
    <col min="13059" max="13059" width="2.125" style="2" customWidth="1"/>
    <col min="13060" max="13060" width="27.875" style="2" customWidth="1"/>
    <col min="13061" max="13061" width="8.75" style="2" customWidth="1"/>
    <col min="13062" max="13063" width="13.75" style="2" customWidth="1"/>
    <col min="13064" max="13064" width="12.5" style="2" customWidth="1"/>
    <col min="13065" max="13065" width="12" style="2" customWidth="1"/>
    <col min="13066" max="13067" width="14.375" style="2" customWidth="1"/>
    <col min="13068" max="13070" width="12.5" style="2" customWidth="1"/>
    <col min="13071" max="13071" width="9" style="2"/>
    <col min="13072" max="13074" width="9.625" style="2" customWidth="1"/>
    <col min="13075" max="13314" width="9" style="2"/>
    <col min="13315" max="13315" width="2.125" style="2" customWidth="1"/>
    <col min="13316" max="13316" width="27.875" style="2" customWidth="1"/>
    <col min="13317" max="13317" width="8.75" style="2" customWidth="1"/>
    <col min="13318" max="13319" width="13.75" style="2" customWidth="1"/>
    <col min="13320" max="13320" width="12.5" style="2" customWidth="1"/>
    <col min="13321" max="13321" width="12" style="2" customWidth="1"/>
    <col min="13322" max="13323" width="14.375" style="2" customWidth="1"/>
    <col min="13324" max="13326" width="12.5" style="2" customWidth="1"/>
    <col min="13327" max="13327" width="9" style="2"/>
    <col min="13328" max="13330" width="9.625" style="2" customWidth="1"/>
    <col min="13331" max="13570" width="9" style="2"/>
    <col min="13571" max="13571" width="2.125" style="2" customWidth="1"/>
    <col min="13572" max="13572" width="27.875" style="2" customWidth="1"/>
    <col min="13573" max="13573" width="8.75" style="2" customWidth="1"/>
    <col min="13574" max="13575" width="13.75" style="2" customWidth="1"/>
    <col min="13576" max="13576" width="12.5" style="2" customWidth="1"/>
    <col min="13577" max="13577" width="12" style="2" customWidth="1"/>
    <col min="13578" max="13579" width="14.375" style="2" customWidth="1"/>
    <col min="13580" max="13582" width="12.5" style="2" customWidth="1"/>
    <col min="13583" max="13583" width="9" style="2"/>
    <col min="13584" max="13586" width="9.625" style="2" customWidth="1"/>
    <col min="13587" max="13826" width="9" style="2"/>
    <col min="13827" max="13827" width="2.125" style="2" customWidth="1"/>
    <col min="13828" max="13828" width="27.875" style="2" customWidth="1"/>
    <col min="13829" max="13829" width="8.75" style="2" customWidth="1"/>
    <col min="13830" max="13831" width="13.75" style="2" customWidth="1"/>
    <col min="13832" max="13832" width="12.5" style="2" customWidth="1"/>
    <col min="13833" max="13833" width="12" style="2" customWidth="1"/>
    <col min="13834" max="13835" width="14.375" style="2" customWidth="1"/>
    <col min="13836" max="13838" width="12.5" style="2" customWidth="1"/>
    <col min="13839" max="13839" width="9" style="2"/>
    <col min="13840" max="13842" width="9.625" style="2" customWidth="1"/>
    <col min="13843" max="14082" width="9" style="2"/>
    <col min="14083" max="14083" width="2.125" style="2" customWidth="1"/>
    <col min="14084" max="14084" width="27.875" style="2" customWidth="1"/>
    <col min="14085" max="14085" width="8.75" style="2" customWidth="1"/>
    <col min="14086" max="14087" width="13.75" style="2" customWidth="1"/>
    <col min="14088" max="14088" width="12.5" style="2" customWidth="1"/>
    <col min="14089" max="14089" width="12" style="2" customWidth="1"/>
    <col min="14090" max="14091" width="14.375" style="2" customWidth="1"/>
    <col min="14092" max="14094" width="12.5" style="2" customWidth="1"/>
    <col min="14095" max="14095" width="9" style="2"/>
    <col min="14096" max="14098" width="9.625" style="2" customWidth="1"/>
    <col min="14099" max="14338" width="9" style="2"/>
    <col min="14339" max="14339" width="2.125" style="2" customWidth="1"/>
    <col min="14340" max="14340" width="27.875" style="2" customWidth="1"/>
    <col min="14341" max="14341" width="8.75" style="2" customWidth="1"/>
    <col min="14342" max="14343" width="13.75" style="2" customWidth="1"/>
    <col min="14344" max="14344" width="12.5" style="2" customWidth="1"/>
    <col min="14345" max="14345" width="12" style="2" customWidth="1"/>
    <col min="14346" max="14347" width="14.375" style="2" customWidth="1"/>
    <col min="14348" max="14350" width="12.5" style="2" customWidth="1"/>
    <col min="14351" max="14351" width="9" style="2"/>
    <col min="14352" max="14354" width="9.625" style="2" customWidth="1"/>
    <col min="14355" max="14594" width="9" style="2"/>
    <col min="14595" max="14595" width="2.125" style="2" customWidth="1"/>
    <col min="14596" max="14596" width="27.875" style="2" customWidth="1"/>
    <col min="14597" max="14597" width="8.75" style="2" customWidth="1"/>
    <col min="14598" max="14599" width="13.75" style="2" customWidth="1"/>
    <col min="14600" max="14600" width="12.5" style="2" customWidth="1"/>
    <col min="14601" max="14601" width="12" style="2" customWidth="1"/>
    <col min="14602" max="14603" width="14.375" style="2" customWidth="1"/>
    <col min="14604" max="14606" width="12.5" style="2" customWidth="1"/>
    <col min="14607" max="14607" width="9" style="2"/>
    <col min="14608" max="14610" width="9.625" style="2" customWidth="1"/>
    <col min="14611" max="14850" width="9" style="2"/>
    <col min="14851" max="14851" width="2.125" style="2" customWidth="1"/>
    <col min="14852" max="14852" width="27.875" style="2" customWidth="1"/>
    <col min="14853" max="14853" width="8.75" style="2" customWidth="1"/>
    <col min="14854" max="14855" width="13.75" style="2" customWidth="1"/>
    <col min="14856" max="14856" width="12.5" style="2" customWidth="1"/>
    <col min="14857" max="14857" width="12" style="2" customWidth="1"/>
    <col min="14858" max="14859" width="14.375" style="2" customWidth="1"/>
    <col min="14860" max="14862" width="12.5" style="2" customWidth="1"/>
    <col min="14863" max="14863" width="9" style="2"/>
    <col min="14864" max="14866" width="9.625" style="2" customWidth="1"/>
    <col min="14867" max="15106" width="9" style="2"/>
    <col min="15107" max="15107" width="2.125" style="2" customWidth="1"/>
    <col min="15108" max="15108" width="27.875" style="2" customWidth="1"/>
    <col min="15109" max="15109" width="8.75" style="2" customWidth="1"/>
    <col min="15110" max="15111" width="13.75" style="2" customWidth="1"/>
    <col min="15112" max="15112" width="12.5" style="2" customWidth="1"/>
    <col min="15113" max="15113" width="12" style="2" customWidth="1"/>
    <col min="15114" max="15115" width="14.375" style="2" customWidth="1"/>
    <col min="15116" max="15118" width="12.5" style="2" customWidth="1"/>
    <col min="15119" max="15119" width="9" style="2"/>
    <col min="15120" max="15122" width="9.625" style="2" customWidth="1"/>
    <col min="15123" max="15362" width="9" style="2"/>
    <col min="15363" max="15363" width="2.125" style="2" customWidth="1"/>
    <col min="15364" max="15364" width="27.875" style="2" customWidth="1"/>
    <col min="15365" max="15365" width="8.75" style="2" customWidth="1"/>
    <col min="15366" max="15367" width="13.75" style="2" customWidth="1"/>
    <col min="15368" max="15368" width="12.5" style="2" customWidth="1"/>
    <col min="15369" max="15369" width="12" style="2" customWidth="1"/>
    <col min="15370" max="15371" width="14.375" style="2" customWidth="1"/>
    <col min="15372" max="15374" width="12.5" style="2" customWidth="1"/>
    <col min="15375" max="15375" width="9" style="2"/>
    <col min="15376" max="15378" width="9.625" style="2" customWidth="1"/>
    <col min="15379" max="15618" width="9" style="2"/>
    <col min="15619" max="15619" width="2.125" style="2" customWidth="1"/>
    <col min="15620" max="15620" width="27.875" style="2" customWidth="1"/>
    <col min="15621" max="15621" width="8.75" style="2" customWidth="1"/>
    <col min="15622" max="15623" width="13.75" style="2" customWidth="1"/>
    <col min="15624" max="15624" width="12.5" style="2" customWidth="1"/>
    <col min="15625" max="15625" width="12" style="2" customWidth="1"/>
    <col min="15626" max="15627" width="14.375" style="2" customWidth="1"/>
    <col min="15628" max="15630" width="12.5" style="2" customWidth="1"/>
    <col min="15631" max="15631" width="9" style="2"/>
    <col min="15632" max="15634" width="9.625" style="2" customWidth="1"/>
    <col min="15635" max="15874" width="9" style="2"/>
    <col min="15875" max="15875" width="2.125" style="2" customWidth="1"/>
    <col min="15876" max="15876" width="27.875" style="2" customWidth="1"/>
    <col min="15877" max="15877" width="8.75" style="2" customWidth="1"/>
    <col min="15878" max="15879" width="13.75" style="2" customWidth="1"/>
    <col min="15880" max="15880" width="12.5" style="2" customWidth="1"/>
    <col min="15881" max="15881" width="12" style="2" customWidth="1"/>
    <col min="15882" max="15883" width="14.375" style="2" customWidth="1"/>
    <col min="15884" max="15886" width="12.5" style="2" customWidth="1"/>
    <col min="15887" max="15887" width="9" style="2"/>
    <col min="15888" max="15890" width="9.625" style="2" customWidth="1"/>
    <col min="15891" max="16130" width="9" style="2"/>
    <col min="16131" max="16131" width="2.125" style="2" customWidth="1"/>
    <col min="16132" max="16132" width="27.875" style="2" customWidth="1"/>
    <col min="16133" max="16133" width="8.75" style="2" customWidth="1"/>
    <col min="16134" max="16135" width="13.75" style="2" customWidth="1"/>
    <col min="16136" max="16136" width="12.5" style="2" customWidth="1"/>
    <col min="16137" max="16137" width="12" style="2" customWidth="1"/>
    <col min="16138" max="16139" width="14.375" style="2" customWidth="1"/>
    <col min="16140" max="16142" width="12.5" style="2" customWidth="1"/>
    <col min="16143" max="16143" width="9" style="2"/>
    <col min="16144" max="16146" width="9.625" style="2" customWidth="1"/>
    <col min="16147" max="16384" width="9" style="2"/>
  </cols>
  <sheetData>
    <row r="5" spans="3:22" ht="13.5" thickBot="1"/>
    <row r="6" spans="3:22">
      <c r="C6" s="572"/>
      <c r="D6" s="498"/>
      <c r="E6" s="1342" t="s">
        <v>432</v>
      </c>
      <c r="F6" s="1343"/>
      <c r="G6" s="1344"/>
      <c r="H6" s="1342" t="s">
        <v>421</v>
      </c>
      <c r="I6" s="1343"/>
      <c r="J6" s="1344"/>
      <c r="K6" s="1342" t="s">
        <v>450</v>
      </c>
      <c r="L6" s="1343"/>
      <c r="M6" s="1344"/>
      <c r="N6" s="1342" t="s">
        <v>451</v>
      </c>
      <c r="O6" s="1343"/>
      <c r="P6" s="1344"/>
      <c r="Q6" s="1342" t="s">
        <v>454</v>
      </c>
      <c r="R6" s="1343"/>
      <c r="S6" s="1344"/>
      <c r="T6" s="1342" t="s">
        <v>455</v>
      </c>
      <c r="U6" s="1343"/>
      <c r="V6" s="1344"/>
    </row>
    <row r="7" spans="3:22">
      <c r="C7" s="226" t="s">
        <v>20</v>
      </c>
      <c r="D7" s="5" t="s">
        <v>10</v>
      </c>
      <c r="E7" s="499">
        <v>27359.65</v>
      </c>
      <c r="F7" s="500">
        <v>26335.35</v>
      </c>
      <c r="G7" s="501">
        <v>53695</v>
      </c>
      <c r="H7" s="499">
        <v>32566.65</v>
      </c>
      <c r="I7" s="500">
        <v>31563.35</v>
      </c>
      <c r="J7" s="501">
        <f>H7+I7</f>
        <v>64130</v>
      </c>
      <c r="K7" s="499">
        <f>H7</f>
        <v>32566.65</v>
      </c>
      <c r="L7" s="500">
        <f>I7</f>
        <v>31563.35</v>
      </c>
      <c r="M7" s="501">
        <f>K7+L7</f>
        <v>64130</v>
      </c>
      <c r="N7" s="499">
        <f>H7</f>
        <v>32566.65</v>
      </c>
      <c r="O7" s="500">
        <f>I7</f>
        <v>31563.35</v>
      </c>
      <c r="P7" s="501">
        <f>N7+O7</f>
        <v>64130</v>
      </c>
      <c r="Q7" s="499">
        <f>H7</f>
        <v>32566.65</v>
      </c>
      <c r="R7" s="500">
        <f>I7</f>
        <v>31563.35</v>
      </c>
      <c r="S7" s="501">
        <f>Q7+R7</f>
        <v>64130</v>
      </c>
      <c r="T7" s="499">
        <f>H7</f>
        <v>32566.65</v>
      </c>
      <c r="U7" s="500">
        <f>I7</f>
        <v>31563.35</v>
      </c>
      <c r="V7" s="501">
        <f>T7+U7</f>
        <v>64130</v>
      </c>
    </row>
    <row r="8" spans="3:22" ht="13.5" thickBot="1">
      <c r="C8" s="226" t="s">
        <v>21</v>
      </c>
      <c r="D8" s="5" t="s">
        <v>1</v>
      </c>
      <c r="E8" s="502">
        <v>0.50953813204208964</v>
      </c>
      <c r="F8" s="503">
        <v>0.49046186795791036</v>
      </c>
      <c r="G8" s="504">
        <v>1</v>
      </c>
      <c r="H8" s="502">
        <f>H7/J7</f>
        <v>0.50782239201621704</v>
      </c>
      <c r="I8" s="503">
        <f>J8-H8</f>
        <v>0.49217760798378296</v>
      </c>
      <c r="J8" s="504">
        <v>1</v>
      </c>
      <c r="K8" s="502">
        <f>K7/M7</f>
        <v>0.50782239201621704</v>
      </c>
      <c r="L8" s="503">
        <f>M8-K8</f>
        <v>0.49217760798378296</v>
      </c>
      <c r="M8" s="504">
        <v>1</v>
      </c>
      <c r="N8" s="502">
        <f>N7/P7</f>
        <v>0.50782239201621704</v>
      </c>
      <c r="O8" s="503">
        <f>P8-N8</f>
        <v>0.49217760798378296</v>
      </c>
      <c r="P8" s="504">
        <v>1</v>
      </c>
      <c r="Q8" s="502">
        <f>Q7/S7</f>
        <v>0.50782239201621704</v>
      </c>
      <c r="R8" s="503">
        <f>S8-Q8</f>
        <v>0.49217760798378296</v>
      </c>
      <c r="S8" s="504">
        <v>1</v>
      </c>
      <c r="T8" s="502">
        <f>T7/V7</f>
        <v>0.50782239201621704</v>
      </c>
      <c r="U8" s="503">
        <f>V8-T8</f>
        <v>0.49217760798378296</v>
      </c>
      <c r="V8" s="504">
        <v>1</v>
      </c>
    </row>
    <row r="9" spans="3:22" ht="15" customHeight="1">
      <c r="C9" s="2"/>
      <c r="D9" s="3"/>
      <c r="E9" s="2"/>
      <c r="F9" s="2"/>
      <c r="G9" s="505"/>
      <c r="H9" s="2"/>
      <c r="I9" s="2"/>
      <c r="J9" s="505"/>
      <c r="K9" s="2"/>
      <c r="L9" s="2"/>
      <c r="M9" s="505"/>
      <c r="N9" s="2"/>
      <c r="O9" s="2"/>
      <c r="P9" s="505"/>
      <c r="S9" s="505"/>
      <c r="V9" s="505"/>
    </row>
    <row r="10" spans="3:22">
      <c r="C10" s="2"/>
      <c r="D10" s="3"/>
      <c r="E10" s="507"/>
      <c r="F10" s="507"/>
      <c r="G10" s="507"/>
      <c r="H10" s="507"/>
      <c r="I10" s="507"/>
      <c r="J10" s="507"/>
      <c r="K10" s="507"/>
      <c r="L10" s="507"/>
      <c r="M10" s="507"/>
      <c r="N10" s="507"/>
      <c r="O10" s="507"/>
      <c r="P10" s="507"/>
      <c r="Q10" s="507"/>
      <c r="R10" s="507"/>
      <c r="S10" s="507"/>
      <c r="T10" s="507"/>
      <c r="U10" s="507"/>
      <c r="V10" s="507"/>
    </row>
    <row r="11" spans="3:22" ht="32.25" thickBot="1">
      <c r="C11" s="573" t="s">
        <v>433</v>
      </c>
      <c r="D11" s="506"/>
      <c r="E11" s="507"/>
      <c r="F11" s="507"/>
      <c r="G11" s="507"/>
      <c r="H11" s="507"/>
      <c r="I11" s="507"/>
      <c r="J11" s="507"/>
      <c r="K11" s="507"/>
      <c r="L11" s="507"/>
      <c r="M11" s="507"/>
      <c r="N11" s="507"/>
      <c r="O11" s="507"/>
      <c r="P11" s="507"/>
      <c r="Q11" s="507"/>
      <c r="R11" s="507"/>
      <c r="S11" s="507"/>
      <c r="T11" s="507"/>
      <c r="U11" s="507"/>
      <c r="V11" s="507"/>
    </row>
    <row r="12" spans="3:22">
      <c r="C12" s="508"/>
      <c r="D12" s="509"/>
      <c r="E12" s="1342" t="s">
        <v>432</v>
      </c>
      <c r="F12" s="1343"/>
      <c r="G12" s="1344"/>
      <c r="H12" s="1342" t="s">
        <v>421</v>
      </c>
      <c r="I12" s="1343"/>
      <c r="J12" s="1344"/>
      <c r="K12" s="1342" t="s">
        <v>450</v>
      </c>
      <c r="L12" s="1343"/>
      <c r="M12" s="1344"/>
      <c r="N12" s="1342" t="s">
        <v>451</v>
      </c>
      <c r="O12" s="1343"/>
      <c r="P12" s="1344"/>
      <c r="Q12" s="1342" t="s">
        <v>454</v>
      </c>
      <c r="R12" s="1343"/>
      <c r="S12" s="1344"/>
      <c r="T12" s="1342" t="s">
        <v>455</v>
      </c>
      <c r="U12" s="1343"/>
      <c r="V12" s="1344"/>
    </row>
    <row r="13" spans="3:22" ht="31.5" customHeight="1">
      <c r="C13" s="510" t="s">
        <v>7</v>
      </c>
      <c r="D13" s="511" t="s">
        <v>8</v>
      </c>
      <c r="E13" s="512" t="s">
        <v>434</v>
      </c>
      <c r="F13" s="513" t="s">
        <v>155</v>
      </c>
      <c r="G13" s="514" t="s">
        <v>435</v>
      </c>
      <c r="H13" s="512" t="s">
        <v>452</v>
      </c>
      <c r="I13" s="513" t="s">
        <v>158</v>
      </c>
      <c r="J13" s="514" t="s">
        <v>453</v>
      </c>
      <c r="K13" s="512" t="s">
        <v>456</v>
      </c>
      <c r="L13" s="513" t="s">
        <v>161</v>
      </c>
      <c r="M13" s="514" t="s">
        <v>457</v>
      </c>
      <c r="N13" s="512" t="s">
        <v>458</v>
      </c>
      <c r="O13" s="513" t="s">
        <v>164</v>
      </c>
      <c r="P13" s="514" t="s">
        <v>459</v>
      </c>
      <c r="Q13" s="512" t="s">
        <v>460</v>
      </c>
      <c r="R13" s="513" t="s">
        <v>198</v>
      </c>
      <c r="S13" s="514" t="s">
        <v>461</v>
      </c>
      <c r="T13" s="512" t="s">
        <v>462</v>
      </c>
      <c r="U13" s="513" t="s">
        <v>215</v>
      </c>
      <c r="V13" s="514" t="s">
        <v>463</v>
      </c>
    </row>
    <row r="14" spans="3:22">
      <c r="C14" s="515" t="s">
        <v>436</v>
      </c>
      <c r="D14" s="516" t="s">
        <v>10</v>
      </c>
      <c r="E14" s="517">
        <v>5593.07</v>
      </c>
      <c r="F14" s="518">
        <v>5383.67</v>
      </c>
      <c r="G14" s="519">
        <v>10976.74</v>
      </c>
      <c r="H14" s="517">
        <f>ROUND($H$8*J14,2)</f>
        <v>6902.32</v>
      </c>
      <c r="I14" s="518">
        <f>J14-H14</f>
        <v>6689.68</v>
      </c>
      <c r="J14" s="519">
        <v>13592</v>
      </c>
      <c r="K14" s="517">
        <f>ROUND($H$8*M14,2)</f>
        <v>6902.32</v>
      </c>
      <c r="L14" s="518">
        <f>M14-K14</f>
        <v>6689.68</v>
      </c>
      <c r="M14" s="519">
        <v>13592</v>
      </c>
      <c r="N14" s="517">
        <f>ROUND($H$8*P14,2)</f>
        <v>6902.32</v>
      </c>
      <c r="O14" s="518">
        <f>P14-N14</f>
        <v>6689.68</v>
      </c>
      <c r="P14" s="519">
        <v>13592</v>
      </c>
      <c r="Q14" s="517">
        <f>ROUND($H$8*S14,2)</f>
        <v>6902.32</v>
      </c>
      <c r="R14" s="518">
        <f>S14-Q14</f>
        <v>6689.68</v>
      </c>
      <c r="S14" s="519">
        <v>13592</v>
      </c>
      <c r="T14" s="517">
        <f>ROUND($H$8*V14,2)</f>
        <v>6902.32</v>
      </c>
      <c r="U14" s="518">
        <f>V14-T14</f>
        <v>6689.68</v>
      </c>
      <c r="V14" s="519">
        <v>13592</v>
      </c>
    </row>
    <row r="15" spans="3:22" ht="26.25" thickBot="1">
      <c r="C15" s="515" t="s">
        <v>437</v>
      </c>
      <c r="D15" s="516" t="s">
        <v>9</v>
      </c>
      <c r="E15" s="520">
        <v>924.98</v>
      </c>
      <c r="F15" s="521">
        <v>864.37</v>
      </c>
      <c r="G15" s="522">
        <v>895.25</v>
      </c>
      <c r="H15" s="520">
        <v>1096.1500000000001</v>
      </c>
      <c r="I15" s="521">
        <v>1096.1500000000001</v>
      </c>
      <c r="J15" s="522">
        <f>ROUND(J16/J14*1000,2)</f>
        <v>1096.1500000000001</v>
      </c>
      <c r="K15" s="520">
        <v>1096.1500000000001</v>
      </c>
      <c r="L15" s="521">
        <v>1130.06</v>
      </c>
      <c r="M15" s="522">
        <f>ROUND(M16/M14*1000,2)</f>
        <v>1112.8399999999999</v>
      </c>
      <c r="N15" s="520">
        <v>1130.06</v>
      </c>
      <c r="O15" s="521">
        <v>1237.18</v>
      </c>
      <c r="P15" s="522">
        <f>ROUND(P16/P14*1000,2)</f>
        <v>1182.78</v>
      </c>
      <c r="Q15" s="520">
        <v>1237.18</v>
      </c>
      <c r="R15" s="521">
        <v>1244.6600000000001</v>
      </c>
      <c r="S15" s="522">
        <f>ROUND(S16/S14*1000,2)</f>
        <v>1240.8599999999999</v>
      </c>
      <c r="T15" s="520">
        <v>1244.6600000000001</v>
      </c>
      <c r="U15" s="521">
        <v>1383.62</v>
      </c>
      <c r="V15" s="522">
        <f>ROUND(V16/V14*1000,2)</f>
        <v>1313.05</v>
      </c>
    </row>
    <row r="16" spans="3:22" ht="13.5" thickBot="1">
      <c r="C16" s="515" t="s">
        <v>438</v>
      </c>
      <c r="D16" s="516" t="s">
        <v>0</v>
      </c>
      <c r="E16" s="523">
        <v>5173.4799999999996</v>
      </c>
      <c r="F16" s="524">
        <v>4653.4799999999996</v>
      </c>
      <c r="G16" s="525">
        <v>9826.9599999999991</v>
      </c>
      <c r="H16" s="523">
        <f>ROUND(H14*H15/1000,2)</f>
        <v>7565.98</v>
      </c>
      <c r="I16" s="524">
        <f>ROUND(I14*I15/1000,2)</f>
        <v>7332.89</v>
      </c>
      <c r="J16" s="525">
        <f>H16+I16</f>
        <v>14898.869999999999</v>
      </c>
      <c r="K16" s="523">
        <f>ROUND(K14*K15/1000,2)</f>
        <v>7565.98</v>
      </c>
      <c r="L16" s="524">
        <f>ROUND(L14*L15/1000,2)</f>
        <v>7559.74</v>
      </c>
      <c r="M16" s="525">
        <f>K16+L16</f>
        <v>15125.72</v>
      </c>
      <c r="N16" s="523">
        <f>ROUND(N14*N15/1000,2)</f>
        <v>7800.04</v>
      </c>
      <c r="O16" s="524">
        <f>ROUND(O14*O15/1000,2)</f>
        <v>8276.34</v>
      </c>
      <c r="P16" s="525">
        <f>N16+O16</f>
        <v>16076.380000000001</v>
      </c>
      <c r="Q16" s="523">
        <f>ROUND(Q14*Q15/1000,2)</f>
        <v>8539.41</v>
      </c>
      <c r="R16" s="524">
        <f>ROUND(R14*R15/1000,2)</f>
        <v>8326.3799999999992</v>
      </c>
      <c r="S16" s="525">
        <f>Q16+R16</f>
        <v>16865.79</v>
      </c>
      <c r="T16" s="523">
        <f>ROUND(T14*T15/1000,2)</f>
        <v>8591.0400000000009</v>
      </c>
      <c r="U16" s="524">
        <f>ROUND(U14*U15/1000,2)</f>
        <v>9255.98</v>
      </c>
      <c r="V16" s="525">
        <f>T16+U16</f>
        <v>17847.02</v>
      </c>
    </row>
    <row r="17" spans="3:22">
      <c r="C17" s="7"/>
      <c r="D17" s="526"/>
      <c r="F17" s="527"/>
      <c r="I17" s="527"/>
    </row>
    <row r="18" spans="3:22">
      <c r="C18" s="7"/>
      <c r="D18" s="526"/>
      <c r="F18" s="527"/>
      <c r="I18" s="527"/>
    </row>
    <row r="19" spans="3:22" ht="48" thickBot="1">
      <c r="C19" s="573" t="s">
        <v>439</v>
      </c>
      <c r="D19" s="506"/>
      <c r="E19" s="507"/>
      <c r="F19" s="507"/>
      <c r="G19" s="852"/>
      <c r="H19" s="507"/>
      <c r="I19" s="507"/>
      <c r="J19" s="507"/>
    </row>
    <row r="20" spans="3:22">
      <c r="C20" s="508"/>
      <c r="D20" s="509"/>
      <c r="E20" s="1342" t="s">
        <v>432</v>
      </c>
      <c r="F20" s="1343"/>
      <c r="G20" s="1344"/>
      <c r="H20" s="1342" t="s">
        <v>421</v>
      </c>
      <c r="I20" s="1343"/>
      <c r="J20" s="1344"/>
      <c r="K20" s="1342" t="s">
        <v>450</v>
      </c>
      <c r="L20" s="1343"/>
      <c r="M20" s="1344"/>
      <c r="N20" s="1342" t="s">
        <v>451</v>
      </c>
      <c r="O20" s="1343"/>
      <c r="P20" s="1344"/>
      <c r="Q20" s="1342" t="s">
        <v>454</v>
      </c>
      <c r="R20" s="1343"/>
      <c r="S20" s="1344"/>
      <c r="T20" s="1342" t="s">
        <v>455</v>
      </c>
      <c r="U20" s="1343"/>
      <c r="V20" s="1344"/>
    </row>
    <row r="21" spans="3:22" ht="25.5">
      <c r="C21" s="510" t="s">
        <v>7</v>
      </c>
      <c r="D21" s="511" t="s">
        <v>8</v>
      </c>
      <c r="E21" s="512" t="s">
        <v>434</v>
      </c>
      <c r="F21" s="513" t="s">
        <v>155</v>
      </c>
      <c r="G21" s="514" t="s">
        <v>435</v>
      </c>
      <c r="H21" s="512" t="s">
        <v>452</v>
      </c>
      <c r="I21" s="513" t="s">
        <v>158</v>
      </c>
      <c r="J21" s="514" t="s">
        <v>453</v>
      </c>
      <c r="K21" s="512" t="s">
        <v>456</v>
      </c>
      <c r="L21" s="513" t="s">
        <v>161</v>
      </c>
      <c r="M21" s="514" t="s">
        <v>457</v>
      </c>
      <c r="N21" s="512" t="s">
        <v>458</v>
      </c>
      <c r="O21" s="513" t="s">
        <v>164</v>
      </c>
      <c r="P21" s="514" t="s">
        <v>459</v>
      </c>
      <c r="Q21" s="512" t="s">
        <v>460</v>
      </c>
      <c r="R21" s="513" t="s">
        <v>198</v>
      </c>
      <c r="S21" s="514" t="s">
        <v>461</v>
      </c>
      <c r="T21" s="512" t="s">
        <v>462</v>
      </c>
      <c r="U21" s="513" t="s">
        <v>215</v>
      </c>
      <c r="V21" s="514" t="s">
        <v>463</v>
      </c>
    </row>
    <row r="22" spans="3:22">
      <c r="C22" s="510" t="s">
        <v>440</v>
      </c>
      <c r="D22" s="511"/>
      <c r="E22" s="512"/>
      <c r="F22" s="513"/>
      <c r="G22" s="528"/>
      <c r="H22" s="512"/>
      <c r="I22" s="513"/>
      <c r="J22" s="528"/>
      <c r="K22" s="512"/>
      <c r="L22" s="513"/>
      <c r="M22" s="528"/>
      <c r="N22" s="512"/>
      <c r="O22" s="513"/>
      <c r="P22" s="528"/>
      <c r="Q22" s="512"/>
      <c r="R22" s="513"/>
      <c r="S22" s="528"/>
      <c r="T22" s="512"/>
      <c r="U22" s="513"/>
      <c r="V22" s="528"/>
    </row>
    <row r="23" spans="3:22">
      <c r="C23" s="529" t="s">
        <v>436</v>
      </c>
      <c r="D23" s="516" t="s">
        <v>10</v>
      </c>
      <c r="E23" s="517">
        <v>1072.73</v>
      </c>
      <c r="F23" s="518">
        <v>1032.5700000000002</v>
      </c>
      <c r="G23" s="519">
        <v>2105.3000000000002</v>
      </c>
      <c r="H23" s="517">
        <f>ROUND($H$8*J23,2)</f>
        <v>1230.58</v>
      </c>
      <c r="I23" s="518">
        <f>J23-H23</f>
        <v>1192.6599999999999</v>
      </c>
      <c r="J23" s="519">
        <v>2423.2399999999998</v>
      </c>
      <c r="K23" s="517">
        <f t="shared" ref="K23" si="0">ROUND($H$8*M23,2)</f>
        <v>1230.58</v>
      </c>
      <c r="L23" s="518">
        <f t="shared" ref="L23" si="1">M23-K23</f>
        <v>1192.6599999999999</v>
      </c>
      <c r="M23" s="519">
        <f>J23</f>
        <v>2423.2399999999998</v>
      </c>
      <c r="N23" s="517">
        <f t="shared" ref="N23" si="2">ROUND($H$8*P23,2)</f>
        <v>1230.58</v>
      </c>
      <c r="O23" s="518">
        <f t="shared" ref="O23" si="3">P23-N23</f>
        <v>1192.6599999999999</v>
      </c>
      <c r="P23" s="519">
        <f>M23</f>
        <v>2423.2399999999998</v>
      </c>
      <c r="Q23" s="517">
        <f t="shared" ref="Q23" si="4">ROUND($H$8*S23,2)</f>
        <v>1230.58</v>
      </c>
      <c r="R23" s="518">
        <f t="shared" ref="R23" si="5">S23-Q23</f>
        <v>1192.6599999999999</v>
      </c>
      <c r="S23" s="519">
        <f>P23</f>
        <v>2423.2399999999998</v>
      </c>
      <c r="T23" s="517">
        <f t="shared" ref="T23" si="6">ROUND($H$8*V23,2)</f>
        <v>1230.58</v>
      </c>
      <c r="U23" s="518">
        <f t="shared" ref="U23" si="7">V23-T23</f>
        <v>1192.6599999999999</v>
      </c>
      <c r="V23" s="519">
        <f>S23</f>
        <v>2423.2399999999998</v>
      </c>
    </row>
    <row r="24" spans="3:22" ht="26.25" thickBot="1">
      <c r="C24" s="529" t="s">
        <v>437</v>
      </c>
      <c r="D24" s="516" t="s">
        <v>9</v>
      </c>
      <c r="E24" s="520">
        <v>856.77</v>
      </c>
      <c r="F24" s="521">
        <v>856.77</v>
      </c>
      <c r="G24" s="522">
        <v>856.77</v>
      </c>
      <c r="H24" s="520">
        <v>1025.72</v>
      </c>
      <c r="I24" s="521">
        <v>1025.72</v>
      </c>
      <c r="J24" s="522">
        <f>ROUND(J25/J23*1000,2)</f>
        <v>1025.72</v>
      </c>
      <c r="K24" s="520">
        <v>1025.72</v>
      </c>
      <c r="L24" s="521">
        <v>1110.5</v>
      </c>
      <c r="M24" s="522">
        <f t="shared" ref="M24" si="8">ROUND(M25/M23*1000,2)</f>
        <v>1067.45</v>
      </c>
      <c r="N24" s="520">
        <v>1110.5</v>
      </c>
      <c r="O24" s="521">
        <v>1187.05</v>
      </c>
      <c r="P24" s="522">
        <f t="shared" ref="P24" si="9">ROUND(P25/P23*1000,2)</f>
        <v>1148.18</v>
      </c>
      <c r="Q24" s="521">
        <v>1187.05</v>
      </c>
      <c r="R24" s="521">
        <v>1221.4000000000001</v>
      </c>
      <c r="S24" s="522">
        <f t="shared" ref="S24" si="10">ROUND(S25/S23*1000,2)</f>
        <v>1203.95</v>
      </c>
      <c r="T24" s="521">
        <v>1221.4000000000001</v>
      </c>
      <c r="U24" s="521">
        <v>1176.5</v>
      </c>
      <c r="V24" s="522">
        <f t="shared" ref="V24" si="11">ROUND(V25/V23*1000,2)</f>
        <v>1199.3</v>
      </c>
    </row>
    <row r="25" spans="3:22" ht="13.5" thickBot="1">
      <c r="C25" s="529" t="s">
        <v>438</v>
      </c>
      <c r="D25" s="516" t="s">
        <v>0</v>
      </c>
      <c r="E25" s="523">
        <v>919.08</v>
      </c>
      <c r="F25" s="524">
        <v>884.67</v>
      </c>
      <c r="G25" s="525">
        <v>1803.75</v>
      </c>
      <c r="H25" s="523">
        <f>ROUND(H23*H24/1000,2)</f>
        <v>1262.23</v>
      </c>
      <c r="I25" s="524">
        <f>ROUND(I23*I24/1000,2)</f>
        <v>1223.3399999999999</v>
      </c>
      <c r="J25" s="525">
        <f>H25+I25</f>
        <v>2485.5699999999997</v>
      </c>
      <c r="K25" s="523">
        <f t="shared" ref="K25:L25" si="12">ROUND(K23*K24/1000,2)</f>
        <v>1262.23</v>
      </c>
      <c r="L25" s="524">
        <f t="shared" si="12"/>
        <v>1324.45</v>
      </c>
      <c r="M25" s="525">
        <f t="shared" ref="M25" si="13">K25+L25</f>
        <v>2586.6800000000003</v>
      </c>
      <c r="N25" s="523">
        <f t="shared" ref="N25:O25" si="14">ROUND(N23*N24/1000,2)</f>
        <v>1366.56</v>
      </c>
      <c r="O25" s="524">
        <f t="shared" si="14"/>
        <v>1415.75</v>
      </c>
      <c r="P25" s="525">
        <f t="shared" ref="P25" si="15">N25+O25</f>
        <v>2782.31</v>
      </c>
      <c r="Q25" s="523">
        <f t="shared" ref="Q25:R25" si="16">ROUND(Q23*Q24/1000,2)</f>
        <v>1460.76</v>
      </c>
      <c r="R25" s="524">
        <f t="shared" si="16"/>
        <v>1456.71</v>
      </c>
      <c r="S25" s="525">
        <f t="shared" ref="S25" si="17">Q25+R25</f>
        <v>2917.4700000000003</v>
      </c>
      <c r="T25" s="523">
        <f t="shared" ref="T25:U25" si="18">ROUND(T23*T24/1000,2)</f>
        <v>1503.03</v>
      </c>
      <c r="U25" s="524">
        <f t="shared" si="18"/>
        <v>1403.16</v>
      </c>
      <c r="V25" s="525">
        <f t="shared" ref="V25" si="19">T25+U25</f>
        <v>2906.19</v>
      </c>
    </row>
    <row r="26" spans="3:22" ht="16.5" thickBot="1">
      <c r="C26" s="574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</row>
    <row r="27" spans="3:22">
      <c r="C27" s="531" t="s">
        <v>332</v>
      </c>
      <c r="D27" s="532"/>
      <c r="E27" s="533"/>
      <c r="F27" s="534"/>
      <c r="G27" s="535"/>
      <c r="H27" s="533"/>
      <c r="I27" s="534"/>
      <c r="J27" s="535"/>
      <c r="K27" s="533"/>
      <c r="L27" s="534"/>
      <c r="M27" s="535"/>
      <c r="N27" s="533"/>
      <c r="O27" s="534"/>
      <c r="P27" s="535"/>
      <c r="Q27" s="533"/>
      <c r="R27" s="534"/>
      <c r="S27" s="535"/>
      <c r="T27" s="533"/>
      <c r="U27" s="534"/>
      <c r="V27" s="535"/>
    </row>
    <row r="28" spans="3:22">
      <c r="C28" s="536" t="s">
        <v>436</v>
      </c>
      <c r="D28" s="537" t="s">
        <v>10</v>
      </c>
      <c r="E28" s="538">
        <v>458.42</v>
      </c>
      <c r="F28" s="539">
        <v>441.25999999999993</v>
      </c>
      <c r="G28" s="540">
        <v>899.68</v>
      </c>
      <c r="H28" s="538">
        <f>ROUND($H$8*J28,2)</f>
        <v>593.52</v>
      </c>
      <c r="I28" s="539">
        <f>J28-H28</f>
        <v>575.24000000000024</v>
      </c>
      <c r="J28" s="540">
        <f>3592-J23</f>
        <v>1168.7600000000002</v>
      </c>
      <c r="K28" s="538">
        <f t="shared" ref="K28" si="20">ROUND($H$8*M28,2)</f>
        <v>593.52</v>
      </c>
      <c r="L28" s="539">
        <f t="shared" ref="L28" si="21">M28-K28</f>
        <v>575.24000000000024</v>
      </c>
      <c r="M28" s="540">
        <f>J28</f>
        <v>1168.7600000000002</v>
      </c>
      <c r="N28" s="538">
        <f t="shared" ref="N28" si="22">ROUND($H$8*P28,2)</f>
        <v>593.52</v>
      </c>
      <c r="O28" s="539">
        <f t="shared" ref="O28" si="23">P28-N28</f>
        <v>575.24000000000024</v>
      </c>
      <c r="P28" s="540">
        <f>M28</f>
        <v>1168.7600000000002</v>
      </c>
      <c r="Q28" s="538">
        <f t="shared" ref="Q28" si="24">ROUND($H$8*S28,2)</f>
        <v>593.52</v>
      </c>
      <c r="R28" s="539">
        <f t="shared" ref="R28" si="25">S28-Q28</f>
        <v>575.24000000000024</v>
      </c>
      <c r="S28" s="540">
        <f>P28</f>
        <v>1168.7600000000002</v>
      </c>
      <c r="T28" s="538">
        <f t="shared" ref="T28" si="26">ROUND($H$8*V28,2)</f>
        <v>593.52</v>
      </c>
      <c r="U28" s="539">
        <f t="shared" ref="U28" si="27">V28-T28</f>
        <v>575.24000000000024</v>
      </c>
      <c r="V28" s="540">
        <f>S28</f>
        <v>1168.7600000000002</v>
      </c>
    </row>
    <row r="29" spans="3:22" ht="26.25" thickBot="1">
      <c r="C29" s="536" t="s">
        <v>437</v>
      </c>
      <c r="D29" s="537" t="s">
        <v>9</v>
      </c>
      <c r="E29" s="541">
        <v>856.77</v>
      </c>
      <c r="F29" s="542">
        <v>856.77</v>
      </c>
      <c r="G29" s="543">
        <v>856.77</v>
      </c>
      <c r="H29" s="541">
        <f>H24</f>
        <v>1025.72</v>
      </c>
      <c r="I29" s="542">
        <f>I24</f>
        <v>1025.72</v>
      </c>
      <c r="J29" s="543">
        <f>ROUND(J30/J28*1000,2)</f>
        <v>1025.73</v>
      </c>
      <c r="K29" s="541">
        <f t="shared" ref="K29:L29" si="28">K24</f>
        <v>1025.72</v>
      </c>
      <c r="L29" s="542">
        <f t="shared" si="28"/>
        <v>1110.5</v>
      </c>
      <c r="M29" s="543">
        <f t="shared" ref="M29" si="29">ROUND(M30/M28*1000,2)</f>
        <v>1067.45</v>
      </c>
      <c r="N29" s="541">
        <f t="shared" ref="N29:O29" si="30">N24</f>
        <v>1110.5</v>
      </c>
      <c r="O29" s="542">
        <f t="shared" si="30"/>
        <v>1187.05</v>
      </c>
      <c r="P29" s="543">
        <f t="shared" ref="P29" si="31">ROUND(P30/P28*1000,2)</f>
        <v>1148.17</v>
      </c>
      <c r="Q29" s="541">
        <f t="shared" ref="Q29:R29" si="32">Q24</f>
        <v>1187.05</v>
      </c>
      <c r="R29" s="542">
        <f t="shared" si="32"/>
        <v>1221.4000000000001</v>
      </c>
      <c r="S29" s="543">
        <f t="shared" ref="S29" si="33">ROUND(S30/S28*1000,2)</f>
        <v>1203.96</v>
      </c>
      <c r="T29" s="541">
        <f t="shared" ref="T29:U29" si="34">T24</f>
        <v>1221.4000000000001</v>
      </c>
      <c r="U29" s="542">
        <f t="shared" si="34"/>
        <v>1176.5</v>
      </c>
      <c r="V29" s="543">
        <f t="shared" ref="V29" si="35">ROUND(V30/V28*1000,2)</f>
        <v>1199.31</v>
      </c>
    </row>
    <row r="30" spans="3:22" ht="13.5" thickBot="1">
      <c r="C30" s="536" t="s">
        <v>438</v>
      </c>
      <c r="D30" s="537" t="s">
        <v>0</v>
      </c>
      <c r="E30" s="544">
        <v>392.76</v>
      </c>
      <c r="F30" s="545">
        <v>378.06</v>
      </c>
      <c r="G30" s="546">
        <v>770.81999999999994</v>
      </c>
      <c r="H30" s="544">
        <f>ROUND(H28*H29/1000,2)</f>
        <v>608.79</v>
      </c>
      <c r="I30" s="545">
        <f>ROUND(I28*I29/1000,2)</f>
        <v>590.04</v>
      </c>
      <c r="J30" s="546">
        <f>H30+I30</f>
        <v>1198.83</v>
      </c>
      <c r="K30" s="544">
        <f t="shared" ref="K30:L30" si="36">ROUND(K28*K29/1000,2)</f>
        <v>608.79</v>
      </c>
      <c r="L30" s="545">
        <f t="shared" si="36"/>
        <v>638.79999999999995</v>
      </c>
      <c r="M30" s="546">
        <f t="shared" ref="M30" si="37">K30+L30</f>
        <v>1247.5899999999999</v>
      </c>
      <c r="N30" s="544">
        <f t="shared" ref="N30:O30" si="38">ROUND(N28*N29/1000,2)</f>
        <v>659.1</v>
      </c>
      <c r="O30" s="545">
        <f t="shared" si="38"/>
        <v>682.84</v>
      </c>
      <c r="P30" s="546">
        <f t="shared" ref="P30" si="39">N30+O30</f>
        <v>1341.94</v>
      </c>
      <c r="Q30" s="544">
        <f t="shared" ref="Q30:R30" si="40">ROUND(Q28*Q29/1000,2)</f>
        <v>704.54</v>
      </c>
      <c r="R30" s="545">
        <f t="shared" si="40"/>
        <v>702.6</v>
      </c>
      <c r="S30" s="546">
        <f t="shared" ref="S30" si="41">Q30+R30</f>
        <v>1407.1399999999999</v>
      </c>
      <c r="T30" s="544">
        <f t="shared" ref="T30:U30" si="42">ROUND(T28*T29/1000,2)</f>
        <v>724.93</v>
      </c>
      <c r="U30" s="545">
        <f t="shared" si="42"/>
        <v>676.77</v>
      </c>
      <c r="V30" s="546">
        <f t="shared" ref="V30" si="43">T30+U30</f>
        <v>1401.6999999999998</v>
      </c>
    </row>
    <row r="31" spans="3:22">
      <c r="C31" s="7"/>
      <c r="D31" s="526"/>
      <c r="F31" s="527"/>
      <c r="I31" s="527"/>
    </row>
    <row r="32" spans="3:22" ht="16.5" thickBot="1">
      <c r="C32" s="573" t="s">
        <v>37</v>
      </c>
      <c r="D32" s="3"/>
      <c r="E32" s="507"/>
      <c r="F32" s="507"/>
      <c r="G32" s="507"/>
      <c r="H32" s="507"/>
      <c r="I32" s="507"/>
      <c r="J32" s="507"/>
    </row>
    <row r="33" spans="3:22">
      <c r="C33" s="2"/>
      <c r="D33" s="3"/>
      <c r="E33" s="1342" t="s">
        <v>432</v>
      </c>
      <c r="F33" s="1343"/>
      <c r="G33" s="1344"/>
      <c r="H33" s="1342" t="s">
        <v>421</v>
      </c>
      <c r="I33" s="1343"/>
      <c r="J33" s="1344"/>
      <c r="K33" s="1342" t="s">
        <v>450</v>
      </c>
      <c r="L33" s="1343"/>
      <c r="M33" s="1344"/>
      <c r="N33" s="1342" t="s">
        <v>451</v>
      </c>
      <c r="O33" s="1343"/>
      <c r="P33" s="1344"/>
      <c r="Q33" s="1342" t="s">
        <v>454</v>
      </c>
      <c r="R33" s="1343"/>
      <c r="S33" s="1344"/>
      <c r="T33" s="1342" t="s">
        <v>455</v>
      </c>
      <c r="U33" s="1343"/>
      <c r="V33" s="1344"/>
    </row>
    <row r="34" spans="3:22" ht="25.5">
      <c r="C34" s="510" t="s">
        <v>7</v>
      </c>
      <c r="D34" s="511" t="s">
        <v>8</v>
      </c>
      <c r="E34" s="512" t="s">
        <v>434</v>
      </c>
      <c r="F34" s="513" t="s">
        <v>155</v>
      </c>
      <c r="G34" s="514" t="s">
        <v>435</v>
      </c>
      <c r="H34" s="512" t="s">
        <v>452</v>
      </c>
      <c r="I34" s="513" t="s">
        <v>158</v>
      </c>
      <c r="J34" s="514" t="s">
        <v>453</v>
      </c>
      <c r="K34" s="512" t="s">
        <v>456</v>
      </c>
      <c r="L34" s="513" t="s">
        <v>161</v>
      </c>
      <c r="M34" s="514" t="s">
        <v>457</v>
      </c>
      <c r="N34" s="512" t="s">
        <v>458</v>
      </c>
      <c r="O34" s="513" t="s">
        <v>164</v>
      </c>
      <c r="P34" s="514" t="s">
        <v>459</v>
      </c>
      <c r="Q34" s="512" t="s">
        <v>460</v>
      </c>
      <c r="R34" s="513" t="s">
        <v>198</v>
      </c>
      <c r="S34" s="514" t="s">
        <v>461</v>
      </c>
      <c r="T34" s="512" t="s">
        <v>462</v>
      </c>
      <c r="U34" s="513" t="s">
        <v>215</v>
      </c>
      <c r="V34" s="514" t="s">
        <v>463</v>
      </c>
    </row>
    <row r="35" spans="3:22">
      <c r="C35" s="575" t="s">
        <v>441</v>
      </c>
      <c r="D35" s="516" t="s">
        <v>386</v>
      </c>
      <c r="E35" s="547">
        <v>20464.599999999999</v>
      </c>
      <c r="F35" s="548">
        <v>19698.440000000002</v>
      </c>
      <c r="G35" s="549">
        <v>40163.040000000001</v>
      </c>
      <c r="H35" s="547">
        <f>ROUND($H$8*J35,2)</f>
        <v>33500.35</v>
      </c>
      <c r="I35" s="548">
        <f>J35-H35</f>
        <v>32468.29</v>
      </c>
      <c r="J35" s="549">
        <v>65968.639999999999</v>
      </c>
      <c r="K35" s="547">
        <f>ROUND($H$8*M35,2)</f>
        <v>33500.35</v>
      </c>
      <c r="L35" s="548">
        <f>M35-K35</f>
        <v>32468.29</v>
      </c>
      <c r="M35" s="549">
        <f>J35</f>
        <v>65968.639999999999</v>
      </c>
      <c r="N35" s="547">
        <f>ROUND($H$8*P35,2)</f>
        <v>33500.35</v>
      </c>
      <c r="O35" s="548">
        <f>P35-N35</f>
        <v>32468.29</v>
      </c>
      <c r="P35" s="549">
        <f>M35</f>
        <v>65968.639999999999</v>
      </c>
      <c r="Q35" s="547">
        <f>ROUND($H$8*S35,2)</f>
        <v>33500.35</v>
      </c>
      <c r="R35" s="548">
        <f>S35-Q35</f>
        <v>32468.29</v>
      </c>
      <c r="S35" s="549">
        <f>P35</f>
        <v>65968.639999999999</v>
      </c>
      <c r="T35" s="547">
        <f>ROUND($H$8*V35,2)</f>
        <v>33500.35</v>
      </c>
      <c r="U35" s="548">
        <f>V35-T35</f>
        <v>32468.29</v>
      </c>
      <c r="V35" s="549">
        <f>S35</f>
        <v>65968.639999999999</v>
      </c>
    </row>
    <row r="36" spans="3:22">
      <c r="C36" s="576" t="s">
        <v>442</v>
      </c>
      <c r="D36" s="516" t="s">
        <v>386</v>
      </c>
      <c r="E36" s="550">
        <v>20390.519999999997</v>
      </c>
      <c r="F36" s="551">
        <v>19627.13</v>
      </c>
      <c r="G36" s="552">
        <v>40017.65</v>
      </c>
      <c r="H36" s="550">
        <f>SUM(H37:H39)</f>
        <v>33426.530000000006</v>
      </c>
      <c r="I36" s="551">
        <f t="shared" ref="I36" si="44">SUM(I37:I39)</f>
        <v>32396.720000000005</v>
      </c>
      <c r="J36" s="552">
        <f>SUM(J37:J39)</f>
        <v>65823.25</v>
      </c>
      <c r="K36" s="550">
        <f>SUM(K37:K39)</f>
        <v>33426.530000000006</v>
      </c>
      <c r="L36" s="551">
        <f t="shared" ref="L36" si="45">SUM(L37:L39)</f>
        <v>32396.720000000005</v>
      </c>
      <c r="M36" s="552">
        <f>SUM(M37:M39)</f>
        <v>65823.25</v>
      </c>
      <c r="N36" s="550">
        <f>SUM(N37:N39)</f>
        <v>33426.530000000006</v>
      </c>
      <c r="O36" s="551">
        <f t="shared" ref="O36" si="46">SUM(O37:O39)</f>
        <v>32396.720000000005</v>
      </c>
      <c r="P36" s="552">
        <f>SUM(P37:P39)</f>
        <v>65823.25</v>
      </c>
      <c r="Q36" s="550">
        <f>SUM(Q37:Q39)</f>
        <v>33426.530000000006</v>
      </c>
      <c r="R36" s="551">
        <f t="shared" ref="R36" si="47">SUM(R37:R39)</f>
        <v>32396.720000000005</v>
      </c>
      <c r="S36" s="552">
        <f>SUM(S37:S39)</f>
        <v>65823.25</v>
      </c>
      <c r="T36" s="550">
        <f>SUM(T37:T39)</f>
        <v>33426.530000000006</v>
      </c>
      <c r="U36" s="551">
        <f t="shared" ref="U36" si="48">SUM(U37:U39)</f>
        <v>32396.720000000005</v>
      </c>
      <c r="V36" s="552">
        <f>SUM(V37:V39)</f>
        <v>65823.25</v>
      </c>
    </row>
    <row r="37" spans="3:22">
      <c r="C37" s="576" t="s">
        <v>443</v>
      </c>
      <c r="D37" s="516" t="s">
        <v>386</v>
      </c>
      <c r="E37" s="517">
        <v>47.39</v>
      </c>
      <c r="F37" s="553">
        <v>45.61</v>
      </c>
      <c r="G37" s="554">
        <v>93</v>
      </c>
      <c r="H37" s="517">
        <f>ROUND($H$8*J37,2)</f>
        <v>21.97</v>
      </c>
      <c r="I37" s="553">
        <f>J37-H37</f>
        <v>21.29</v>
      </c>
      <c r="J37" s="554">
        <v>43.26</v>
      </c>
      <c r="K37" s="517">
        <f>ROUND($H$8*M37,2)</f>
        <v>21.97</v>
      </c>
      <c r="L37" s="553">
        <f>M37-K37</f>
        <v>21.29</v>
      </c>
      <c r="M37" s="554">
        <f>J37</f>
        <v>43.26</v>
      </c>
      <c r="N37" s="517">
        <f>ROUND($H$8*P37,2)</f>
        <v>21.97</v>
      </c>
      <c r="O37" s="553">
        <f>P37-N37</f>
        <v>21.29</v>
      </c>
      <c r="P37" s="554">
        <f>M37</f>
        <v>43.26</v>
      </c>
      <c r="Q37" s="517">
        <f>ROUND($H$8*S37,2)</f>
        <v>21.97</v>
      </c>
      <c r="R37" s="553">
        <f>S37-Q37</f>
        <v>21.29</v>
      </c>
      <c r="S37" s="554">
        <f>P37</f>
        <v>43.26</v>
      </c>
      <c r="T37" s="517">
        <f>ROUND($H$8*V37,2)</f>
        <v>21.97</v>
      </c>
      <c r="U37" s="553">
        <f>V37-T37</f>
        <v>21.29</v>
      </c>
      <c r="V37" s="554">
        <f>S37</f>
        <v>43.26</v>
      </c>
    </row>
    <row r="38" spans="3:22">
      <c r="C38" s="576" t="s">
        <v>359</v>
      </c>
      <c r="D38" s="516" t="s">
        <v>386</v>
      </c>
      <c r="E38" s="517">
        <v>17659.03</v>
      </c>
      <c r="F38" s="553">
        <v>16997.900000000001</v>
      </c>
      <c r="G38" s="554">
        <v>34656.93</v>
      </c>
      <c r="H38" s="517">
        <f>ROUND($H$8*J38,2)</f>
        <v>30729.49</v>
      </c>
      <c r="I38" s="553">
        <f t="shared" ref="I38:I40" si="49">J38-H38</f>
        <v>29782.779999999995</v>
      </c>
      <c r="J38" s="554">
        <v>60512.27</v>
      </c>
      <c r="K38" s="517">
        <f>ROUND($H$8*M38,2)</f>
        <v>30729.49</v>
      </c>
      <c r="L38" s="553">
        <f t="shared" ref="L38:L40" si="50">M38-K38</f>
        <v>29782.779999999995</v>
      </c>
      <c r="M38" s="554">
        <f>J38</f>
        <v>60512.27</v>
      </c>
      <c r="N38" s="517">
        <f>ROUND($H$8*P38,2)</f>
        <v>30729.49</v>
      </c>
      <c r="O38" s="553">
        <f t="shared" ref="O38:O40" si="51">P38-N38</f>
        <v>29782.779999999995</v>
      </c>
      <c r="P38" s="554">
        <f>M38</f>
        <v>60512.27</v>
      </c>
      <c r="Q38" s="517">
        <f>ROUND($H$8*S38,2)</f>
        <v>30729.49</v>
      </c>
      <c r="R38" s="553">
        <f t="shared" ref="R38:R40" si="52">S38-Q38</f>
        <v>29782.779999999995</v>
      </c>
      <c r="S38" s="554">
        <f>P38</f>
        <v>60512.27</v>
      </c>
      <c r="T38" s="517">
        <f>ROUND($H$8*V38,2)</f>
        <v>30729.49</v>
      </c>
      <c r="U38" s="553">
        <f t="shared" ref="U38:U40" si="53">V38-T38</f>
        <v>29782.779999999995</v>
      </c>
      <c r="V38" s="554">
        <f>S38</f>
        <v>60512.27</v>
      </c>
    </row>
    <row r="39" spans="3:22">
      <c r="C39" s="576" t="s">
        <v>444</v>
      </c>
      <c r="D39" s="516" t="s">
        <v>386</v>
      </c>
      <c r="E39" s="517">
        <v>2684.1</v>
      </c>
      <c r="F39" s="553">
        <v>2583.6200000000003</v>
      </c>
      <c r="G39" s="554">
        <v>5267.72</v>
      </c>
      <c r="H39" s="517">
        <f>ROUND($H$8*J39,2)</f>
        <v>2675.07</v>
      </c>
      <c r="I39" s="553">
        <f t="shared" si="49"/>
        <v>2592.6500000000074</v>
      </c>
      <c r="J39" s="554">
        <f>J35-J37-J38-J40</f>
        <v>5267.7200000000075</v>
      </c>
      <c r="K39" s="517">
        <f>ROUND($H$8*M39,2)</f>
        <v>2675.07</v>
      </c>
      <c r="L39" s="553">
        <f t="shared" si="50"/>
        <v>2592.6500000000074</v>
      </c>
      <c r="M39" s="554">
        <f>M35-M37-M38-M40</f>
        <v>5267.7200000000075</v>
      </c>
      <c r="N39" s="517">
        <f>ROUND($H$8*P39,2)</f>
        <v>2675.07</v>
      </c>
      <c r="O39" s="553">
        <f t="shared" si="51"/>
        <v>2592.6500000000074</v>
      </c>
      <c r="P39" s="554">
        <f>P35-P37-P38-P40</f>
        <v>5267.7200000000075</v>
      </c>
      <c r="Q39" s="517">
        <f>ROUND($H$8*S39,2)</f>
        <v>2675.07</v>
      </c>
      <c r="R39" s="553">
        <f t="shared" si="52"/>
        <v>2592.6500000000074</v>
      </c>
      <c r="S39" s="554">
        <f>S35-S37-S38-S40</f>
        <v>5267.7200000000075</v>
      </c>
      <c r="T39" s="517">
        <f>ROUND($H$8*V39,2)</f>
        <v>2675.07</v>
      </c>
      <c r="U39" s="553">
        <f t="shared" si="53"/>
        <v>2592.6500000000074</v>
      </c>
      <c r="V39" s="554">
        <f>V35-V37-V38-V40</f>
        <v>5267.7200000000075</v>
      </c>
    </row>
    <row r="40" spans="3:22" ht="15.75">
      <c r="C40" s="577" t="s">
        <v>440</v>
      </c>
      <c r="D40" s="516" t="s">
        <v>386</v>
      </c>
      <c r="E40" s="550">
        <v>74.08</v>
      </c>
      <c r="F40" s="551">
        <v>71.309999999999988</v>
      </c>
      <c r="G40" s="552">
        <v>145.38999999999999</v>
      </c>
      <c r="H40" s="550">
        <f>ROUND($H$8*J40,2)</f>
        <v>73.83</v>
      </c>
      <c r="I40" s="551">
        <f t="shared" si="49"/>
        <v>71.559999999999988</v>
      </c>
      <c r="J40" s="552">
        <v>145.38999999999999</v>
      </c>
      <c r="K40" s="550">
        <f>ROUND($H$8*M40,2)</f>
        <v>73.83</v>
      </c>
      <c r="L40" s="551">
        <f t="shared" si="50"/>
        <v>71.559999999999988</v>
      </c>
      <c r="M40" s="552">
        <f>J40</f>
        <v>145.38999999999999</v>
      </c>
      <c r="N40" s="550">
        <f>ROUND($H$8*P40,2)</f>
        <v>73.83</v>
      </c>
      <c r="O40" s="551">
        <f t="shared" si="51"/>
        <v>71.559999999999988</v>
      </c>
      <c r="P40" s="552">
        <f>M40</f>
        <v>145.38999999999999</v>
      </c>
      <c r="Q40" s="550">
        <f>ROUND($H$8*S40,2)</f>
        <v>73.83</v>
      </c>
      <c r="R40" s="551">
        <f t="shared" si="52"/>
        <v>71.559999999999988</v>
      </c>
      <c r="S40" s="552">
        <f>P40</f>
        <v>145.38999999999999</v>
      </c>
      <c r="T40" s="550">
        <f>ROUND($H$8*V40,2)</f>
        <v>73.83</v>
      </c>
      <c r="U40" s="551">
        <f t="shared" si="53"/>
        <v>71.559999999999988</v>
      </c>
      <c r="V40" s="552">
        <f>S40</f>
        <v>145.38999999999999</v>
      </c>
    </row>
    <row r="41" spans="3:22">
      <c r="C41" s="578" t="s">
        <v>445</v>
      </c>
      <c r="D41" s="516" t="s">
        <v>446</v>
      </c>
      <c r="E41" s="520">
        <v>29.47</v>
      </c>
      <c r="F41" s="521">
        <v>38.57</v>
      </c>
      <c r="G41" s="522">
        <v>33.933276941549543</v>
      </c>
      <c r="H41" s="520">
        <v>40.840000000000003</v>
      </c>
      <c r="I41" s="521">
        <v>40.840000000000003</v>
      </c>
      <c r="J41" s="522">
        <f>J43/J36*1000</f>
        <v>40.839976755933506</v>
      </c>
      <c r="K41" s="520">
        <v>40.840000000000003</v>
      </c>
      <c r="L41" s="521">
        <v>42.03</v>
      </c>
      <c r="M41" s="522">
        <f>M43/M36*1000</f>
        <v>41.425636078437329</v>
      </c>
      <c r="N41" s="520">
        <v>42.03</v>
      </c>
      <c r="O41" s="521">
        <v>43.8</v>
      </c>
      <c r="P41" s="522">
        <f>P43/P36*1000</f>
        <v>42.901102573938545</v>
      </c>
      <c r="Q41" s="520">
        <v>43.8</v>
      </c>
      <c r="R41" s="521">
        <v>44.89</v>
      </c>
      <c r="S41" s="522">
        <f>S43/S36*1000</f>
        <v>44.336461660583467</v>
      </c>
      <c r="T41" s="520">
        <v>44.89</v>
      </c>
      <c r="U41" s="521">
        <v>45.94</v>
      </c>
      <c r="V41" s="522">
        <f>V43/V36*1000</f>
        <v>45.406904095437397</v>
      </c>
    </row>
    <row r="42" spans="3:22" ht="25.5">
      <c r="C42" s="578" t="s">
        <v>447</v>
      </c>
      <c r="D42" s="516" t="s">
        <v>0</v>
      </c>
      <c r="E42" s="555">
        <v>603.08999999999992</v>
      </c>
      <c r="F42" s="556">
        <v>759.77</v>
      </c>
      <c r="G42" s="557">
        <v>1362.8600000000001</v>
      </c>
      <c r="H42" s="555">
        <f t="shared" ref="H42:V42" si="54">H43+H47</f>
        <v>1368.16</v>
      </c>
      <c r="I42" s="556">
        <f t="shared" si="54"/>
        <v>1326</v>
      </c>
      <c r="J42" s="557">
        <f t="shared" si="54"/>
        <v>2694.16</v>
      </c>
      <c r="K42" s="555">
        <f t="shared" si="54"/>
        <v>1368.16</v>
      </c>
      <c r="L42" s="556">
        <f t="shared" si="54"/>
        <v>1364.64</v>
      </c>
      <c r="M42" s="557">
        <f t="shared" si="54"/>
        <v>2732.8</v>
      </c>
      <c r="N42" s="555">
        <f t="shared" si="54"/>
        <v>1408.01</v>
      </c>
      <c r="O42" s="556">
        <f t="shared" si="54"/>
        <v>1422.1100000000001</v>
      </c>
      <c r="P42" s="557">
        <f t="shared" si="54"/>
        <v>2830.1200000000003</v>
      </c>
      <c r="Q42" s="555">
        <f t="shared" si="54"/>
        <v>1467.3100000000002</v>
      </c>
      <c r="R42" s="556">
        <f t="shared" si="54"/>
        <v>1457.5</v>
      </c>
      <c r="S42" s="557">
        <f t="shared" si="54"/>
        <v>2924.8100000000004</v>
      </c>
      <c r="T42" s="555">
        <f t="shared" si="54"/>
        <v>1503.83</v>
      </c>
      <c r="U42" s="556">
        <f t="shared" si="54"/>
        <v>1491.6</v>
      </c>
      <c r="V42" s="557">
        <f t="shared" si="54"/>
        <v>2995.43</v>
      </c>
    </row>
    <row r="43" spans="3:22">
      <c r="C43" s="576" t="s">
        <v>442</v>
      </c>
      <c r="D43" s="516" t="s">
        <v>0</v>
      </c>
      <c r="E43" s="558">
        <v>600.91</v>
      </c>
      <c r="F43" s="559">
        <v>757.02</v>
      </c>
      <c r="G43" s="560">
        <v>1357.93</v>
      </c>
      <c r="H43" s="559">
        <f t="shared" ref="H43:V43" si="55">SUM(H44:H46)</f>
        <v>1365.14</v>
      </c>
      <c r="I43" s="559">
        <f t="shared" si="55"/>
        <v>1323.08</v>
      </c>
      <c r="J43" s="560">
        <f t="shared" si="55"/>
        <v>2688.22</v>
      </c>
      <c r="K43" s="559">
        <f t="shared" si="55"/>
        <v>1365.14</v>
      </c>
      <c r="L43" s="559">
        <f t="shared" si="55"/>
        <v>1361.63</v>
      </c>
      <c r="M43" s="560">
        <f t="shared" si="55"/>
        <v>2726.77</v>
      </c>
      <c r="N43" s="559">
        <f t="shared" si="55"/>
        <v>1404.91</v>
      </c>
      <c r="O43" s="559">
        <f t="shared" si="55"/>
        <v>1418.98</v>
      </c>
      <c r="P43" s="560">
        <f t="shared" si="55"/>
        <v>2823.8900000000003</v>
      </c>
      <c r="Q43" s="559">
        <f t="shared" si="55"/>
        <v>1464.0800000000002</v>
      </c>
      <c r="R43" s="559">
        <f t="shared" si="55"/>
        <v>1454.29</v>
      </c>
      <c r="S43" s="560">
        <f t="shared" si="55"/>
        <v>2918.3700000000003</v>
      </c>
      <c r="T43" s="559">
        <f t="shared" si="55"/>
        <v>1500.52</v>
      </c>
      <c r="U43" s="559">
        <f t="shared" si="55"/>
        <v>1488.31</v>
      </c>
      <c r="V43" s="560">
        <f t="shared" si="55"/>
        <v>2988.83</v>
      </c>
    </row>
    <row r="44" spans="3:22">
      <c r="C44" s="576" t="s">
        <v>443</v>
      </c>
      <c r="D44" s="516" t="s">
        <v>0</v>
      </c>
      <c r="E44" s="561">
        <v>1.4</v>
      </c>
      <c r="F44" s="559">
        <v>1.76</v>
      </c>
      <c r="G44" s="562">
        <v>3.16</v>
      </c>
      <c r="H44" s="561">
        <f>ROUND(H37*$H$41/1000,2)</f>
        <v>0.9</v>
      </c>
      <c r="I44" s="561">
        <f>ROUND(I37*$I$41/1000,2)</f>
        <v>0.87</v>
      </c>
      <c r="J44" s="562">
        <f>H44+I44</f>
        <v>1.77</v>
      </c>
      <c r="K44" s="561">
        <f>ROUND(K37*$K$41/1000,2)</f>
        <v>0.9</v>
      </c>
      <c r="L44" s="561">
        <f>ROUND(L37*$L$41/1000,2)</f>
        <v>0.89</v>
      </c>
      <c r="M44" s="562">
        <f>K44+L44</f>
        <v>1.79</v>
      </c>
      <c r="N44" s="561">
        <f>ROUND(N37*$N$41/1000,2)</f>
        <v>0.92</v>
      </c>
      <c r="O44" s="561">
        <f>ROUND(O37*$O$41/1000,2)</f>
        <v>0.93</v>
      </c>
      <c r="P44" s="562">
        <f>N44+O44</f>
        <v>1.85</v>
      </c>
      <c r="Q44" s="561">
        <f>ROUND(Q37*$Q$41/1000,2)</f>
        <v>0.96</v>
      </c>
      <c r="R44" s="561">
        <f>ROUND(R37*$R$41/1000,2)</f>
        <v>0.96</v>
      </c>
      <c r="S44" s="562">
        <f>Q44+R44</f>
        <v>1.92</v>
      </c>
      <c r="T44" s="561">
        <f>ROUND(T37*$T$41/1000,2)</f>
        <v>0.99</v>
      </c>
      <c r="U44" s="561">
        <f>ROUND(U37*$U$41/1000,2)</f>
        <v>0.98</v>
      </c>
      <c r="V44" s="562">
        <f>T44+U44</f>
        <v>1.97</v>
      </c>
    </row>
    <row r="45" spans="3:22">
      <c r="C45" s="576" t="s">
        <v>359</v>
      </c>
      <c r="D45" s="516" t="s">
        <v>0</v>
      </c>
      <c r="E45" s="561">
        <v>520.41</v>
      </c>
      <c r="F45" s="559">
        <v>655.61</v>
      </c>
      <c r="G45" s="562">
        <v>1176.02</v>
      </c>
      <c r="H45" s="561">
        <f>ROUND(H38*$H$41/1000,2)</f>
        <v>1254.99</v>
      </c>
      <c r="I45" s="561">
        <f>ROUND(I38*$I$41/1000,2)</f>
        <v>1216.33</v>
      </c>
      <c r="J45" s="562">
        <f>H45+I45</f>
        <v>2471.3199999999997</v>
      </c>
      <c r="K45" s="561">
        <f>ROUND(K38*$K$41/1000,2)</f>
        <v>1254.99</v>
      </c>
      <c r="L45" s="561">
        <f t="shared" ref="L45:L46" si="56">ROUND(L38*$L$41/1000,2)</f>
        <v>1251.77</v>
      </c>
      <c r="M45" s="562">
        <f>K45+L45</f>
        <v>2506.7600000000002</v>
      </c>
      <c r="N45" s="561">
        <f t="shared" ref="N45:N46" si="57">ROUND(N38*$N$41/1000,2)</f>
        <v>1291.56</v>
      </c>
      <c r="O45" s="561">
        <f t="shared" ref="O45:O46" si="58">ROUND(O38*$O$41/1000,2)</f>
        <v>1304.49</v>
      </c>
      <c r="P45" s="562">
        <f>N45+O45</f>
        <v>2596.0500000000002</v>
      </c>
      <c r="Q45" s="561">
        <f t="shared" ref="Q45:Q46" si="59">ROUND(Q38*$Q$41/1000,2)</f>
        <v>1345.95</v>
      </c>
      <c r="R45" s="561">
        <f t="shared" ref="R45:R46" si="60">ROUND(R38*$R$41/1000,2)</f>
        <v>1336.95</v>
      </c>
      <c r="S45" s="562">
        <f>Q45+R45</f>
        <v>2682.9</v>
      </c>
      <c r="T45" s="561">
        <f t="shared" ref="T45:T46" si="61">ROUND(T38*$T$41/1000,2)</f>
        <v>1379.45</v>
      </c>
      <c r="U45" s="561">
        <f t="shared" ref="U45:U46" si="62">ROUND(U38*$U$41/1000,2)</f>
        <v>1368.22</v>
      </c>
      <c r="V45" s="562">
        <f>T45+U45</f>
        <v>2747.67</v>
      </c>
    </row>
    <row r="46" spans="3:22">
      <c r="C46" s="576" t="s">
        <v>444</v>
      </c>
      <c r="D46" s="516" t="s">
        <v>0</v>
      </c>
      <c r="E46" s="561">
        <v>79.099999999999994</v>
      </c>
      <c r="F46" s="559">
        <v>99.65</v>
      </c>
      <c r="G46" s="562">
        <v>178.75</v>
      </c>
      <c r="H46" s="561">
        <f>ROUND(H39*$H$41/1000,2)</f>
        <v>109.25</v>
      </c>
      <c r="I46" s="561">
        <f>ROUND(I39*$I$41/1000,2)</f>
        <v>105.88</v>
      </c>
      <c r="J46" s="562">
        <f>H46+I46</f>
        <v>215.13</v>
      </c>
      <c r="K46" s="561">
        <f>ROUND(K39*$K$41/1000,2)</f>
        <v>109.25</v>
      </c>
      <c r="L46" s="561">
        <f t="shared" si="56"/>
        <v>108.97</v>
      </c>
      <c r="M46" s="562">
        <f>K46+L46</f>
        <v>218.22</v>
      </c>
      <c r="N46" s="561">
        <f t="shared" si="57"/>
        <v>112.43</v>
      </c>
      <c r="O46" s="561">
        <f t="shared" si="58"/>
        <v>113.56</v>
      </c>
      <c r="P46" s="562">
        <f>N46+O46</f>
        <v>225.99</v>
      </c>
      <c r="Q46" s="561">
        <f t="shared" si="59"/>
        <v>117.17</v>
      </c>
      <c r="R46" s="561">
        <f t="shared" si="60"/>
        <v>116.38</v>
      </c>
      <c r="S46" s="562">
        <f>Q46+R46</f>
        <v>233.55</v>
      </c>
      <c r="T46" s="561">
        <f t="shared" si="61"/>
        <v>120.08</v>
      </c>
      <c r="U46" s="561">
        <f t="shared" si="62"/>
        <v>119.11</v>
      </c>
      <c r="V46" s="562">
        <f>T46+U46</f>
        <v>239.19</v>
      </c>
    </row>
    <row r="47" spans="3:22" ht="16.5" thickBot="1">
      <c r="C47" s="579" t="s">
        <v>440</v>
      </c>
      <c r="D47" s="516" t="s">
        <v>0</v>
      </c>
      <c r="E47" s="563">
        <v>2.1800000000000002</v>
      </c>
      <c r="F47" s="564">
        <v>2.75</v>
      </c>
      <c r="G47" s="565">
        <v>4.93</v>
      </c>
      <c r="H47" s="563">
        <f>ROUND(H40*H41/1000,2)</f>
        <v>3.02</v>
      </c>
      <c r="I47" s="564">
        <f>ROUND(I40*I41/1000,2)</f>
        <v>2.92</v>
      </c>
      <c r="J47" s="565">
        <f>H47+I47</f>
        <v>5.9399999999999995</v>
      </c>
      <c r="K47" s="563">
        <f>ROUND(K40*K41/1000,2)</f>
        <v>3.02</v>
      </c>
      <c r="L47" s="564">
        <f>ROUND(L40*L41/1000,2)</f>
        <v>3.01</v>
      </c>
      <c r="M47" s="565">
        <f>K47+L47</f>
        <v>6.0299999999999994</v>
      </c>
      <c r="N47" s="563">
        <f>ROUND(N40*N41/1000,2)</f>
        <v>3.1</v>
      </c>
      <c r="O47" s="564">
        <f>ROUND(O40*O41/1000,2)</f>
        <v>3.13</v>
      </c>
      <c r="P47" s="565">
        <f>N47+O47</f>
        <v>6.23</v>
      </c>
      <c r="Q47" s="563">
        <f>ROUND(Q40*Q41/1000,2)</f>
        <v>3.23</v>
      </c>
      <c r="R47" s="564">
        <f>ROUND(R40*R41/1000,2)</f>
        <v>3.21</v>
      </c>
      <c r="S47" s="565">
        <f>Q47+R47</f>
        <v>6.4399999999999995</v>
      </c>
      <c r="T47" s="563">
        <f>ROUND(T40*T41/1000,2)</f>
        <v>3.31</v>
      </c>
      <c r="U47" s="564">
        <f>ROUND(U40*U41/1000,2)</f>
        <v>3.29</v>
      </c>
      <c r="V47" s="565">
        <f>T47+U47</f>
        <v>6.6</v>
      </c>
    </row>
    <row r="48" spans="3:22">
      <c r="C48" s="2"/>
      <c r="D48" s="3"/>
      <c r="E48" s="507"/>
      <c r="F48" s="507"/>
      <c r="G48" s="507"/>
      <c r="H48" s="507"/>
      <c r="I48" s="507"/>
      <c r="J48" s="507"/>
      <c r="K48" s="507"/>
      <c r="L48" s="507"/>
      <c r="M48" s="507"/>
      <c r="N48" s="507"/>
      <c r="O48" s="507"/>
      <c r="P48" s="507"/>
      <c r="Q48" s="507"/>
      <c r="R48" s="507"/>
      <c r="S48" s="507"/>
      <c r="T48" s="507"/>
      <c r="U48" s="507"/>
      <c r="V48" s="507"/>
    </row>
    <row r="49" spans="3:22">
      <c r="C49" s="2"/>
      <c r="D49" s="3"/>
      <c r="E49" s="507"/>
      <c r="F49" s="507"/>
      <c r="G49" s="507"/>
      <c r="H49" s="507"/>
      <c r="I49" s="507"/>
      <c r="J49" s="507"/>
      <c r="K49" s="507"/>
      <c r="L49" s="507"/>
      <c r="M49" s="507"/>
      <c r="N49" s="507"/>
      <c r="O49" s="507"/>
      <c r="P49" s="507"/>
      <c r="Q49" s="507"/>
      <c r="R49" s="507"/>
      <c r="S49" s="507"/>
      <c r="T49" s="507"/>
      <c r="U49" s="507"/>
      <c r="V49" s="507"/>
    </row>
    <row r="50" spans="3:22">
      <c r="C50" s="566" t="s">
        <v>448</v>
      </c>
      <c r="D50" s="516" t="s">
        <v>446</v>
      </c>
      <c r="E50" s="567">
        <v>23.72</v>
      </c>
      <c r="F50" s="568">
        <v>25.5</v>
      </c>
      <c r="G50" s="569">
        <v>24.59</v>
      </c>
      <c r="H50" s="567">
        <v>25.5</v>
      </c>
      <c r="I50" s="568">
        <f>ROUND(H50*индексы!H11,2)</f>
        <v>27.29</v>
      </c>
      <c r="J50" s="569">
        <f>ROUND(J51/J38*1000,2)</f>
        <v>26.38</v>
      </c>
      <c r="K50" s="567">
        <f>I50</f>
        <v>27.29</v>
      </c>
      <c r="L50" s="568">
        <f>ROUND(K50*индексы!I11,2)</f>
        <v>29.2</v>
      </c>
      <c r="M50" s="569">
        <f>ROUND(M51/M38*1000,2)</f>
        <v>28.23</v>
      </c>
      <c r="N50" s="567">
        <f>L50</f>
        <v>29.2</v>
      </c>
      <c r="O50" s="568">
        <f>ROUND(N50*индексы!J11,2)</f>
        <v>30.37</v>
      </c>
      <c r="P50" s="569">
        <f>ROUND(P51/P38*1000,2)</f>
        <v>29.78</v>
      </c>
      <c r="Q50" s="567">
        <f>O50</f>
        <v>30.37</v>
      </c>
      <c r="R50" s="568">
        <f>ROUND(Q50*индексы!K11,2)</f>
        <v>31.58</v>
      </c>
      <c r="S50" s="569">
        <f>ROUND(S51/S38*1000,2)</f>
        <v>30.97</v>
      </c>
      <c r="T50" s="567">
        <f>R50</f>
        <v>31.58</v>
      </c>
      <c r="U50" s="568">
        <f>ROUND(T50*индексы!L11,2)</f>
        <v>32.840000000000003</v>
      </c>
      <c r="V50" s="569">
        <f>ROUND(V51/V38*1000,2)</f>
        <v>32.200000000000003</v>
      </c>
    </row>
    <row r="51" spans="3:22" ht="25.5">
      <c r="C51" s="566" t="s">
        <v>449</v>
      </c>
      <c r="D51" s="516" t="s">
        <v>0</v>
      </c>
      <c r="E51" s="570">
        <v>418.87</v>
      </c>
      <c r="F51" s="570">
        <v>433.45</v>
      </c>
      <c r="G51" s="571">
        <v>852.31999999999994</v>
      </c>
      <c r="H51" s="570">
        <f>ROUND(H50*H38/1000,2)</f>
        <v>783.6</v>
      </c>
      <c r="I51" s="570">
        <f>ROUND(I50*I38/1000,2)</f>
        <v>812.77</v>
      </c>
      <c r="J51" s="571">
        <f>H51+I51</f>
        <v>1596.37</v>
      </c>
      <c r="K51" s="570">
        <f>ROUND(K50*K38/1000,2)</f>
        <v>838.61</v>
      </c>
      <c r="L51" s="570">
        <f>ROUND(L50*L38/1000,2)</f>
        <v>869.66</v>
      </c>
      <c r="M51" s="571">
        <f>K51+L51</f>
        <v>1708.27</v>
      </c>
      <c r="N51" s="570">
        <f>ROUND(N50*N38/1000,2)</f>
        <v>897.3</v>
      </c>
      <c r="O51" s="570">
        <f>ROUND(O50*O38/1000,2)</f>
        <v>904.5</v>
      </c>
      <c r="P51" s="571">
        <f>N51+O51</f>
        <v>1801.8</v>
      </c>
      <c r="Q51" s="570">
        <f>ROUND(Q50*Q38/1000,2)</f>
        <v>933.25</v>
      </c>
      <c r="R51" s="570">
        <f>ROUND(R50*R38/1000,2)</f>
        <v>940.54</v>
      </c>
      <c r="S51" s="571">
        <f>Q51+R51</f>
        <v>1873.79</v>
      </c>
      <c r="T51" s="570">
        <f>ROUND(T50*T38/1000,2)</f>
        <v>970.44</v>
      </c>
      <c r="U51" s="570">
        <f>ROUND(U50*U38/1000,2)</f>
        <v>978.07</v>
      </c>
      <c r="V51" s="571">
        <f>T51+U51</f>
        <v>1948.5100000000002</v>
      </c>
    </row>
    <row r="52" spans="3:22">
      <c r="Q52" s="7"/>
      <c r="R52" s="7"/>
      <c r="S52" s="7"/>
      <c r="T52" s="7"/>
      <c r="U52" s="7"/>
      <c r="V52" s="7"/>
    </row>
    <row r="53" spans="3:22" s="583" customFormat="1">
      <c r="C53" s="580"/>
      <c r="D53" s="581"/>
      <c r="E53" s="582">
        <f>E45-E51</f>
        <v>101.53999999999996</v>
      </c>
      <c r="F53" s="582">
        <f t="shared" ref="F53:G53" si="63">F45-F51</f>
        <v>222.16000000000003</v>
      </c>
      <c r="G53" s="582">
        <f t="shared" si="63"/>
        <v>323.70000000000005</v>
      </c>
      <c r="H53" s="582">
        <f>H45-H51</f>
        <v>471.39</v>
      </c>
      <c r="I53" s="582">
        <f t="shared" ref="I53:J53" si="64">I45-I51</f>
        <v>403.55999999999995</v>
      </c>
      <c r="J53" s="582">
        <f t="shared" si="64"/>
        <v>874.94999999999982</v>
      </c>
      <c r="K53" s="582">
        <f>K45-K51</f>
        <v>416.38</v>
      </c>
      <c r="L53" s="582">
        <f t="shared" ref="L53:M53" si="65">L45-L51</f>
        <v>382.11</v>
      </c>
      <c r="M53" s="582">
        <f t="shared" si="65"/>
        <v>798.49000000000024</v>
      </c>
      <c r="N53" s="582">
        <f>N45-N51</f>
        <v>394.26</v>
      </c>
      <c r="O53" s="582">
        <f t="shared" ref="O53:P53" si="66">O45-O51</f>
        <v>399.99</v>
      </c>
      <c r="P53" s="582">
        <f t="shared" si="66"/>
        <v>794.25000000000023</v>
      </c>
      <c r="Q53" s="582">
        <f>Q45-Q51</f>
        <v>412.70000000000005</v>
      </c>
      <c r="R53" s="582">
        <f t="shared" ref="R53:S53" si="67">R45-R51</f>
        <v>396.41000000000008</v>
      </c>
      <c r="S53" s="582">
        <f t="shared" si="67"/>
        <v>809.11000000000013</v>
      </c>
      <c r="T53" s="582">
        <f>T45-T51</f>
        <v>409.01</v>
      </c>
      <c r="U53" s="582">
        <f t="shared" ref="U53:V53" si="68">U45-U51</f>
        <v>390.15</v>
      </c>
      <c r="V53" s="582">
        <f t="shared" si="68"/>
        <v>799.15999999999985</v>
      </c>
    </row>
    <row r="55" spans="3:22">
      <c r="M55" s="7">
        <f>M42/J42</f>
        <v>1.0143421326127626</v>
      </c>
      <c r="P55" s="7">
        <f>P42/M42</f>
        <v>1.0356118266978924</v>
      </c>
      <c r="S55" s="7">
        <f>S42/P42</f>
        <v>1.0334579452461381</v>
      </c>
      <c r="V55" s="7">
        <f>V42/S42</f>
        <v>1.0241451581470247</v>
      </c>
    </row>
    <row r="56" spans="3:22">
      <c r="M56" s="7">
        <f>M41/J41</f>
        <v>1.0143403441682599</v>
      </c>
      <c r="P56" s="7">
        <f>P41/M41</f>
        <v>1.0356172321097856</v>
      </c>
      <c r="S56" s="7">
        <f>S41/P41</f>
        <v>1.0334573938786569</v>
      </c>
      <c r="V56" s="7">
        <f>V41/S41</f>
        <v>1.0241436144148957</v>
      </c>
    </row>
  </sheetData>
  <mergeCells count="24">
    <mergeCell ref="E33:G33"/>
    <mergeCell ref="H6:J6"/>
    <mergeCell ref="H12:J12"/>
    <mergeCell ref="H20:J20"/>
    <mergeCell ref="H33:J33"/>
    <mergeCell ref="E6:G6"/>
    <mergeCell ref="E12:G12"/>
    <mergeCell ref="E20:G20"/>
    <mergeCell ref="K6:M6"/>
    <mergeCell ref="K12:M12"/>
    <mergeCell ref="K20:M20"/>
    <mergeCell ref="K33:M33"/>
    <mergeCell ref="N33:P33"/>
    <mergeCell ref="Q33:S33"/>
    <mergeCell ref="T33:V33"/>
    <mergeCell ref="T6:V6"/>
    <mergeCell ref="T12:V12"/>
    <mergeCell ref="N6:P6"/>
    <mergeCell ref="N12:P12"/>
    <mergeCell ref="Q6:S6"/>
    <mergeCell ref="Q12:S12"/>
    <mergeCell ref="N20:P20"/>
    <mergeCell ref="Q20:S20"/>
    <mergeCell ref="T20:V20"/>
  </mergeCells>
  <pageMargins left="0.70866141732283472" right="0.70866141732283472" top="0.74803149606299213" bottom="0.74803149606299213" header="0.31496062992125984" footer="0.31496062992125984"/>
  <pageSetup paperSize="9" scale="37" fitToHeight="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6"/>
  <sheetViews>
    <sheetView view="pageBreakPreview" topLeftCell="A3" zoomScale="80" zoomScaleNormal="100" zoomScaleSheetLayoutView="80" workbookViewId="0">
      <selection activeCell="J25" sqref="J25"/>
    </sheetView>
  </sheetViews>
  <sheetFormatPr defaultRowHeight="15.75" outlineLevelRow="1"/>
  <cols>
    <col min="1" max="1" width="3.5" customWidth="1"/>
    <col min="2" max="2" width="7.625" customWidth="1"/>
    <col min="3" max="3" width="62.625" customWidth="1"/>
    <col min="4" max="5" width="16.125" customWidth="1"/>
    <col min="6" max="6" width="17.375" customWidth="1"/>
    <col min="7" max="11" width="14.75" customWidth="1"/>
    <col min="12" max="12" width="39.625" customWidth="1"/>
    <col min="13" max="13" width="13.125" style="158" customWidth="1"/>
  </cols>
  <sheetData>
    <row r="1" spans="1:13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</row>
    <row r="2" spans="1:13" ht="18.75">
      <c r="A2" s="166"/>
      <c r="B2" s="165" t="s">
        <v>422</v>
      </c>
      <c r="C2" s="166"/>
      <c r="D2" s="166"/>
      <c r="E2" s="166"/>
      <c r="F2" s="166"/>
      <c r="G2" s="166"/>
      <c r="H2" s="166"/>
      <c r="I2" s="166"/>
      <c r="J2" s="166"/>
      <c r="K2" s="166"/>
    </row>
    <row r="3" spans="1:13" ht="16.5" thickBot="1">
      <c r="A3" s="166"/>
      <c r="B3" s="166"/>
      <c r="C3" s="166"/>
      <c r="D3" s="166"/>
      <c r="E3" s="166"/>
      <c r="F3" s="166"/>
      <c r="G3" s="166"/>
      <c r="H3" s="166"/>
      <c r="I3" s="166"/>
      <c r="J3" s="166"/>
      <c r="K3" s="166"/>
    </row>
    <row r="4" spans="1:13" ht="16.5" thickBot="1">
      <c r="A4" s="166"/>
      <c r="B4" s="1349" t="s">
        <v>62</v>
      </c>
      <c r="C4" s="1349" t="s">
        <v>7</v>
      </c>
      <c r="D4" s="1350" t="s">
        <v>191</v>
      </c>
      <c r="E4" s="1349" t="s">
        <v>192</v>
      </c>
      <c r="F4" s="1352" t="s">
        <v>409</v>
      </c>
      <c r="G4" s="1354" t="s">
        <v>193</v>
      </c>
      <c r="H4" s="1355"/>
      <c r="I4" s="1355"/>
      <c r="J4" s="1355"/>
      <c r="K4" s="1356"/>
      <c r="L4" s="1345" t="s">
        <v>410</v>
      </c>
    </row>
    <row r="5" spans="1:13" ht="31.5">
      <c r="A5" s="166"/>
      <c r="B5" s="1349"/>
      <c r="C5" s="1349"/>
      <c r="D5" s="1351"/>
      <c r="E5" s="1349"/>
      <c r="F5" s="1353"/>
      <c r="G5" s="363" t="s">
        <v>411</v>
      </c>
      <c r="H5" s="363" t="s">
        <v>412</v>
      </c>
      <c r="I5" s="363" t="s">
        <v>413</v>
      </c>
      <c r="J5" s="363" t="s">
        <v>414</v>
      </c>
      <c r="K5" s="363" t="s">
        <v>415</v>
      </c>
      <c r="L5" s="1346"/>
      <c r="M5" s="423"/>
    </row>
    <row r="6" spans="1:13">
      <c r="A6" s="166"/>
      <c r="B6" s="350">
        <v>1</v>
      </c>
      <c r="C6" s="364" t="s">
        <v>222</v>
      </c>
      <c r="D6" s="365"/>
      <c r="E6" s="366"/>
      <c r="F6" s="366"/>
      <c r="G6" s="367">
        <f>SUM(G7,G9:G12)</f>
        <v>0</v>
      </c>
      <c r="H6" s="368">
        <f>SUM(H7,H9:H12)</f>
        <v>-210.88</v>
      </c>
      <c r="I6" s="368">
        <f>SUM(I7,I9:I12)</f>
        <v>-2070</v>
      </c>
      <c r="J6" s="369"/>
      <c r="K6" s="369"/>
      <c r="L6" s="370"/>
    </row>
    <row r="7" spans="1:13">
      <c r="A7" s="166"/>
      <c r="B7" s="350"/>
      <c r="C7" s="371" t="str">
        <f>'[182]Кальк_ДИ_2019-2023'!B110</f>
        <v>Недополученный доход / расходы прошлых периодов</v>
      </c>
      <c r="D7" s="372"/>
      <c r="E7" s="373"/>
      <c r="F7" s="373"/>
      <c r="G7" s="374"/>
      <c r="H7" s="375"/>
      <c r="I7" s="375"/>
      <c r="J7" s="369"/>
      <c r="K7" s="369"/>
      <c r="L7" s="422"/>
    </row>
    <row r="8" spans="1:13" outlineLevel="1">
      <c r="A8" s="166"/>
      <c r="B8" s="350"/>
      <c r="C8" s="371" t="s">
        <v>416</v>
      </c>
      <c r="D8" s="376"/>
      <c r="E8" s="377"/>
      <c r="F8" s="378"/>
      <c r="G8" s="379"/>
      <c r="H8" s="380"/>
      <c r="I8" s="381"/>
      <c r="J8" s="369"/>
      <c r="K8" s="369"/>
      <c r="L8" s="370"/>
    </row>
    <row r="9" spans="1:13" ht="47.25" outlineLevel="1">
      <c r="A9" s="166"/>
      <c r="B9" s="350"/>
      <c r="C9" s="350" t="s">
        <v>204</v>
      </c>
      <c r="D9" s="372">
        <v>26126.65</v>
      </c>
      <c r="E9" s="373">
        <v>28072.53</v>
      </c>
      <c r="F9" s="373">
        <f>D9-E9</f>
        <v>-1945.8799999999974</v>
      </c>
      <c r="G9" s="382"/>
      <c r="H9" s="375">
        <v>-210.88</v>
      </c>
      <c r="I9" s="375">
        <f>ROUND((F9-H9)*индексы!E8*индексы!F8*индексы!G8*индексы!H8,2)</f>
        <v>-2070</v>
      </c>
      <c r="J9" s="369"/>
      <c r="K9" s="369"/>
      <c r="L9" s="370"/>
    </row>
    <row r="10" spans="1:13" ht="94.5" hidden="1" outlineLevel="1">
      <c r="A10" s="166"/>
      <c r="B10" s="350"/>
      <c r="C10" s="350" t="s">
        <v>205</v>
      </c>
      <c r="D10" s="372"/>
      <c r="E10" s="373"/>
      <c r="F10" s="373"/>
      <c r="G10" s="382"/>
      <c r="H10" s="383"/>
      <c r="I10" s="383"/>
      <c r="J10" s="369"/>
      <c r="K10" s="369"/>
      <c r="L10" s="370"/>
    </row>
    <row r="11" spans="1:13" ht="31.5" hidden="1" outlineLevel="1">
      <c r="A11" s="166"/>
      <c r="B11" s="350"/>
      <c r="C11" s="350" t="s">
        <v>206</v>
      </c>
      <c r="D11" s="372"/>
      <c r="E11" s="373"/>
      <c r="F11" s="373"/>
      <c r="G11" s="382"/>
      <c r="H11" s="383"/>
      <c r="I11" s="383"/>
      <c r="J11" s="369"/>
      <c r="K11" s="369"/>
      <c r="L11" s="370"/>
    </row>
    <row r="12" spans="1:13" ht="110.25" hidden="1" outlineLevel="1">
      <c r="A12" s="166"/>
      <c r="B12" s="350"/>
      <c r="C12" s="350" t="s">
        <v>207</v>
      </c>
      <c r="D12" s="372"/>
      <c r="E12" s="373"/>
      <c r="F12" s="373"/>
      <c r="G12" s="382"/>
      <c r="H12" s="383"/>
      <c r="I12" s="383"/>
      <c r="J12" s="369"/>
      <c r="K12" s="369"/>
      <c r="L12" s="370"/>
    </row>
    <row r="13" spans="1:13" ht="31.5" collapsed="1">
      <c r="A13" s="166"/>
      <c r="B13" s="350">
        <v>2</v>
      </c>
      <c r="C13" s="364" t="s">
        <v>417</v>
      </c>
      <c r="D13" s="365"/>
      <c r="E13" s="366"/>
      <c r="F13" s="366"/>
      <c r="G13" s="384"/>
      <c r="H13" s="368">
        <f>SUM(H15:H18)</f>
        <v>0</v>
      </c>
      <c r="I13" s="368">
        <f>SUM(I15:I18)</f>
        <v>-1023.29</v>
      </c>
      <c r="J13" s="368">
        <f>SUM(J15:J18)</f>
        <v>0</v>
      </c>
      <c r="K13" s="369"/>
      <c r="L13" s="385"/>
    </row>
    <row r="14" spans="1:13" s="391" customFormat="1">
      <c r="A14" s="386"/>
      <c r="B14" s="387"/>
      <c r="C14" s="371" t="s">
        <v>416</v>
      </c>
      <c r="D14" s="376"/>
      <c r="E14" s="377"/>
      <c r="F14" s="378"/>
      <c r="G14" s="388"/>
      <c r="H14" s="381"/>
      <c r="I14" s="381"/>
      <c r="J14" s="381"/>
      <c r="K14" s="369"/>
      <c r="L14" s="389"/>
      <c r="M14" s="390"/>
    </row>
    <row r="15" spans="1:13" s="391" customFormat="1" ht="47.25">
      <c r="A15" s="386"/>
      <c r="B15" s="387"/>
      <c r="C15" s="350" t="s">
        <v>204</v>
      </c>
      <c r="D15" s="372">
        <v>26756</v>
      </c>
      <c r="E15" s="373">
        <v>27413.05</v>
      </c>
      <c r="F15" s="373">
        <f>D15-E15</f>
        <v>-657.04999999999927</v>
      </c>
      <c r="G15" s="392"/>
      <c r="H15" s="383"/>
      <c r="I15" s="383">
        <f>ROUND(F15*индексы!F8*индексы!G8*индексы!H8,2)</f>
        <v>-731.95</v>
      </c>
      <c r="J15" s="383"/>
      <c r="K15" s="369"/>
      <c r="L15" s="425"/>
      <c r="M15" s="424"/>
    </row>
    <row r="16" spans="1:13" s="391" customFormat="1" ht="94.5" hidden="1" outlineLevel="1">
      <c r="A16" s="386"/>
      <c r="B16" s="387"/>
      <c r="C16" s="350" t="s">
        <v>205</v>
      </c>
      <c r="D16" s="372"/>
      <c r="E16" s="373"/>
      <c r="F16" s="373"/>
      <c r="G16" s="392"/>
      <c r="H16" s="383"/>
      <c r="I16" s="383"/>
      <c r="J16" s="383"/>
      <c r="K16" s="369"/>
      <c r="L16" s="389"/>
      <c r="M16" s="390"/>
    </row>
    <row r="17" spans="1:13" s="391" customFormat="1" ht="31.5" hidden="1" outlineLevel="1">
      <c r="A17" s="386"/>
      <c r="B17" s="387"/>
      <c r="C17" s="350" t="s">
        <v>206</v>
      </c>
      <c r="D17" s="372"/>
      <c r="E17" s="373"/>
      <c r="F17" s="373"/>
      <c r="G17" s="392"/>
      <c r="H17" s="383"/>
      <c r="I17" s="383"/>
      <c r="J17" s="383"/>
      <c r="K17" s="369"/>
      <c r="L17" s="389"/>
      <c r="M17" s="390"/>
    </row>
    <row r="18" spans="1:13" s="391" customFormat="1" ht="110.25" outlineLevel="1">
      <c r="A18" s="386"/>
      <c r="B18" s="387"/>
      <c r="C18" s="350" t="s">
        <v>207</v>
      </c>
      <c r="D18" s="372"/>
      <c r="E18" s="373"/>
      <c r="F18" s="373">
        <v>-291.33999999999997</v>
      </c>
      <c r="G18" s="392"/>
      <c r="H18" s="383"/>
      <c r="I18" s="383">
        <f>F18</f>
        <v>-291.33999999999997</v>
      </c>
      <c r="J18" s="383"/>
      <c r="K18" s="369"/>
      <c r="L18" s="389"/>
      <c r="M18" s="390"/>
    </row>
    <row r="19" spans="1:13" ht="31.5">
      <c r="A19" s="166"/>
      <c r="B19" s="350">
        <v>3</v>
      </c>
      <c r="C19" s="364" t="s">
        <v>418</v>
      </c>
      <c r="D19" s="365"/>
      <c r="E19" s="366"/>
      <c r="F19" s="366"/>
      <c r="G19" s="384"/>
      <c r="H19" s="393"/>
      <c r="I19" s="368">
        <f>SUM(I21:I24)</f>
        <v>105.13</v>
      </c>
      <c r="J19" s="368">
        <f>SUM(J21:J24)</f>
        <v>-126.51624797211835</v>
      </c>
      <c r="K19" s="368">
        <f>SUM(K21:K24)</f>
        <v>0</v>
      </c>
      <c r="L19" s="385"/>
    </row>
    <row r="20" spans="1:13">
      <c r="A20" s="166"/>
      <c r="B20" s="350"/>
      <c r="C20" s="371" t="s">
        <v>416</v>
      </c>
      <c r="D20" s="376"/>
      <c r="E20" s="377"/>
      <c r="F20" s="378"/>
      <c r="G20" s="388"/>
      <c r="H20" s="381"/>
      <c r="I20" s="381"/>
      <c r="J20" s="381"/>
      <c r="K20" s="381"/>
      <c r="L20" s="370"/>
    </row>
    <row r="21" spans="1:13" ht="47.25">
      <c r="A21" s="166"/>
      <c r="B21" s="350"/>
      <c r="C21" s="350" t="s">
        <v>204</v>
      </c>
      <c r="D21" s="373">
        <v>24647.632760799999</v>
      </c>
      <c r="E21" s="373">
        <v>24549.764999999999</v>
      </c>
      <c r="F21" s="373">
        <f>D21-E21</f>
        <v>97.867760799999814</v>
      </c>
      <c r="G21" s="392"/>
      <c r="H21" s="394"/>
      <c r="I21" s="395">
        <f>ROUND(F21*индексы!G8*индексы!H8,2)</f>
        <v>105.13</v>
      </c>
      <c r="J21" s="395"/>
      <c r="K21" s="395"/>
      <c r="L21" s="385"/>
      <c r="M21" s="424"/>
    </row>
    <row r="22" spans="1:13" ht="94.5" hidden="1" outlineLevel="1">
      <c r="A22" s="166"/>
      <c r="B22" s="350"/>
      <c r="C22" s="350" t="s">
        <v>205</v>
      </c>
      <c r="D22" s="372"/>
      <c r="E22" s="373"/>
      <c r="F22" s="373"/>
      <c r="G22" s="392"/>
      <c r="H22" s="394"/>
      <c r="I22" s="395"/>
      <c r="J22" s="395"/>
      <c r="K22" s="395"/>
      <c r="L22" s="370"/>
    </row>
    <row r="23" spans="1:13" ht="31.5" hidden="1" outlineLevel="1">
      <c r="A23" s="166"/>
      <c r="B23" s="350"/>
      <c r="C23" s="350" t="s">
        <v>206</v>
      </c>
      <c r="D23" s="372"/>
      <c r="E23" s="373"/>
      <c r="F23" s="373"/>
      <c r="G23" s="392"/>
      <c r="H23" s="394"/>
      <c r="I23" s="395"/>
      <c r="J23" s="395"/>
      <c r="K23" s="395"/>
      <c r="L23" s="370"/>
    </row>
    <row r="24" spans="1:13" ht="111" outlineLevel="1" thickBot="1">
      <c r="A24" s="166"/>
      <c r="B24" s="350"/>
      <c r="C24" s="350" t="s">
        <v>207</v>
      </c>
      <c r="D24" s="372"/>
      <c r="E24" s="373"/>
      <c r="F24" s="373">
        <v>-126.51624797211835</v>
      </c>
      <c r="G24" s="392"/>
      <c r="H24" s="394"/>
      <c r="I24" s="395"/>
      <c r="J24" s="395">
        <f>F24</f>
        <v>-126.51624797211835</v>
      </c>
      <c r="K24" s="395"/>
      <c r="L24" s="370"/>
    </row>
    <row r="25" spans="1:13" s="403" customFormat="1" ht="19.5" thickBot="1">
      <c r="A25" s="396"/>
      <c r="B25" s="1347" t="s">
        <v>419</v>
      </c>
      <c r="C25" s="1348"/>
      <c r="D25" s="397"/>
      <c r="E25" s="398"/>
      <c r="F25" s="398"/>
      <c r="G25" s="399">
        <f>SUM(G26,G27)</f>
        <v>0</v>
      </c>
      <c r="H25" s="400">
        <f t="shared" ref="H25:I25" si="0">SUM(H26,H27)</f>
        <v>-210.88</v>
      </c>
      <c r="I25" s="400">
        <f t="shared" si="0"/>
        <v>-2988.16</v>
      </c>
      <c r="J25" s="400">
        <f>SUM(J26,J27)</f>
        <v>-126.51624797211835</v>
      </c>
      <c r="K25" s="400">
        <f t="shared" ref="K25" si="1">SUM(K26,K27)</f>
        <v>0</v>
      </c>
      <c r="L25" s="401"/>
      <c r="M25" s="402"/>
    </row>
    <row r="26" spans="1:13">
      <c r="A26" s="166"/>
      <c r="B26" s="404"/>
      <c r="C26" s="405" t="s">
        <v>420</v>
      </c>
      <c r="D26" s="406"/>
      <c r="E26" s="407"/>
      <c r="F26" s="407"/>
      <c r="G26" s="408">
        <f>G7</f>
        <v>0</v>
      </c>
      <c r="H26" s="409">
        <f>H7</f>
        <v>0</v>
      </c>
      <c r="I26" s="409">
        <f>I7</f>
        <v>0</v>
      </c>
      <c r="J26" s="409">
        <f>J7</f>
        <v>0</v>
      </c>
      <c r="K26" s="409">
        <f>K7</f>
        <v>0</v>
      </c>
      <c r="L26" s="370"/>
    </row>
    <row r="27" spans="1:13">
      <c r="B27" s="410"/>
      <c r="C27" s="371" t="s">
        <v>416</v>
      </c>
      <c r="D27" s="411"/>
      <c r="E27" s="412"/>
      <c r="F27" s="412"/>
      <c r="G27" s="413">
        <f>SUM(G28:G31)</f>
        <v>0</v>
      </c>
      <c r="H27" s="414">
        <f>SUM(H28:H31)</f>
        <v>-210.88</v>
      </c>
      <c r="I27" s="414">
        <f>SUM(I28:I31)</f>
        <v>-2988.16</v>
      </c>
      <c r="J27" s="414">
        <f>SUM(J28:J31)</f>
        <v>-126.51624797211835</v>
      </c>
      <c r="K27" s="414">
        <f>SUM(K28:K31)</f>
        <v>0</v>
      </c>
      <c r="L27" s="370"/>
    </row>
    <row r="28" spans="1:13" ht="47.25">
      <c r="B28" s="410"/>
      <c r="C28" s="350" t="s">
        <v>204</v>
      </c>
      <c r="D28" s="411"/>
      <c r="E28" s="412"/>
      <c r="F28" s="412"/>
      <c r="G28" s="415">
        <f>SUM(G9,G15,G21)</f>
        <v>0</v>
      </c>
      <c r="H28" s="416">
        <f>SUM(H9,H15,H21)</f>
        <v>-210.88</v>
      </c>
      <c r="I28" s="416">
        <f>SUM(I9,I15,I21)</f>
        <v>-2696.8199999999997</v>
      </c>
      <c r="J28" s="416">
        <f>SUM(J9,J15,J21)</f>
        <v>0</v>
      </c>
      <c r="K28" s="416">
        <f>SUM(K9,K15,K21)</f>
        <v>0</v>
      </c>
      <c r="L28" s="370"/>
    </row>
    <row r="29" spans="1:13" ht="94.5">
      <c r="B29" s="410"/>
      <c r="C29" s="350" t="s">
        <v>205</v>
      </c>
      <c r="D29" s="411"/>
      <c r="E29" s="412"/>
      <c r="F29" s="412"/>
      <c r="G29" s="415">
        <f>SUM(G10,G16,G22)</f>
        <v>0</v>
      </c>
      <c r="H29" s="416">
        <f>SUM(H10,H16,H22)</f>
        <v>0</v>
      </c>
      <c r="I29" s="416">
        <f>SUM(I10,I16,I22)</f>
        <v>0</v>
      </c>
      <c r="J29" s="416">
        <f>SUM(J10,J16,J22)</f>
        <v>0</v>
      </c>
      <c r="K29" s="416">
        <f t="shared" ref="G29:K31" si="2">SUM(K10,K16,K22)</f>
        <v>0</v>
      </c>
      <c r="L29" s="370"/>
    </row>
    <row r="30" spans="1:13" ht="31.5">
      <c r="B30" s="410"/>
      <c r="C30" s="350" t="s">
        <v>206</v>
      </c>
      <c r="D30" s="411"/>
      <c r="E30" s="412"/>
      <c r="F30" s="412"/>
      <c r="G30" s="415">
        <f t="shared" si="2"/>
        <v>0</v>
      </c>
      <c r="H30" s="416">
        <f t="shared" si="2"/>
        <v>0</v>
      </c>
      <c r="I30" s="416">
        <f t="shared" si="2"/>
        <v>0</v>
      </c>
      <c r="J30" s="416">
        <f t="shared" si="2"/>
        <v>0</v>
      </c>
      <c r="K30" s="416">
        <f t="shared" si="2"/>
        <v>0</v>
      </c>
      <c r="L30" s="370"/>
    </row>
    <row r="31" spans="1:13" ht="110.25">
      <c r="B31" s="410"/>
      <c r="C31" s="350" t="s">
        <v>207</v>
      </c>
      <c r="D31" s="411"/>
      <c r="E31" s="412"/>
      <c r="F31" s="412"/>
      <c r="G31" s="415">
        <f t="shared" si="2"/>
        <v>0</v>
      </c>
      <c r="H31" s="416">
        <f t="shared" si="2"/>
        <v>0</v>
      </c>
      <c r="I31" s="416">
        <f t="shared" si="2"/>
        <v>-291.33999999999997</v>
      </c>
      <c r="J31" s="416">
        <f t="shared" si="2"/>
        <v>-126.51624797211835</v>
      </c>
      <c r="K31" s="416">
        <f t="shared" si="2"/>
        <v>0</v>
      </c>
      <c r="L31" s="417"/>
    </row>
    <row r="43" spans="11:12">
      <c r="K43" s="155">
        <f>21.11*1.046*1.027</f>
        <v>22.67724862</v>
      </c>
      <c r="L43" s="419">
        <f>F15-1098.13-320</f>
        <v>-2075.1799999999994</v>
      </c>
    </row>
    <row r="44" spans="11:12">
      <c r="L44" s="155">
        <f>L43*1.037*1.027*1.046*1.034</f>
        <v>-2390.3263358788172</v>
      </c>
    </row>
    <row r="45" spans="11:12">
      <c r="K45" s="155">
        <f>320*1.046*1.027*1.037</f>
        <v>356.47646527999996</v>
      </c>
    </row>
    <row r="46" spans="11:12">
      <c r="K46" s="155">
        <f>K45-K43</f>
        <v>333.79921665999996</v>
      </c>
    </row>
  </sheetData>
  <mergeCells count="8">
    <mergeCell ref="L4:L5"/>
    <mergeCell ref="B25:C25"/>
    <mergeCell ref="B4:B5"/>
    <mergeCell ref="C4:C5"/>
    <mergeCell ref="D4:D5"/>
    <mergeCell ref="E4:E5"/>
    <mergeCell ref="F4:F5"/>
    <mergeCell ref="G4:K4"/>
  </mergeCells>
  <pageMargins left="0.70866141732283472" right="0.70866141732283472" top="0.74803149606299213" bottom="0.74803149606299213" header="0.31496062992125984" footer="0.31496062992125984"/>
  <pageSetup paperSize="9" scale="51" fitToHeight="0" orientation="landscape" blackAndWhite="1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0"/>
  <sheetViews>
    <sheetView topLeftCell="A35" workbookViewId="0">
      <selection activeCell="I66" sqref="I66"/>
    </sheetView>
  </sheetViews>
  <sheetFormatPr defaultRowHeight="15.75"/>
  <sheetData>
    <row r="1" spans="1:1">
      <c r="A1" t="s">
        <v>279</v>
      </c>
    </row>
    <row r="2" spans="1:1">
      <c r="A2" t="s">
        <v>280</v>
      </c>
    </row>
    <row r="3" spans="1:1">
      <c r="A3" t="s">
        <v>281</v>
      </c>
    </row>
    <row r="4" spans="1:1">
      <c r="A4" t="s">
        <v>282</v>
      </c>
    </row>
    <row r="5" spans="1:1">
      <c r="A5" t="s">
        <v>283</v>
      </c>
    </row>
    <row r="6" spans="1:1">
      <c r="A6" t="s">
        <v>284</v>
      </c>
    </row>
    <row r="7" spans="1:1">
      <c r="A7" t="s">
        <v>285</v>
      </c>
    </row>
    <row r="8" spans="1:1">
      <c r="A8" t="s">
        <v>286</v>
      </c>
    </row>
    <row r="9" spans="1:1">
      <c r="A9" t="s">
        <v>287</v>
      </c>
    </row>
    <row r="10" spans="1:1">
      <c r="A10" t="s">
        <v>288</v>
      </c>
    </row>
    <row r="11" spans="1:1">
      <c r="A11" t="s">
        <v>289</v>
      </c>
    </row>
    <row r="12" spans="1:1">
      <c r="A12" t="s">
        <v>290</v>
      </c>
    </row>
    <row r="13" spans="1:1">
      <c r="A13" t="s">
        <v>291</v>
      </c>
    </row>
    <row r="14" spans="1:1">
      <c r="A14" t="s">
        <v>292</v>
      </c>
    </row>
    <row r="15" spans="1:1">
      <c r="A15" t="s">
        <v>293</v>
      </c>
    </row>
    <row r="16" spans="1:1">
      <c r="A16" t="s">
        <v>294</v>
      </c>
    </row>
    <row r="17" spans="1:1">
      <c r="A17" t="s">
        <v>295</v>
      </c>
    </row>
    <row r="18" spans="1:1">
      <c r="A18" t="s">
        <v>296</v>
      </c>
    </row>
    <row r="19" spans="1:1">
      <c r="A19" t="s">
        <v>297</v>
      </c>
    </row>
    <row r="20" spans="1:1">
      <c r="A20" t="s">
        <v>298</v>
      </c>
    </row>
    <row r="21" spans="1:1">
      <c r="A21" t="s">
        <v>299</v>
      </c>
    </row>
    <row r="22" spans="1:1">
      <c r="A22" t="s">
        <v>300</v>
      </c>
    </row>
    <row r="23" spans="1:1">
      <c r="A23" t="s">
        <v>301</v>
      </c>
    </row>
    <row r="24" spans="1:1">
      <c r="A24" t="s">
        <v>302</v>
      </c>
    </row>
    <row r="25" spans="1:1">
      <c r="A25" t="s">
        <v>303</v>
      </c>
    </row>
    <row r="26" spans="1:1">
      <c r="A26" t="s">
        <v>304</v>
      </c>
    </row>
    <row r="28" spans="1:1">
      <c r="A28" t="s">
        <v>304</v>
      </c>
    </row>
    <row r="29" spans="1:1">
      <c r="A29" t="s">
        <v>305</v>
      </c>
    </row>
    <row r="30" spans="1:1">
      <c r="A30" t="s">
        <v>306</v>
      </c>
    </row>
    <row r="31" spans="1:1">
      <c r="A31" t="s">
        <v>307</v>
      </c>
    </row>
    <row r="32" spans="1:1">
      <c r="A32" t="s">
        <v>308</v>
      </c>
    </row>
    <row r="33" spans="1:1">
      <c r="A33" t="s">
        <v>309</v>
      </c>
    </row>
    <row r="34" spans="1:1">
      <c r="A34" t="s">
        <v>310</v>
      </c>
    </row>
    <row r="35" spans="1:1">
      <c r="A35" t="s">
        <v>311</v>
      </c>
    </row>
    <row r="36" spans="1:1">
      <c r="A36" t="s">
        <v>312</v>
      </c>
    </row>
    <row r="37" spans="1:1">
      <c r="A37" t="s">
        <v>313</v>
      </c>
    </row>
    <row r="38" spans="1:1">
      <c r="A38" t="s">
        <v>314</v>
      </c>
    </row>
    <row r="39" spans="1:1">
      <c r="A39" t="s">
        <v>315</v>
      </c>
    </row>
    <row r="40" spans="1:1">
      <c r="A40" t="s">
        <v>316</v>
      </c>
    </row>
    <row r="41" spans="1:1">
      <c r="A41" t="s">
        <v>317</v>
      </c>
    </row>
    <row r="42" spans="1:1">
      <c r="A42" t="s">
        <v>318</v>
      </c>
    </row>
    <row r="43" spans="1:1">
      <c r="A43" t="s">
        <v>319</v>
      </c>
    </row>
    <row r="44" spans="1:1">
      <c r="A44" t="s">
        <v>320</v>
      </c>
    </row>
    <row r="45" spans="1:1">
      <c r="A45" t="s">
        <v>321</v>
      </c>
    </row>
    <row r="46" spans="1:1">
      <c r="A46" t="s">
        <v>297</v>
      </c>
    </row>
    <row r="47" spans="1:1">
      <c r="A47" t="s">
        <v>322</v>
      </c>
    </row>
    <row r="48" spans="1:1">
      <c r="A48" t="s">
        <v>323</v>
      </c>
    </row>
    <row r="49" spans="1:1">
      <c r="A49" t="s">
        <v>296</v>
      </c>
    </row>
    <row r="50" spans="1:1">
      <c r="A50" t="s">
        <v>324</v>
      </c>
    </row>
    <row r="51" spans="1:1">
      <c r="A51" t="s">
        <v>325</v>
      </c>
    </row>
    <row r="52" spans="1:1">
      <c r="A52" t="s">
        <v>326</v>
      </c>
    </row>
    <row r="53" spans="1:1">
      <c r="A53" t="s">
        <v>327</v>
      </c>
    </row>
    <row r="54" spans="1:1">
      <c r="A54" t="s">
        <v>328</v>
      </c>
    </row>
    <row r="55" spans="1:1">
      <c r="A55" t="s">
        <v>329</v>
      </c>
    </row>
    <row r="56" spans="1:1">
      <c r="A56" t="s">
        <v>330</v>
      </c>
    </row>
    <row r="57" spans="1:1">
      <c r="A57" t="s">
        <v>331</v>
      </c>
    </row>
    <row r="58" spans="1:1">
      <c r="A58" t="s">
        <v>332</v>
      </c>
    </row>
    <row r="59" spans="1:1">
      <c r="A59" t="s">
        <v>333</v>
      </c>
    </row>
    <row r="60" spans="1:1">
      <c r="A60" t="s">
        <v>334</v>
      </c>
    </row>
    <row r="61" spans="1:1">
      <c r="A61" t="s">
        <v>335</v>
      </c>
    </row>
    <row r="62" spans="1:1">
      <c r="A62" t="s">
        <v>336</v>
      </c>
    </row>
    <row r="63" spans="1:1">
      <c r="A63" t="s">
        <v>337</v>
      </c>
    </row>
    <row r="64" spans="1:1">
      <c r="A64" t="s">
        <v>338</v>
      </c>
    </row>
    <row r="65" spans="1:1">
      <c r="A65" t="s">
        <v>339</v>
      </c>
    </row>
    <row r="66" spans="1:1">
      <c r="A66" t="s">
        <v>302</v>
      </c>
    </row>
    <row r="67" spans="1:1">
      <c r="A67" t="s">
        <v>340</v>
      </c>
    </row>
    <row r="68" spans="1:1">
      <c r="A68" t="s">
        <v>341</v>
      </c>
    </row>
    <row r="69" spans="1:1">
      <c r="A69" t="s">
        <v>342</v>
      </c>
    </row>
    <row r="70" spans="1:1">
      <c r="A70" t="s">
        <v>343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31"/>
  <sheetViews>
    <sheetView topLeftCell="J12" zoomScale="148" zoomScaleNormal="148" workbookViewId="0">
      <selection activeCell="B13" sqref="B13"/>
    </sheetView>
  </sheetViews>
  <sheetFormatPr defaultRowHeight="12.75"/>
  <cols>
    <col min="1" max="1" width="9" style="530"/>
    <col min="2" max="2" width="40.125" style="530" customWidth="1"/>
    <col min="3" max="3" width="17" style="586" customWidth="1"/>
    <col min="4" max="4" width="13.375" style="586" customWidth="1"/>
    <col min="5" max="5" width="15.75" style="586" customWidth="1"/>
    <col min="6" max="6" width="16.875" style="586" customWidth="1"/>
    <col min="7" max="7" width="6.625" style="586" customWidth="1"/>
    <col min="8" max="8" width="14.375" style="586" customWidth="1"/>
    <col min="9" max="9" width="16.375" style="530" customWidth="1"/>
    <col min="10" max="10" width="14.75" style="586" customWidth="1"/>
    <col min="11" max="11" width="15.875" style="530" customWidth="1"/>
    <col min="12" max="12" width="9" style="530"/>
    <col min="13" max="13" width="10.125" style="586" customWidth="1"/>
    <col min="14" max="14" width="11.125" style="530" customWidth="1"/>
    <col min="15" max="15" width="16.875" style="530" customWidth="1"/>
    <col min="16" max="16" width="14.75" style="530" customWidth="1"/>
    <col min="17" max="17" width="13" style="530" customWidth="1"/>
    <col min="18" max="18" width="15" style="530" customWidth="1"/>
    <col min="19" max="19" width="13.25" style="530" customWidth="1"/>
    <col min="20" max="20" width="13.375" style="530" customWidth="1"/>
    <col min="21" max="21" width="14.125" style="530" customWidth="1"/>
    <col min="22" max="23" width="14.625" style="530" customWidth="1"/>
    <col min="24" max="24" width="13.125" style="530" customWidth="1"/>
    <col min="25" max="16384" width="9" style="530"/>
  </cols>
  <sheetData>
    <row r="1" spans="2:24" ht="55.5" customHeight="1">
      <c r="B1" s="584" t="s">
        <v>464</v>
      </c>
      <c r="C1" s="584" t="s">
        <v>465</v>
      </c>
      <c r="D1" s="584" t="s">
        <v>466</v>
      </c>
      <c r="E1" s="584" t="s">
        <v>467</v>
      </c>
      <c r="F1" s="584" t="s">
        <v>468</v>
      </c>
      <c r="G1" s="585"/>
      <c r="H1" s="584" t="s">
        <v>469</v>
      </c>
      <c r="I1" s="584" t="s">
        <v>470</v>
      </c>
      <c r="J1" s="584" t="s">
        <v>471</v>
      </c>
      <c r="K1" s="584" t="s">
        <v>472</v>
      </c>
      <c r="O1" s="584" t="s">
        <v>500</v>
      </c>
      <c r="P1" s="584" t="s">
        <v>501</v>
      </c>
      <c r="Q1" s="584" t="s">
        <v>502</v>
      </c>
      <c r="R1" s="584" t="s">
        <v>503</v>
      </c>
      <c r="S1" s="584" t="s">
        <v>504</v>
      </c>
      <c r="T1" s="584" t="s">
        <v>505</v>
      </c>
      <c r="U1" s="584" t="s">
        <v>506</v>
      </c>
      <c r="V1" s="584" t="s">
        <v>507</v>
      </c>
      <c r="W1" s="584" t="s">
        <v>508</v>
      </c>
      <c r="X1" s="584" t="s">
        <v>509</v>
      </c>
    </row>
    <row r="2" spans="2:24" ht="25.5">
      <c r="B2" s="587" t="s">
        <v>473</v>
      </c>
      <c r="C2" s="588">
        <v>64233.41</v>
      </c>
      <c r="D2" s="588">
        <v>8199.9599999999991</v>
      </c>
      <c r="E2" s="588">
        <v>25966.54</v>
      </c>
      <c r="F2" s="588">
        <f t="shared" ref="F2:F26" si="0">C2-D2</f>
        <v>56033.450000000004</v>
      </c>
      <c r="G2" s="589"/>
      <c r="H2" s="588">
        <f t="shared" ref="H2:H26" si="1">D2</f>
        <v>8199.9599999999991</v>
      </c>
      <c r="I2" s="588">
        <f>F2-H2</f>
        <v>47833.490000000005</v>
      </c>
      <c r="J2" s="588">
        <f>H2</f>
        <v>8199.9599999999991</v>
      </c>
      <c r="K2" s="588">
        <f>I2-J2</f>
        <v>39633.530000000006</v>
      </c>
      <c r="M2" s="586" t="str">
        <f t="shared" ref="M2:M27" si="2">RIGHT(B2,11)</f>
        <v>№: 00000183</v>
      </c>
      <c r="O2" s="588">
        <f>J2</f>
        <v>8199.9599999999991</v>
      </c>
      <c r="P2" s="588">
        <f>K2-O2</f>
        <v>31433.570000000007</v>
      </c>
      <c r="Q2" s="588">
        <f>O2</f>
        <v>8199.9599999999991</v>
      </c>
      <c r="R2" s="588">
        <f>P2-Q2</f>
        <v>23233.610000000008</v>
      </c>
      <c r="S2" s="588">
        <f>Q2</f>
        <v>8199.9599999999991</v>
      </c>
      <c r="T2" s="588">
        <f>R2-S2</f>
        <v>15033.650000000009</v>
      </c>
      <c r="U2" s="588">
        <f>S2</f>
        <v>8199.9599999999991</v>
      </c>
      <c r="V2" s="588">
        <f>T2-U2</f>
        <v>6833.6900000000096</v>
      </c>
      <c r="W2" s="588">
        <f>V2</f>
        <v>6833.6900000000096</v>
      </c>
      <c r="X2" s="588">
        <f>V2-W2</f>
        <v>0</v>
      </c>
    </row>
    <row r="3" spans="2:24" ht="25.5">
      <c r="B3" s="587" t="s">
        <v>474</v>
      </c>
      <c r="C3" s="588">
        <v>64233.41</v>
      </c>
      <c r="D3" s="588">
        <v>8199.9599999999991</v>
      </c>
      <c r="E3" s="588">
        <v>25966.54</v>
      </c>
      <c r="F3" s="588">
        <f t="shared" si="0"/>
        <v>56033.450000000004</v>
      </c>
      <c r="G3" s="589"/>
      <c r="H3" s="588">
        <f t="shared" si="1"/>
        <v>8199.9599999999991</v>
      </c>
      <c r="I3" s="588">
        <f t="shared" ref="I3:I26" si="3">F3-H3</f>
        <v>47833.490000000005</v>
      </c>
      <c r="J3" s="588">
        <f t="shared" ref="J3:J27" si="4">H3</f>
        <v>8199.9599999999991</v>
      </c>
      <c r="K3" s="588">
        <f t="shared" ref="K3:K27" si="5">I3-J3</f>
        <v>39633.530000000006</v>
      </c>
      <c r="M3" s="586" t="str">
        <f t="shared" si="2"/>
        <v>№: 00000184</v>
      </c>
      <c r="O3" s="588">
        <f t="shared" ref="O3:O27" si="6">J3</f>
        <v>8199.9599999999991</v>
      </c>
      <c r="P3" s="588">
        <f t="shared" ref="P3:P27" si="7">K3-O3</f>
        <v>31433.570000000007</v>
      </c>
      <c r="Q3" s="588">
        <f t="shared" ref="Q3:Q27" si="8">O3</f>
        <v>8199.9599999999991</v>
      </c>
      <c r="R3" s="588">
        <f t="shared" ref="R3:R27" si="9">P3-Q3</f>
        <v>23233.610000000008</v>
      </c>
      <c r="S3" s="588">
        <f t="shared" ref="S3:S27" si="10">Q3</f>
        <v>8199.9599999999991</v>
      </c>
      <c r="T3" s="588">
        <f t="shared" ref="T3:T27" si="11">R3-S3</f>
        <v>15033.650000000009</v>
      </c>
      <c r="U3" s="588">
        <f t="shared" ref="U3:U27" si="12">S3</f>
        <v>8199.9599999999991</v>
      </c>
      <c r="V3" s="588">
        <f t="shared" ref="V3:V27" si="13">T3-U3</f>
        <v>6833.6900000000096</v>
      </c>
      <c r="W3" s="588">
        <f>V3</f>
        <v>6833.6900000000096</v>
      </c>
      <c r="X3" s="588">
        <f t="shared" ref="X3:X27" si="14">V3-W3</f>
        <v>0</v>
      </c>
    </row>
    <row r="4" spans="2:24" ht="15.75">
      <c r="B4" s="587" t="s">
        <v>475</v>
      </c>
      <c r="C4" s="588">
        <v>40224.42</v>
      </c>
      <c r="D4" s="588">
        <v>4553.76</v>
      </c>
      <c r="E4" s="588">
        <v>32635.279999999999</v>
      </c>
      <c r="F4" s="588">
        <f t="shared" si="0"/>
        <v>35670.659999999996</v>
      </c>
      <c r="G4" s="589"/>
      <c r="H4" s="588">
        <f t="shared" si="1"/>
        <v>4553.76</v>
      </c>
      <c r="I4" s="588">
        <f t="shared" si="3"/>
        <v>31116.899999999994</v>
      </c>
      <c r="J4" s="588">
        <f t="shared" si="4"/>
        <v>4553.76</v>
      </c>
      <c r="K4" s="588">
        <f t="shared" si="5"/>
        <v>26563.139999999992</v>
      </c>
      <c r="M4" s="586" t="str">
        <f t="shared" si="2"/>
        <v>№: 00000118</v>
      </c>
      <c r="O4" s="588">
        <f t="shared" si="6"/>
        <v>4553.76</v>
      </c>
      <c r="P4" s="588">
        <f t="shared" si="7"/>
        <v>22009.37999999999</v>
      </c>
      <c r="Q4" s="588">
        <f t="shared" si="8"/>
        <v>4553.76</v>
      </c>
      <c r="R4" s="588">
        <f t="shared" si="9"/>
        <v>17455.619999999988</v>
      </c>
      <c r="S4" s="588">
        <f t="shared" si="10"/>
        <v>4553.76</v>
      </c>
      <c r="T4" s="588">
        <f t="shared" si="11"/>
        <v>12901.859999999988</v>
      </c>
      <c r="U4" s="588">
        <f t="shared" si="12"/>
        <v>4553.76</v>
      </c>
      <c r="V4" s="588">
        <f t="shared" si="13"/>
        <v>8348.0999999999876</v>
      </c>
      <c r="W4" s="588">
        <f t="shared" ref="W4:W27" si="15">U4</f>
        <v>4553.76</v>
      </c>
      <c r="X4" s="588">
        <f t="shared" si="14"/>
        <v>3794.3399999999874</v>
      </c>
    </row>
    <row r="5" spans="2:24" ht="15.75">
      <c r="B5" s="587" t="s">
        <v>476</v>
      </c>
      <c r="C5" s="588">
        <v>2046.88</v>
      </c>
      <c r="D5" s="588">
        <v>2046.88</v>
      </c>
      <c r="E5" s="588">
        <v>29237.29</v>
      </c>
      <c r="F5" s="588">
        <f t="shared" si="0"/>
        <v>0</v>
      </c>
      <c r="G5" s="589"/>
      <c r="H5" s="588">
        <v>0</v>
      </c>
      <c r="I5" s="588">
        <f t="shared" si="3"/>
        <v>0</v>
      </c>
      <c r="J5" s="588">
        <f t="shared" si="4"/>
        <v>0</v>
      </c>
      <c r="K5" s="588">
        <f t="shared" si="5"/>
        <v>0</v>
      </c>
      <c r="M5" s="586" t="str">
        <f t="shared" si="2"/>
        <v>№: 00000111</v>
      </c>
      <c r="O5" s="588">
        <f t="shared" si="6"/>
        <v>0</v>
      </c>
      <c r="P5" s="588">
        <f t="shared" si="7"/>
        <v>0</v>
      </c>
      <c r="Q5" s="588">
        <f t="shared" si="8"/>
        <v>0</v>
      </c>
      <c r="R5" s="588">
        <f t="shared" si="9"/>
        <v>0</v>
      </c>
      <c r="S5" s="588">
        <f t="shared" si="10"/>
        <v>0</v>
      </c>
      <c r="T5" s="588">
        <f t="shared" si="11"/>
        <v>0</v>
      </c>
      <c r="U5" s="588">
        <f t="shared" si="12"/>
        <v>0</v>
      </c>
      <c r="V5" s="588">
        <f t="shared" si="13"/>
        <v>0</v>
      </c>
      <c r="W5" s="588">
        <f t="shared" si="15"/>
        <v>0</v>
      </c>
      <c r="X5" s="588">
        <f t="shared" si="14"/>
        <v>0</v>
      </c>
    </row>
    <row r="6" spans="2:24" ht="25.5">
      <c r="B6" s="587" t="s">
        <v>477</v>
      </c>
      <c r="C6" s="588">
        <v>41259.03</v>
      </c>
      <c r="D6" s="588">
        <v>1919.04</v>
      </c>
      <c r="E6" s="588">
        <v>8795.6</v>
      </c>
      <c r="F6" s="588">
        <f t="shared" si="0"/>
        <v>39339.99</v>
      </c>
      <c r="G6" s="589"/>
      <c r="H6" s="588">
        <f t="shared" si="1"/>
        <v>1919.04</v>
      </c>
      <c r="I6" s="588">
        <f t="shared" si="3"/>
        <v>37420.949999999997</v>
      </c>
      <c r="J6" s="588">
        <f t="shared" si="4"/>
        <v>1919.04</v>
      </c>
      <c r="K6" s="588">
        <f t="shared" si="5"/>
        <v>35501.909999999996</v>
      </c>
      <c r="M6" s="586" t="str">
        <f t="shared" si="2"/>
        <v>№: 00000145</v>
      </c>
      <c r="O6" s="588">
        <f t="shared" si="6"/>
        <v>1919.04</v>
      </c>
      <c r="P6" s="588">
        <f t="shared" si="7"/>
        <v>33582.869999999995</v>
      </c>
      <c r="Q6" s="588">
        <f t="shared" si="8"/>
        <v>1919.04</v>
      </c>
      <c r="R6" s="588">
        <f t="shared" si="9"/>
        <v>31663.829999999994</v>
      </c>
      <c r="S6" s="588">
        <f t="shared" si="10"/>
        <v>1919.04</v>
      </c>
      <c r="T6" s="588">
        <f t="shared" si="11"/>
        <v>29744.789999999994</v>
      </c>
      <c r="U6" s="588">
        <f t="shared" si="12"/>
        <v>1919.04</v>
      </c>
      <c r="V6" s="588">
        <f t="shared" si="13"/>
        <v>27825.749999999993</v>
      </c>
      <c r="W6" s="588">
        <f t="shared" si="15"/>
        <v>1919.04</v>
      </c>
      <c r="X6" s="588">
        <f t="shared" si="14"/>
        <v>25906.709999999992</v>
      </c>
    </row>
    <row r="7" spans="2:24" ht="25.5">
      <c r="B7" s="587" t="s">
        <v>478</v>
      </c>
      <c r="C7" s="588">
        <v>41259.03</v>
      </c>
      <c r="D7" s="588">
        <v>1919.04</v>
      </c>
      <c r="E7" s="588">
        <v>8795.6</v>
      </c>
      <c r="F7" s="588">
        <f t="shared" si="0"/>
        <v>39339.99</v>
      </c>
      <c r="G7" s="589"/>
      <c r="H7" s="588">
        <f t="shared" si="1"/>
        <v>1919.04</v>
      </c>
      <c r="I7" s="588">
        <f t="shared" si="3"/>
        <v>37420.949999999997</v>
      </c>
      <c r="J7" s="588">
        <f t="shared" si="4"/>
        <v>1919.04</v>
      </c>
      <c r="K7" s="588">
        <f t="shared" si="5"/>
        <v>35501.909999999996</v>
      </c>
      <c r="M7" s="586" t="str">
        <f t="shared" si="2"/>
        <v>№: 00000146</v>
      </c>
      <c r="O7" s="588">
        <f t="shared" si="6"/>
        <v>1919.04</v>
      </c>
      <c r="P7" s="588">
        <f t="shared" si="7"/>
        <v>33582.869999999995</v>
      </c>
      <c r="Q7" s="588">
        <f t="shared" si="8"/>
        <v>1919.04</v>
      </c>
      <c r="R7" s="588">
        <f t="shared" si="9"/>
        <v>31663.829999999994</v>
      </c>
      <c r="S7" s="588">
        <f t="shared" si="10"/>
        <v>1919.04</v>
      </c>
      <c r="T7" s="588">
        <f t="shared" si="11"/>
        <v>29744.789999999994</v>
      </c>
      <c r="U7" s="588">
        <f t="shared" si="12"/>
        <v>1919.04</v>
      </c>
      <c r="V7" s="588">
        <f t="shared" si="13"/>
        <v>27825.749999999993</v>
      </c>
      <c r="W7" s="588">
        <f t="shared" si="15"/>
        <v>1919.04</v>
      </c>
      <c r="X7" s="588">
        <f t="shared" si="14"/>
        <v>25906.709999999992</v>
      </c>
    </row>
    <row r="8" spans="2:24" ht="24.75" customHeight="1">
      <c r="B8" s="587" t="s">
        <v>479</v>
      </c>
      <c r="C8" s="588">
        <v>42857.27</v>
      </c>
      <c r="D8" s="588">
        <v>1993.32</v>
      </c>
      <c r="E8" s="588">
        <v>9136.0499999999993</v>
      </c>
      <c r="F8" s="588">
        <f t="shared" si="0"/>
        <v>40863.949999999997</v>
      </c>
      <c r="G8" s="589"/>
      <c r="H8" s="588">
        <f t="shared" si="1"/>
        <v>1993.32</v>
      </c>
      <c r="I8" s="588">
        <f t="shared" si="3"/>
        <v>38870.629999999997</v>
      </c>
      <c r="J8" s="588">
        <f t="shared" si="4"/>
        <v>1993.32</v>
      </c>
      <c r="K8" s="588">
        <f t="shared" si="5"/>
        <v>36877.31</v>
      </c>
      <c r="M8" s="586" t="str">
        <f t="shared" si="2"/>
        <v>№: 00000147</v>
      </c>
      <c r="O8" s="588">
        <f t="shared" si="6"/>
        <v>1993.32</v>
      </c>
      <c r="P8" s="588">
        <f t="shared" si="7"/>
        <v>34883.99</v>
      </c>
      <c r="Q8" s="588">
        <f t="shared" si="8"/>
        <v>1993.32</v>
      </c>
      <c r="R8" s="588">
        <f t="shared" si="9"/>
        <v>32890.67</v>
      </c>
      <c r="S8" s="588">
        <f t="shared" si="10"/>
        <v>1993.32</v>
      </c>
      <c r="T8" s="588">
        <f t="shared" si="11"/>
        <v>30897.35</v>
      </c>
      <c r="U8" s="588">
        <f t="shared" si="12"/>
        <v>1993.32</v>
      </c>
      <c r="V8" s="588">
        <f t="shared" si="13"/>
        <v>28904.03</v>
      </c>
      <c r="W8" s="588">
        <f t="shared" si="15"/>
        <v>1993.32</v>
      </c>
      <c r="X8" s="588">
        <f t="shared" si="14"/>
        <v>26910.71</v>
      </c>
    </row>
    <row r="9" spans="2:24" ht="24.75" customHeight="1">
      <c r="B9" s="587" t="s">
        <v>480</v>
      </c>
      <c r="C9" s="588">
        <v>42857.27</v>
      </c>
      <c r="D9" s="588">
        <v>1993.32</v>
      </c>
      <c r="E9" s="588">
        <v>9136.0499999999993</v>
      </c>
      <c r="F9" s="588">
        <f t="shared" si="0"/>
        <v>40863.949999999997</v>
      </c>
      <c r="G9" s="589"/>
      <c r="H9" s="588">
        <f t="shared" si="1"/>
        <v>1993.32</v>
      </c>
      <c r="I9" s="588">
        <f t="shared" si="3"/>
        <v>38870.629999999997</v>
      </c>
      <c r="J9" s="588">
        <f t="shared" si="4"/>
        <v>1993.32</v>
      </c>
      <c r="K9" s="588">
        <f t="shared" si="5"/>
        <v>36877.31</v>
      </c>
      <c r="M9" s="586" t="str">
        <f t="shared" si="2"/>
        <v>№: 00000148</v>
      </c>
      <c r="O9" s="588">
        <f t="shared" si="6"/>
        <v>1993.32</v>
      </c>
      <c r="P9" s="588">
        <f t="shared" si="7"/>
        <v>34883.99</v>
      </c>
      <c r="Q9" s="588">
        <f t="shared" si="8"/>
        <v>1993.32</v>
      </c>
      <c r="R9" s="588">
        <f t="shared" si="9"/>
        <v>32890.67</v>
      </c>
      <c r="S9" s="588">
        <f t="shared" si="10"/>
        <v>1993.32</v>
      </c>
      <c r="T9" s="588">
        <f t="shared" si="11"/>
        <v>30897.35</v>
      </c>
      <c r="U9" s="588">
        <f t="shared" si="12"/>
        <v>1993.32</v>
      </c>
      <c r="V9" s="588">
        <f t="shared" si="13"/>
        <v>28904.03</v>
      </c>
      <c r="W9" s="588">
        <f t="shared" si="15"/>
        <v>1993.32</v>
      </c>
      <c r="X9" s="588">
        <f t="shared" si="14"/>
        <v>26910.71</v>
      </c>
    </row>
    <row r="10" spans="2:24" ht="30" customHeight="1">
      <c r="B10" s="587" t="s">
        <v>481</v>
      </c>
      <c r="C10" s="588">
        <v>42857.27</v>
      </c>
      <c r="D10" s="588">
        <v>1993.32</v>
      </c>
      <c r="E10" s="588">
        <v>9136.0499999999993</v>
      </c>
      <c r="F10" s="588">
        <f t="shared" si="0"/>
        <v>40863.949999999997</v>
      </c>
      <c r="G10" s="589"/>
      <c r="H10" s="588">
        <f t="shared" si="1"/>
        <v>1993.32</v>
      </c>
      <c r="I10" s="588">
        <f t="shared" si="3"/>
        <v>38870.629999999997</v>
      </c>
      <c r="J10" s="588">
        <f t="shared" si="4"/>
        <v>1993.32</v>
      </c>
      <c r="K10" s="588">
        <f t="shared" si="5"/>
        <v>36877.31</v>
      </c>
      <c r="M10" s="586" t="str">
        <f t="shared" si="2"/>
        <v>№: 00000149</v>
      </c>
      <c r="O10" s="588">
        <f t="shared" si="6"/>
        <v>1993.32</v>
      </c>
      <c r="P10" s="588">
        <f t="shared" si="7"/>
        <v>34883.99</v>
      </c>
      <c r="Q10" s="588">
        <f t="shared" si="8"/>
        <v>1993.32</v>
      </c>
      <c r="R10" s="588">
        <f t="shared" si="9"/>
        <v>32890.67</v>
      </c>
      <c r="S10" s="588">
        <f t="shared" si="10"/>
        <v>1993.32</v>
      </c>
      <c r="T10" s="588">
        <f t="shared" si="11"/>
        <v>30897.35</v>
      </c>
      <c r="U10" s="588">
        <f t="shared" si="12"/>
        <v>1993.32</v>
      </c>
      <c r="V10" s="588">
        <f t="shared" si="13"/>
        <v>28904.03</v>
      </c>
      <c r="W10" s="588">
        <f t="shared" si="15"/>
        <v>1993.32</v>
      </c>
      <c r="X10" s="588">
        <f t="shared" si="14"/>
        <v>26910.71</v>
      </c>
    </row>
    <row r="11" spans="2:24" ht="27.75" customHeight="1">
      <c r="B11" s="587" t="s">
        <v>482</v>
      </c>
      <c r="C11" s="588">
        <v>42857.27</v>
      </c>
      <c r="D11" s="588">
        <v>1993.32</v>
      </c>
      <c r="E11" s="588">
        <v>9136.0499999999993</v>
      </c>
      <c r="F11" s="588">
        <f t="shared" si="0"/>
        <v>40863.949999999997</v>
      </c>
      <c r="G11" s="589"/>
      <c r="H11" s="588">
        <f t="shared" si="1"/>
        <v>1993.32</v>
      </c>
      <c r="I11" s="588">
        <f t="shared" si="3"/>
        <v>38870.629999999997</v>
      </c>
      <c r="J11" s="588">
        <f t="shared" si="4"/>
        <v>1993.32</v>
      </c>
      <c r="K11" s="588">
        <f t="shared" si="5"/>
        <v>36877.31</v>
      </c>
      <c r="M11" s="586" t="str">
        <f t="shared" si="2"/>
        <v>№: 00000150</v>
      </c>
      <c r="O11" s="588">
        <f t="shared" si="6"/>
        <v>1993.32</v>
      </c>
      <c r="P11" s="588">
        <f t="shared" si="7"/>
        <v>34883.99</v>
      </c>
      <c r="Q11" s="588">
        <f t="shared" si="8"/>
        <v>1993.32</v>
      </c>
      <c r="R11" s="588">
        <f t="shared" si="9"/>
        <v>32890.67</v>
      </c>
      <c r="S11" s="588">
        <f t="shared" si="10"/>
        <v>1993.32</v>
      </c>
      <c r="T11" s="588">
        <f t="shared" si="11"/>
        <v>30897.35</v>
      </c>
      <c r="U11" s="588">
        <f t="shared" si="12"/>
        <v>1993.32</v>
      </c>
      <c r="V11" s="588">
        <f t="shared" si="13"/>
        <v>28904.03</v>
      </c>
      <c r="W11" s="588">
        <f t="shared" si="15"/>
        <v>1993.32</v>
      </c>
      <c r="X11" s="588">
        <f t="shared" si="14"/>
        <v>26910.71</v>
      </c>
    </row>
    <row r="12" spans="2:24" ht="25.5">
      <c r="B12" s="587" t="s">
        <v>483</v>
      </c>
      <c r="C12" s="588">
        <v>73781.490000000005</v>
      </c>
      <c r="D12" s="588">
        <v>10540.2</v>
      </c>
      <c r="E12" s="588">
        <v>21080.400000000001</v>
      </c>
      <c r="F12" s="588">
        <f t="shared" si="0"/>
        <v>63241.290000000008</v>
      </c>
      <c r="G12" s="589"/>
      <c r="H12" s="588">
        <f t="shared" si="1"/>
        <v>10540.2</v>
      </c>
      <c r="I12" s="588">
        <f t="shared" si="3"/>
        <v>52701.090000000011</v>
      </c>
      <c r="J12" s="588">
        <f t="shared" si="4"/>
        <v>10540.2</v>
      </c>
      <c r="K12" s="588">
        <f t="shared" si="5"/>
        <v>42160.890000000014</v>
      </c>
      <c r="M12" s="586" t="str">
        <f t="shared" si="2"/>
        <v>№: 00000205</v>
      </c>
      <c r="O12" s="588">
        <f t="shared" si="6"/>
        <v>10540.2</v>
      </c>
      <c r="P12" s="588">
        <f t="shared" si="7"/>
        <v>31620.690000000013</v>
      </c>
      <c r="Q12" s="588">
        <f t="shared" si="8"/>
        <v>10540.2</v>
      </c>
      <c r="R12" s="588">
        <f t="shared" si="9"/>
        <v>21080.490000000013</v>
      </c>
      <c r="S12" s="588">
        <f t="shared" si="10"/>
        <v>10540.2</v>
      </c>
      <c r="T12" s="588">
        <f t="shared" si="11"/>
        <v>10540.290000000012</v>
      </c>
      <c r="U12" s="588">
        <f t="shared" si="12"/>
        <v>10540.2</v>
      </c>
      <c r="V12" s="588">
        <f t="shared" si="13"/>
        <v>9.0000000011059456E-2</v>
      </c>
      <c r="W12" s="588">
        <f>V12</f>
        <v>9.0000000011059456E-2</v>
      </c>
      <c r="X12" s="588">
        <f t="shared" si="14"/>
        <v>0</v>
      </c>
    </row>
    <row r="13" spans="2:24" ht="26.25" customHeight="1">
      <c r="B13" s="587" t="s">
        <v>484</v>
      </c>
      <c r="C13" s="588">
        <v>25187.84</v>
      </c>
      <c r="D13" s="588">
        <v>8889.84</v>
      </c>
      <c r="E13" s="588">
        <v>28151.26</v>
      </c>
      <c r="F13" s="588">
        <f t="shared" si="0"/>
        <v>16298</v>
      </c>
      <c r="G13" s="589"/>
      <c r="H13" s="588">
        <f t="shared" si="1"/>
        <v>8889.84</v>
      </c>
      <c r="I13" s="588">
        <f t="shared" si="3"/>
        <v>7408.16</v>
      </c>
      <c r="J13" s="588">
        <f>I13</f>
        <v>7408.16</v>
      </c>
      <c r="K13" s="588">
        <f t="shared" si="5"/>
        <v>0</v>
      </c>
      <c r="M13" s="586" t="str">
        <f t="shared" si="2"/>
        <v>№: 00000185</v>
      </c>
      <c r="O13" s="588"/>
      <c r="P13" s="588">
        <f t="shared" si="7"/>
        <v>0</v>
      </c>
      <c r="Q13" s="588">
        <f t="shared" si="8"/>
        <v>0</v>
      </c>
      <c r="R13" s="588">
        <f t="shared" si="9"/>
        <v>0</v>
      </c>
      <c r="S13" s="588">
        <f t="shared" si="10"/>
        <v>0</v>
      </c>
      <c r="T13" s="588">
        <f t="shared" si="11"/>
        <v>0</v>
      </c>
      <c r="U13" s="588">
        <f t="shared" si="12"/>
        <v>0</v>
      </c>
      <c r="V13" s="588">
        <f t="shared" si="13"/>
        <v>0</v>
      </c>
      <c r="W13" s="588">
        <f t="shared" si="15"/>
        <v>0</v>
      </c>
      <c r="X13" s="588">
        <f t="shared" si="14"/>
        <v>0</v>
      </c>
    </row>
    <row r="14" spans="2:24" ht="15.75">
      <c r="B14" s="587" t="s">
        <v>485</v>
      </c>
      <c r="C14" s="588">
        <v>43263.5</v>
      </c>
      <c r="D14" s="588">
        <v>15269.52</v>
      </c>
      <c r="E14" s="588">
        <v>48353.48</v>
      </c>
      <c r="F14" s="588">
        <f t="shared" si="0"/>
        <v>27993.98</v>
      </c>
      <c r="G14" s="589"/>
      <c r="H14" s="588">
        <f t="shared" si="1"/>
        <v>15269.52</v>
      </c>
      <c r="I14" s="588">
        <f t="shared" si="3"/>
        <v>12724.46</v>
      </c>
      <c r="J14" s="588">
        <f>I14</f>
        <v>12724.46</v>
      </c>
      <c r="K14" s="588">
        <f t="shared" si="5"/>
        <v>0</v>
      </c>
      <c r="M14" s="586" t="str">
        <f t="shared" si="2"/>
        <v>№: 00000180</v>
      </c>
      <c r="O14" s="588"/>
      <c r="P14" s="588">
        <f t="shared" si="7"/>
        <v>0</v>
      </c>
      <c r="Q14" s="588">
        <f t="shared" si="8"/>
        <v>0</v>
      </c>
      <c r="R14" s="588">
        <f t="shared" si="9"/>
        <v>0</v>
      </c>
      <c r="S14" s="588">
        <f t="shared" si="10"/>
        <v>0</v>
      </c>
      <c r="T14" s="588">
        <f t="shared" si="11"/>
        <v>0</v>
      </c>
      <c r="U14" s="588">
        <f t="shared" si="12"/>
        <v>0</v>
      </c>
      <c r="V14" s="588">
        <f t="shared" si="13"/>
        <v>0</v>
      </c>
      <c r="W14" s="588">
        <f t="shared" si="15"/>
        <v>0</v>
      </c>
      <c r="X14" s="588">
        <f t="shared" si="14"/>
        <v>0</v>
      </c>
    </row>
    <row r="15" spans="2:24" ht="25.5">
      <c r="B15" s="587" t="s">
        <v>486</v>
      </c>
      <c r="C15" s="588">
        <v>6448913.3799999999</v>
      </c>
      <c r="D15" s="588">
        <v>669470.92000000004</v>
      </c>
      <c r="E15" s="588">
        <v>1338941.8400000001</v>
      </c>
      <c r="F15" s="588">
        <f t="shared" si="0"/>
        <v>5779442.46</v>
      </c>
      <c r="G15" s="589"/>
      <c r="H15" s="588">
        <f t="shared" si="1"/>
        <v>669470.92000000004</v>
      </c>
      <c r="I15" s="588">
        <f t="shared" si="3"/>
        <v>5109971.54</v>
      </c>
      <c r="J15" s="588">
        <f t="shared" si="4"/>
        <v>669470.92000000004</v>
      </c>
      <c r="K15" s="588">
        <f t="shared" si="5"/>
        <v>4440500.62</v>
      </c>
      <c r="M15" s="586" t="str">
        <f t="shared" si="2"/>
        <v>№: 00000193</v>
      </c>
      <c r="O15" s="588">
        <f t="shared" si="6"/>
        <v>669470.92000000004</v>
      </c>
      <c r="P15" s="588">
        <f t="shared" si="7"/>
        <v>3771029.7</v>
      </c>
      <c r="Q15" s="588">
        <f t="shared" si="8"/>
        <v>669470.92000000004</v>
      </c>
      <c r="R15" s="588">
        <f t="shared" si="9"/>
        <v>3101558.7800000003</v>
      </c>
      <c r="S15" s="588">
        <f t="shared" si="10"/>
        <v>669470.92000000004</v>
      </c>
      <c r="T15" s="588">
        <f t="shared" si="11"/>
        <v>2432087.8600000003</v>
      </c>
      <c r="U15" s="588">
        <f t="shared" si="12"/>
        <v>669470.92000000004</v>
      </c>
      <c r="V15" s="588">
        <f t="shared" si="13"/>
        <v>1762616.9400000004</v>
      </c>
      <c r="W15" s="588">
        <f t="shared" si="15"/>
        <v>669470.92000000004</v>
      </c>
      <c r="X15" s="588">
        <f t="shared" si="14"/>
        <v>1093146.0200000005</v>
      </c>
    </row>
    <row r="16" spans="2:24" ht="25.5">
      <c r="B16" s="587" t="s">
        <v>487</v>
      </c>
      <c r="C16" s="588">
        <v>393130.26</v>
      </c>
      <c r="D16" s="588">
        <v>20874.12</v>
      </c>
      <c r="E16" s="588">
        <v>149597.85999999999</v>
      </c>
      <c r="F16" s="588">
        <f t="shared" si="0"/>
        <v>372256.14</v>
      </c>
      <c r="G16" s="589"/>
      <c r="H16" s="588">
        <f t="shared" si="1"/>
        <v>20874.12</v>
      </c>
      <c r="I16" s="588">
        <f t="shared" si="3"/>
        <v>351382.02</v>
      </c>
      <c r="J16" s="588">
        <f t="shared" si="4"/>
        <v>20874.12</v>
      </c>
      <c r="K16" s="588">
        <f t="shared" si="5"/>
        <v>330507.90000000002</v>
      </c>
      <c r="M16" s="586" t="str">
        <f t="shared" si="2"/>
        <v>№: 00000116</v>
      </c>
      <c r="O16" s="588">
        <f t="shared" si="6"/>
        <v>20874.12</v>
      </c>
      <c r="P16" s="588">
        <f t="shared" si="7"/>
        <v>309633.78000000003</v>
      </c>
      <c r="Q16" s="588">
        <f t="shared" si="8"/>
        <v>20874.12</v>
      </c>
      <c r="R16" s="588">
        <f t="shared" si="9"/>
        <v>288759.66000000003</v>
      </c>
      <c r="S16" s="588">
        <f t="shared" si="10"/>
        <v>20874.12</v>
      </c>
      <c r="T16" s="588">
        <f t="shared" si="11"/>
        <v>267885.54000000004</v>
      </c>
      <c r="U16" s="588">
        <f t="shared" si="12"/>
        <v>20874.12</v>
      </c>
      <c r="V16" s="588">
        <f t="shared" si="13"/>
        <v>247011.42000000004</v>
      </c>
      <c r="W16" s="588">
        <f t="shared" si="15"/>
        <v>20874.12</v>
      </c>
      <c r="X16" s="588">
        <f t="shared" si="14"/>
        <v>226137.30000000005</v>
      </c>
    </row>
    <row r="17" spans="2:24" ht="25.5">
      <c r="B17" s="587" t="s">
        <v>488</v>
      </c>
      <c r="C17" s="588">
        <v>2252466.42</v>
      </c>
      <c r="D17" s="588">
        <v>119600.04</v>
      </c>
      <c r="E17" s="588">
        <v>857133.62</v>
      </c>
      <c r="F17" s="588">
        <f t="shared" si="0"/>
        <v>2132866.38</v>
      </c>
      <c r="G17" s="589"/>
      <c r="H17" s="588">
        <f t="shared" si="1"/>
        <v>119600.04</v>
      </c>
      <c r="I17" s="588">
        <f t="shared" si="3"/>
        <v>2013266.3399999999</v>
      </c>
      <c r="J17" s="588">
        <f t="shared" si="4"/>
        <v>119600.04</v>
      </c>
      <c r="K17" s="588">
        <f t="shared" si="5"/>
        <v>1893666.2999999998</v>
      </c>
      <c r="M17" s="586" t="str">
        <f t="shared" si="2"/>
        <v>№: 00000117</v>
      </c>
      <c r="O17" s="588">
        <f t="shared" si="6"/>
        <v>119600.04</v>
      </c>
      <c r="P17" s="588">
        <f t="shared" si="7"/>
        <v>1774066.2599999998</v>
      </c>
      <c r="Q17" s="588">
        <f t="shared" si="8"/>
        <v>119600.04</v>
      </c>
      <c r="R17" s="588">
        <f t="shared" si="9"/>
        <v>1654466.2199999997</v>
      </c>
      <c r="S17" s="588">
        <f t="shared" si="10"/>
        <v>119600.04</v>
      </c>
      <c r="T17" s="588">
        <f t="shared" si="11"/>
        <v>1534866.1799999997</v>
      </c>
      <c r="U17" s="588">
        <f t="shared" si="12"/>
        <v>119600.04</v>
      </c>
      <c r="V17" s="588">
        <f t="shared" si="13"/>
        <v>1415266.1399999997</v>
      </c>
      <c r="W17" s="588">
        <f t="shared" si="15"/>
        <v>119600.04</v>
      </c>
      <c r="X17" s="588">
        <f t="shared" si="14"/>
        <v>1295666.0999999996</v>
      </c>
    </row>
    <row r="18" spans="2:24" ht="25.5">
      <c r="B18" s="587" t="s">
        <v>489</v>
      </c>
      <c r="C18" s="588">
        <v>1854747.86</v>
      </c>
      <c r="D18" s="588">
        <v>240095.44</v>
      </c>
      <c r="E18" s="588">
        <v>480190.88</v>
      </c>
      <c r="F18" s="588">
        <f t="shared" si="0"/>
        <v>1614652.4200000002</v>
      </c>
      <c r="G18" s="589"/>
      <c r="H18" s="588">
        <f t="shared" si="1"/>
        <v>240095.44</v>
      </c>
      <c r="I18" s="588">
        <f t="shared" si="3"/>
        <v>1374556.9800000002</v>
      </c>
      <c r="J18" s="588">
        <f t="shared" si="4"/>
        <v>240095.44</v>
      </c>
      <c r="K18" s="588">
        <f t="shared" si="5"/>
        <v>1134461.5400000003</v>
      </c>
      <c r="M18" s="586" t="str">
        <f t="shared" si="2"/>
        <v>№: 00000207</v>
      </c>
      <c r="O18" s="588">
        <f t="shared" si="6"/>
        <v>240095.44</v>
      </c>
      <c r="P18" s="588">
        <f t="shared" si="7"/>
        <v>894366.10000000033</v>
      </c>
      <c r="Q18" s="588">
        <f t="shared" si="8"/>
        <v>240095.44</v>
      </c>
      <c r="R18" s="588">
        <f t="shared" si="9"/>
        <v>654270.66000000038</v>
      </c>
      <c r="S18" s="588">
        <f t="shared" si="10"/>
        <v>240095.44</v>
      </c>
      <c r="T18" s="588">
        <f t="shared" si="11"/>
        <v>414175.22000000038</v>
      </c>
      <c r="U18" s="588">
        <f t="shared" si="12"/>
        <v>240095.44</v>
      </c>
      <c r="V18" s="588">
        <f t="shared" si="13"/>
        <v>174079.78000000038</v>
      </c>
      <c r="W18" s="588">
        <f>V18</f>
        <v>174079.78000000038</v>
      </c>
      <c r="X18" s="588">
        <f t="shared" si="14"/>
        <v>0</v>
      </c>
    </row>
    <row r="19" spans="2:24" ht="25.5">
      <c r="B19" s="587" t="s">
        <v>490</v>
      </c>
      <c r="C19" s="588">
        <v>73782.080000000002</v>
      </c>
      <c r="D19" s="588">
        <v>10540.29</v>
      </c>
      <c r="E19" s="588">
        <v>21080.58</v>
      </c>
      <c r="F19" s="588">
        <f t="shared" si="0"/>
        <v>63241.79</v>
      </c>
      <c r="G19" s="589"/>
      <c r="H19" s="588">
        <f t="shared" si="1"/>
        <v>10540.29</v>
      </c>
      <c r="I19" s="588">
        <f t="shared" si="3"/>
        <v>52701.5</v>
      </c>
      <c r="J19" s="588">
        <f t="shared" si="4"/>
        <v>10540.29</v>
      </c>
      <c r="K19" s="588">
        <f t="shared" si="5"/>
        <v>42161.21</v>
      </c>
      <c r="M19" s="586" t="str">
        <f t="shared" si="2"/>
        <v>№: 00000204</v>
      </c>
      <c r="O19" s="588">
        <f t="shared" si="6"/>
        <v>10540.29</v>
      </c>
      <c r="P19" s="588">
        <f t="shared" si="7"/>
        <v>31620.92</v>
      </c>
      <c r="Q19" s="588">
        <f t="shared" si="8"/>
        <v>10540.29</v>
      </c>
      <c r="R19" s="588">
        <f t="shared" si="9"/>
        <v>21080.629999999997</v>
      </c>
      <c r="S19" s="588">
        <f t="shared" si="10"/>
        <v>10540.29</v>
      </c>
      <c r="T19" s="588">
        <f t="shared" si="11"/>
        <v>10540.339999999997</v>
      </c>
      <c r="U19" s="588">
        <f t="shared" si="12"/>
        <v>10540.29</v>
      </c>
      <c r="V19" s="588">
        <f t="shared" si="13"/>
        <v>4.9999999995634425E-2</v>
      </c>
      <c r="W19" s="588">
        <f>V19</f>
        <v>4.9999999995634425E-2</v>
      </c>
      <c r="X19" s="588">
        <f t="shared" si="14"/>
        <v>0</v>
      </c>
    </row>
    <row r="20" spans="2:24" ht="15.75">
      <c r="B20" s="587" t="s">
        <v>491</v>
      </c>
      <c r="C20" s="588">
        <v>41843.33</v>
      </c>
      <c r="D20" s="588">
        <v>3638.52</v>
      </c>
      <c r="E20" s="588">
        <v>16676.55</v>
      </c>
      <c r="F20" s="588">
        <f t="shared" si="0"/>
        <v>38204.810000000005</v>
      </c>
      <c r="G20" s="589"/>
      <c r="H20" s="588">
        <f t="shared" si="1"/>
        <v>3638.52</v>
      </c>
      <c r="I20" s="588">
        <f t="shared" si="3"/>
        <v>34566.290000000008</v>
      </c>
      <c r="J20" s="588">
        <f t="shared" si="4"/>
        <v>3638.52</v>
      </c>
      <c r="K20" s="588">
        <f t="shared" si="5"/>
        <v>30927.770000000008</v>
      </c>
      <c r="M20" s="586" t="str">
        <f t="shared" si="2"/>
        <v>№: 00000153</v>
      </c>
      <c r="O20" s="588">
        <f t="shared" si="6"/>
        <v>3638.52</v>
      </c>
      <c r="P20" s="588">
        <f t="shared" si="7"/>
        <v>27289.250000000007</v>
      </c>
      <c r="Q20" s="588">
        <f t="shared" si="8"/>
        <v>3638.52</v>
      </c>
      <c r="R20" s="588">
        <f t="shared" si="9"/>
        <v>23650.730000000007</v>
      </c>
      <c r="S20" s="588">
        <f t="shared" si="10"/>
        <v>3638.52</v>
      </c>
      <c r="T20" s="588">
        <f t="shared" si="11"/>
        <v>20012.210000000006</v>
      </c>
      <c r="U20" s="588">
        <f t="shared" si="12"/>
        <v>3638.52</v>
      </c>
      <c r="V20" s="588">
        <f t="shared" si="13"/>
        <v>16373.690000000006</v>
      </c>
      <c r="W20" s="588">
        <f t="shared" si="15"/>
        <v>3638.52</v>
      </c>
      <c r="X20" s="588">
        <f t="shared" si="14"/>
        <v>12735.170000000006</v>
      </c>
    </row>
    <row r="21" spans="2:24" ht="15.75">
      <c r="B21" s="587" t="s">
        <v>492</v>
      </c>
      <c r="C21" s="588">
        <v>41843.33</v>
      </c>
      <c r="D21" s="588">
        <v>3638.52</v>
      </c>
      <c r="E21" s="588">
        <v>16676.55</v>
      </c>
      <c r="F21" s="588">
        <f t="shared" si="0"/>
        <v>38204.810000000005</v>
      </c>
      <c r="G21" s="589"/>
      <c r="H21" s="588">
        <f t="shared" si="1"/>
        <v>3638.52</v>
      </c>
      <c r="I21" s="588">
        <f t="shared" si="3"/>
        <v>34566.290000000008</v>
      </c>
      <c r="J21" s="588">
        <f t="shared" si="4"/>
        <v>3638.52</v>
      </c>
      <c r="K21" s="588">
        <f t="shared" si="5"/>
        <v>30927.770000000008</v>
      </c>
      <c r="M21" s="586" t="str">
        <f t="shared" si="2"/>
        <v>№: 00000154</v>
      </c>
      <c r="O21" s="588">
        <f t="shared" si="6"/>
        <v>3638.52</v>
      </c>
      <c r="P21" s="588">
        <f t="shared" si="7"/>
        <v>27289.250000000007</v>
      </c>
      <c r="Q21" s="588">
        <f t="shared" si="8"/>
        <v>3638.52</v>
      </c>
      <c r="R21" s="588">
        <f t="shared" si="9"/>
        <v>23650.730000000007</v>
      </c>
      <c r="S21" s="588">
        <f t="shared" si="10"/>
        <v>3638.52</v>
      </c>
      <c r="T21" s="588">
        <f t="shared" si="11"/>
        <v>20012.210000000006</v>
      </c>
      <c r="U21" s="588">
        <f t="shared" si="12"/>
        <v>3638.52</v>
      </c>
      <c r="V21" s="588">
        <f t="shared" si="13"/>
        <v>16373.690000000006</v>
      </c>
      <c r="W21" s="588">
        <f t="shared" si="15"/>
        <v>3638.52</v>
      </c>
      <c r="X21" s="588">
        <f t="shared" si="14"/>
        <v>12735.170000000006</v>
      </c>
    </row>
    <row r="22" spans="2:24" ht="15.75">
      <c r="B22" s="587" t="s">
        <v>493</v>
      </c>
      <c r="C22" s="588">
        <v>41843.33</v>
      </c>
      <c r="D22" s="588">
        <v>3638.52</v>
      </c>
      <c r="E22" s="588">
        <v>16676.55</v>
      </c>
      <c r="F22" s="588">
        <f t="shared" si="0"/>
        <v>38204.810000000005</v>
      </c>
      <c r="G22" s="589"/>
      <c r="H22" s="588">
        <f t="shared" si="1"/>
        <v>3638.52</v>
      </c>
      <c r="I22" s="588">
        <f t="shared" si="3"/>
        <v>34566.290000000008</v>
      </c>
      <c r="J22" s="588">
        <f t="shared" si="4"/>
        <v>3638.52</v>
      </c>
      <c r="K22" s="588">
        <f t="shared" si="5"/>
        <v>30927.770000000008</v>
      </c>
      <c r="M22" s="586" t="str">
        <f t="shared" si="2"/>
        <v>№: 00000155</v>
      </c>
      <c r="O22" s="588">
        <f t="shared" si="6"/>
        <v>3638.52</v>
      </c>
      <c r="P22" s="588">
        <f t="shared" si="7"/>
        <v>27289.250000000007</v>
      </c>
      <c r="Q22" s="588">
        <f t="shared" si="8"/>
        <v>3638.52</v>
      </c>
      <c r="R22" s="588">
        <f t="shared" si="9"/>
        <v>23650.730000000007</v>
      </c>
      <c r="S22" s="588">
        <f t="shared" si="10"/>
        <v>3638.52</v>
      </c>
      <c r="T22" s="588">
        <f t="shared" si="11"/>
        <v>20012.210000000006</v>
      </c>
      <c r="U22" s="588">
        <f t="shared" si="12"/>
        <v>3638.52</v>
      </c>
      <c r="V22" s="588">
        <f t="shared" si="13"/>
        <v>16373.690000000006</v>
      </c>
      <c r="W22" s="588">
        <f t="shared" si="15"/>
        <v>3638.52</v>
      </c>
      <c r="X22" s="588">
        <f t="shared" si="14"/>
        <v>12735.170000000006</v>
      </c>
    </row>
    <row r="23" spans="2:24" ht="15.75">
      <c r="B23" s="587" t="s">
        <v>494</v>
      </c>
      <c r="C23" s="588">
        <v>41843.33</v>
      </c>
      <c r="D23" s="588">
        <v>3638.52</v>
      </c>
      <c r="E23" s="588">
        <v>16676.55</v>
      </c>
      <c r="F23" s="588">
        <f t="shared" si="0"/>
        <v>38204.810000000005</v>
      </c>
      <c r="G23" s="589"/>
      <c r="H23" s="588">
        <f t="shared" si="1"/>
        <v>3638.52</v>
      </c>
      <c r="I23" s="588">
        <f t="shared" si="3"/>
        <v>34566.290000000008</v>
      </c>
      <c r="J23" s="588">
        <f t="shared" si="4"/>
        <v>3638.52</v>
      </c>
      <c r="K23" s="588">
        <f t="shared" si="5"/>
        <v>30927.770000000008</v>
      </c>
      <c r="M23" s="586" t="str">
        <f t="shared" si="2"/>
        <v>№: 00000156</v>
      </c>
      <c r="O23" s="588">
        <f t="shared" si="6"/>
        <v>3638.52</v>
      </c>
      <c r="P23" s="588">
        <f t="shared" si="7"/>
        <v>27289.250000000007</v>
      </c>
      <c r="Q23" s="588">
        <f t="shared" si="8"/>
        <v>3638.52</v>
      </c>
      <c r="R23" s="588">
        <f t="shared" si="9"/>
        <v>23650.730000000007</v>
      </c>
      <c r="S23" s="588">
        <f t="shared" si="10"/>
        <v>3638.52</v>
      </c>
      <c r="T23" s="588">
        <f t="shared" si="11"/>
        <v>20012.210000000006</v>
      </c>
      <c r="U23" s="588">
        <f t="shared" si="12"/>
        <v>3638.52</v>
      </c>
      <c r="V23" s="588">
        <f t="shared" si="13"/>
        <v>16373.690000000006</v>
      </c>
      <c r="W23" s="588">
        <f t="shared" si="15"/>
        <v>3638.52</v>
      </c>
      <c r="X23" s="588">
        <f t="shared" si="14"/>
        <v>12735.170000000006</v>
      </c>
    </row>
    <row r="24" spans="2:24" ht="15.75">
      <c r="B24" s="587" t="s">
        <v>495</v>
      </c>
      <c r="C24" s="588">
        <v>58280.92</v>
      </c>
      <c r="D24" s="588">
        <v>5067.84</v>
      </c>
      <c r="E24" s="588">
        <v>23227.599999999999</v>
      </c>
      <c r="F24" s="588">
        <f t="shared" si="0"/>
        <v>53213.08</v>
      </c>
      <c r="G24" s="589"/>
      <c r="H24" s="588">
        <f t="shared" si="1"/>
        <v>5067.84</v>
      </c>
      <c r="I24" s="588">
        <f t="shared" si="3"/>
        <v>48145.240000000005</v>
      </c>
      <c r="J24" s="588">
        <f t="shared" si="4"/>
        <v>5067.84</v>
      </c>
      <c r="K24" s="588">
        <f t="shared" si="5"/>
        <v>43077.400000000009</v>
      </c>
      <c r="M24" s="586" t="str">
        <f t="shared" si="2"/>
        <v>№: 00000151</v>
      </c>
      <c r="O24" s="588">
        <f t="shared" si="6"/>
        <v>5067.84</v>
      </c>
      <c r="P24" s="588">
        <f t="shared" si="7"/>
        <v>38009.560000000012</v>
      </c>
      <c r="Q24" s="588">
        <f t="shared" si="8"/>
        <v>5067.84</v>
      </c>
      <c r="R24" s="588">
        <f t="shared" si="9"/>
        <v>32941.720000000016</v>
      </c>
      <c r="S24" s="588">
        <f t="shared" si="10"/>
        <v>5067.84</v>
      </c>
      <c r="T24" s="588">
        <f t="shared" si="11"/>
        <v>27873.880000000016</v>
      </c>
      <c r="U24" s="588">
        <f t="shared" si="12"/>
        <v>5067.84</v>
      </c>
      <c r="V24" s="588">
        <f t="shared" si="13"/>
        <v>22806.040000000015</v>
      </c>
      <c r="W24" s="588">
        <f t="shared" si="15"/>
        <v>5067.84</v>
      </c>
      <c r="X24" s="588">
        <f t="shared" si="14"/>
        <v>17738.200000000015</v>
      </c>
    </row>
    <row r="25" spans="2:24" ht="15.75">
      <c r="B25" s="587" t="s">
        <v>496</v>
      </c>
      <c r="C25" s="588">
        <v>58280.92</v>
      </c>
      <c r="D25" s="588">
        <v>5067.84</v>
      </c>
      <c r="E25" s="588">
        <v>23227.599999999999</v>
      </c>
      <c r="F25" s="588">
        <f t="shared" si="0"/>
        <v>53213.08</v>
      </c>
      <c r="G25" s="589"/>
      <c r="H25" s="588">
        <f t="shared" si="1"/>
        <v>5067.84</v>
      </c>
      <c r="I25" s="588">
        <f t="shared" si="3"/>
        <v>48145.240000000005</v>
      </c>
      <c r="J25" s="588">
        <f t="shared" si="4"/>
        <v>5067.84</v>
      </c>
      <c r="K25" s="588">
        <f t="shared" si="5"/>
        <v>43077.400000000009</v>
      </c>
      <c r="M25" s="586" t="str">
        <f t="shared" si="2"/>
        <v>№: 00000152</v>
      </c>
      <c r="O25" s="588">
        <f t="shared" si="6"/>
        <v>5067.84</v>
      </c>
      <c r="P25" s="588">
        <f t="shared" si="7"/>
        <v>38009.560000000012</v>
      </c>
      <c r="Q25" s="588">
        <f t="shared" si="8"/>
        <v>5067.84</v>
      </c>
      <c r="R25" s="588">
        <f t="shared" si="9"/>
        <v>32941.720000000016</v>
      </c>
      <c r="S25" s="588">
        <f t="shared" si="10"/>
        <v>5067.84</v>
      </c>
      <c r="T25" s="588">
        <f t="shared" si="11"/>
        <v>27873.880000000016</v>
      </c>
      <c r="U25" s="588">
        <f t="shared" si="12"/>
        <v>5067.84</v>
      </c>
      <c r="V25" s="588">
        <f t="shared" si="13"/>
        <v>22806.040000000015</v>
      </c>
      <c r="W25" s="588">
        <f t="shared" si="15"/>
        <v>5067.84</v>
      </c>
      <c r="X25" s="588">
        <f t="shared" si="14"/>
        <v>17738.200000000015</v>
      </c>
    </row>
    <row r="26" spans="2:24" ht="15.75">
      <c r="B26" s="587" t="s">
        <v>497</v>
      </c>
      <c r="C26" s="588">
        <v>78251.66</v>
      </c>
      <c r="D26" s="588">
        <v>2811.48</v>
      </c>
      <c r="E26" s="588">
        <v>8903.02</v>
      </c>
      <c r="F26" s="588">
        <f t="shared" si="0"/>
        <v>75440.180000000008</v>
      </c>
      <c r="G26" s="589"/>
      <c r="H26" s="588">
        <f t="shared" si="1"/>
        <v>2811.48</v>
      </c>
      <c r="I26" s="588">
        <f t="shared" si="3"/>
        <v>72628.700000000012</v>
      </c>
      <c r="J26" s="588">
        <f t="shared" si="4"/>
        <v>2811.48</v>
      </c>
      <c r="K26" s="588">
        <f t="shared" si="5"/>
        <v>69817.220000000016</v>
      </c>
      <c r="M26" s="586" t="str">
        <f t="shared" si="2"/>
        <v>№: 00000181</v>
      </c>
      <c r="O26" s="588">
        <f t="shared" si="6"/>
        <v>2811.48</v>
      </c>
      <c r="P26" s="588">
        <f t="shared" si="7"/>
        <v>67005.74000000002</v>
      </c>
      <c r="Q26" s="588">
        <f t="shared" si="8"/>
        <v>2811.48</v>
      </c>
      <c r="R26" s="588">
        <f t="shared" si="9"/>
        <v>64194.260000000017</v>
      </c>
      <c r="S26" s="588">
        <f t="shared" si="10"/>
        <v>2811.48</v>
      </c>
      <c r="T26" s="588">
        <f t="shared" si="11"/>
        <v>61382.780000000013</v>
      </c>
      <c r="U26" s="588">
        <f t="shared" si="12"/>
        <v>2811.48</v>
      </c>
      <c r="V26" s="588">
        <f t="shared" si="13"/>
        <v>58571.30000000001</v>
      </c>
      <c r="W26" s="588">
        <f t="shared" si="15"/>
        <v>2811.48</v>
      </c>
      <c r="X26" s="588">
        <f t="shared" si="14"/>
        <v>55759.820000000007</v>
      </c>
    </row>
    <row r="27" spans="2:24" ht="15.75">
      <c r="B27" s="587" t="s">
        <v>498</v>
      </c>
      <c r="C27" s="588">
        <v>58674.09</v>
      </c>
      <c r="D27" s="588">
        <v>2108.04</v>
      </c>
      <c r="E27" s="588">
        <v>6675.46</v>
      </c>
      <c r="F27" s="588">
        <f>C27-D27</f>
        <v>56566.049999999996</v>
      </c>
      <c r="G27" s="589"/>
      <c r="H27" s="588">
        <f>D27</f>
        <v>2108.04</v>
      </c>
      <c r="I27" s="588">
        <f>F27-H27</f>
        <v>54458.009999999995</v>
      </c>
      <c r="J27" s="588">
        <f t="shared" si="4"/>
        <v>2108.04</v>
      </c>
      <c r="K27" s="588">
        <f t="shared" si="5"/>
        <v>52349.969999999994</v>
      </c>
      <c r="M27" s="586" t="str">
        <f t="shared" si="2"/>
        <v>№: 00000182</v>
      </c>
      <c r="O27" s="588">
        <f t="shared" si="6"/>
        <v>2108.04</v>
      </c>
      <c r="P27" s="588">
        <f t="shared" si="7"/>
        <v>50241.929999999993</v>
      </c>
      <c r="Q27" s="588">
        <f t="shared" si="8"/>
        <v>2108.04</v>
      </c>
      <c r="R27" s="588">
        <f t="shared" si="9"/>
        <v>48133.889999999992</v>
      </c>
      <c r="S27" s="588">
        <f t="shared" si="10"/>
        <v>2108.04</v>
      </c>
      <c r="T27" s="588">
        <f t="shared" si="11"/>
        <v>46025.849999999991</v>
      </c>
      <c r="U27" s="588">
        <f t="shared" si="12"/>
        <v>2108.04</v>
      </c>
      <c r="V27" s="588">
        <f t="shared" si="13"/>
        <v>43917.80999999999</v>
      </c>
      <c r="W27" s="588">
        <f t="shared" si="15"/>
        <v>2108.04</v>
      </c>
      <c r="X27" s="588">
        <f t="shared" si="14"/>
        <v>41809.76999999999</v>
      </c>
    </row>
    <row r="28" spans="2:24">
      <c r="B28" s="590" t="s">
        <v>408</v>
      </c>
      <c r="C28" s="591">
        <f>SUM(C2:C27)</f>
        <v>12010818.999999998</v>
      </c>
      <c r="D28" s="591">
        <f>SUM(D2:D27)</f>
        <v>1159701.5700000003</v>
      </c>
      <c r="E28" s="591">
        <f>SUM(E2:E27)</f>
        <v>3241210.8499999996</v>
      </c>
      <c r="F28" s="591">
        <f>SUM(F2:F27)</f>
        <v>10851117.430000002</v>
      </c>
      <c r="G28" s="592"/>
      <c r="H28" s="591">
        <f>SUM(H2:H27)</f>
        <v>1157654.6900000004</v>
      </c>
      <c r="I28" s="591">
        <f>SUM(I2:I27)</f>
        <v>9693462.7399999965</v>
      </c>
      <c r="J28" s="591">
        <f>SUM(J2:J27)</f>
        <v>1153627.9500000004</v>
      </c>
      <c r="K28" s="591">
        <f>SUM(K2:K27)</f>
        <v>8539834.790000001</v>
      </c>
      <c r="O28" s="591">
        <f t="shared" ref="O28:X28" si="16">SUM(O2:O27)</f>
        <v>1133495.3300000003</v>
      </c>
      <c r="P28" s="591">
        <f t="shared" si="16"/>
        <v>7406339.46</v>
      </c>
      <c r="Q28" s="591">
        <f t="shared" si="16"/>
        <v>1133495.3300000003</v>
      </c>
      <c r="R28" s="591">
        <f t="shared" si="16"/>
        <v>6272844.1300000008</v>
      </c>
      <c r="S28" s="591">
        <f t="shared" si="16"/>
        <v>1133495.3300000003</v>
      </c>
      <c r="T28" s="591">
        <f t="shared" si="16"/>
        <v>5139348.8</v>
      </c>
      <c r="U28" s="591">
        <f t="shared" si="16"/>
        <v>1133495.3300000003</v>
      </c>
      <c r="V28" s="591">
        <f t="shared" si="16"/>
        <v>4005853.4699999997</v>
      </c>
      <c r="W28" s="591">
        <f t="shared" si="16"/>
        <v>1043666.7800000006</v>
      </c>
      <c r="X28" s="591">
        <f t="shared" si="16"/>
        <v>2962186.69</v>
      </c>
    </row>
    <row r="29" spans="2:24">
      <c r="B29" s="593"/>
      <c r="C29" s="592"/>
      <c r="D29" s="592"/>
      <c r="E29" s="592"/>
      <c r="F29" s="592"/>
      <c r="G29" s="592"/>
      <c r="H29" s="592"/>
      <c r="I29" s="592"/>
      <c r="J29" s="592"/>
      <c r="K29" s="592"/>
    </row>
    <row r="30" spans="2:24" ht="13.5" thickBot="1">
      <c r="I30" s="594" t="s">
        <v>499</v>
      </c>
      <c r="P30" s="594" t="s">
        <v>510</v>
      </c>
    </row>
    <row r="31" spans="2:24" ht="13.5" thickBot="1">
      <c r="I31" s="595">
        <f>AVERAGE(I28,K28)*2.2%</f>
        <v>200566.27283</v>
      </c>
      <c r="P31" s="595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M142"/>
  <sheetViews>
    <sheetView view="pageBreakPreview" zoomScale="70" zoomScaleNormal="60" zoomScaleSheetLayoutView="70" workbookViewId="0">
      <pane xSplit="3" ySplit="6" topLeftCell="D108" activePane="bottomRight" state="frozen"/>
      <selection activeCell="R3" sqref="A3:T50"/>
      <selection pane="topRight" activeCell="R3" sqref="A3:T50"/>
      <selection pane="bottomLeft" activeCell="R3" sqref="A3:T50"/>
      <selection pane="bottomRight" activeCell="J133" sqref="J133"/>
    </sheetView>
  </sheetViews>
  <sheetFormatPr defaultRowHeight="15.75" outlineLevelRow="1" outlineLevelCol="1"/>
  <cols>
    <col min="1" max="1" width="9" style="21"/>
    <col min="2" max="2" width="72.25" style="21" customWidth="1"/>
    <col min="3" max="3" width="11.5" style="21" customWidth="1"/>
    <col min="4" max="4" width="18.625" style="21" customWidth="1"/>
    <col min="5" max="5" width="23.375" style="21" customWidth="1"/>
    <col min="6" max="6" width="16.75" style="21" customWidth="1"/>
    <col min="7" max="7" width="23" style="21" customWidth="1"/>
    <col min="8" max="8" width="21.625" style="21" customWidth="1" outlineLevel="1"/>
    <col min="9" max="9" width="19" style="24" customWidth="1"/>
    <col min="10" max="10" width="22.375" style="24" customWidth="1"/>
    <col min="11" max="11" width="17.875" style="24" customWidth="1"/>
    <col min="12" max="12" width="23.75" style="21" customWidth="1" outlineLevel="1"/>
    <col min="13" max="13" width="16.75" style="24" customWidth="1"/>
    <col min="14" max="14" width="17.625" style="24" customWidth="1"/>
    <col min="15" max="15" width="17.375" style="24" customWidth="1"/>
    <col min="16" max="16" width="21.875" style="21" customWidth="1" outlineLevel="1"/>
    <col min="17" max="17" width="16.375" style="24" customWidth="1"/>
    <col min="18" max="18" width="15.5" style="24" customWidth="1"/>
    <col min="19" max="19" width="15.75" style="24" customWidth="1"/>
    <col min="20" max="20" width="15.25" style="24" customWidth="1"/>
    <col min="21" max="21" width="16.625" style="24" customWidth="1"/>
    <col min="22" max="22" width="18.125" style="24" customWidth="1"/>
    <col min="23" max="23" width="15.625" style="24" customWidth="1"/>
    <col min="24" max="24" width="17.25" style="24" customWidth="1"/>
    <col min="25" max="25" width="18.125" style="24" customWidth="1"/>
    <col min="26" max="26" width="22" style="24" customWidth="1"/>
    <col min="27" max="27" width="19" style="24" customWidth="1"/>
    <col min="28" max="28" width="16.5" style="24" customWidth="1"/>
    <col min="29" max="29" width="12.875" style="24" customWidth="1" outlineLevel="1"/>
    <col min="30" max="30" width="11.125" style="24" customWidth="1" outlineLevel="1"/>
    <col min="31" max="31" width="11.125" style="94" hidden="1" customWidth="1"/>
    <col min="32" max="34" width="11" style="94" hidden="1" customWidth="1"/>
    <col min="35" max="35" width="36.75" style="1065" hidden="1" customWidth="1"/>
    <col min="36" max="36" width="10.875" style="21" customWidth="1"/>
    <col min="37" max="37" width="12.75" style="21" bestFit="1" customWidth="1"/>
    <col min="38" max="38" width="11.375" style="21" customWidth="1"/>
    <col min="39" max="39" width="11.375" style="21" bestFit="1" customWidth="1"/>
    <col min="40" max="16384" width="9" style="21"/>
  </cols>
  <sheetData>
    <row r="1" spans="1:38" ht="16.5" customHeight="1">
      <c r="D1" s="22"/>
      <c r="E1" s="22"/>
      <c r="F1" s="22"/>
      <c r="G1" s="22"/>
      <c r="H1" s="22"/>
      <c r="I1" s="418"/>
      <c r="J1" s="418"/>
      <c r="K1" s="418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</row>
    <row r="2" spans="1:38">
      <c r="I2" s="23"/>
      <c r="J2" s="23"/>
      <c r="K2" s="23"/>
      <c r="M2" s="23"/>
      <c r="N2" s="23"/>
      <c r="O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</row>
    <row r="3" spans="1:38" s="28" customFormat="1" ht="20.25">
      <c r="A3" s="25" t="s">
        <v>423</v>
      </c>
      <c r="B3" s="26"/>
      <c r="C3" s="27"/>
      <c r="D3" s="27"/>
      <c r="E3" s="27"/>
      <c r="F3" s="27"/>
      <c r="G3" s="27"/>
      <c r="H3" s="27"/>
      <c r="I3" s="878"/>
      <c r="J3" s="493"/>
      <c r="K3" s="361"/>
      <c r="L3" s="361"/>
      <c r="M3" s="420"/>
      <c r="N3" s="420"/>
      <c r="O3" s="420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95"/>
      <c r="AF3" s="95"/>
      <c r="AG3" s="95"/>
      <c r="AH3" s="95"/>
      <c r="AI3" s="1066"/>
    </row>
    <row r="4" spans="1:38" s="6" customFormat="1" ht="16.5" thickBot="1">
      <c r="B4" s="29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96"/>
      <c r="AF4" s="96"/>
      <c r="AG4" s="96"/>
      <c r="AH4" s="96"/>
      <c r="AI4" s="1067"/>
    </row>
    <row r="5" spans="1:38" s="31" customFormat="1" ht="66.75" customHeight="1">
      <c r="A5" s="1215" t="s">
        <v>76</v>
      </c>
      <c r="B5" s="1217" t="s">
        <v>77</v>
      </c>
      <c r="C5" s="1219" t="s">
        <v>78</v>
      </c>
      <c r="D5" s="1224" t="s">
        <v>211</v>
      </c>
      <c r="E5" s="1225"/>
      <c r="F5" s="1225"/>
      <c r="G5" s="1226"/>
      <c r="H5" s="1227" t="s">
        <v>428</v>
      </c>
      <c r="I5" s="1221" t="s">
        <v>148</v>
      </c>
      <c r="J5" s="1222"/>
      <c r="K5" s="1222"/>
      <c r="L5" s="1223"/>
      <c r="M5" s="1221" t="s">
        <v>149</v>
      </c>
      <c r="N5" s="1222"/>
      <c r="O5" s="1222"/>
      <c r="P5" s="1223"/>
      <c r="Q5" s="1221" t="s">
        <v>150</v>
      </c>
      <c r="R5" s="1222"/>
      <c r="S5" s="1222"/>
      <c r="T5" s="1223"/>
      <c r="U5" s="1221" t="s">
        <v>195</v>
      </c>
      <c r="V5" s="1222"/>
      <c r="W5" s="1222"/>
      <c r="X5" s="1223"/>
      <c r="Y5" s="1221" t="s">
        <v>212</v>
      </c>
      <c r="Z5" s="1222"/>
      <c r="AA5" s="1222"/>
      <c r="AB5" s="1223"/>
      <c r="AC5" s="1229" t="s">
        <v>46</v>
      </c>
      <c r="AD5" s="1213" t="s">
        <v>151</v>
      </c>
      <c r="AE5" s="1213" t="s">
        <v>152</v>
      </c>
      <c r="AF5" s="1213" t="s">
        <v>153</v>
      </c>
      <c r="AG5" s="1213" t="s">
        <v>196</v>
      </c>
      <c r="AH5" s="1211" t="s">
        <v>213</v>
      </c>
      <c r="AI5" s="1068"/>
    </row>
    <row r="6" spans="1:38" s="31" customFormat="1" ht="95.25" customHeight="1" thickBot="1">
      <c r="A6" s="1216"/>
      <c r="B6" s="1218"/>
      <c r="C6" s="1220"/>
      <c r="D6" s="669" t="s">
        <v>427</v>
      </c>
      <c r="E6" s="670" t="s">
        <v>424</v>
      </c>
      <c r="F6" s="670" t="s">
        <v>425</v>
      </c>
      <c r="G6" s="671" t="s">
        <v>426</v>
      </c>
      <c r="H6" s="1228"/>
      <c r="I6" s="672" t="s">
        <v>427</v>
      </c>
      <c r="J6" s="673" t="s">
        <v>424</v>
      </c>
      <c r="K6" s="673" t="s">
        <v>425</v>
      </c>
      <c r="L6" s="674" t="s">
        <v>426</v>
      </c>
      <c r="M6" s="672" t="s">
        <v>427</v>
      </c>
      <c r="N6" s="673" t="s">
        <v>424</v>
      </c>
      <c r="O6" s="673" t="s">
        <v>425</v>
      </c>
      <c r="P6" s="674" t="s">
        <v>426</v>
      </c>
      <c r="Q6" s="672" t="s">
        <v>427</v>
      </c>
      <c r="R6" s="673" t="s">
        <v>424</v>
      </c>
      <c r="S6" s="673" t="s">
        <v>425</v>
      </c>
      <c r="T6" s="674" t="s">
        <v>426</v>
      </c>
      <c r="U6" s="672" t="s">
        <v>427</v>
      </c>
      <c r="V6" s="673" t="s">
        <v>424</v>
      </c>
      <c r="W6" s="673" t="s">
        <v>425</v>
      </c>
      <c r="X6" s="674" t="s">
        <v>426</v>
      </c>
      <c r="Y6" s="672" t="s">
        <v>427</v>
      </c>
      <c r="Z6" s="673" t="s">
        <v>424</v>
      </c>
      <c r="AA6" s="673" t="s">
        <v>425</v>
      </c>
      <c r="AB6" s="674" t="s">
        <v>426</v>
      </c>
      <c r="AC6" s="1230"/>
      <c r="AD6" s="1214"/>
      <c r="AE6" s="1214"/>
      <c r="AF6" s="1214"/>
      <c r="AG6" s="1214"/>
      <c r="AH6" s="1212"/>
      <c r="AI6" s="1068"/>
    </row>
    <row r="7" spans="1:38" s="33" customFormat="1" ht="18.75">
      <c r="A7" s="1233" t="s">
        <v>80</v>
      </c>
      <c r="B7" s="1234"/>
      <c r="C7" s="676"/>
      <c r="D7" s="677"/>
      <c r="E7" s="678"/>
      <c r="F7" s="678"/>
      <c r="G7" s="679"/>
      <c r="H7" s="680"/>
      <c r="I7" s="681"/>
      <c r="J7" s="682"/>
      <c r="K7" s="682"/>
      <c r="L7" s="683"/>
      <c r="M7" s="681">
        <f>(1-M9)*(1+M8)*(1+M10*M13)</f>
        <v>1.02366</v>
      </c>
      <c r="N7" s="682">
        <f>M7</f>
        <v>1.02366</v>
      </c>
      <c r="O7" s="682">
        <f>M7</f>
        <v>1.02366</v>
      </c>
      <c r="P7" s="683">
        <f>M7</f>
        <v>1.02366</v>
      </c>
      <c r="Q7" s="681">
        <f t="shared" ref="Q7:Y7" si="0">(1-Q9)*(1+Q8)*(1+Q10*Q13)</f>
        <v>1.0296000000000001</v>
      </c>
      <c r="R7" s="682">
        <f>Q7</f>
        <v>1.0296000000000001</v>
      </c>
      <c r="S7" s="682">
        <f>Q7</f>
        <v>1.0296000000000001</v>
      </c>
      <c r="T7" s="683">
        <f>Q7</f>
        <v>1.0296000000000001</v>
      </c>
      <c r="U7" s="681">
        <f t="shared" si="0"/>
        <v>1.0296000000000001</v>
      </c>
      <c r="V7" s="682">
        <f>U7</f>
        <v>1.0296000000000001</v>
      </c>
      <c r="W7" s="682">
        <f>U7</f>
        <v>1.0296000000000001</v>
      </c>
      <c r="X7" s="683">
        <f>U7</f>
        <v>1.0296000000000001</v>
      </c>
      <c r="Y7" s="681">
        <f t="shared" si="0"/>
        <v>1.0296000000000001</v>
      </c>
      <c r="Z7" s="682">
        <f>Y7</f>
        <v>1.0296000000000001</v>
      </c>
      <c r="AA7" s="682">
        <f>Y7</f>
        <v>1.0296000000000001</v>
      </c>
      <c r="AB7" s="683">
        <f>Y7</f>
        <v>1.0296000000000001</v>
      </c>
      <c r="AC7" s="684" t="str">
        <f>IFERROR(I7/#REF!, " ")</f>
        <v xml:space="preserve"> </v>
      </c>
      <c r="AD7" s="685" t="str">
        <f>IFERROR(I7/D7, " ")</f>
        <v xml:space="preserve"> </v>
      </c>
      <c r="AE7" s="685"/>
      <c r="AF7" s="685"/>
      <c r="AG7" s="685"/>
      <c r="AH7" s="686"/>
      <c r="AI7" s="1069"/>
    </row>
    <row r="8" spans="1:38" s="31" customFormat="1">
      <c r="A8" s="626"/>
      <c r="B8" s="34" t="s">
        <v>81</v>
      </c>
      <c r="C8" s="646" t="s">
        <v>1</v>
      </c>
      <c r="D8" s="648"/>
      <c r="E8" s="616"/>
      <c r="F8" s="616"/>
      <c r="G8" s="430"/>
      <c r="H8" s="474"/>
      <c r="I8" s="648"/>
      <c r="J8" s="616"/>
      <c r="K8" s="616"/>
      <c r="L8" s="430"/>
      <c r="M8" s="635">
        <f>индексы!I8-1</f>
        <v>3.400000000000003E-2</v>
      </c>
      <c r="N8" s="617"/>
      <c r="O8" s="617"/>
      <c r="P8" s="636"/>
      <c r="Q8" s="635">
        <f>индексы!J8-1</f>
        <v>4.0000000000000036E-2</v>
      </c>
      <c r="R8" s="617"/>
      <c r="S8" s="617"/>
      <c r="T8" s="636"/>
      <c r="U8" s="635">
        <f>индексы!K8-1</f>
        <v>4.0000000000000036E-2</v>
      </c>
      <c r="V8" s="617"/>
      <c r="W8" s="617"/>
      <c r="X8" s="636"/>
      <c r="Y8" s="635">
        <f>индексы!L8-1</f>
        <v>4.0000000000000036E-2</v>
      </c>
      <c r="Z8" s="617"/>
      <c r="AA8" s="617"/>
      <c r="AB8" s="636"/>
      <c r="AC8" s="633" t="str">
        <f>IFERROR(I8/#REF!, " ")</f>
        <v xml:space="preserve"> </v>
      </c>
      <c r="AD8" s="618"/>
      <c r="AE8" s="618"/>
      <c r="AF8" s="618"/>
      <c r="AG8" s="618"/>
      <c r="AH8" s="98"/>
      <c r="AI8" s="1070"/>
    </row>
    <row r="9" spans="1:38" s="31" customFormat="1">
      <c r="A9" s="626"/>
      <c r="B9" s="34" t="s">
        <v>82</v>
      </c>
      <c r="C9" s="646" t="s">
        <v>1</v>
      </c>
      <c r="D9" s="635">
        <v>0.01</v>
      </c>
      <c r="E9" s="617"/>
      <c r="F9" s="617"/>
      <c r="G9" s="636"/>
      <c r="H9" s="650"/>
      <c r="I9" s="635">
        <v>0.01</v>
      </c>
      <c r="J9" s="617"/>
      <c r="K9" s="617"/>
      <c r="L9" s="636"/>
      <c r="M9" s="635">
        <v>0.01</v>
      </c>
      <c r="N9" s="617"/>
      <c r="O9" s="617"/>
      <c r="P9" s="636"/>
      <c r="Q9" s="635">
        <v>0.01</v>
      </c>
      <c r="R9" s="617"/>
      <c r="S9" s="617"/>
      <c r="T9" s="636"/>
      <c r="U9" s="635">
        <v>0.01</v>
      </c>
      <c r="V9" s="617"/>
      <c r="W9" s="617"/>
      <c r="X9" s="636"/>
      <c r="Y9" s="635">
        <v>0.01</v>
      </c>
      <c r="Z9" s="617"/>
      <c r="AA9" s="617"/>
      <c r="AB9" s="636"/>
      <c r="AC9" s="633" t="str">
        <f>IFERROR(I9/#REF!, " ")</f>
        <v xml:space="preserve"> </v>
      </c>
      <c r="AD9" s="618"/>
      <c r="AE9" s="618"/>
      <c r="AF9" s="618"/>
      <c r="AG9" s="618"/>
      <c r="AH9" s="98"/>
      <c r="AI9" s="1070"/>
      <c r="AL9" s="35"/>
    </row>
    <row r="10" spans="1:38" s="31" customFormat="1">
      <c r="A10" s="626"/>
      <c r="B10" s="34" t="s">
        <v>83</v>
      </c>
      <c r="C10" s="646" t="s">
        <v>1</v>
      </c>
      <c r="D10" s="648"/>
      <c r="E10" s="616"/>
      <c r="F10" s="616"/>
      <c r="G10" s="430"/>
      <c r="H10" s="474"/>
      <c r="I10" s="648"/>
      <c r="J10" s="616"/>
      <c r="K10" s="616"/>
      <c r="L10" s="430"/>
      <c r="M10" s="637">
        <f>IF(AND(ISNUMBER(I12),I12&gt;0),(M12-I12)/I12,0)</f>
        <v>0</v>
      </c>
      <c r="N10" s="338"/>
      <c r="O10" s="338"/>
      <c r="P10" s="638"/>
      <c r="Q10" s="637">
        <f>IF(AND(ISNUMBER(M12),M12&gt;0),(Q12-M12)/M12,0)</f>
        <v>0</v>
      </c>
      <c r="R10" s="338"/>
      <c r="S10" s="338"/>
      <c r="T10" s="638"/>
      <c r="U10" s="637">
        <f>IF(AND(ISNUMBER(Q12),Q12&gt;0),(U12-Q12)/Q12,0)</f>
        <v>0</v>
      </c>
      <c r="V10" s="338"/>
      <c r="W10" s="338"/>
      <c r="X10" s="638"/>
      <c r="Y10" s="637">
        <f>IF(AND(ISNUMBER(U12),U12&gt;0),(Y12-U12)/U12,0)</f>
        <v>0</v>
      </c>
      <c r="Z10" s="338"/>
      <c r="AA10" s="338"/>
      <c r="AB10" s="638"/>
      <c r="AC10" s="633" t="str">
        <f>IFERROR(I10/#REF!, " ")</f>
        <v xml:space="preserve"> </v>
      </c>
      <c r="AD10" s="618"/>
      <c r="AE10" s="618"/>
      <c r="AF10" s="618"/>
      <c r="AG10" s="618"/>
      <c r="AH10" s="98"/>
      <c r="AI10" s="1070"/>
    </row>
    <row r="11" spans="1:38" s="31" customFormat="1">
      <c r="A11" s="626"/>
      <c r="B11" s="34" t="s">
        <v>84</v>
      </c>
      <c r="C11" s="646" t="s">
        <v>75</v>
      </c>
      <c r="D11" s="431"/>
      <c r="E11" s="339"/>
      <c r="F11" s="339"/>
      <c r="G11" s="432"/>
      <c r="H11" s="475"/>
      <c r="I11" s="431"/>
      <c r="J11" s="339"/>
      <c r="K11" s="339"/>
      <c r="L11" s="432"/>
      <c r="M11" s="431"/>
      <c r="N11" s="339"/>
      <c r="O11" s="339"/>
      <c r="P11" s="432"/>
      <c r="Q11" s="431"/>
      <c r="R11" s="339"/>
      <c r="S11" s="339"/>
      <c r="T11" s="432"/>
      <c r="U11" s="431"/>
      <c r="V11" s="339"/>
      <c r="W11" s="339"/>
      <c r="X11" s="432"/>
      <c r="Y11" s="431"/>
      <c r="Z11" s="339"/>
      <c r="AA11" s="339"/>
      <c r="AB11" s="432"/>
      <c r="AC11" s="633" t="str">
        <f>IFERROR(I11/#REF!, " ")</f>
        <v xml:space="preserve"> </v>
      </c>
      <c r="AD11" s="618"/>
      <c r="AE11" s="618"/>
      <c r="AF11" s="618"/>
      <c r="AG11" s="618"/>
      <c r="AH11" s="98"/>
      <c r="AI11" s="1070"/>
    </row>
    <row r="12" spans="1:38" s="31" customFormat="1" ht="31.5">
      <c r="A12" s="626"/>
      <c r="B12" s="34" t="s">
        <v>85</v>
      </c>
      <c r="C12" s="646" t="s">
        <v>86</v>
      </c>
      <c r="D12" s="648">
        <v>111.355</v>
      </c>
      <c r="E12" s="616"/>
      <c r="F12" s="616"/>
      <c r="G12" s="430"/>
      <c r="H12" s="474"/>
      <c r="I12" s="648">
        <v>111.355</v>
      </c>
      <c r="J12" s="616"/>
      <c r="K12" s="616"/>
      <c r="L12" s="430"/>
      <c r="M12" s="637">
        <f>I12</f>
        <v>111.355</v>
      </c>
      <c r="N12" s="338"/>
      <c r="O12" s="338"/>
      <c r="P12" s="639"/>
      <c r="Q12" s="637">
        <f>M12</f>
        <v>111.355</v>
      </c>
      <c r="R12" s="338"/>
      <c r="S12" s="338"/>
      <c r="T12" s="638"/>
      <c r="U12" s="637">
        <f>Q12</f>
        <v>111.355</v>
      </c>
      <c r="V12" s="338"/>
      <c r="W12" s="338"/>
      <c r="X12" s="638"/>
      <c r="Y12" s="637">
        <f>U12</f>
        <v>111.355</v>
      </c>
      <c r="Z12" s="338"/>
      <c r="AA12" s="338"/>
      <c r="AB12" s="638"/>
      <c r="AC12" s="633" t="str">
        <f>IFERROR(I12/#REF!, " ")</f>
        <v xml:space="preserve"> </v>
      </c>
      <c r="AD12" s="618"/>
      <c r="AE12" s="618"/>
      <c r="AF12" s="618"/>
      <c r="AG12" s="618"/>
      <c r="AH12" s="98"/>
      <c r="AI12" s="1070"/>
    </row>
    <row r="13" spans="1:38" s="31" customFormat="1" ht="19.5" thickBot="1">
      <c r="A13" s="687"/>
      <c r="B13" s="688" t="s">
        <v>87</v>
      </c>
      <c r="C13" s="689"/>
      <c r="D13" s="690">
        <v>0.75</v>
      </c>
      <c r="E13" s="691"/>
      <c r="F13" s="691"/>
      <c r="G13" s="692"/>
      <c r="H13" s="693"/>
      <c r="I13" s="690">
        <v>0.75</v>
      </c>
      <c r="J13" s="691"/>
      <c r="K13" s="691"/>
      <c r="L13" s="692"/>
      <c r="M13" s="690">
        <v>0.75</v>
      </c>
      <c r="N13" s="691"/>
      <c r="O13" s="691"/>
      <c r="P13" s="692"/>
      <c r="Q13" s="690">
        <v>0.75</v>
      </c>
      <c r="R13" s="691"/>
      <c r="S13" s="691"/>
      <c r="T13" s="692"/>
      <c r="U13" s="690">
        <v>0.75</v>
      </c>
      <c r="V13" s="691"/>
      <c r="W13" s="691"/>
      <c r="X13" s="692"/>
      <c r="Y13" s="690">
        <v>0.75</v>
      </c>
      <c r="Z13" s="691"/>
      <c r="AA13" s="691"/>
      <c r="AB13" s="692"/>
      <c r="AC13" s="634" t="str">
        <f>IFERROR(I13/#REF!, " ")</f>
        <v xml:space="preserve"> </v>
      </c>
      <c r="AD13" s="630"/>
      <c r="AE13" s="630"/>
      <c r="AF13" s="630"/>
      <c r="AG13" s="630"/>
      <c r="AH13" s="99"/>
      <c r="AI13" s="1070"/>
    </row>
    <row r="14" spans="1:38" s="33" customFormat="1" ht="36.75" customHeight="1">
      <c r="A14" s="1233" t="s">
        <v>88</v>
      </c>
      <c r="B14" s="1234"/>
      <c r="C14" s="676" t="s">
        <v>0</v>
      </c>
      <c r="D14" s="696">
        <f>E14+F14+G14</f>
        <v>12993.57</v>
      </c>
      <c r="E14" s="697">
        <f t="shared" ref="E14:G14" si="1">SUM(E15:E19)</f>
        <v>10153.82</v>
      </c>
      <c r="F14" s="697">
        <f t="shared" si="1"/>
        <v>1031.07</v>
      </c>
      <c r="G14" s="698">
        <f t="shared" si="1"/>
        <v>1808.68</v>
      </c>
      <c r="H14" s="699">
        <f t="shared" ref="H14" si="2">SUM(H15:H19)</f>
        <v>15453.854000000001</v>
      </c>
      <c r="I14" s="696">
        <f>J14+K14+L14</f>
        <v>20078.599999999995</v>
      </c>
      <c r="J14" s="697">
        <f t="shared" ref="J14:L14" si="3">SUM(J15:J19)</f>
        <v>15775.589999999998</v>
      </c>
      <c r="K14" s="697">
        <f t="shared" si="3"/>
        <v>1811.5</v>
      </c>
      <c r="L14" s="698">
        <f t="shared" si="3"/>
        <v>2491.5099999999998</v>
      </c>
      <c r="M14" s="696">
        <f>N14+O14+P14</f>
        <v>20445.199999999997</v>
      </c>
      <c r="N14" s="697">
        <f t="shared" ref="N14:P14" si="4">SUM(N15:N19)</f>
        <v>15926</v>
      </c>
      <c r="O14" s="697">
        <f t="shared" si="4"/>
        <v>1926.4899999999998</v>
      </c>
      <c r="P14" s="698">
        <f t="shared" si="4"/>
        <v>2592.7100000000005</v>
      </c>
      <c r="Q14" s="696">
        <f>R14+S14+T14</f>
        <v>21688.81</v>
      </c>
      <c r="R14" s="697">
        <f t="shared" ref="R14:T14" si="5">SUM(R15:R19)</f>
        <v>16872.48</v>
      </c>
      <c r="S14" s="697">
        <f t="shared" si="5"/>
        <v>2027.7899999999997</v>
      </c>
      <c r="T14" s="698">
        <f t="shared" si="5"/>
        <v>2788.54</v>
      </c>
      <c r="U14" s="696">
        <f>V14+W14+X14</f>
        <v>22708.07</v>
      </c>
      <c r="V14" s="697">
        <f t="shared" ref="V14:X14" si="6">SUM(V15:V19)</f>
        <v>17676.82</v>
      </c>
      <c r="W14" s="697">
        <f t="shared" si="6"/>
        <v>2107.34</v>
      </c>
      <c r="X14" s="698">
        <f t="shared" si="6"/>
        <v>2923.9100000000003</v>
      </c>
      <c r="Y14" s="696">
        <f>Z14+AA14+AB14</f>
        <v>23748.640000000003</v>
      </c>
      <c r="Z14" s="697">
        <f t="shared" ref="Z14:AB14" si="7">SUM(Z15:Z19)</f>
        <v>18648.150000000001</v>
      </c>
      <c r="AA14" s="697">
        <f t="shared" si="7"/>
        <v>2187.7000000000003</v>
      </c>
      <c r="AB14" s="698">
        <f t="shared" si="7"/>
        <v>2912.79</v>
      </c>
      <c r="AC14" s="700">
        <f>IFERROR(I14/H14, " ")</f>
        <v>1.2992616599069717</v>
      </c>
      <c r="AD14" s="685">
        <f>IFERROR(I14/D14, " ")</f>
        <v>1.5452720076160744</v>
      </c>
      <c r="AE14" s="685">
        <f>IFERROR(M14/I14, " ")</f>
        <v>1.0182582450967699</v>
      </c>
      <c r="AF14" s="685">
        <f>IFERROR(Q14/M14, " ")</f>
        <v>1.0608265020640544</v>
      </c>
      <c r="AG14" s="686">
        <f>IFERROR(U14/Q14, " ")</f>
        <v>1.0469947406058699</v>
      </c>
      <c r="AH14" s="694">
        <f>IFERROR(Y14/U14, " ")</f>
        <v>1.0458237974429356</v>
      </c>
      <c r="AI14" s="1069"/>
    </row>
    <row r="15" spans="1:38" s="36" customFormat="1" ht="18.75">
      <c r="A15" s="37"/>
      <c r="B15" s="38" t="s">
        <v>35</v>
      </c>
      <c r="C15" s="654" t="s">
        <v>0</v>
      </c>
      <c r="D15" s="445">
        <f>E15+F15+G15</f>
        <v>0</v>
      </c>
      <c r="E15" s="93"/>
      <c r="F15" s="93"/>
      <c r="G15" s="435"/>
      <c r="H15" s="477"/>
      <c r="I15" s="445">
        <f>J15+K15+L15</f>
        <v>0</v>
      </c>
      <c r="J15" s="93"/>
      <c r="K15" s="93"/>
      <c r="L15" s="435"/>
      <c r="M15" s="445">
        <f>N15+O15+P15</f>
        <v>0</v>
      </c>
      <c r="N15" s="93"/>
      <c r="O15" s="93"/>
      <c r="P15" s="435"/>
      <c r="Q15" s="445">
        <f>R15+S15+T15</f>
        <v>0</v>
      </c>
      <c r="R15" s="93"/>
      <c r="S15" s="93"/>
      <c r="T15" s="435"/>
      <c r="U15" s="445">
        <f>V15+W15+X15</f>
        <v>0</v>
      </c>
      <c r="V15" s="93"/>
      <c r="W15" s="93"/>
      <c r="X15" s="435"/>
      <c r="Y15" s="445">
        <f>Z15+AA15+AB15</f>
        <v>0</v>
      </c>
      <c r="Z15" s="93"/>
      <c r="AA15" s="93"/>
      <c r="AB15" s="435"/>
      <c r="AC15" s="633" t="str">
        <f t="shared" ref="AC15:AC78" si="8">IFERROR(I15/H15, " ")</f>
        <v xml:space="preserve"> </v>
      </c>
      <c r="AD15" s="615" t="str">
        <f t="shared" ref="AD15:AD78" si="9">IFERROR(I15/D15, " ")</f>
        <v xml:space="preserve"> </v>
      </c>
      <c r="AE15" s="615" t="str">
        <f t="shared" ref="AE15:AE78" si="10">IFERROR(M15/I15, " ")</f>
        <v xml:space="preserve"> </v>
      </c>
      <c r="AF15" s="615" t="str">
        <f t="shared" ref="AF15:AF78" si="11">IFERROR(Q15/M15, " ")</f>
        <v xml:space="preserve"> </v>
      </c>
      <c r="AG15" s="176" t="str">
        <f t="shared" ref="AG15:AG78" si="12">IFERROR(U15/Q15, " ")</f>
        <v xml:space="preserve"> </v>
      </c>
      <c r="AH15" s="695" t="str">
        <f t="shared" ref="AH15:AH78" si="13">IFERROR(Y15/U15, " ")</f>
        <v xml:space="preserve"> </v>
      </c>
      <c r="AI15" s="1070"/>
    </row>
    <row r="16" spans="1:38" s="36" customFormat="1" ht="18.75">
      <c r="A16" s="37"/>
      <c r="B16" s="38" t="s">
        <v>89</v>
      </c>
      <c r="C16" s="654" t="s">
        <v>0</v>
      </c>
      <c r="D16" s="445">
        <f t="shared" ref="D16:D19" si="14">E16+F16+G16</f>
        <v>0</v>
      </c>
      <c r="E16" s="93"/>
      <c r="F16" s="93"/>
      <c r="G16" s="435"/>
      <c r="H16" s="477"/>
      <c r="I16" s="445">
        <f t="shared" ref="I16:I19" si="15">J16+K16+L16</f>
        <v>0</v>
      </c>
      <c r="J16" s="93"/>
      <c r="K16" s="93"/>
      <c r="L16" s="435"/>
      <c r="M16" s="445">
        <f t="shared" ref="M16:M19" si="16">N16+O16+P16</f>
        <v>0</v>
      </c>
      <c r="N16" s="93"/>
      <c r="O16" s="93"/>
      <c r="P16" s="435"/>
      <c r="Q16" s="445">
        <f t="shared" ref="Q16:Q19" si="17">R16+S16+T16</f>
        <v>0</v>
      </c>
      <c r="R16" s="93"/>
      <c r="S16" s="93"/>
      <c r="T16" s="435"/>
      <c r="U16" s="445">
        <f t="shared" ref="U16:U19" si="18">V16+W16+X16</f>
        <v>0</v>
      </c>
      <c r="V16" s="93"/>
      <c r="W16" s="93"/>
      <c r="X16" s="435"/>
      <c r="Y16" s="445">
        <f t="shared" ref="Y16:Y19" si="19">Z16+AA16+AB16</f>
        <v>0</v>
      </c>
      <c r="Z16" s="93"/>
      <c r="AA16" s="93"/>
      <c r="AB16" s="435"/>
      <c r="AC16" s="633" t="str">
        <f t="shared" si="8"/>
        <v xml:space="preserve"> </v>
      </c>
      <c r="AD16" s="615" t="str">
        <f t="shared" si="9"/>
        <v xml:space="preserve"> </v>
      </c>
      <c r="AE16" s="615" t="str">
        <f t="shared" si="10"/>
        <v xml:space="preserve"> </v>
      </c>
      <c r="AF16" s="615" t="str">
        <f t="shared" si="11"/>
        <v xml:space="preserve"> </v>
      </c>
      <c r="AG16" s="176" t="str">
        <f t="shared" si="12"/>
        <v xml:space="preserve"> </v>
      </c>
      <c r="AH16" s="695" t="str">
        <f t="shared" si="13"/>
        <v xml:space="preserve"> </v>
      </c>
      <c r="AI16" s="1070"/>
    </row>
    <row r="17" spans="1:37" s="36" customFormat="1" ht="18.75">
      <c r="A17" s="37"/>
      <c r="B17" s="38" t="s">
        <v>90</v>
      </c>
      <c r="C17" s="654" t="s">
        <v>0</v>
      </c>
      <c r="D17" s="445">
        <f t="shared" si="14"/>
        <v>11630.71</v>
      </c>
      <c r="E17" s="93">
        <v>9826.9599999999991</v>
      </c>
      <c r="F17" s="93"/>
      <c r="G17" s="435">
        <v>1803.75</v>
      </c>
      <c r="H17" s="477">
        <v>13783.299000000001</v>
      </c>
      <c r="I17" s="445">
        <f t="shared" si="15"/>
        <v>17384.439999999999</v>
      </c>
      <c r="J17" s="93">
        <f>'переменные на 5 лет'!J16</f>
        <v>14898.869999999999</v>
      </c>
      <c r="K17" s="93"/>
      <c r="L17" s="435">
        <f>'переменные на 5 лет'!J25</f>
        <v>2485.5699999999997</v>
      </c>
      <c r="M17" s="445">
        <f t="shared" si="16"/>
        <v>17712.400000000001</v>
      </c>
      <c r="N17" s="93">
        <f>'переменные на 5 лет'!M16</f>
        <v>15125.72</v>
      </c>
      <c r="O17" s="93"/>
      <c r="P17" s="435">
        <f>'переменные на 5 лет'!M25</f>
        <v>2586.6800000000003</v>
      </c>
      <c r="Q17" s="445">
        <f t="shared" si="17"/>
        <v>18858.690000000002</v>
      </c>
      <c r="R17" s="93">
        <f>'переменные на 5 лет'!P16</f>
        <v>16076.380000000001</v>
      </c>
      <c r="S17" s="93"/>
      <c r="T17" s="435">
        <f>'переменные на 5 лет'!P25</f>
        <v>2782.31</v>
      </c>
      <c r="U17" s="445">
        <f t="shared" si="18"/>
        <v>19783.260000000002</v>
      </c>
      <c r="V17" s="93">
        <f>'переменные на 5 лет'!S16</f>
        <v>16865.79</v>
      </c>
      <c r="W17" s="93"/>
      <c r="X17" s="435">
        <f>'переменные на 5 лет'!S25</f>
        <v>2917.4700000000003</v>
      </c>
      <c r="Y17" s="445">
        <f t="shared" si="19"/>
        <v>20753.21</v>
      </c>
      <c r="Z17" s="93">
        <f>'переменные на 5 лет'!V16</f>
        <v>17847.02</v>
      </c>
      <c r="AA17" s="93"/>
      <c r="AB17" s="435">
        <f>'переменные на 5 лет'!V25</f>
        <v>2906.19</v>
      </c>
      <c r="AC17" s="633">
        <f t="shared" si="8"/>
        <v>1.2612684379842589</v>
      </c>
      <c r="AD17" s="615">
        <f t="shared" si="9"/>
        <v>1.4947015272498412</v>
      </c>
      <c r="AE17" s="615">
        <f t="shared" si="10"/>
        <v>1.0188651460731553</v>
      </c>
      <c r="AF17" s="615">
        <f t="shared" si="11"/>
        <v>1.0647168085634924</v>
      </c>
      <c r="AG17" s="176">
        <f t="shared" si="12"/>
        <v>1.0490262048954619</v>
      </c>
      <c r="AH17" s="695">
        <f t="shared" si="13"/>
        <v>1.0490288253806499</v>
      </c>
      <c r="AI17" s="1070"/>
    </row>
    <row r="18" spans="1:37" s="36" customFormat="1" ht="18.75">
      <c r="A18" s="39"/>
      <c r="B18" s="40" t="s">
        <v>36</v>
      </c>
      <c r="C18" s="654" t="s">
        <v>0</v>
      </c>
      <c r="D18" s="445">
        <f t="shared" si="14"/>
        <v>0</v>
      </c>
      <c r="E18" s="93"/>
      <c r="F18" s="93"/>
      <c r="G18" s="435"/>
      <c r="H18" s="477"/>
      <c r="I18" s="445">
        <f t="shared" si="15"/>
        <v>0</v>
      </c>
      <c r="J18" s="93"/>
      <c r="K18" s="93"/>
      <c r="L18" s="435"/>
      <c r="M18" s="445">
        <f t="shared" si="16"/>
        <v>0</v>
      </c>
      <c r="N18" s="93"/>
      <c r="O18" s="93"/>
      <c r="P18" s="435"/>
      <c r="Q18" s="445">
        <f t="shared" si="17"/>
        <v>0</v>
      </c>
      <c r="R18" s="93"/>
      <c r="S18" s="93"/>
      <c r="T18" s="435"/>
      <c r="U18" s="445">
        <f t="shared" si="18"/>
        <v>0</v>
      </c>
      <c r="V18" s="93"/>
      <c r="W18" s="93"/>
      <c r="X18" s="435"/>
      <c r="Y18" s="445">
        <f t="shared" si="19"/>
        <v>0</v>
      </c>
      <c r="Z18" s="93"/>
      <c r="AA18" s="93"/>
      <c r="AB18" s="435"/>
      <c r="AC18" s="633" t="str">
        <f t="shared" si="8"/>
        <v xml:space="preserve"> </v>
      </c>
      <c r="AD18" s="615" t="str">
        <f t="shared" si="9"/>
        <v xml:space="preserve"> </v>
      </c>
      <c r="AE18" s="615" t="str">
        <f t="shared" si="10"/>
        <v xml:space="preserve"> </v>
      </c>
      <c r="AF18" s="615" t="str">
        <f t="shared" si="11"/>
        <v xml:space="preserve"> </v>
      </c>
      <c r="AG18" s="176" t="str">
        <f t="shared" si="12"/>
        <v xml:space="preserve"> </v>
      </c>
      <c r="AH18" s="695" t="str">
        <f t="shared" si="13"/>
        <v xml:space="preserve"> </v>
      </c>
      <c r="AI18" s="1070"/>
    </row>
    <row r="19" spans="1:37" s="36" customFormat="1" ht="19.5" thickBot="1">
      <c r="A19" s="706"/>
      <c r="B19" s="707" t="s">
        <v>37</v>
      </c>
      <c r="C19" s="708" t="s">
        <v>0</v>
      </c>
      <c r="D19" s="709">
        <f t="shared" si="14"/>
        <v>1362.8600000000001</v>
      </c>
      <c r="E19" s="600">
        <v>326.86000000000007</v>
      </c>
      <c r="F19" s="600">
        <v>1031.07</v>
      </c>
      <c r="G19" s="710">
        <v>4.93</v>
      </c>
      <c r="H19" s="711">
        <v>1670.5550000000001</v>
      </c>
      <c r="I19" s="709">
        <f t="shared" si="15"/>
        <v>2694.16</v>
      </c>
      <c r="J19" s="600">
        <f>'переменные на 5 лет'!J44+'переменные на 5 лет'!J53</f>
        <v>876.7199999999998</v>
      </c>
      <c r="K19" s="600">
        <f>'переменные на 5 лет'!J45+'переменные на 5 лет'!J46-'переменные на 5 лет'!J53</f>
        <v>1811.5</v>
      </c>
      <c r="L19" s="710">
        <f>'переменные на 5 лет'!J47</f>
        <v>5.9399999999999995</v>
      </c>
      <c r="M19" s="709">
        <f t="shared" si="16"/>
        <v>2732.8</v>
      </c>
      <c r="N19" s="600">
        <f>'переменные на 5 лет'!M44+'переменные на 5 лет'!M53</f>
        <v>800.2800000000002</v>
      </c>
      <c r="O19" s="600">
        <f>'переменные на 5 лет'!M45+'переменные на 5 лет'!M46-'переменные на 5 лет'!M53</f>
        <v>1926.4899999999998</v>
      </c>
      <c r="P19" s="710">
        <f>'переменные на 5 лет'!M47</f>
        <v>6.0299999999999994</v>
      </c>
      <c r="Q19" s="709">
        <f t="shared" si="17"/>
        <v>2830.12</v>
      </c>
      <c r="R19" s="600">
        <f>'переменные на 5 лет'!P44+'переменные на 5 лет'!P53</f>
        <v>796.10000000000025</v>
      </c>
      <c r="S19" s="600">
        <f>'переменные на 5 лет'!P45+'переменные на 5 лет'!P46-'переменные на 5 лет'!P53</f>
        <v>2027.7899999999997</v>
      </c>
      <c r="T19" s="710">
        <f>'переменные на 5 лет'!P47</f>
        <v>6.23</v>
      </c>
      <c r="U19" s="709">
        <f t="shared" si="18"/>
        <v>2924.8100000000004</v>
      </c>
      <c r="V19" s="600">
        <f>'переменные на 5 лет'!S44+'переменные на 5 лет'!S53</f>
        <v>811.03000000000009</v>
      </c>
      <c r="W19" s="600">
        <f>'переменные на 5 лет'!S45+'переменные на 5 лет'!S46-'переменные на 5 лет'!S53</f>
        <v>2107.34</v>
      </c>
      <c r="X19" s="710">
        <f>'переменные на 5 лет'!S47</f>
        <v>6.4399999999999995</v>
      </c>
      <c r="Y19" s="709">
        <f t="shared" si="19"/>
        <v>2995.43</v>
      </c>
      <c r="Z19" s="600">
        <f>'переменные на 5 лет'!V44+'переменные на 5 лет'!V53</f>
        <v>801.12999999999988</v>
      </c>
      <c r="AA19" s="600">
        <f>'переменные на 5 лет'!V45+'переменные на 5 лет'!V46-'переменные на 5 лет'!V53</f>
        <v>2187.7000000000003</v>
      </c>
      <c r="AB19" s="710">
        <f>'переменные на 5 лет'!V47</f>
        <v>6.6</v>
      </c>
      <c r="AC19" s="712">
        <f t="shared" si="8"/>
        <v>1.6127334927613874</v>
      </c>
      <c r="AD19" s="713">
        <f t="shared" si="9"/>
        <v>1.976842815843153</v>
      </c>
      <c r="AE19" s="713">
        <f t="shared" si="10"/>
        <v>1.0143421326127626</v>
      </c>
      <c r="AF19" s="713">
        <f t="shared" si="11"/>
        <v>1.0356118266978922</v>
      </c>
      <c r="AG19" s="714">
        <f t="shared" si="12"/>
        <v>1.0334579452461381</v>
      </c>
      <c r="AH19" s="715">
        <f t="shared" si="13"/>
        <v>1.0241451581470247</v>
      </c>
      <c r="AI19" s="1070"/>
    </row>
    <row r="20" spans="1:37" s="33" customFormat="1" ht="43.5" customHeight="1">
      <c r="A20" s="1233" t="s">
        <v>246</v>
      </c>
      <c r="B20" s="1234"/>
      <c r="C20" s="676" t="s">
        <v>0</v>
      </c>
      <c r="D20" s="716">
        <f>SUM(D21,D25,D28,D38,D41,D50:D54)</f>
        <v>5477.0599999999995</v>
      </c>
      <c r="E20" s="717">
        <f>SUM(E21,E25,E28,E38,E41,E50:E54)</f>
        <v>1389.9299999999998</v>
      </c>
      <c r="F20" s="717">
        <f t="shared" ref="F20:G20" si="20">SUM(F21,F25,F28,F38,F41,F50:F54)</f>
        <v>0</v>
      </c>
      <c r="G20" s="718">
        <f t="shared" si="20"/>
        <v>4087.13</v>
      </c>
      <c r="H20" s="719">
        <f>SUM(H21,H25,H28,H38,H41,H50:H54)</f>
        <v>8989.1849999999995</v>
      </c>
      <c r="I20" s="716">
        <f>SUM(I21,I25,I28,I38,I41,I50:I54)</f>
        <v>6191.32</v>
      </c>
      <c r="J20" s="717">
        <f>SUM(J21,J25,J28,J38,J41,J50:J54)</f>
        <v>915.59</v>
      </c>
      <c r="K20" s="717">
        <f t="shared" ref="K20:L20" si="21">SUM(K21,K25,K28,K38,K41,K50:K54)</f>
        <v>0</v>
      </c>
      <c r="L20" s="718">
        <f t="shared" si="21"/>
        <v>5275.73</v>
      </c>
      <c r="M20" s="716">
        <f>SUM(M21,M25,M28,M38,M41,M50:M54)</f>
        <v>6315.9346891075711</v>
      </c>
      <c r="N20" s="717">
        <f>ROUND(J20*N7,2)</f>
        <v>937.25</v>
      </c>
      <c r="O20" s="717">
        <f t="shared" ref="O20:P20" si="22">ROUND(K20*O7,2)</f>
        <v>0</v>
      </c>
      <c r="P20" s="718">
        <f t="shared" si="22"/>
        <v>5400.55</v>
      </c>
      <c r="Q20" s="716">
        <f>SUM(Q21,Q25,Q28,Q38,Q41,Q50:Q54)</f>
        <v>6502.8875365611248</v>
      </c>
      <c r="R20" s="717">
        <f>ROUND(N20*R7,2)</f>
        <v>964.99</v>
      </c>
      <c r="S20" s="717">
        <f t="shared" ref="S20" si="23">ROUND(O20*S7,2)</f>
        <v>0</v>
      </c>
      <c r="T20" s="718">
        <f>ROUND(P20*T7,2)</f>
        <v>5560.41</v>
      </c>
      <c r="U20" s="716">
        <f>SUM(U21,U25,U28,U38,U41,U50:U54)</f>
        <v>6695.3712540547622</v>
      </c>
      <c r="V20" s="717">
        <f>ROUND(R20*V7,2)</f>
        <v>993.55</v>
      </c>
      <c r="W20" s="717">
        <f t="shared" ref="W20" si="24">ROUND(S20*W7,2)</f>
        <v>0</v>
      </c>
      <c r="X20" s="718">
        <f>ROUND(T20*X7,2)</f>
        <v>5725</v>
      </c>
      <c r="Y20" s="716">
        <f>SUM(Y21,Y25,Y28,Y38,Y41,Y50:Y54)</f>
        <v>6893.5551417119023</v>
      </c>
      <c r="Z20" s="717">
        <f>ROUND(V20*Z7,2)</f>
        <v>1022.96</v>
      </c>
      <c r="AA20" s="717">
        <f t="shared" ref="AA20" si="25">ROUND(W20*AA7,2)</f>
        <v>0</v>
      </c>
      <c r="AB20" s="718">
        <f>ROUND(X20*AB7,2)</f>
        <v>5894.46</v>
      </c>
      <c r="AC20" s="685">
        <f t="shared" si="8"/>
        <v>0.68875209487845668</v>
      </c>
      <c r="AD20" s="685">
        <f t="shared" si="9"/>
        <v>1.1304093802149329</v>
      </c>
      <c r="AE20" s="685">
        <f t="shared" si="10"/>
        <v>1.0201273216547637</v>
      </c>
      <c r="AF20" s="685">
        <f t="shared" si="11"/>
        <v>1.0296001869328972</v>
      </c>
      <c r="AG20" s="685">
        <f t="shared" si="12"/>
        <v>1.0295997303369369</v>
      </c>
      <c r="AH20" s="686">
        <f t="shared" si="13"/>
        <v>1.0296001342027328</v>
      </c>
      <c r="AI20" s="1069"/>
      <c r="AJ20" s="41"/>
      <c r="AK20" s="42"/>
    </row>
    <row r="21" spans="1:37" s="36" customFormat="1" ht="18.75">
      <c r="A21" s="43">
        <v>1</v>
      </c>
      <c r="B21" s="44" t="s">
        <v>237</v>
      </c>
      <c r="C21" s="655" t="s">
        <v>0</v>
      </c>
      <c r="D21" s="436"/>
      <c r="E21" s="111"/>
      <c r="F21" s="111"/>
      <c r="G21" s="437"/>
      <c r="H21" s="478"/>
      <c r="I21" s="436"/>
      <c r="J21" s="111"/>
      <c r="K21" s="111"/>
      <c r="L21" s="437"/>
      <c r="M21" s="436"/>
      <c r="N21" s="111"/>
      <c r="O21" s="111"/>
      <c r="P21" s="437"/>
      <c r="Q21" s="436"/>
      <c r="R21" s="111"/>
      <c r="S21" s="111"/>
      <c r="T21" s="437"/>
      <c r="U21" s="436"/>
      <c r="V21" s="111"/>
      <c r="W21" s="111"/>
      <c r="X21" s="437"/>
      <c r="Y21" s="436"/>
      <c r="Z21" s="111"/>
      <c r="AA21" s="111"/>
      <c r="AB21" s="437"/>
      <c r="AC21" s="633" t="str">
        <f t="shared" si="8"/>
        <v xml:space="preserve"> </v>
      </c>
      <c r="AD21" s="615" t="str">
        <f t="shared" si="9"/>
        <v xml:space="preserve"> </v>
      </c>
      <c r="AE21" s="615" t="str">
        <f t="shared" si="10"/>
        <v xml:space="preserve"> </v>
      </c>
      <c r="AF21" s="615" t="str">
        <f t="shared" si="11"/>
        <v xml:space="preserve"> </v>
      </c>
      <c r="AG21" s="615" t="str">
        <f t="shared" si="12"/>
        <v xml:space="preserve"> </v>
      </c>
      <c r="AH21" s="176" t="str">
        <f t="shared" si="13"/>
        <v xml:space="preserve"> </v>
      </c>
      <c r="AI21" s="1070"/>
      <c r="AJ21" s="45"/>
      <c r="AK21" s="46"/>
    </row>
    <row r="22" spans="1:37" s="31" customFormat="1" ht="18.75">
      <c r="A22" s="56"/>
      <c r="B22" s="172" t="s">
        <v>226</v>
      </c>
      <c r="C22" s="656" t="s">
        <v>0</v>
      </c>
      <c r="D22" s="438">
        <f t="shared" ref="D22:D24" si="26">E22+F22+G22</f>
        <v>0</v>
      </c>
      <c r="E22" s="100"/>
      <c r="F22" s="100"/>
      <c r="G22" s="439"/>
      <c r="H22" s="479"/>
      <c r="I22" s="438">
        <f t="shared" ref="I22:I24" si="27">J22+K22+L22</f>
        <v>0</v>
      </c>
      <c r="J22" s="100"/>
      <c r="K22" s="100"/>
      <c r="L22" s="439"/>
      <c r="M22" s="438">
        <f t="shared" ref="M22:M24" si="28">N22+O22+P22</f>
        <v>0</v>
      </c>
      <c r="N22" s="100"/>
      <c r="O22" s="100"/>
      <c r="P22" s="439"/>
      <c r="Q22" s="438">
        <f t="shared" ref="Q22:Q24" si="29">R22+S22+T22</f>
        <v>0</v>
      </c>
      <c r="R22" s="100"/>
      <c r="S22" s="100"/>
      <c r="T22" s="439"/>
      <c r="U22" s="438">
        <f t="shared" ref="U22:U24" si="30">V22+W22+X22</f>
        <v>0</v>
      </c>
      <c r="V22" s="100"/>
      <c r="W22" s="100"/>
      <c r="X22" s="439"/>
      <c r="Y22" s="438">
        <f t="shared" ref="Y22:Y24" si="31">Z22+AA22+AB22</f>
        <v>0</v>
      </c>
      <c r="Z22" s="100"/>
      <c r="AA22" s="100"/>
      <c r="AB22" s="439"/>
      <c r="AC22" s="633" t="str">
        <f t="shared" si="8"/>
        <v xml:space="preserve"> </v>
      </c>
      <c r="AD22" s="615" t="str">
        <f t="shared" si="9"/>
        <v xml:space="preserve"> </v>
      </c>
      <c r="AE22" s="615" t="str">
        <f t="shared" si="10"/>
        <v xml:space="preserve"> </v>
      </c>
      <c r="AF22" s="615" t="str">
        <f t="shared" si="11"/>
        <v xml:space="preserve"> </v>
      </c>
      <c r="AG22" s="615" t="str">
        <f t="shared" si="12"/>
        <v xml:space="preserve"> </v>
      </c>
      <c r="AH22" s="176" t="str">
        <f t="shared" si="13"/>
        <v xml:space="preserve"> </v>
      </c>
      <c r="AI22" s="1070"/>
      <c r="AJ22" s="173"/>
      <c r="AK22" s="58"/>
    </row>
    <row r="23" spans="1:37" s="31" customFormat="1" ht="18.75">
      <c r="A23" s="56"/>
      <c r="B23" s="172" t="s">
        <v>227</v>
      </c>
      <c r="C23" s="656" t="s">
        <v>0</v>
      </c>
      <c r="D23" s="438">
        <f t="shared" si="26"/>
        <v>0</v>
      </c>
      <c r="E23" s="100"/>
      <c r="F23" s="100"/>
      <c r="G23" s="439"/>
      <c r="H23" s="479"/>
      <c r="I23" s="438">
        <f t="shared" si="27"/>
        <v>0</v>
      </c>
      <c r="J23" s="100"/>
      <c r="K23" s="100"/>
      <c r="L23" s="439"/>
      <c r="M23" s="438">
        <f t="shared" si="28"/>
        <v>0</v>
      </c>
      <c r="N23" s="100"/>
      <c r="O23" s="100"/>
      <c r="P23" s="439"/>
      <c r="Q23" s="438">
        <f t="shared" si="29"/>
        <v>0</v>
      </c>
      <c r="R23" s="100"/>
      <c r="S23" s="100"/>
      <c r="T23" s="439"/>
      <c r="U23" s="438">
        <f t="shared" si="30"/>
        <v>0</v>
      </c>
      <c r="V23" s="100"/>
      <c r="W23" s="100"/>
      <c r="X23" s="439"/>
      <c r="Y23" s="438">
        <f t="shared" si="31"/>
        <v>0</v>
      </c>
      <c r="Z23" s="100"/>
      <c r="AA23" s="100"/>
      <c r="AB23" s="439"/>
      <c r="AC23" s="633" t="str">
        <f t="shared" si="8"/>
        <v xml:space="preserve"> </v>
      </c>
      <c r="AD23" s="615" t="str">
        <f t="shared" si="9"/>
        <v xml:space="preserve"> </v>
      </c>
      <c r="AE23" s="615" t="str">
        <f t="shared" si="10"/>
        <v xml:space="preserve"> </v>
      </c>
      <c r="AF23" s="615" t="str">
        <f t="shared" si="11"/>
        <v xml:space="preserve"> </v>
      </c>
      <c r="AG23" s="615" t="str">
        <f t="shared" si="12"/>
        <v xml:space="preserve"> </v>
      </c>
      <c r="AH23" s="176" t="str">
        <f t="shared" si="13"/>
        <v xml:space="preserve"> </v>
      </c>
      <c r="AI23" s="1070"/>
      <c r="AJ23" s="173"/>
      <c r="AK23" s="58"/>
    </row>
    <row r="24" spans="1:37" s="31" customFormat="1" ht="18.75">
      <c r="A24" s="56"/>
      <c r="B24" s="172" t="s">
        <v>228</v>
      </c>
      <c r="C24" s="656" t="s">
        <v>0</v>
      </c>
      <c r="D24" s="438">
        <f t="shared" si="26"/>
        <v>0</v>
      </c>
      <c r="E24" s="100"/>
      <c r="F24" s="100"/>
      <c r="G24" s="439"/>
      <c r="H24" s="479"/>
      <c r="I24" s="438">
        <f t="shared" si="27"/>
        <v>0</v>
      </c>
      <c r="J24" s="100"/>
      <c r="K24" s="100"/>
      <c r="L24" s="439"/>
      <c r="M24" s="438">
        <f t="shared" si="28"/>
        <v>0</v>
      </c>
      <c r="N24" s="100"/>
      <c r="O24" s="100"/>
      <c r="P24" s="439"/>
      <c r="Q24" s="438">
        <f t="shared" si="29"/>
        <v>0</v>
      </c>
      <c r="R24" s="100"/>
      <c r="S24" s="100"/>
      <c r="T24" s="439"/>
      <c r="U24" s="438">
        <f t="shared" si="30"/>
        <v>0</v>
      </c>
      <c r="V24" s="100"/>
      <c r="W24" s="100"/>
      <c r="X24" s="439"/>
      <c r="Y24" s="438">
        <f t="shared" si="31"/>
        <v>0</v>
      </c>
      <c r="Z24" s="100"/>
      <c r="AA24" s="100"/>
      <c r="AB24" s="439"/>
      <c r="AC24" s="633" t="str">
        <f t="shared" si="8"/>
        <v xml:space="preserve"> </v>
      </c>
      <c r="AD24" s="615" t="str">
        <f t="shared" si="9"/>
        <v xml:space="preserve"> </v>
      </c>
      <c r="AE24" s="615" t="str">
        <f t="shared" si="10"/>
        <v xml:space="preserve"> </v>
      </c>
      <c r="AF24" s="615" t="str">
        <f t="shared" si="11"/>
        <v xml:space="preserve"> </v>
      </c>
      <c r="AG24" s="615" t="str">
        <f t="shared" si="12"/>
        <v xml:space="preserve"> </v>
      </c>
      <c r="AH24" s="176" t="str">
        <f t="shared" si="13"/>
        <v xml:space="preserve"> </v>
      </c>
      <c r="AI24" s="1070"/>
      <c r="AJ24" s="173"/>
      <c r="AK24" s="58"/>
    </row>
    <row r="25" spans="1:37" s="36" customFormat="1" ht="18.75">
      <c r="A25" s="43">
        <v>2</v>
      </c>
      <c r="B25" s="44" t="s">
        <v>238</v>
      </c>
      <c r="C25" s="655" t="s">
        <v>0</v>
      </c>
      <c r="D25" s="436">
        <f>D26+D27</f>
        <v>2337.14</v>
      </c>
      <c r="E25" s="111">
        <f t="shared" ref="E25:G25" si="32">E26+E27</f>
        <v>573.79</v>
      </c>
      <c r="F25" s="111">
        <f t="shared" si="32"/>
        <v>0</v>
      </c>
      <c r="G25" s="437">
        <f t="shared" si="32"/>
        <v>1763.35</v>
      </c>
      <c r="H25" s="478">
        <f t="shared" ref="H25" si="33">H26+H27</f>
        <v>2720.45</v>
      </c>
      <c r="I25" s="436">
        <f>I26+I27</f>
        <v>2720.45</v>
      </c>
      <c r="J25" s="111">
        <f t="shared" ref="J25" si="34">J26+J27</f>
        <v>424.12</v>
      </c>
      <c r="K25" s="111">
        <f t="shared" ref="K25" si="35">K26+K27</f>
        <v>0</v>
      </c>
      <c r="L25" s="437">
        <f t="shared" ref="L25" si="36">L26+L27</f>
        <v>2296.33</v>
      </c>
      <c r="M25" s="436">
        <f>M26+M27</f>
        <v>2784.8128807425473</v>
      </c>
      <c r="N25" s="111">
        <f t="shared" ref="N25:P25" si="37">N26+N27</f>
        <v>434.15335466748218</v>
      </c>
      <c r="O25" s="111">
        <f t="shared" si="37"/>
        <v>0</v>
      </c>
      <c r="P25" s="437">
        <f t="shared" si="37"/>
        <v>2350.6595260750651</v>
      </c>
      <c r="Q25" s="436">
        <f>Q26+Q27</f>
        <v>2867.2437568177029</v>
      </c>
      <c r="R25" s="111">
        <f t="shared" ref="R25:T25" si="38">R26+R27</f>
        <v>447.00308959250322</v>
      </c>
      <c r="S25" s="111">
        <f t="shared" si="38"/>
        <v>0</v>
      </c>
      <c r="T25" s="437">
        <f t="shared" si="38"/>
        <v>2420.2406672251996</v>
      </c>
      <c r="U25" s="436">
        <f>U26+U27</f>
        <v>2952.113267581216</v>
      </c>
      <c r="V25" s="111">
        <f t="shared" ref="V25:X25" si="39">V26+V27</f>
        <v>460.23266527594222</v>
      </c>
      <c r="W25" s="111">
        <f t="shared" si="39"/>
        <v>0</v>
      </c>
      <c r="X25" s="437">
        <f t="shared" si="39"/>
        <v>2491.8806023052739</v>
      </c>
      <c r="Y25" s="436">
        <f>Y26+Y27</f>
        <v>3039.4962464644218</v>
      </c>
      <c r="Z25" s="111">
        <f t="shared" ref="Z25:AB25" si="40">Z26+Z27</f>
        <v>473.85597833091231</v>
      </c>
      <c r="AA25" s="111">
        <f t="shared" si="40"/>
        <v>0</v>
      </c>
      <c r="AB25" s="437">
        <f t="shared" si="40"/>
        <v>2565.6402681335098</v>
      </c>
      <c r="AC25" s="633">
        <f t="shared" si="8"/>
        <v>1</v>
      </c>
      <c r="AD25" s="615">
        <f t="shared" si="9"/>
        <v>1.1640081467092258</v>
      </c>
      <c r="AE25" s="615">
        <f t="shared" si="10"/>
        <v>1.0236589096445616</v>
      </c>
      <c r="AF25" s="615">
        <f t="shared" si="11"/>
        <v>1.0296001489526205</v>
      </c>
      <c r="AG25" s="615">
        <f t="shared" si="12"/>
        <v>1.0295996845617716</v>
      </c>
      <c r="AH25" s="176">
        <f t="shared" si="13"/>
        <v>1.0296001443585538</v>
      </c>
      <c r="AI25" s="1070" t="s">
        <v>512</v>
      </c>
      <c r="AJ25" s="47"/>
      <c r="AK25" s="46"/>
    </row>
    <row r="26" spans="1:37" s="31" customFormat="1" ht="18.75">
      <c r="A26" s="56"/>
      <c r="B26" s="172" t="s">
        <v>225</v>
      </c>
      <c r="C26" s="656" t="s">
        <v>0</v>
      </c>
      <c r="D26" s="438">
        <f>E26+F26+G26</f>
        <v>0</v>
      </c>
      <c r="E26" s="100"/>
      <c r="F26" s="100"/>
      <c r="G26" s="439"/>
      <c r="H26" s="479">
        <v>1903.71</v>
      </c>
      <c r="I26" s="438">
        <f>J26+K26+L26</f>
        <v>1903.71</v>
      </c>
      <c r="J26" s="100">
        <f>ROUND($J$137*1903.71,2)</f>
        <v>296.79000000000002</v>
      </c>
      <c r="K26" s="100"/>
      <c r="L26" s="439">
        <f>1903.71-J26</f>
        <v>1606.92</v>
      </c>
      <c r="M26" s="438">
        <f>N26+O26+P26</f>
        <v>1948.7497028786777</v>
      </c>
      <c r="N26" s="620">
        <f>IF($N$20&gt;0,J26/$J$20*$N$20,0)</f>
        <v>303.81112452080083</v>
      </c>
      <c r="O26" s="100"/>
      <c r="P26" s="642">
        <f>IF($P$20&gt;0,L26/$L$20*$P$20,0)</f>
        <v>1644.9385783578768</v>
      </c>
      <c r="Q26" s="438">
        <f>R26+S26+T26</f>
        <v>2006.4329843541275</v>
      </c>
      <c r="R26" s="620">
        <f>IF($R$20&gt;0,N26/$N$20*$R$20,0)</f>
        <v>312.8030910123527</v>
      </c>
      <c r="S26" s="100"/>
      <c r="T26" s="642">
        <f>IF($T$20&gt;0,P26/$P$20*$T$20,0)</f>
        <v>1693.6298933417747</v>
      </c>
      <c r="U26" s="438">
        <f>V26+W26+X26</f>
        <v>2065.8227677839368</v>
      </c>
      <c r="V26" s="620">
        <f>IF($V$20&gt;0,R26/$R$20*$V$20,0)</f>
        <v>322.06086184864398</v>
      </c>
      <c r="W26" s="100"/>
      <c r="X26" s="642">
        <f>IF($X$20&gt;0,T26/$T$20*$X$20,0)</f>
        <v>1743.7619059352926</v>
      </c>
      <c r="Y26" s="438">
        <f>Z26+AA26+AB26</f>
        <v>2126.9714199298496</v>
      </c>
      <c r="Z26" s="620">
        <f>IF($Z$20&gt;0,V26/$V$20*$Z$20,0)</f>
        <v>331.59416157887262</v>
      </c>
      <c r="AA26" s="100"/>
      <c r="AB26" s="642">
        <f>IF($AB$20&gt;0,X26/$X$20*$AB$20,0)</f>
        <v>1795.3772583509772</v>
      </c>
      <c r="AC26" s="633">
        <f t="shared" si="8"/>
        <v>1</v>
      </c>
      <c r="AD26" s="615" t="str">
        <f t="shared" si="9"/>
        <v xml:space="preserve"> </v>
      </c>
      <c r="AE26" s="615">
        <f t="shared" si="10"/>
        <v>1.0236589096441568</v>
      </c>
      <c r="AF26" s="615">
        <f t="shared" si="11"/>
        <v>1.0296001489520386</v>
      </c>
      <c r="AG26" s="615">
        <f t="shared" si="12"/>
        <v>1.0295996845610704</v>
      </c>
      <c r="AH26" s="176">
        <f t="shared" si="13"/>
        <v>1.0296001443587093</v>
      </c>
      <c r="AI26" s="1070"/>
      <c r="AJ26" s="61"/>
      <c r="AK26" s="58"/>
    </row>
    <row r="27" spans="1:37" s="31" customFormat="1" ht="18.75">
      <c r="A27" s="56"/>
      <c r="B27" s="172" t="s">
        <v>177</v>
      </c>
      <c r="C27" s="656" t="s">
        <v>0</v>
      </c>
      <c r="D27" s="438">
        <f>E27+F27+G27</f>
        <v>2337.14</v>
      </c>
      <c r="E27" s="100">
        <v>573.79</v>
      </c>
      <c r="F27" s="100"/>
      <c r="G27" s="439">
        <v>1763.35</v>
      </c>
      <c r="H27" s="479">
        <v>816.74</v>
      </c>
      <c r="I27" s="438">
        <f>J27+K27+L27</f>
        <v>816.74</v>
      </c>
      <c r="J27" s="100">
        <f>ROUND(J137*816.74,2)</f>
        <v>127.33</v>
      </c>
      <c r="K27" s="100"/>
      <c r="L27" s="439">
        <f>816.74-J27</f>
        <v>689.41</v>
      </c>
      <c r="M27" s="438">
        <f>N27+O27+P27</f>
        <v>836.06317786386944</v>
      </c>
      <c r="N27" s="620">
        <f>IF($N$20&gt;0,J27/$J$20*$N$20,0)</f>
        <v>130.34223014668137</v>
      </c>
      <c r="O27" s="100"/>
      <c r="P27" s="642">
        <f>IF($P$20&gt;0,L27/$L$20*$P$20,0)</f>
        <v>705.7209477171881</v>
      </c>
      <c r="Q27" s="438">
        <f>R27+S27+T27</f>
        <v>860.81077246357518</v>
      </c>
      <c r="R27" s="620">
        <f>IF($R$20&gt;0,N27/$N$20*$R$20,0)</f>
        <v>134.19999858015052</v>
      </c>
      <c r="S27" s="100"/>
      <c r="T27" s="642">
        <f>IF($T$20&gt;0,P27/$P$20*$T$20,0)</f>
        <v>726.61077388342471</v>
      </c>
      <c r="U27" s="438">
        <f>V27+W27+X27</f>
        <v>886.29049979727938</v>
      </c>
      <c r="V27" s="620">
        <f>IF($V$20&gt;0,R27/$R$20*$V$20,0)</f>
        <v>138.17180342729824</v>
      </c>
      <c r="W27" s="100"/>
      <c r="X27" s="642">
        <f>IF($X$20&gt;0,T27/$T$20*$X$20,0)</f>
        <v>748.11869636998108</v>
      </c>
      <c r="Y27" s="438">
        <f>Z27+AA27+AB27</f>
        <v>912.52482653457218</v>
      </c>
      <c r="Z27" s="620">
        <f>IF($Z$20&gt;0,V27/$V$20*$Z$20,0)</f>
        <v>142.26181675203969</v>
      </c>
      <c r="AA27" s="100"/>
      <c r="AB27" s="642">
        <f>IF($AB$20&gt;0,X27/$X$20*$AB$20,0)</f>
        <v>770.26300978253255</v>
      </c>
      <c r="AC27" s="633">
        <f t="shared" si="8"/>
        <v>1</v>
      </c>
      <c r="AD27" s="615">
        <f t="shared" si="9"/>
        <v>0.34946130740991127</v>
      </c>
      <c r="AE27" s="615">
        <f t="shared" si="10"/>
        <v>1.0236589096455047</v>
      </c>
      <c r="AF27" s="615">
        <f t="shared" si="11"/>
        <v>1.0296001489539768</v>
      </c>
      <c r="AG27" s="615">
        <f t="shared" si="12"/>
        <v>1.0295996845634066</v>
      </c>
      <c r="AH27" s="176">
        <f t="shared" si="13"/>
        <v>1.029600144358191</v>
      </c>
      <c r="AI27" s="1070"/>
      <c r="AJ27" s="61"/>
      <c r="AK27" s="58"/>
    </row>
    <row r="28" spans="1:37" s="36" customFormat="1" ht="18.75">
      <c r="A28" s="43">
        <v>3</v>
      </c>
      <c r="B28" s="44" t="s">
        <v>239</v>
      </c>
      <c r="C28" s="655" t="s">
        <v>0</v>
      </c>
      <c r="D28" s="436">
        <f>D30+D31+D32</f>
        <v>2382.9299999999998</v>
      </c>
      <c r="E28" s="111">
        <f t="shared" ref="E28:G28" si="41">E30+E31+E32</f>
        <v>585.03</v>
      </c>
      <c r="F28" s="111">
        <f t="shared" si="41"/>
        <v>0</v>
      </c>
      <c r="G28" s="437">
        <f t="shared" si="41"/>
        <v>1797.9</v>
      </c>
      <c r="H28" s="478">
        <f t="shared" ref="H28" si="42">H30+H31+H32</f>
        <v>2599.65</v>
      </c>
      <c r="I28" s="436">
        <f>I30+I31+I32</f>
        <v>2492.54</v>
      </c>
      <c r="J28" s="111">
        <f t="shared" ref="J28:L28" si="43">J30+J31+J32</f>
        <v>388.59000000000003</v>
      </c>
      <c r="K28" s="111">
        <f t="shared" si="43"/>
        <v>0</v>
      </c>
      <c r="L28" s="437">
        <f t="shared" si="43"/>
        <v>2103.9499999999998</v>
      </c>
      <c r="M28" s="436">
        <f>M30+M31+M32</f>
        <v>2551.5107786422677</v>
      </c>
      <c r="N28" s="111">
        <f t="shared" ref="N28:P28" si="44">N30+N31+N32</f>
        <v>397.7828258281545</v>
      </c>
      <c r="O28" s="111">
        <f t="shared" si="44"/>
        <v>0</v>
      </c>
      <c r="P28" s="437">
        <f t="shared" si="44"/>
        <v>2153.727952814113</v>
      </c>
      <c r="Q28" s="436">
        <f>Q30+Q31+Q32</f>
        <v>2627.0358777396036</v>
      </c>
      <c r="R28" s="111">
        <f t="shared" ref="R28:T28" si="45">R30+R31+R32</f>
        <v>409.55609399403664</v>
      </c>
      <c r="S28" s="111">
        <f t="shared" si="45"/>
        <v>0</v>
      </c>
      <c r="T28" s="437">
        <f t="shared" si="45"/>
        <v>2217.4797837455671</v>
      </c>
      <c r="U28" s="436">
        <f>U30+U31+U32</f>
        <v>2704.7953110473309</v>
      </c>
      <c r="V28" s="111">
        <f t="shared" ref="V28:X28" si="46">V30+V31+V32</f>
        <v>421.67738234362542</v>
      </c>
      <c r="W28" s="111">
        <f t="shared" si="46"/>
        <v>0</v>
      </c>
      <c r="X28" s="437">
        <f t="shared" si="46"/>
        <v>2283.1179287037053</v>
      </c>
      <c r="Y28" s="436">
        <f>Y30+Y31+Y32</f>
        <v>2784.857642716001</v>
      </c>
      <c r="Z28" s="111">
        <f t="shared" ref="Z28:AB28" si="47">Z30+Z31+Z32</f>
        <v>434.15942332266627</v>
      </c>
      <c r="AA28" s="111">
        <f t="shared" si="47"/>
        <v>0</v>
      </c>
      <c r="AB28" s="437">
        <f t="shared" si="47"/>
        <v>2350.698219393335</v>
      </c>
      <c r="AC28" s="633">
        <f t="shared" si="8"/>
        <v>0.95879829977112296</v>
      </c>
      <c r="AD28" s="615">
        <f t="shared" si="9"/>
        <v>1.0459979940661288</v>
      </c>
      <c r="AE28" s="615">
        <f t="shared" si="10"/>
        <v>1.0236589096432827</v>
      </c>
      <c r="AF28" s="615">
        <f t="shared" si="11"/>
        <v>1.0296001489507816</v>
      </c>
      <c r="AG28" s="615">
        <f t="shared" si="12"/>
        <v>1.0295996845595554</v>
      </c>
      <c r="AH28" s="176">
        <f t="shared" si="13"/>
        <v>1.0296001443590455</v>
      </c>
      <c r="AI28" s="1070"/>
      <c r="AJ28" s="47"/>
      <c r="AK28" s="46"/>
    </row>
    <row r="29" spans="1:37" s="52" customFormat="1" ht="18.75" outlineLevel="1">
      <c r="A29" s="48"/>
      <c r="B29" s="49" t="s">
        <v>19</v>
      </c>
      <c r="C29" s="657"/>
      <c r="D29" s="440"/>
      <c r="E29" s="110"/>
      <c r="F29" s="110"/>
      <c r="G29" s="441"/>
      <c r="H29" s="480"/>
      <c r="I29" s="440"/>
      <c r="J29" s="110"/>
      <c r="K29" s="110"/>
      <c r="L29" s="441"/>
      <c r="M29" s="440"/>
      <c r="N29" s="110"/>
      <c r="O29" s="110"/>
      <c r="P29" s="441"/>
      <c r="Q29" s="440"/>
      <c r="R29" s="110"/>
      <c r="S29" s="110"/>
      <c r="T29" s="441"/>
      <c r="U29" s="440"/>
      <c r="V29" s="110"/>
      <c r="W29" s="110"/>
      <c r="X29" s="441"/>
      <c r="Y29" s="440"/>
      <c r="Z29" s="110"/>
      <c r="AA29" s="110"/>
      <c r="AB29" s="441"/>
      <c r="AC29" s="633" t="str">
        <f t="shared" si="8"/>
        <v xml:space="preserve"> </v>
      </c>
      <c r="AD29" s="615" t="str">
        <f t="shared" si="9"/>
        <v xml:space="preserve"> </v>
      </c>
      <c r="AE29" s="615" t="str">
        <f t="shared" si="10"/>
        <v xml:space="preserve"> </v>
      </c>
      <c r="AF29" s="615" t="str">
        <f t="shared" si="11"/>
        <v xml:space="preserve"> </v>
      </c>
      <c r="AG29" s="615" t="str">
        <f t="shared" si="12"/>
        <v xml:space="preserve"> </v>
      </c>
      <c r="AH29" s="176" t="str">
        <f t="shared" si="13"/>
        <v xml:space="preserve"> </v>
      </c>
      <c r="AI29" s="1070"/>
      <c r="AJ29" s="50"/>
      <c r="AK29" s="51"/>
    </row>
    <row r="30" spans="1:37" s="52" customFormat="1" ht="18.75" outlineLevel="1">
      <c r="A30" s="48"/>
      <c r="B30" s="53" t="s">
        <v>94</v>
      </c>
      <c r="C30" s="657" t="s">
        <v>0</v>
      </c>
      <c r="D30" s="438">
        <f t="shared" ref="D30:D36" si="48">E30+F30+G30</f>
        <v>1793.52</v>
      </c>
      <c r="E30" s="102">
        <v>440.33</v>
      </c>
      <c r="F30" s="102"/>
      <c r="G30" s="442">
        <v>1353.19</v>
      </c>
      <c r="H30" s="481">
        <v>1692</v>
      </c>
      <c r="I30" s="438">
        <f t="shared" ref="I30:I32" si="49">J30+K30+L30</f>
        <v>1876.02</v>
      </c>
      <c r="J30" s="102">
        <f>ROUND(D30*индексы!$H$8*J137,2)</f>
        <v>292.47000000000003</v>
      </c>
      <c r="K30" s="102"/>
      <c r="L30" s="442">
        <f>ROUND(D30*индексы!$H$8-J30,2)</f>
        <v>1583.55</v>
      </c>
      <c r="M30" s="601">
        <f t="shared" ref="M30:M32" si="50">N30+O30+P30</f>
        <v>1920.4045876781092</v>
      </c>
      <c r="N30" s="621">
        <f>IF($N$20&gt;0,J30/$J$20*$N$20,0)</f>
        <v>299.38892681221944</v>
      </c>
      <c r="O30" s="102"/>
      <c r="P30" s="642">
        <f t="shared" ref="P30:P32" si="51">IF($P$20&gt;0,L30/$L$20*$P$20,0)</f>
        <v>1621.0156608658897</v>
      </c>
      <c r="Q30" s="601">
        <f t="shared" ref="Q30:Q32" si="52">R30+S30+T30</f>
        <v>1977.2488495325681</v>
      </c>
      <c r="R30" s="620">
        <f>IF($R$20&gt;0,N30/$N$20*$R$20,0)</f>
        <v>308.25000851909698</v>
      </c>
      <c r="S30" s="100"/>
      <c r="T30" s="642">
        <f>IF($T$20&gt;0,P30/$P$20*$T$20,0)</f>
        <v>1668.9988410134711</v>
      </c>
      <c r="U30" s="601">
        <f t="shared" ref="U30:U32" si="53">V30+W30+X30</f>
        <v>2035.774791791132</v>
      </c>
      <c r="V30" s="620">
        <f>IF($V$20&gt;0,R30/$R$20*$V$20,0)</f>
        <v>317.37302559005667</v>
      </c>
      <c r="W30" s="100"/>
      <c r="X30" s="642">
        <f>IF($X$20&gt;0,T30/$T$20*$X$20,0)</f>
        <v>1718.4017662010754</v>
      </c>
      <c r="Y30" s="601">
        <f t="shared" ref="Y30:Y32" si="54">Z30+AA30+AB30</f>
        <v>2096.0340195068507</v>
      </c>
      <c r="Z30" s="620">
        <f>IF($Z$20&gt;0,V30/$V$20*$Z$20,0)</f>
        <v>326.76756102622352</v>
      </c>
      <c r="AA30" s="100"/>
      <c r="AB30" s="642">
        <f>IF($AB$20&gt;0,X30/$X$20*$AB$20,0)</f>
        <v>1769.2664584806273</v>
      </c>
      <c r="AC30" s="633">
        <f t="shared" si="8"/>
        <v>1.108758865248227</v>
      </c>
      <c r="AD30" s="615">
        <f t="shared" si="9"/>
        <v>1.0459989294794594</v>
      </c>
      <c r="AE30" s="615">
        <f t="shared" si="10"/>
        <v>1.023658909648143</v>
      </c>
      <c r="AF30" s="615">
        <f t="shared" si="11"/>
        <v>1.0296001489577711</v>
      </c>
      <c r="AG30" s="615">
        <f t="shared" si="12"/>
        <v>1.0295996845679793</v>
      </c>
      <c r="AH30" s="176">
        <f t="shared" si="13"/>
        <v>1.0296001443571767</v>
      </c>
      <c r="AI30" s="1071"/>
      <c r="AJ30" s="50"/>
      <c r="AK30" s="54"/>
    </row>
    <row r="31" spans="1:37" s="52" customFormat="1" ht="18.75" outlineLevel="1">
      <c r="A31" s="48"/>
      <c r="B31" s="53" t="s">
        <v>95</v>
      </c>
      <c r="C31" s="657" t="s">
        <v>0</v>
      </c>
      <c r="D31" s="438">
        <f t="shared" si="48"/>
        <v>0</v>
      </c>
      <c r="E31" s="102"/>
      <c r="F31" s="102"/>
      <c r="G31" s="442"/>
      <c r="H31" s="481"/>
      <c r="I31" s="438">
        <f t="shared" si="49"/>
        <v>0</v>
      </c>
      <c r="J31" s="102"/>
      <c r="K31" s="102"/>
      <c r="L31" s="442"/>
      <c r="M31" s="601">
        <f t="shared" si="50"/>
        <v>0</v>
      </c>
      <c r="N31" s="102"/>
      <c r="O31" s="102"/>
      <c r="P31" s="642"/>
      <c r="Q31" s="601">
        <f t="shared" si="52"/>
        <v>0</v>
      </c>
      <c r="R31" s="102"/>
      <c r="S31" s="102"/>
      <c r="T31" s="642"/>
      <c r="U31" s="601">
        <f t="shared" si="53"/>
        <v>0</v>
      </c>
      <c r="V31" s="102"/>
      <c r="W31" s="102"/>
      <c r="X31" s="642"/>
      <c r="Y31" s="601">
        <f t="shared" si="54"/>
        <v>0</v>
      </c>
      <c r="Z31" s="102"/>
      <c r="AA31" s="102"/>
      <c r="AB31" s="642"/>
      <c r="AC31" s="633" t="str">
        <f t="shared" si="8"/>
        <v xml:space="preserve"> </v>
      </c>
      <c r="AD31" s="615" t="str">
        <f t="shared" si="9"/>
        <v xml:space="preserve"> </v>
      </c>
      <c r="AE31" s="615" t="str">
        <f t="shared" si="10"/>
        <v xml:space="preserve"> </v>
      </c>
      <c r="AF31" s="615" t="str">
        <f t="shared" si="11"/>
        <v xml:space="preserve"> </v>
      </c>
      <c r="AG31" s="615" t="str">
        <f t="shared" si="12"/>
        <v xml:space="preserve"> </v>
      </c>
      <c r="AH31" s="176" t="str">
        <f t="shared" si="13"/>
        <v xml:space="preserve"> </v>
      </c>
      <c r="AI31" s="1071"/>
      <c r="AJ31" s="50"/>
      <c r="AK31" s="54"/>
    </row>
    <row r="32" spans="1:37" s="52" customFormat="1" ht="18.75" outlineLevel="1">
      <c r="A32" s="48"/>
      <c r="B32" s="53" t="s">
        <v>247</v>
      </c>
      <c r="C32" s="657" t="s">
        <v>0</v>
      </c>
      <c r="D32" s="438">
        <f t="shared" si="48"/>
        <v>589.41</v>
      </c>
      <c r="E32" s="102">
        <v>144.69999999999999</v>
      </c>
      <c r="F32" s="102"/>
      <c r="G32" s="442">
        <v>444.71</v>
      </c>
      <c r="H32" s="481">
        <v>907.65</v>
      </c>
      <c r="I32" s="438">
        <f t="shared" si="49"/>
        <v>616.52</v>
      </c>
      <c r="J32" s="102">
        <f>ROUND(D32*индексы!$H$8*J137,2)</f>
        <v>96.12</v>
      </c>
      <c r="K32" s="102"/>
      <c r="L32" s="442">
        <f>ROUND(D32*индексы!$H$8-J32,2)</f>
        <v>520.4</v>
      </c>
      <c r="M32" s="601">
        <f t="shared" si="50"/>
        <v>631.10619096415837</v>
      </c>
      <c r="N32" s="621">
        <f>IF($N$20&gt;0,J32/$J$20*$N$20,0)</f>
        <v>98.393899015935091</v>
      </c>
      <c r="O32" s="102"/>
      <c r="P32" s="642">
        <f t="shared" si="51"/>
        <v>532.71229194822331</v>
      </c>
      <c r="Q32" s="601">
        <f t="shared" si="52"/>
        <v>649.78702820703552</v>
      </c>
      <c r="R32" s="620">
        <f>IF($R$20&gt;0,N32/$N$20*$R$20,0)</f>
        <v>101.30608547493966</v>
      </c>
      <c r="S32" s="100"/>
      <c r="T32" s="642">
        <f>IF($T$20&gt;0,P32/$P$20*$T$20,0)</f>
        <v>548.48094273209585</v>
      </c>
      <c r="U32" s="601">
        <f t="shared" si="53"/>
        <v>669.02051925619867</v>
      </c>
      <c r="V32" s="620">
        <f>IF($V$20&gt;0,R32/$R$20*$V$20,0)</f>
        <v>104.30435675356874</v>
      </c>
      <c r="W32" s="100"/>
      <c r="X32" s="642">
        <f>IF($X$20&gt;0,T32/$T$20*$X$20,0)</f>
        <v>564.71616250262991</v>
      </c>
      <c r="Y32" s="601">
        <f t="shared" si="54"/>
        <v>688.82362320915047</v>
      </c>
      <c r="Z32" s="620">
        <f>IF($Z$20&gt;0,V32/$V$20*$Z$20,0)</f>
        <v>107.39186229644274</v>
      </c>
      <c r="AA32" s="100"/>
      <c r="AB32" s="642">
        <f>IF($AB$20&gt;0,X32/$X$20*$AB$20,0)</f>
        <v>581.43176091270777</v>
      </c>
      <c r="AC32" s="633">
        <f t="shared" si="8"/>
        <v>0.6792486090453369</v>
      </c>
      <c r="AD32" s="615">
        <f t="shared" si="9"/>
        <v>1.0459951476900631</v>
      </c>
      <c r="AE32" s="615">
        <f t="shared" si="10"/>
        <v>1.0236589096284927</v>
      </c>
      <c r="AF32" s="615">
        <f t="shared" si="11"/>
        <v>1.0296001489295137</v>
      </c>
      <c r="AG32" s="615">
        <f t="shared" si="12"/>
        <v>1.0295996845339224</v>
      </c>
      <c r="AH32" s="176">
        <f t="shared" si="13"/>
        <v>1.0296001443647325</v>
      </c>
      <c r="AI32" s="1071"/>
      <c r="AJ32" s="50"/>
      <c r="AK32" s="54"/>
    </row>
    <row r="33" spans="1:38" s="52" customFormat="1" ht="18.75" outlineLevel="1">
      <c r="A33" s="48"/>
      <c r="B33" s="49" t="s">
        <v>96</v>
      </c>
      <c r="C33" s="657" t="s">
        <v>74</v>
      </c>
      <c r="D33" s="440">
        <f>D34+D35+D36</f>
        <v>11</v>
      </c>
      <c r="E33" s="110">
        <f t="shared" ref="E33:G33" si="55">E34+E35+E36</f>
        <v>2.7</v>
      </c>
      <c r="F33" s="110">
        <f t="shared" si="55"/>
        <v>0</v>
      </c>
      <c r="G33" s="441">
        <f t="shared" si="55"/>
        <v>8.3000000000000007</v>
      </c>
      <c r="H33" s="480">
        <f t="shared" ref="H33" si="56">H34+H35+H36</f>
        <v>11</v>
      </c>
      <c r="I33" s="440">
        <f>I34+I35+I36</f>
        <v>11</v>
      </c>
      <c r="J33" s="110">
        <f t="shared" ref="J33" si="57">J34+J35+J36</f>
        <v>1.72</v>
      </c>
      <c r="K33" s="110">
        <f t="shared" ref="K33" si="58">K34+K35+K36</f>
        <v>0</v>
      </c>
      <c r="L33" s="441">
        <f t="shared" ref="L33" si="59">L34+L35+L36</f>
        <v>9.2800000000000011</v>
      </c>
      <c r="M33" s="440">
        <f>M34+M35+M36</f>
        <v>11</v>
      </c>
      <c r="N33" s="110">
        <f t="shared" ref="N33:P33" si="60">N34+N35+N36</f>
        <v>2.7</v>
      </c>
      <c r="O33" s="110">
        <f t="shared" si="60"/>
        <v>0</v>
      </c>
      <c r="P33" s="441">
        <f t="shared" si="60"/>
        <v>8.3000000000000007</v>
      </c>
      <c r="Q33" s="440">
        <f>Q34+Q35+Q36</f>
        <v>11</v>
      </c>
      <c r="R33" s="110">
        <f t="shared" ref="R33:T33" si="61">R34+R35+R36</f>
        <v>2.7</v>
      </c>
      <c r="S33" s="110">
        <f t="shared" si="61"/>
        <v>0</v>
      </c>
      <c r="T33" s="441">
        <f t="shared" si="61"/>
        <v>8.3000000000000007</v>
      </c>
      <c r="U33" s="440">
        <f>U34+U35+U36</f>
        <v>11</v>
      </c>
      <c r="V33" s="110">
        <f t="shared" ref="V33:X33" si="62">V34+V35+V36</f>
        <v>2.7</v>
      </c>
      <c r="W33" s="110">
        <f t="shared" si="62"/>
        <v>0</v>
      </c>
      <c r="X33" s="441">
        <f t="shared" si="62"/>
        <v>8.3000000000000007</v>
      </c>
      <c r="Y33" s="440">
        <f>Y34+Y35+Y36</f>
        <v>11</v>
      </c>
      <c r="Z33" s="110">
        <f t="shared" ref="Z33:AB33" si="63">Z34+Z35+Z36</f>
        <v>2.7</v>
      </c>
      <c r="AA33" s="110">
        <f t="shared" si="63"/>
        <v>0</v>
      </c>
      <c r="AB33" s="441">
        <f t="shared" si="63"/>
        <v>8.3000000000000007</v>
      </c>
      <c r="AC33" s="633">
        <f t="shared" si="8"/>
        <v>1</v>
      </c>
      <c r="AD33" s="615">
        <f t="shared" si="9"/>
        <v>1</v>
      </c>
      <c r="AE33" s="615">
        <f t="shared" si="10"/>
        <v>1</v>
      </c>
      <c r="AF33" s="615">
        <f t="shared" si="11"/>
        <v>1</v>
      </c>
      <c r="AG33" s="615">
        <f t="shared" si="12"/>
        <v>1</v>
      </c>
      <c r="AH33" s="176">
        <f t="shared" si="13"/>
        <v>1</v>
      </c>
      <c r="AI33" s="1071"/>
      <c r="AJ33" s="50"/>
      <c r="AK33" s="51"/>
    </row>
    <row r="34" spans="1:38" s="52" customFormat="1" ht="18.75" outlineLevel="1">
      <c r="A34" s="48"/>
      <c r="B34" s="53" t="s">
        <v>97</v>
      </c>
      <c r="C34" s="657" t="s">
        <v>74</v>
      </c>
      <c r="D34" s="438">
        <f t="shared" si="48"/>
        <v>6</v>
      </c>
      <c r="E34" s="102">
        <v>1.5</v>
      </c>
      <c r="F34" s="102"/>
      <c r="G34" s="442">
        <v>4.5</v>
      </c>
      <c r="H34" s="481">
        <v>6</v>
      </c>
      <c r="I34" s="438">
        <f t="shared" ref="I34:I36" si="64">J34+K34+L34</f>
        <v>6</v>
      </c>
      <c r="J34" s="102">
        <f>ROUND(D34*J137,2)</f>
        <v>0.94</v>
      </c>
      <c r="K34" s="102"/>
      <c r="L34" s="442">
        <f>D34-J34</f>
        <v>5.0600000000000005</v>
      </c>
      <c r="M34" s="601">
        <f t="shared" ref="M34:M36" si="65">N34+O34+P34</f>
        <v>6</v>
      </c>
      <c r="N34" s="102">
        <v>1.5</v>
      </c>
      <c r="O34" s="102"/>
      <c r="P34" s="442">
        <v>4.5</v>
      </c>
      <c r="Q34" s="601">
        <f t="shared" ref="Q34:Q36" si="66">R34+S34+T34</f>
        <v>6</v>
      </c>
      <c r="R34" s="102">
        <v>1.5</v>
      </c>
      <c r="S34" s="102"/>
      <c r="T34" s="442">
        <v>4.5</v>
      </c>
      <c r="U34" s="601">
        <f t="shared" ref="U34:U36" si="67">V34+W34+X34</f>
        <v>6</v>
      </c>
      <c r="V34" s="102">
        <v>1.5</v>
      </c>
      <c r="W34" s="102"/>
      <c r="X34" s="442">
        <v>4.5</v>
      </c>
      <c r="Y34" s="601">
        <f t="shared" ref="Y34:Y36" si="68">Z34+AA34+AB34</f>
        <v>6</v>
      </c>
      <c r="Z34" s="102">
        <v>1.5</v>
      </c>
      <c r="AA34" s="102"/>
      <c r="AB34" s="442">
        <v>4.5</v>
      </c>
      <c r="AC34" s="633">
        <f t="shared" si="8"/>
        <v>1</v>
      </c>
      <c r="AD34" s="615">
        <f t="shared" si="9"/>
        <v>1</v>
      </c>
      <c r="AE34" s="615">
        <f t="shared" si="10"/>
        <v>1</v>
      </c>
      <c r="AF34" s="615">
        <f t="shared" si="11"/>
        <v>1</v>
      </c>
      <c r="AG34" s="615">
        <f t="shared" si="12"/>
        <v>1</v>
      </c>
      <c r="AH34" s="176">
        <f t="shared" si="13"/>
        <v>1</v>
      </c>
      <c r="AI34" s="1071"/>
      <c r="AJ34" s="50"/>
      <c r="AK34" s="54"/>
    </row>
    <row r="35" spans="1:38" s="52" customFormat="1" ht="18.75" outlineLevel="1">
      <c r="A35" s="48"/>
      <c r="B35" s="53" t="s">
        <v>98</v>
      </c>
      <c r="C35" s="657" t="s">
        <v>74</v>
      </c>
      <c r="D35" s="438">
        <f t="shared" si="48"/>
        <v>0</v>
      </c>
      <c r="E35" s="102"/>
      <c r="F35" s="102"/>
      <c r="G35" s="442"/>
      <c r="H35" s="481"/>
      <c r="I35" s="438">
        <f t="shared" si="64"/>
        <v>0</v>
      </c>
      <c r="J35" s="102"/>
      <c r="K35" s="102"/>
      <c r="L35" s="442"/>
      <c r="M35" s="601">
        <f t="shared" si="65"/>
        <v>0</v>
      </c>
      <c r="N35" s="102"/>
      <c r="O35" s="102"/>
      <c r="P35" s="442"/>
      <c r="Q35" s="601">
        <f t="shared" si="66"/>
        <v>0</v>
      </c>
      <c r="R35" s="102"/>
      <c r="S35" s="102"/>
      <c r="T35" s="442"/>
      <c r="U35" s="601">
        <f t="shared" si="67"/>
        <v>0</v>
      </c>
      <c r="V35" s="102"/>
      <c r="W35" s="102"/>
      <c r="X35" s="442"/>
      <c r="Y35" s="601">
        <f t="shared" si="68"/>
        <v>0</v>
      </c>
      <c r="Z35" s="102"/>
      <c r="AA35" s="102"/>
      <c r="AB35" s="442"/>
      <c r="AC35" s="633" t="str">
        <f t="shared" si="8"/>
        <v xml:space="preserve"> </v>
      </c>
      <c r="AD35" s="615" t="str">
        <f t="shared" si="9"/>
        <v xml:space="preserve"> </v>
      </c>
      <c r="AE35" s="615" t="str">
        <f t="shared" si="10"/>
        <v xml:space="preserve"> </v>
      </c>
      <c r="AF35" s="615" t="str">
        <f t="shared" si="11"/>
        <v xml:space="preserve"> </v>
      </c>
      <c r="AG35" s="615" t="str">
        <f t="shared" si="12"/>
        <v xml:space="preserve"> </v>
      </c>
      <c r="AH35" s="176" t="str">
        <f t="shared" si="13"/>
        <v xml:space="preserve"> </v>
      </c>
      <c r="AI35" s="1071"/>
      <c r="AJ35" s="50"/>
      <c r="AK35" s="54"/>
    </row>
    <row r="36" spans="1:38" s="52" customFormat="1" ht="18.75" outlineLevel="1">
      <c r="A36" s="48"/>
      <c r="B36" s="53" t="s">
        <v>99</v>
      </c>
      <c r="C36" s="657" t="s">
        <v>74</v>
      </c>
      <c r="D36" s="438">
        <f t="shared" si="48"/>
        <v>5</v>
      </c>
      <c r="E36" s="102">
        <v>1.2</v>
      </c>
      <c r="F36" s="102"/>
      <c r="G36" s="442">
        <v>3.8</v>
      </c>
      <c r="H36" s="481">
        <v>5</v>
      </c>
      <c r="I36" s="438">
        <f t="shared" si="64"/>
        <v>5</v>
      </c>
      <c r="J36" s="102">
        <f>ROUND(D36*J137,2)</f>
        <v>0.78</v>
      </c>
      <c r="K36" s="102"/>
      <c r="L36" s="442">
        <f>D36-J36</f>
        <v>4.22</v>
      </c>
      <c r="M36" s="601">
        <f t="shared" si="65"/>
        <v>5</v>
      </c>
      <c r="N36" s="102">
        <v>1.2</v>
      </c>
      <c r="O36" s="102"/>
      <c r="P36" s="442">
        <v>3.8</v>
      </c>
      <c r="Q36" s="601">
        <f t="shared" si="66"/>
        <v>5</v>
      </c>
      <c r="R36" s="102">
        <v>1.2</v>
      </c>
      <c r="S36" s="102"/>
      <c r="T36" s="442">
        <v>3.8</v>
      </c>
      <c r="U36" s="601">
        <f t="shared" si="67"/>
        <v>5</v>
      </c>
      <c r="V36" s="102">
        <v>1.2</v>
      </c>
      <c r="W36" s="102"/>
      <c r="X36" s="442">
        <v>3.8</v>
      </c>
      <c r="Y36" s="601">
        <f t="shared" si="68"/>
        <v>5</v>
      </c>
      <c r="Z36" s="102">
        <v>1.2</v>
      </c>
      <c r="AA36" s="102"/>
      <c r="AB36" s="442">
        <v>3.8</v>
      </c>
      <c r="AC36" s="633">
        <f t="shared" si="8"/>
        <v>1</v>
      </c>
      <c r="AD36" s="615">
        <f t="shared" si="9"/>
        <v>1</v>
      </c>
      <c r="AE36" s="615">
        <f t="shared" si="10"/>
        <v>1</v>
      </c>
      <c r="AF36" s="615">
        <f t="shared" si="11"/>
        <v>1</v>
      </c>
      <c r="AG36" s="615">
        <f t="shared" si="12"/>
        <v>1</v>
      </c>
      <c r="AH36" s="176">
        <f t="shared" si="13"/>
        <v>1</v>
      </c>
      <c r="AI36" s="1071"/>
      <c r="AJ36" s="50"/>
      <c r="AK36" s="54"/>
    </row>
    <row r="37" spans="1:38" s="52" customFormat="1" ht="30" outlineLevel="1">
      <c r="A37" s="48"/>
      <c r="B37" s="49" t="s">
        <v>5</v>
      </c>
      <c r="C37" s="657" t="s">
        <v>6</v>
      </c>
      <c r="D37" s="440">
        <f>D28/D33/12*1000</f>
        <v>18052.5</v>
      </c>
      <c r="E37" s="110">
        <f t="shared" ref="E37:G37" si="69">E28/E33/12*1000</f>
        <v>18056.481481481482</v>
      </c>
      <c r="F37" s="110"/>
      <c r="G37" s="441">
        <f t="shared" si="69"/>
        <v>18051.204819277107</v>
      </c>
      <c r="H37" s="480">
        <f>H28/H33/12*1000</f>
        <v>19694.318181818184</v>
      </c>
      <c r="I37" s="597">
        <f>I28/I33/12*1000</f>
        <v>18882.878787878788</v>
      </c>
      <c r="J37" s="598">
        <f>J28/J33/12*1000</f>
        <v>18827.034883720931</v>
      </c>
      <c r="K37" s="598"/>
      <c r="L37" s="599">
        <f t="shared" ref="L37" si="70">L28/L33/12*1000</f>
        <v>18893.229166666661</v>
      </c>
      <c r="M37" s="597">
        <f>M28/M33/12*1000</f>
        <v>19329.627110926271</v>
      </c>
      <c r="N37" s="598">
        <f t="shared" ref="N37" si="71">N28/N33/12*1000</f>
        <v>12277.247710745507</v>
      </c>
      <c r="O37" s="598"/>
      <c r="P37" s="599">
        <f t="shared" ref="P37" si="72">P28/P33/12*1000</f>
        <v>21623.774626647719</v>
      </c>
      <c r="Q37" s="597">
        <f>Q28/Q33/12*1000</f>
        <v>19901.786952572751</v>
      </c>
      <c r="R37" s="598">
        <f t="shared" ref="R37" si="73">R28/R33/12*1000</f>
        <v>12640.620185001131</v>
      </c>
      <c r="S37" s="598"/>
      <c r="T37" s="599">
        <f t="shared" ref="T37" si="74">T28/T33/12*1000</f>
        <v>22263.853250457501</v>
      </c>
      <c r="U37" s="597">
        <f>U28/U33/12*1000</f>
        <v>20490.873568540384</v>
      </c>
      <c r="V37" s="598">
        <f t="shared" ref="V37" si="75">V28/V33/12*1000</f>
        <v>13014.734022951401</v>
      </c>
      <c r="W37" s="598"/>
      <c r="X37" s="599">
        <f t="shared" ref="X37" si="76">X28/X33/12*1000</f>
        <v>22922.870770117523</v>
      </c>
      <c r="Y37" s="597">
        <f>Y28/Y33/12*1000</f>
        <v>21097.406384212129</v>
      </c>
      <c r="Z37" s="598">
        <f t="shared" ref="Z37" si="77">Z28/Z33/12*1000</f>
        <v>13399.98220131686</v>
      </c>
      <c r="AA37" s="598"/>
      <c r="AB37" s="599">
        <f t="shared" ref="AB37" si="78">AB28/AB33/12*1000</f>
        <v>23601.387744912998</v>
      </c>
      <c r="AC37" s="633">
        <f t="shared" si="8"/>
        <v>0.95879829977112296</v>
      </c>
      <c r="AD37" s="615">
        <f t="shared" si="9"/>
        <v>1.0459979940661286</v>
      </c>
      <c r="AE37" s="615">
        <f t="shared" si="10"/>
        <v>1.0236589096432827</v>
      </c>
      <c r="AF37" s="615">
        <f t="shared" si="11"/>
        <v>1.0296001489507813</v>
      </c>
      <c r="AG37" s="615">
        <f t="shared" si="12"/>
        <v>1.0295996845595556</v>
      </c>
      <c r="AH37" s="176">
        <f t="shared" si="13"/>
        <v>1.0296001443590455</v>
      </c>
      <c r="AI37" s="1071"/>
      <c r="AJ37" s="50"/>
      <c r="AK37" s="51"/>
    </row>
    <row r="38" spans="1:38" s="36" customFormat="1" ht="31.5">
      <c r="A38" s="43">
        <v>4</v>
      </c>
      <c r="B38" s="44" t="s">
        <v>240</v>
      </c>
      <c r="C38" s="655" t="s">
        <v>0</v>
      </c>
      <c r="D38" s="443">
        <f>D39+D40</f>
        <v>60</v>
      </c>
      <c r="E38" s="101">
        <f t="shared" ref="E38:G38" si="79">E39+E40</f>
        <v>60</v>
      </c>
      <c r="F38" s="101">
        <f t="shared" si="79"/>
        <v>0</v>
      </c>
      <c r="G38" s="444">
        <f t="shared" si="79"/>
        <v>0</v>
      </c>
      <c r="H38" s="482">
        <f t="shared" ref="H38" si="80">H39+H40</f>
        <v>1135</v>
      </c>
      <c r="I38" s="443">
        <f>I39+I40</f>
        <v>0</v>
      </c>
      <c r="J38" s="101">
        <f t="shared" ref="J38" si="81">J39+J40</f>
        <v>0</v>
      </c>
      <c r="K38" s="101">
        <f t="shared" ref="K38" si="82">K39+K40</f>
        <v>0</v>
      </c>
      <c r="L38" s="444">
        <f t="shared" ref="L38" si="83">L39+L40</f>
        <v>0</v>
      </c>
      <c r="M38" s="443">
        <f>M39+M40</f>
        <v>0</v>
      </c>
      <c r="N38" s="101">
        <f t="shared" ref="N38:P38" si="84">N39+N40</f>
        <v>0</v>
      </c>
      <c r="O38" s="101">
        <f t="shared" si="84"/>
        <v>0</v>
      </c>
      <c r="P38" s="444">
        <f t="shared" si="84"/>
        <v>0</v>
      </c>
      <c r="Q38" s="443">
        <f>Q39+Q40</f>
        <v>0</v>
      </c>
      <c r="R38" s="101">
        <f t="shared" ref="R38:T38" si="85">R39+R40</f>
        <v>0</v>
      </c>
      <c r="S38" s="101">
        <f t="shared" si="85"/>
        <v>0</v>
      </c>
      <c r="T38" s="444">
        <f t="shared" si="85"/>
        <v>0</v>
      </c>
      <c r="U38" s="443">
        <f>U39+U40</f>
        <v>0</v>
      </c>
      <c r="V38" s="101">
        <f t="shared" ref="V38:X38" si="86">V39+V40</f>
        <v>0</v>
      </c>
      <c r="W38" s="101">
        <f t="shared" si="86"/>
        <v>0</v>
      </c>
      <c r="X38" s="444">
        <f t="shared" si="86"/>
        <v>0</v>
      </c>
      <c r="Y38" s="443">
        <f>Y39+Y40</f>
        <v>0</v>
      </c>
      <c r="Z38" s="101">
        <f t="shared" ref="Z38:AB38" si="87">Z39+Z40</f>
        <v>0</v>
      </c>
      <c r="AA38" s="101">
        <f t="shared" si="87"/>
        <v>0</v>
      </c>
      <c r="AB38" s="444">
        <f t="shared" si="87"/>
        <v>0</v>
      </c>
      <c r="AC38" s="633">
        <f t="shared" si="8"/>
        <v>0</v>
      </c>
      <c r="AD38" s="615">
        <f t="shared" si="9"/>
        <v>0</v>
      </c>
      <c r="AE38" s="615" t="str">
        <f t="shared" si="10"/>
        <v xml:space="preserve"> </v>
      </c>
      <c r="AF38" s="615" t="str">
        <f t="shared" si="11"/>
        <v xml:space="preserve"> </v>
      </c>
      <c r="AG38" s="615" t="str">
        <f t="shared" si="12"/>
        <v xml:space="preserve"> </v>
      </c>
      <c r="AH38" s="176" t="str">
        <f t="shared" si="13"/>
        <v xml:space="preserve"> </v>
      </c>
      <c r="AI38" s="1070"/>
      <c r="AK38" s="46"/>
      <c r="AL38" s="55"/>
    </row>
    <row r="39" spans="1:38" s="31" customFormat="1" ht="18.75" outlineLevel="1">
      <c r="A39" s="56"/>
      <c r="B39" s="57" t="s">
        <v>175</v>
      </c>
      <c r="C39" s="656" t="s">
        <v>0</v>
      </c>
      <c r="D39" s="438">
        <f t="shared" ref="D39:D40" si="88">E39+F39+G39</f>
        <v>0</v>
      </c>
      <c r="E39" s="100"/>
      <c r="F39" s="100"/>
      <c r="G39" s="439"/>
      <c r="H39" s="479"/>
      <c r="I39" s="438">
        <f t="shared" ref="I39:I40" si="89">J39+K39+L39</f>
        <v>0</v>
      </c>
      <c r="J39" s="100"/>
      <c r="K39" s="100"/>
      <c r="L39" s="439"/>
      <c r="M39" s="438">
        <f t="shared" ref="M39:M40" si="90">N39+O39+P39</f>
        <v>0</v>
      </c>
      <c r="N39" s="100"/>
      <c r="O39" s="100"/>
      <c r="P39" s="439"/>
      <c r="Q39" s="438">
        <f t="shared" ref="Q39:Q40" si="91">R39+S39+T39</f>
        <v>0</v>
      </c>
      <c r="R39" s="100"/>
      <c r="S39" s="100"/>
      <c r="T39" s="439"/>
      <c r="U39" s="438">
        <f t="shared" ref="U39:U40" si="92">V39+W39+X39</f>
        <v>0</v>
      </c>
      <c r="V39" s="100"/>
      <c r="W39" s="100"/>
      <c r="X39" s="439"/>
      <c r="Y39" s="438">
        <f t="shared" ref="Y39:Y40" si="93">Z39+AA39+AB39</f>
        <v>0</v>
      </c>
      <c r="Z39" s="100"/>
      <c r="AA39" s="100"/>
      <c r="AB39" s="439"/>
      <c r="AC39" s="633" t="str">
        <f t="shared" si="8"/>
        <v xml:space="preserve"> </v>
      </c>
      <c r="AD39" s="615" t="str">
        <f t="shared" si="9"/>
        <v xml:space="preserve"> </v>
      </c>
      <c r="AE39" s="615" t="str">
        <f t="shared" si="10"/>
        <v xml:space="preserve"> </v>
      </c>
      <c r="AF39" s="615" t="str">
        <f t="shared" si="11"/>
        <v xml:space="preserve"> </v>
      </c>
      <c r="AG39" s="615" t="str">
        <f t="shared" si="12"/>
        <v xml:space="preserve"> </v>
      </c>
      <c r="AH39" s="176" t="str">
        <f t="shared" si="13"/>
        <v xml:space="preserve"> </v>
      </c>
      <c r="AI39" s="1070"/>
      <c r="AK39" s="58"/>
      <c r="AL39" s="59"/>
    </row>
    <row r="40" spans="1:38" s="31" customFormat="1" ht="32.25" customHeight="1" outlineLevel="1">
      <c r="A40" s="56"/>
      <c r="B40" s="57" t="s">
        <v>49</v>
      </c>
      <c r="C40" s="656" t="s">
        <v>0</v>
      </c>
      <c r="D40" s="438">
        <f t="shared" si="88"/>
        <v>60</v>
      </c>
      <c r="E40" s="100">
        <v>60</v>
      </c>
      <c r="F40" s="100"/>
      <c r="G40" s="439"/>
      <c r="H40" s="479">
        <v>1135</v>
      </c>
      <c r="I40" s="438">
        <f t="shared" si="89"/>
        <v>0</v>
      </c>
      <c r="J40" s="495"/>
      <c r="K40" s="100"/>
      <c r="L40" s="439"/>
      <c r="M40" s="438">
        <f t="shared" si="90"/>
        <v>0</v>
      </c>
      <c r="N40" s="620"/>
      <c r="O40" s="100"/>
      <c r="P40" s="439"/>
      <c r="Q40" s="438">
        <f t="shared" si="91"/>
        <v>0</v>
      </c>
      <c r="R40" s="620"/>
      <c r="S40" s="100"/>
      <c r="T40" s="439"/>
      <c r="U40" s="438">
        <f t="shared" si="92"/>
        <v>0</v>
      </c>
      <c r="V40" s="620"/>
      <c r="W40" s="100"/>
      <c r="X40" s="439"/>
      <c r="Y40" s="438">
        <f t="shared" si="93"/>
        <v>0</v>
      </c>
      <c r="Z40" s="620"/>
      <c r="AA40" s="100"/>
      <c r="AB40" s="439"/>
      <c r="AC40" s="633">
        <f t="shared" si="8"/>
        <v>0</v>
      </c>
      <c r="AD40" s="615">
        <f t="shared" si="9"/>
        <v>0</v>
      </c>
      <c r="AE40" s="615" t="str">
        <f t="shared" si="10"/>
        <v xml:space="preserve"> </v>
      </c>
      <c r="AF40" s="615" t="str">
        <f t="shared" si="11"/>
        <v xml:space="preserve"> </v>
      </c>
      <c r="AG40" s="615" t="str">
        <f t="shared" si="12"/>
        <v xml:space="preserve"> </v>
      </c>
      <c r="AH40" s="176" t="str">
        <f t="shared" si="13"/>
        <v xml:space="preserve"> </v>
      </c>
      <c r="AI40" s="1070" t="s">
        <v>513</v>
      </c>
      <c r="AK40" s="58"/>
      <c r="AL40" s="59"/>
    </row>
    <row r="41" spans="1:38" s="36" customFormat="1" ht="31.5">
      <c r="A41" s="43">
        <v>5</v>
      </c>
      <c r="B41" s="44" t="s">
        <v>241</v>
      </c>
      <c r="C41" s="655" t="s">
        <v>0</v>
      </c>
      <c r="D41" s="436">
        <f>SUM(D42:D49)</f>
        <v>351.79</v>
      </c>
      <c r="E41" s="111">
        <f t="shared" ref="E41:G41" si="94">SUM(E42:E49)</f>
        <v>86.36</v>
      </c>
      <c r="F41" s="111">
        <f t="shared" si="94"/>
        <v>0</v>
      </c>
      <c r="G41" s="437">
        <f t="shared" si="94"/>
        <v>265.43</v>
      </c>
      <c r="H41" s="478">
        <f t="shared" ref="H41" si="95">SUM(H42:H49)</f>
        <v>2025.8</v>
      </c>
      <c r="I41" s="436">
        <f>SUM(I42:I49)</f>
        <v>561.21</v>
      </c>
      <c r="J41" s="111">
        <f t="shared" ref="J41" si="96">SUM(J42:J49)</f>
        <v>87.5</v>
      </c>
      <c r="K41" s="111">
        <f t="shared" ref="K41" si="97">SUM(K42:K49)</f>
        <v>0</v>
      </c>
      <c r="L41" s="437">
        <f t="shared" ref="L41" si="98">SUM(L42:L49)</f>
        <v>473.71</v>
      </c>
      <c r="M41" s="436">
        <f>SUM(M42:M49)</f>
        <v>552.62230577238495</v>
      </c>
      <c r="N41" s="111">
        <f t="shared" ref="N41:P41" si="99">SUM(N42:N49)</f>
        <v>67.704665843882083</v>
      </c>
      <c r="O41" s="111">
        <f t="shared" si="99"/>
        <v>0</v>
      </c>
      <c r="P41" s="437">
        <f t="shared" si="99"/>
        <v>484.91763992850287</v>
      </c>
      <c r="Q41" s="436">
        <f>SUM(Q42:Q49)</f>
        <v>568.98007222590979</v>
      </c>
      <c r="R41" s="111">
        <f t="shared" ref="R41:T41" si="100">SUM(R42:R49)</f>
        <v>69.708536135169666</v>
      </c>
      <c r="S41" s="111">
        <f t="shared" si="100"/>
        <v>0</v>
      </c>
      <c r="T41" s="437">
        <f t="shared" si="100"/>
        <v>499.27153609074014</v>
      </c>
      <c r="U41" s="436">
        <f>SUM(U42:U49)</f>
        <v>585.82178216516274</v>
      </c>
      <c r="V41" s="111">
        <f t="shared" ref="V41:X41" si="101">SUM(V42:V49)</f>
        <v>71.771641236798118</v>
      </c>
      <c r="W41" s="111">
        <f t="shared" si="101"/>
        <v>0</v>
      </c>
      <c r="X41" s="437">
        <f t="shared" si="101"/>
        <v>514.0501409283645</v>
      </c>
      <c r="Y41" s="436">
        <f>SUM(Y42:Y49)</f>
        <v>603.16217337581907</v>
      </c>
      <c r="Z41" s="111">
        <f t="shared" ref="Z41:AB41" si="102">SUM(Z42:Z49)</f>
        <v>73.896148275975051</v>
      </c>
      <c r="AA41" s="111">
        <f t="shared" si="102"/>
        <v>0</v>
      </c>
      <c r="AB41" s="437">
        <f t="shared" si="102"/>
        <v>529.266025099844</v>
      </c>
      <c r="AC41" s="633">
        <f t="shared" si="8"/>
        <v>0.27703129627801365</v>
      </c>
      <c r="AD41" s="615">
        <f t="shared" si="9"/>
        <v>1.5952983313908866</v>
      </c>
      <c r="AE41" s="615">
        <f t="shared" si="10"/>
        <v>0.98469789521281681</v>
      </c>
      <c r="AF41" s="615">
        <f t="shared" si="11"/>
        <v>1.0296002645616378</v>
      </c>
      <c r="AG41" s="615">
        <f t="shared" si="12"/>
        <v>1.029599823897815</v>
      </c>
      <c r="AH41" s="176">
        <f t="shared" si="13"/>
        <v>1.0296001134450263</v>
      </c>
      <c r="AI41" s="1070"/>
      <c r="AJ41" s="47"/>
    </row>
    <row r="42" spans="1:38" s="31" customFormat="1" ht="18.75">
      <c r="A42" s="60"/>
      <c r="B42" s="57" t="s">
        <v>229</v>
      </c>
      <c r="C42" s="658" t="s">
        <v>0</v>
      </c>
      <c r="D42" s="438">
        <f t="shared" ref="D42:D58" si="103">E42+F42+G42</f>
        <v>0</v>
      </c>
      <c r="E42" s="100"/>
      <c r="F42" s="100"/>
      <c r="G42" s="439"/>
      <c r="H42" s="479"/>
      <c r="I42" s="438">
        <f t="shared" ref="I42:I53" si="104">J42+K42+L42</f>
        <v>0</v>
      </c>
      <c r="J42" s="100"/>
      <c r="K42" s="100"/>
      <c r="L42" s="439"/>
      <c r="M42" s="438">
        <f t="shared" ref="M42:M53" si="105">N42+O42+P42</f>
        <v>0</v>
      </c>
      <c r="N42" s="100"/>
      <c r="O42" s="100"/>
      <c r="P42" s="439"/>
      <c r="Q42" s="438">
        <f t="shared" ref="Q42:Q53" si="106">R42+S42+T42</f>
        <v>0</v>
      </c>
      <c r="R42" s="100"/>
      <c r="S42" s="100"/>
      <c r="T42" s="642">
        <f t="shared" ref="T42:T53" si="107">IF($T$20&gt;0,P42/$P$20*$T$20,0)</f>
        <v>0</v>
      </c>
      <c r="U42" s="438">
        <f t="shared" ref="U42:U53" si="108">V42+W42+X42</f>
        <v>0</v>
      </c>
      <c r="V42" s="620">
        <f t="shared" ref="V42:V53" si="109">IF($V$20&gt;0,R42/$R$20*$V$20,0)</f>
        <v>0</v>
      </c>
      <c r="W42" s="100"/>
      <c r="X42" s="642">
        <f t="shared" ref="X42:X53" si="110">IF($X$20&gt;0,T42/$T$20*$X$20,0)</f>
        <v>0</v>
      </c>
      <c r="Y42" s="438">
        <f t="shared" ref="Y42:Y53" si="111">Z42+AA42+AB42</f>
        <v>0</v>
      </c>
      <c r="Z42" s="620">
        <f t="shared" ref="Z42:Z53" si="112">IF($Z$20&gt;0,V42/$V$20*$Z$20,0)</f>
        <v>0</v>
      </c>
      <c r="AA42" s="100"/>
      <c r="AB42" s="642">
        <f t="shared" ref="AB42:AB53" si="113">IF($AB$20&gt;0,X42/$X$20*$AB$20,0)</f>
        <v>0</v>
      </c>
      <c r="AC42" s="633" t="str">
        <f t="shared" si="8"/>
        <v xml:space="preserve"> </v>
      </c>
      <c r="AD42" s="615" t="str">
        <f t="shared" si="9"/>
        <v xml:space="preserve"> </v>
      </c>
      <c r="AE42" s="615" t="str">
        <f t="shared" si="10"/>
        <v xml:space="preserve"> </v>
      </c>
      <c r="AF42" s="615" t="str">
        <f t="shared" si="11"/>
        <v xml:space="preserve"> </v>
      </c>
      <c r="AG42" s="615" t="str">
        <f t="shared" si="12"/>
        <v xml:space="preserve"> </v>
      </c>
      <c r="AH42" s="176" t="str">
        <f t="shared" si="13"/>
        <v xml:space="preserve"> </v>
      </c>
      <c r="AI42" s="1070"/>
      <c r="AJ42" s="61"/>
      <c r="AK42" s="58"/>
    </row>
    <row r="43" spans="1:38" s="31" customFormat="1" ht="18.75">
      <c r="A43" s="60"/>
      <c r="B43" s="57" t="s">
        <v>230</v>
      </c>
      <c r="C43" s="658" t="s">
        <v>0</v>
      </c>
      <c r="D43" s="438">
        <f t="shared" si="103"/>
        <v>104.28</v>
      </c>
      <c r="E43" s="100">
        <v>25.6</v>
      </c>
      <c r="F43" s="100"/>
      <c r="G43" s="439">
        <v>78.680000000000007</v>
      </c>
      <c r="H43" s="479">
        <v>173</v>
      </c>
      <c r="I43" s="438">
        <f t="shared" si="104"/>
        <v>109.08</v>
      </c>
      <c r="J43" s="102">
        <f>ROUND(D43*индексы!$H$8*$J$137,2)</f>
        <v>17.010000000000002</v>
      </c>
      <c r="K43" s="100"/>
      <c r="L43" s="442">
        <f>ROUND(D43*индексы!$H$8-J43,2)</f>
        <v>92.07</v>
      </c>
      <c r="M43" s="438">
        <f t="shared" si="105"/>
        <v>111.66071385354392</v>
      </c>
      <c r="N43" s="620">
        <f t="shared" ref="N43:N48" si="114">IF($N$20&gt;0,J43/$J$20*$N$20,0)</f>
        <v>17.412403477539073</v>
      </c>
      <c r="O43" s="100"/>
      <c r="P43" s="642">
        <f t="shared" ref="P43:P53" si="115">IF($P$20&gt;0,L43/$L$20*$P$20,0)</f>
        <v>94.248310376004852</v>
      </c>
      <c r="Q43" s="438">
        <f t="shared" si="106"/>
        <v>114.96588760033056</v>
      </c>
      <c r="R43" s="620">
        <f t="shared" ref="R43:R53" si="116">IF($R$20&gt;0,N43/$N$20*$R$20,0)</f>
        <v>17.927762317194379</v>
      </c>
      <c r="S43" s="100"/>
      <c r="T43" s="642">
        <f t="shared" si="107"/>
        <v>97.038125283136182</v>
      </c>
      <c r="U43" s="438">
        <f t="shared" si="108"/>
        <v>118.36884158951199</v>
      </c>
      <c r="V43" s="620">
        <f t="shared" si="109"/>
        <v>18.458355268187727</v>
      </c>
      <c r="W43" s="100"/>
      <c r="X43" s="642">
        <f t="shared" si="110"/>
        <v>99.910486321324257</v>
      </c>
      <c r="Y43" s="438">
        <f t="shared" si="111"/>
        <v>121.87257639249134</v>
      </c>
      <c r="Z43" s="620">
        <f t="shared" si="112"/>
        <v>19.004739676055877</v>
      </c>
      <c r="AA43" s="100"/>
      <c r="AB43" s="642">
        <f t="shared" si="113"/>
        <v>102.86783671643546</v>
      </c>
      <c r="AC43" s="633">
        <f t="shared" si="8"/>
        <v>0.63052023121387279</v>
      </c>
      <c r="AD43" s="615">
        <f t="shared" si="9"/>
        <v>1.046029919447641</v>
      </c>
      <c r="AE43" s="615">
        <f t="shared" si="10"/>
        <v>1.0236589095484407</v>
      </c>
      <c r="AF43" s="615">
        <f t="shared" si="11"/>
        <v>1.0296001488143964</v>
      </c>
      <c r="AG43" s="615">
        <f t="shared" si="12"/>
        <v>1.0295996843951791</v>
      </c>
      <c r="AH43" s="176">
        <f t="shared" si="13"/>
        <v>1.0296001443955147</v>
      </c>
      <c r="AI43" s="1070"/>
      <c r="AJ43" s="61"/>
    </row>
    <row r="44" spans="1:38" s="31" customFormat="1" ht="18.75">
      <c r="A44" s="60"/>
      <c r="B44" s="57" t="s">
        <v>231</v>
      </c>
      <c r="C44" s="658" t="s">
        <v>0</v>
      </c>
      <c r="D44" s="438">
        <f t="shared" si="103"/>
        <v>178.22</v>
      </c>
      <c r="E44" s="100">
        <v>43.75</v>
      </c>
      <c r="F44" s="100"/>
      <c r="G44" s="439">
        <v>134.47</v>
      </c>
      <c r="H44" s="479">
        <v>611</v>
      </c>
      <c r="I44" s="602">
        <f t="shared" si="104"/>
        <v>186.42000000000002</v>
      </c>
      <c r="J44" s="102">
        <f>ROUND(D44*индексы!$H$8*$J$137,2)</f>
        <v>29.06</v>
      </c>
      <c r="K44" s="100"/>
      <c r="L44" s="442">
        <f>ROUND(D44*индексы!$H$8-J44,2)</f>
        <v>157.36000000000001</v>
      </c>
      <c r="M44" s="602">
        <f t="shared" si="105"/>
        <v>190.83049394317405</v>
      </c>
      <c r="N44" s="620">
        <f t="shared" si="114"/>
        <v>29.74746884522548</v>
      </c>
      <c r="O44" s="495"/>
      <c r="P44" s="642">
        <f t="shared" si="115"/>
        <v>161.08302509794856</v>
      </c>
      <c r="Q44" s="602">
        <f t="shared" si="106"/>
        <v>196.4791049992443</v>
      </c>
      <c r="R44" s="620">
        <f t="shared" si="116"/>
        <v>30.627911401391447</v>
      </c>
      <c r="S44" s="495"/>
      <c r="T44" s="642">
        <f t="shared" si="107"/>
        <v>165.85119359785284</v>
      </c>
      <c r="U44" s="602">
        <f t="shared" si="108"/>
        <v>202.29482454341704</v>
      </c>
      <c r="V44" s="620">
        <f t="shared" si="109"/>
        <v>31.534380017256627</v>
      </c>
      <c r="W44" s="495"/>
      <c r="X44" s="642">
        <f t="shared" si="110"/>
        <v>170.7604445261604</v>
      </c>
      <c r="Y44" s="602">
        <f t="shared" si="111"/>
        <v>208.28278054987157</v>
      </c>
      <c r="Z44" s="620">
        <f t="shared" si="112"/>
        <v>32.467826865736846</v>
      </c>
      <c r="AA44" s="495"/>
      <c r="AB44" s="642">
        <f t="shared" si="113"/>
        <v>175.81495368413474</v>
      </c>
      <c r="AC44" s="633">
        <f t="shared" si="8"/>
        <v>0.30510638297872344</v>
      </c>
      <c r="AD44" s="615">
        <f t="shared" si="9"/>
        <v>1.0460105487599598</v>
      </c>
      <c r="AE44" s="615">
        <f t="shared" si="10"/>
        <v>1.023658909683371</v>
      </c>
      <c r="AF44" s="615">
        <f t="shared" si="11"/>
        <v>1.0296001490084301</v>
      </c>
      <c r="AG44" s="615">
        <f t="shared" si="12"/>
        <v>1.0295996846290352</v>
      </c>
      <c r="AH44" s="176">
        <f t="shared" si="13"/>
        <v>1.0296001443436305</v>
      </c>
      <c r="AI44" s="1070"/>
      <c r="AJ44" s="61"/>
    </row>
    <row r="45" spans="1:38" s="31" customFormat="1" ht="31.5">
      <c r="A45" s="60"/>
      <c r="B45" s="57" t="s">
        <v>232</v>
      </c>
      <c r="C45" s="658" t="s">
        <v>0</v>
      </c>
      <c r="D45" s="438">
        <f t="shared" si="103"/>
        <v>31.29</v>
      </c>
      <c r="E45" s="100">
        <v>7.68</v>
      </c>
      <c r="F45" s="100"/>
      <c r="G45" s="439">
        <v>23.61</v>
      </c>
      <c r="H45" s="479">
        <f>587+6</f>
        <v>593</v>
      </c>
      <c r="I45" s="438">
        <f t="shared" si="104"/>
        <v>32.729999999999997</v>
      </c>
      <c r="J45" s="102">
        <f>ROUND(D45*индексы!$H$8*$J$137,2)</f>
        <v>5.0999999999999996</v>
      </c>
      <c r="K45" s="100"/>
      <c r="L45" s="442">
        <f>ROUND(D45*индексы!$H$8-J45,2)</f>
        <v>27.63</v>
      </c>
      <c r="M45" s="438">
        <f t="shared" si="105"/>
        <v>33.504356118997812</v>
      </c>
      <c r="N45" s="620">
        <f t="shared" si="114"/>
        <v>5.2206500726307628</v>
      </c>
      <c r="O45" s="100"/>
      <c r="P45" s="642">
        <f t="shared" si="115"/>
        <v>28.283706046367048</v>
      </c>
      <c r="Q45" s="438">
        <f t="shared" si="106"/>
        <v>34.496090060001805</v>
      </c>
      <c r="R45" s="620">
        <f t="shared" si="116"/>
        <v>5.3751668323157746</v>
      </c>
      <c r="S45" s="100"/>
      <c r="T45" s="642">
        <f t="shared" si="107"/>
        <v>29.120923227686028</v>
      </c>
      <c r="U45" s="438">
        <f t="shared" si="108"/>
        <v>35.517163455957629</v>
      </c>
      <c r="V45" s="620">
        <f t="shared" si="109"/>
        <v>5.5342511386100757</v>
      </c>
      <c r="W45" s="100"/>
      <c r="X45" s="642">
        <f t="shared" si="110"/>
        <v>29.982912317347555</v>
      </c>
      <c r="Y45" s="438">
        <f t="shared" si="111"/>
        <v>36.568476618818465</v>
      </c>
      <c r="Z45" s="620">
        <f t="shared" si="112"/>
        <v>5.6980700968774229</v>
      </c>
      <c r="AA45" s="100"/>
      <c r="AB45" s="642">
        <f t="shared" si="113"/>
        <v>30.870406521941042</v>
      </c>
      <c r="AC45" s="633">
        <f t="shared" si="8"/>
        <v>5.5193929173693083E-2</v>
      </c>
      <c r="AD45" s="615">
        <f t="shared" si="9"/>
        <v>1.0460210930009588</v>
      </c>
      <c r="AE45" s="615">
        <f t="shared" si="10"/>
        <v>1.0236589098380022</v>
      </c>
      <c r="AF45" s="615">
        <f t="shared" si="11"/>
        <v>1.0296001492307938</v>
      </c>
      <c r="AG45" s="615">
        <f t="shared" si="12"/>
        <v>1.0295996848970359</v>
      </c>
      <c r="AH45" s="176">
        <f t="shared" si="13"/>
        <v>1.0296001442841711</v>
      </c>
      <c r="AI45" s="1070"/>
      <c r="AJ45" s="61"/>
      <c r="AK45" s="347"/>
    </row>
    <row r="46" spans="1:38" s="31" customFormat="1" ht="18.75" outlineLevel="1">
      <c r="A46" s="60"/>
      <c r="B46" s="57" t="s">
        <v>234</v>
      </c>
      <c r="C46" s="658" t="s">
        <v>0</v>
      </c>
      <c r="D46" s="438">
        <f t="shared" si="103"/>
        <v>3.26</v>
      </c>
      <c r="E46" s="100">
        <v>0.8</v>
      </c>
      <c r="F46" s="100"/>
      <c r="G46" s="439">
        <v>2.46</v>
      </c>
      <c r="H46" s="479">
        <v>3</v>
      </c>
      <c r="I46" s="438">
        <f t="shared" si="104"/>
        <v>3</v>
      </c>
      <c r="J46" s="102">
        <f>ROUND(H46*$J$137,2)</f>
        <v>0.47</v>
      </c>
      <c r="K46" s="100"/>
      <c r="L46" s="442">
        <f>ROUND(H46-J46,2)</f>
        <v>2.5299999999999998</v>
      </c>
      <c r="M46" s="438">
        <f t="shared" si="105"/>
        <v>3.0709767234000012</v>
      </c>
      <c r="N46" s="620">
        <f t="shared" si="114"/>
        <v>0.48111873218361928</v>
      </c>
      <c r="O46" s="100"/>
      <c r="P46" s="642">
        <f t="shared" si="115"/>
        <v>2.5898579912163817</v>
      </c>
      <c r="Q46" s="438">
        <f t="shared" si="106"/>
        <v>3.161878083696811</v>
      </c>
      <c r="R46" s="620">
        <f t="shared" si="116"/>
        <v>0.49535851199772823</v>
      </c>
      <c r="S46" s="100"/>
      <c r="T46" s="642">
        <f t="shared" si="107"/>
        <v>2.6665195716990828</v>
      </c>
      <c r="U46" s="438">
        <f t="shared" si="108"/>
        <v>3.2554686674887332</v>
      </c>
      <c r="V46" s="620">
        <f t="shared" si="109"/>
        <v>0.51001922257779131</v>
      </c>
      <c r="W46" s="100"/>
      <c r="X46" s="642">
        <f t="shared" si="110"/>
        <v>2.7454494449109417</v>
      </c>
      <c r="Y46" s="438">
        <f t="shared" si="111"/>
        <v>3.3518310123101855</v>
      </c>
      <c r="Z46" s="620">
        <f t="shared" si="112"/>
        <v>0.52511626382988019</v>
      </c>
      <c r="AA46" s="100"/>
      <c r="AB46" s="642">
        <f t="shared" si="113"/>
        <v>2.8267147484803052</v>
      </c>
      <c r="AC46" s="633">
        <f t="shared" si="8"/>
        <v>1</v>
      </c>
      <c r="AD46" s="615">
        <f t="shared" si="9"/>
        <v>0.92024539877300615</v>
      </c>
      <c r="AE46" s="615">
        <f t="shared" si="10"/>
        <v>1.0236589078000005</v>
      </c>
      <c r="AF46" s="615">
        <f t="shared" si="11"/>
        <v>1.0296001463000897</v>
      </c>
      <c r="AG46" s="615">
        <f t="shared" si="12"/>
        <v>1.029599681364848</v>
      </c>
      <c r="AH46" s="176">
        <f t="shared" si="13"/>
        <v>1.0296001450678332</v>
      </c>
      <c r="AI46" s="1070"/>
      <c r="AJ46" s="61"/>
    </row>
    <row r="47" spans="1:38" s="31" customFormat="1" ht="47.25" outlineLevel="1">
      <c r="A47" s="60"/>
      <c r="B47" s="57" t="s">
        <v>50</v>
      </c>
      <c r="C47" s="658" t="s">
        <v>0</v>
      </c>
      <c r="D47" s="438">
        <f t="shared" si="103"/>
        <v>0</v>
      </c>
      <c r="E47" s="100"/>
      <c r="F47" s="100"/>
      <c r="G47" s="439"/>
      <c r="H47" s="479">
        <v>15</v>
      </c>
      <c r="I47" s="438">
        <f t="shared" ref="I47" si="117">J47+K47+L47</f>
        <v>15</v>
      </c>
      <c r="J47" s="102">
        <f>ROUND(H47*$J$137,2)</f>
        <v>2.34</v>
      </c>
      <c r="K47" s="100"/>
      <c r="L47" s="442">
        <f>ROUND(H47-J47,2)</f>
        <v>12.66</v>
      </c>
      <c r="M47" s="438">
        <f t="shared" si="105"/>
        <v>15.354883641080798</v>
      </c>
      <c r="N47" s="620">
        <f t="shared" si="114"/>
        <v>2.3953570921482323</v>
      </c>
      <c r="O47" s="100"/>
      <c r="P47" s="642">
        <f t="shared" si="115"/>
        <v>12.959526548932566</v>
      </c>
      <c r="Q47" s="438">
        <f t="shared" si="106"/>
        <v>15.809390478725785</v>
      </c>
      <c r="R47" s="620">
        <f t="shared" si="116"/>
        <v>2.4662530171801791</v>
      </c>
      <c r="S47" s="100"/>
      <c r="T47" s="642">
        <f t="shared" si="107"/>
        <v>13.343137461545606</v>
      </c>
      <c r="U47" s="438">
        <f t="shared" si="108"/>
        <v>16.277343443456498</v>
      </c>
      <c r="V47" s="620">
        <f t="shared" si="109"/>
        <v>2.5392446400681528</v>
      </c>
      <c r="W47" s="100"/>
      <c r="X47" s="642">
        <f t="shared" si="110"/>
        <v>13.738098803388347</v>
      </c>
      <c r="Y47" s="438">
        <f t="shared" si="111"/>
        <v>16.759155160653577</v>
      </c>
      <c r="Z47" s="620">
        <f t="shared" si="112"/>
        <v>2.6144086326849356</v>
      </c>
      <c r="AA47" s="100"/>
      <c r="AB47" s="642">
        <f t="shared" si="113"/>
        <v>14.144746527968643</v>
      </c>
      <c r="AC47" s="633">
        <f t="shared" si="8"/>
        <v>1</v>
      </c>
      <c r="AD47" s="615" t="str">
        <f t="shared" si="9"/>
        <v xml:space="preserve"> </v>
      </c>
      <c r="AE47" s="615">
        <f t="shared" si="10"/>
        <v>1.0236589094053865</v>
      </c>
      <c r="AF47" s="615">
        <f t="shared" si="11"/>
        <v>1.0296001486086803</v>
      </c>
      <c r="AG47" s="615">
        <f t="shared" si="12"/>
        <v>1.029599684147243</v>
      </c>
      <c r="AH47" s="176">
        <f t="shared" si="13"/>
        <v>1.0296001444505225</v>
      </c>
      <c r="AI47" s="1070"/>
      <c r="AJ47" s="61"/>
    </row>
    <row r="48" spans="1:38" s="31" customFormat="1" ht="47.25" outlineLevel="1">
      <c r="A48" s="60"/>
      <c r="B48" s="57" t="s">
        <v>51</v>
      </c>
      <c r="C48" s="658" t="s">
        <v>0</v>
      </c>
      <c r="D48" s="438">
        <f t="shared" si="103"/>
        <v>34.74</v>
      </c>
      <c r="E48" s="100">
        <v>8.5299999999999994</v>
      </c>
      <c r="F48" s="100"/>
      <c r="G48" s="439">
        <v>26.21</v>
      </c>
      <c r="H48" s="479">
        <v>115</v>
      </c>
      <c r="I48" s="438">
        <f t="shared" si="104"/>
        <v>77.97999999999999</v>
      </c>
      <c r="J48" s="102">
        <f>ROUND(72.59*индексы!G8*индексы!$H$8*$J$137,2)</f>
        <v>12.16</v>
      </c>
      <c r="K48" s="100"/>
      <c r="L48" s="442">
        <f>ROUND(72.59*индексы!G8*индексы!$H$8-J48,2)</f>
        <v>65.819999999999993</v>
      </c>
      <c r="M48" s="438">
        <f t="shared" si="105"/>
        <v>79.824921767183469</v>
      </c>
      <c r="N48" s="620">
        <f t="shared" si="114"/>
        <v>12.447667624154915</v>
      </c>
      <c r="O48" s="100"/>
      <c r="P48" s="642">
        <f t="shared" si="115"/>
        <v>67.377254143028551</v>
      </c>
      <c r="Q48" s="438">
        <f t="shared" si="106"/>
        <v>82.187751331467084</v>
      </c>
      <c r="R48" s="620">
        <f t="shared" si="116"/>
        <v>12.81608405509016</v>
      </c>
      <c r="S48" s="100"/>
      <c r="T48" s="642">
        <f t="shared" si="107"/>
        <v>69.371667276376925</v>
      </c>
      <c r="U48" s="438">
        <f t="shared" si="108"/>
        <v>84.620482833116782</v>
      </c>
      <c r="V48" s="620">
        <f t="shared" si="109"/>
        <v>13.19539095009775</v>
      </c>
      <c r="W48" s="100"/>
      <c r="X48" s="642">
        <f t="shared" si="110"/>
        <v>71.425091883019036</v>
      </c>
      <c r="Y48" s="438">
        <f t="shared" si="111"/>
        <v>87.125261343546498</v>
      </c>
      <c r="Z48" s="620">
        <f t="shared" si="112"/>
        <v>13.585986740790091</v>
      </c>
      <c r="AA48" s="100"/>
      <c r="AB48" s="642">
        <f t="shared" si="113"/>
        <v>73.539274602756407</v>
      </c>
      <c r="AC48" s="633">
        <f t="shared" si="8"/>
        <v>0.678086956521739</v>
      </c>
      <c r="AD48" s="615">
        <f t="shared" si="9"/>
        <v>2.2446747265400111</v>
      </c>
      <c r="AE48" s="615">
        <f t="shared" si="10"/>
        <v>1.0236589095560846</v>
      </c>
      <c r="AF48" s="615">
        <f t="shared" si="11"/>
        <v>1.0296001488253883</v>
      </c>
      <c r="AG48" s="615">
        <f t="shared" si="12"/>
        <v>1.029599684408427</v>
      </c>
      <c r="AH48" s="176">
        <f t="shared" si="13"/>
        <v>1.0296001443925755</v>
      </c>
      <c r="AI48" s="1070" t="s">
        <v>558</v>
      </c>
      <c r="AJ48" s="61"/>
    </row>
    <row r="49" spans="1:37" s="31" customFormat="1" ht="18.75" outlineLevel="1">
      <c r="A49" s="60"/>
      <c r="B49" s="57" t="s">
        <v>233</v>
      </c>
      <c r="C49" s="658" t="s">
        <v>0</v>
      </c>
      <c r="D49" s="438">
        <f t="shared" si="103"/>
        <v>0</v>
      </c>
      <c r="E49" s="100"/>
      <c r="F49" s="100"/>
      <c r="G49" s="439"/>
      <c r="H49" s="479">
        <f>378.8+137</f>
        <v>515.79999999999995</v>
      </c>
      <c r="I49" s="438">
        <f t="shared" ref="I49" si="118">J49+K49+L49</f>
        <v>137</v>
      </c>
      <c r="J49" s="102">
        <f>ROUND(137*$J$137,2)</f>
        <v>21.36</v>
      </c>
      <c r="K49" s="100"/>
      <c r="L49" s="442">
        <f>ROUND(137-J49,2)</f>
        <v>115.64</v>
      </c>
      <c r="M49" s="438">
        <f t="shared" si="105"/>
        <v>118.3759597250049</v>
      </c>
      <c r="N49" s="100"/>
      <c r="O49" s="100"/>
      <c r="P49" s="642">
        <f t="shared" si="115"/>
        <v>118.3759597250049</v>
      </c>
      <c r="Q49" s="438">
        <f t="shared" si="106"/>
        <v>121.87996967244345</v>
      </c>
      <c r="R49" s="620">
        <f t="shared" si="116"/>
        <v>0</v>
      </c>
      <c r="S49" s="100"/>
      <c r="T49" s="642">
        <f t="shared" si="107"/>
        <v>121.87996967244345</v>
      </c>
      <c r="U49" s="438">
        <f t="shared" si="108"/>
        <v>125.48765763221395</v>
      </c>
      <c r="V49" s="620">
        <f t="shared" si="109"/>
        <v>0</v>
      </c>
      <c r="W49" s="100"/>
      <c r="X49" s="642">
        <f t="shared" si="110"/>
        <v>125.48765763221395</v>
      </c>
      <c r="Y49" s="438">
        <f t="shared" si="111"/>
        <v>129.20209229812747</v>
      </c>
      <c r="Z49" s="620">
        <f t="shared" si="112"/>
        <v>0</v>
      </c>
      <c r="AA49" s="100"/>
      <c r="AB49" s="642">
        <f t="shared" si="113"/>
        <v>129.20209229812747</v>
      </c>
      <c r="AC49" s="633">
        <f t="shared" si="8"/>
        <v>0.26560682435052346</v>
      </c>
      <c r="AD49" s="615" t="str">
        <f t="shared" si="9"/>
        <v xml:space="preserve"> </v>
      </c>
      <c r="AE49" s="615">
        <f t="shared" si="10"/>
        <v>0.8640581001825175</v>
      </c>
      <c r="AF49" s="615">
        <f t="shared" si="11"/>
        <v>1.0296006888187315</v>
      </c>
      <c r="AG49" s="615">
        <f t="shared" si="12"/>
        <v>1.0296003352270786</v>
      </c>
      <c r="AH49" s="176">
        <f t="shared" si="13"/>
        <v>1.0295999999999998</v>
      </c>
      <c r="AI49" s="1070"/>
      <c r="AJ49" s="61"/>
    </row>
    <row r="50" spans="1:37" s="36" customFormat="1" ht="18.75">
      <c r="A50" s="39">
        <v>6</v>
      </c>
      <c r="B50" s="40" t="s">
        <v>57</v>
      </c>
      <c r="C50" s="654" t="s">
        <v>0</v>
      </c>
      <c r="D50" s="438">
        <f t="shared" si="103"/>
        <v>0</v>
      </c>
      <c r="E50" s="93"/>
      <c r="F50" s="93"/>
      <c r="G50" s="435"/>
      <c r="H50" s="477"/>
      <c r="I50" s="438">
        <f t="shared" si="104"/>
        <v>0</v>
      </c>
      <c r="J50" s="93"/>
      <c r="K50" s="93"/>
      <c r="L50" s="435"/>
      <c r="M50" s="438">
        <f t="shared" si="105"/>
        <v>0</v>
      </c>
      <c r="N50" s="93"/>
      <c r="O50" s="93"/>
      <c r="P50" s="642">
        <f t="shared" si="115"/>
        <v>0</v>
      </c>
      <c r="Q50" s="438">
        <f t="shared" si="106"/>
        <v>0</v>
      </c>
      <c r="R50" s="620">
        <f t="shared" si="116"/>
        <v>0</v>
      </c>
      <c r="S50" s="93"/>
      <c r="T50" s="642">
        <f t="shared" si="107"/>
        <v>0</v>
      </c>
      <c r="U50" s="438">
        <f t="shared" si="108"/>
        <v>0</v>
      </c>
      <c r="V50" s="620">
        <f t="shared" si="109"/>
        <v>0</v>
      </c>
      <c r="W50" s="93"/>
      <c r="X50" s="642">
        <f t="shared" si="110"/>
        <v>0</v>
      </c>
      <c r="Y50" s="438">
        <f t="shared" si="111"/>
        <v>0</v>
      </c>
      <c r="Z50" s="620">
        <f t="shared" si="112"/>
        <v>0</v>
      </c>
      <c r="AA50" s="93"/>
      <c r="AB50" s="642">
        <f t="shared" si="113"/>
        <v>0</v>
      </c>
      <c r="AC50" s="633" t="str">
        <f t="shared" si="8"/>
        <v xml:space="preserve"> </v>
      </c>
      <c r="AD50" s="615" t="str">
        <f t="shared" si="9"/>
        <v xml:space="preserve"> </v>
      </c>
      <c r="AE50" s="615" t="str">
        <f t="shared" si="10"/>
        <v xml:space="preserve"> </v>
      </c>
      <c r="AF50" s="615" t="str">
        <f t="shared" si="11"/>
        <v xml:space="preserve"> </v>
      </c>
      <c r="AG50" s="615" t="str">
        <f t="shared" si="12"/>
        <v xml:space="preserve"> </v>
      </c>
      <c r="AH50" s="176" t="str">
        <f t="shared" si="13"/>
        <v xml:space="preserve"> </v>
      </c>
      <c r="AI50" s="1070"/>
      <c r="AJ50" s="47"/>
    </row>
    <row r="51" spans="1:37" s="36" customFormat="1" ht="18.75">
      <c r="A51" s="39" t="s">
        <v>23</v>
      </c>
      <c r="B51" s="40" t="s">
        <v>58</v>
      </c>
      <c r="C51" s="654" t="s">
        <v>0</v>
      </c>
      <c r="D51" s="445">
        <f t="shared" si="103"/>
        <v>18.48</v>
      </c>
      <c r="E51" s="93">
        <v>4.54</v>
      </c>
      <c r="F51" s="93"/>
      <c r="G51" s="435">
        <v>13.94</v>
      </c>
      <c r="H51" s="477">
        <v>25</v>
      </c>
      <c r="I51" s="445">
        <f t="shared" si="104"/>
        <v>19.329999999999998</v>
      </c>
      <c r="J51" s="496">
        <f>ROUND(D51*индексы!$H$8*$J$137,2)</f>
        <v>3.01</v>
      </c>
      <c r="K51" s="93"/>
      <c r="L51" s="649">
        <f>ROUND(D51*индексы!$H$8-J51,2)</f>
        <v>16.32</v>
      </c>
      <c r="M51" s="445">
        <f t="shared" si="105"/>
        <v>19.787326732002395</v>
      </c>
      <c r="N51" s="622">
        <f t="shared" ref="N51" si="119">IF($N$20&gt;0,J51/$J$20*$N$20,0)</f>
        <v>3.0812071997291359</v>
      </c>
      <c r="O51" s="93"/>
      <c r="P51" s="643">
        <f t="shared" si="115"/>
        <v>16.706119532273259</v>
      </c>
      <c r="Q51" s="445">
        <f t="shared" si="106"/>
        <v>20.373034563263761</v>
      </c>
      <c r="R51" s="622">
        <f t="shared" si="116"/>
        <v>3.1724023853471528</v>
      </c>
      <c r="S51" s="93"/>
      <c r="T51" s="643">
        <f t="shared" si="107"/>
        <v>17.20063217791661</v>
      </c>
      <c r="U51" s="445">
        <f t="shared" si="108"/>
        <v>20.976069975562645</v>
      </c>
      <c r="V51" s="622">
        <f t="shared" si="109"/>
        <v>3.2662933190620249</v>
      </c>
      <c r="W51" s="93"/>
      <c r="X51" s="643">
        <f t="shared" si="110"/>
        <v>17.709776656500619</v>
      </c>
      <c r="Y51" s="445">
        <f t="shared" si="111"/>
        <v>21.596964671337165</v>
      </c>
      <c r="Z51" s="622">
        <f t="shared" si="112"/>
        <v>3.3629786258041259</v>
      </c>
      <c r="AA51" s="93"/>
      <c r="AB51" s="643">
        <f t="shared" si="113"/>
        <v>18.23398604553304</v>
      </c>
      <c r="AC51" s="633">
        <f t="shared" si="8"/>
        <v>0.77319999999999989</v>
      </c>
      <c r="AD51" s="615">
        <f t="shared" si="9"/>
        <v>1.0459956709956708</v>
      </c>
      <c r="AE51" s="615">
        <f t="shared" si="10"/>
        <v>1.0236589100880702</v>
      </c>
      <c r="AF51" s="615">
        <f t="shared" si="11"/>
        <v>1.0296001495903988</v>
      </c>
      <c r="AG51" s="615">
        <f t="shared" si="12"/>
        <v>1.0295996853304448</v>
      </c>
      <c r="AH51" s="176">
        <f t="shared" si="13"/>
        <v>1.0296001441880138</v>
      </c>
      <c r="AI51" s="1070"/>
      <c r="AJ51" s="47"/>
    </row>
    <row r="52" spans="1:37" s="36" customFormat="1" ht="18.75">
      <c r="A52" s="39" t="s">
        <v>45</v>
      </c>
      <c r="B52" s="40" t="s">
        <v>242</v>
      </c>
      <c r="C52" s="654" t="s">
        <v>0</v>
      </c>
      <c r="D52" s="438">
        <f t="shared" si="103"/>
        <v>0</v>
      </c>
      <c r="E52" s="93"/>
      <c r="F52" s="93"/>
      <c r="G52" s="435"/>
      <c r="H52" s="477"/>
      <c r="I52" s="438">
        <f t="shared" si="104"/>
        <v>0</v>
      </c>
      <c r="J52" s="93"/>
      <c r="K52" s="93"/>
      <c r="L52" s="435"/>
      <c r="M52" s="438">
        <f t="shared" si="105"/>
        <v>0</v>
      </c>
      <c r="N52" s="93"/>
      <c r="O52" s="93"/>
      <c r="P52" s="642"/>
      <c r="Q52" s="438">
        <f t="shared" si="106"/>
        <v>0</v>
      </c>
      <c r="R52" s="620">
        <f t="shared" si="116"/>
        <v>0</v>
      </c>
      <c r="S52" s="93"/>
      <c r="T52" s="642">
        <f t="shared" si="107"/>
        <v>0</v>
      </c>
      <c r="U52" s="438">
        <f t="shared" si="108"/>
        <v>0</v>
      </c>
      <c r="V52" s="620">
        <f t="shared" si="109"/>
        <v>0</v>
      </c>
      <c r="W52" s="93"/>
      <c r="X52" s="642">
        <f t="shared" si="110"/>
        <v>0</v>
      </c>
      <c r="Y52" s="438">
        <f t="shared" si="111"/>
        <v>0</v>
      </c>
      <c r="Z52" s="620">
        <f t="shared" si="112"/>
        <v>0</v>
      </c>
      <c r="AA52" s="93"/>
      <c r="AB52" s="642">
        <f t="shared" si="113"/>
        <v>0</v>
      </c>
      <c r="AC52" s="633" t="str">
        <f t="shared" si="8"/>
        <v xml:space="preserve"> </v>
      </c>
      <c r="AD52" s="615" t="str">
        <f t="shared" si="9"/>
        <v xml:space="preserve"> </v>
      </c>
      <c r="AE52" s="615" t="str">
        <f t="shared" si="10"/>
        <v xml:space="preserve"> </v>
      </c>
      <c r="AF52" s="615" t="str">
        <f t="shared" si="11"/>
        <v xml:space="preserve"> </v>
      </c>
      <c r="AG52" s="615" t="str">
        <f t="shared" si="12"/>
        <v xml:space="preserve"> </v>
      </c>
      <c r="AH52" s="176" t="str">
        <f t="shared" si="13"/>
        <v xml:space="preserve"> </v>
      </c>
      <c r="AI52" s="1070"/>
      <c r="AJ52" s="47"/>
    </row>
    <row r="53" spans="1:37" s="36" customFormat="1" ht="18.75">
      <c r="A53" s="39" t="s">
        <v>52</v>
      </c>
      <c r="B53" s="40" t="s">
        <v>105</v>
      </c>
      <c r="C53" s="654" t="s">
        <v>0</v>
      </c>
      <c r="D53" s="438">
        <f t="shared" si="103"/>
        <v>297.18</v>
      </c>
      <c r="E53" s="93">
        <v>72.95</v>
      </c>
      <c r="F53" s="93"/>
      <c r="G53" s="435">
        <v>224.23</v>
      </c>
      <c r="H53" s="477">
        <v>318.39999999999998</v>
      </c>
      <c r="I53" s="603">
        <f t="shared" si="104"/>
        <v>318.39999999999998</v>
      </c>
      <c r="J53" s="880"/>
      <c r="K53" s="596"/>
      <c r="L53" s="881">
        <f>H53</f>
        <v>318.39999999999998</v>
      </c>
      <c r="M53" s="603">
        <f t="shared" si="105"/>
        <v>325.93311636493905</v>
      </c>
      <c r="N53" s="623">
        <f t="shared" ref="N53" si="120">IF($N$20&gt;0,J53/$J$20*$N$20,0)</f>
        <v>0</v>
      </c>
      <c r="O53" s="596"/>
      <c r="P53" s="643">
        <f t="shared" si="115"/>
        <v>325.93311636493905</v>
      </c>
      <c r="Q53" s="603">
        <f t="shared" si="106"/>
        <v>335.58096111817702</v>
      </c>
      <c r="R53" s="622">
        <f t="shared" si="116"/>
        <v>0</v>
      </c>
      <c r="S53" s="596"/>
      <c r="T53" s="643">
        <f t="shared" si="107"/>
        <v>335.58096111817702</v>
      </c>
      <c r="U53" s="603">
        <f t="shared" si="108"/>
        <v>345.5142700631003</v>
      </c>
      <c r="V53" s="622">
        <f t="shared" si="109"/>
        <v>0</v>
      </c>
      <c r="W53" s="596"/>
      <c r="X53" s="643">
        <f t="shared" si="110"/>
        <v>345.5142700631003</v>
      </c>
      <c r="Y53" s="603">
        <f t="shared" si="111"/>
        <v>355.74149245696805</v>
      </c>
      <c r="Z53" s="622">
        <f t="shared" si="112"/>
        <v>0</v>
      </c>
      <c r="AA53" s="596"/>
      <c r="AB53" s="643">
        <f t="shared" si="113"/>
        <v>355.74149245696805</v>
      </c>
      <c r="AC53" s="633">
        <f t="shared" si="8"/>
        <v>1</v>
      </c>
      <c r="AD53" s="615">
        <f t="shared" si="9"/>
        <v>1.071404535971465</v>
      </c>
      <c r="AE53" s="615">
        <f t="shared" si="10"/>
        <v>1.0236592850657635</v>
      </c>
      <c r="AF53" s="615">
        <f t="shared" si="11"/>
        <v>1.0296006888187315</v>
      </c>
      <c r="AG53" s="615">
        <f t="shared" si="12"/>
        <v>1.0296003352270786</v>
      </c>
      <c r="AH53" s="176">
        <f t="shared" si="13"/>
        <v>1.0295999999999998</v>
      </c>
      <c r="AI53" s="1070"/>
      <c r="AJ53" s="47"/>
      <c r="AK53" s="46"/>
    </row>
    <row r="54" spans="1:37" s="36" customFormat="1" ht="31.5">
      <c r="A54" s="39" t="s">
        <v>53</v>
      </c>
      <c r="B54" s="40" t="s">
        <v>139</v>
      </c>
      <c r="C54" s="654" t="s">
        <v>0</v>
      </c>
      <c r="D54" s="443">
        <f>SUM(D55:D58)</f>
        <v>29.54</v>
      </c>
      <c r="E54" s="101">
        <f t="shared" ref="E54:G54" si="121">SUM(E55:E58)</f>
        <v>7.26</v>
      </c>
      <c r="F54" s="101">
        <f t="shared" si="121"/>
        <v>0</v>
      </c>
      <c r="G54" s="444">
        <f t="shared" si="121"/>
        <v>22.28</v>
      </c>
      <c r="H54" s="482">
        <f t="shared" ref="H54" si="122">SUM(H55:H58)</f>
        <v>164.88499999999999</v>
      </c>
      <c r="I54" s="443">
        <f>SUM(I55:I58)</f>
        <v>79.39</v>
      </c>
      <c r="J54" s="101">
        <f t="shared" ref="J54" si="123">SUM(J55:J58)</f>
        <v>12.37</v>
      </c>
      <c r="K54" s="101">
        <f t="shared" ref="K54" si="124">SUM(K55:K58)</f>
        <v>0</v>
      </c>
      <c r="L54" s="444">
        <f t="shared" ref="L54" si="125">SUM(L55:L58)</f>
        <v>67.02</v>
      </c>
      <c r="M54" s="443">
        <f>SUM(M55:M58)</f>
        <v>81.26828085342953</v>
      </c>
      <c r="N54" s="101">
        <f t="shared" ref="N54:P54" si="126">SUM(N55:N58)</f>
        <v>12.662635568322065</v>
      </c>
      <c r="O54" s="101">
        <f t="shared" si="126"/>
        <v>0</v>
      </c>
      <c r="P54" s="444">
        <f t="shared" si="126"/>
        <v>68.605645285107471</v>
      </c>
      <c r="Q54" s="443">
        <f>SUM(Q55:Q58)</f>
        <v>83.673834096468084</v>
      </c>
      <c r="R54" s="101">
        <f t="shared" ref="R54:T54" si="127">SUM(R55:R58)</f>
        <v>13.037414454067868</v>
      </c>
      <c r="S54" s="101">
        <f t="shared" si="127"/>
        <v>0</v>
      </c>
      <c r="T54" s="444">
        <f t="shared" si="127"/>
        <v>70.636419642400199</v>
      </c>
      <c r="U54" s="443">
        <f>SUM(U55:U58)</f>
        <v>86.150553222390485</v>
      </c>
      <c r="V54" s="101">
        <f t="shared" ref="V54:X54" si="128">SUM(V55:V58)</f>
        <v>13.423271879334635</v>
      </c>
      <c r="W54" s="101">
        <f t="shared" si="128"/>
        <v>0</v>
      </c>
      <c r="X54" s="444">
        <f t="shared" si="128"/>
        <v>72.72728134305585</v>
      </c>
      <c r="Y54" s="443">
        <f>SUM(Y55:Y58)</f>
        <v>88.700622027354171</v>
      </c>
      <c r="Z54" s="101">
        <f t="shared" ref="Z54:AB54" si="129">SUM(Z55:Z58)</f>
        <v>13.820613156543867</v>
      </c>
      <c r="AA54" s="101">
        <f t="shared" si="129"/>
        <v>0</v>
      </c>
      <c r="AB54" s="444">
        <f t="shared" si="129"/>
        <v>74.8800088708103</v>
      </c>
      <c r="AC54" s="633">
        <f t="shared" si="8"/>
        <v>0.48148709706765325</v>
      </c>
      <c r="AD54" s="615">
        <f t="shared" si="9"/>
        <v>2.6875423155044009</v>
      </c>
      <c r="AE54" s="615">
        <f t="shared" si="10"/>
        <v>1.0236589098555176</v>
      </c>
      <c r="AF54" s="615">
        <f t="shared" si="11"/>
        <v>1.0296001492559816</v>
      </c>
      <c r="AG54" s="615">
        <f t="shared" si="12"/>
        <v>1.029599684927393</v>
      </c>
      <c r="AH54" s="176">
        <f t="shared" si="13"/>
        <v>1.0296001442774361</v>
      </c>
      <c r="AI54" s="1070"/>
      <c r="AJ54" s="47"/>
    </row>
    <row r="55" spans="1:37" s="31" customFormat="1" ht="18.75" outlineLevel="1">
      <c r="A55" s="60"/>
      <c r="B55" s="57" t="s">
        <v>235</v>
      </c>
      <c r="C55" s="658" t="s">
        <v>0</v>
      </c>
      <c r="D55" s="438">
        <f t="shared" si="103"/>
        <v>0</v>
      </c>
      <c r="E55" s="100"/>
      <c r="F55" s="100"/>
      <c r="G55" s="439"/>
      <c r="H55" s="479">
        <f>47.165</f>
        <v>47.164999999999999</v>
      </c>
      <c r="I55" s="438">
        <f t="shared" ref="I55" si="130">J55+K55+L55</f>
        <v>47.17</v>
      </c>
      <c r="J55" s="102">
        <f>ROUND(H55*$J$137,2)</f>
        <v>7.35</v>
      </c>
      <c r="K55" s="100"/>
      <c r="L55" s="442">
        <f>ROUND(H55-J55,2)</f>
        <v>39.82</v>
      </c>
      <c r="M55" s="602">
        <f t="shared" ref="M55:M58" si="131">N55+O55+P55</f>
        <v>48.285990777168919</v>
      </c>
      <c r="N55" s="620">
        <f t="shared" ref="N55" si="132">IF($N$20&gt;0,J55/$J$20*$N$20,0)</f>
        <v>7.5238780458502159</v>
      </c>
      <c r="O55" s="100"/>
      <c r="P55" s="642">
        <f t="shared" ref="P55" si="133">IF($P$20&gt;0,L55/$L$20*$P$20,0)</f>
        <v>40.762112731318702</v>
      </c>
      <c r="Q55" s="438">
        <f t="shared" ref="Q55" si="134">R55+S55+T55</f>
        <v>49.715263310092311</v>
      </c>
      <c r="R55" s="620">
        <f t="shared" ref="R55" si="135">IF($R$20&gt;0,N55/$N$20*$R$20,0)</f>
        <v>7.7465639642197921</v>
      </c>
      <c r="S55" s="100"/>
      <c r="T55" s="642">
        <f t="shared" ref="T55" si="136">IF($T$20&gt;0,P55/$P$20*$T$20,0)</f>
        <v>41.968699345872515</v>
      </c>
      <c r="U55" s="438">
        <f t="shared" ref="U55" si="137">V55+W55+X55</f>
        <v>51.186819438845809</v>
      </c>
      <c r="V55" s="620">
        <f t="shared" ref="V55" si="138">IF($V$20&gt;0,R55/$R$20*$V$20,0)</f>
        <v>7.9758325232909915</v>
      </c>
      <c r="W55" s="100"/>
      <c r="X55" s="642">
        <f t="shared" ref="X55" si="139">IF($X$20&gt;0,T55/$T$20*$X$20,0)</f>
        <v>43.21098691555482</v>
      </c>
      <c r="Y55" s="438">
        <f t="shared" ref="Y55" si="140">Z55+AA55+AB55</f>
        <v>52.701956679637412</v>
      </c>
      <c r="Z55" s="620">
        <f t="shared" ref="Z55" si="141">IF($Z$20&gt;0,V55/$V$20*$Z$20,0)</f>
        <v>8.2119245513821681</v>
      </c>
      <c r="AA55" s="100"/>
      <c r="AB55" s="642">
        <f t="shared" ref="AB55" si="142">IF($AB$20&gt;0,X55/$X$20*$AB$20,0)</f>
        <v>44.490032128255244</v>
      </c>
      <c r="AC55" s="633">
        <f t="shared" si="8"/>
        <v>1.000106010813103</v>
      </c>
      <c r="AD55" s="615" t="str">
        <f t="shared" si="9"/>
        <v xml:space="preserve"> </v>
      </c>
      <c r="AE55" s="615">
        <f t="shared" si="10"/>
        <v>1.0236589098403417</v>
      </c>
      <c r="AF55" s="615">
        <f t="shared" si="11"/>
        <v>1.0296001492341582</v>
      </c>
      <c r="AG55" s="615">
        <f t="shared" si="12"/>
        <v>1.0295996849010909</v>
      </c>
      <c r="AH55" s="176">
        <f t="shared" si="13"/>
        <v>1.0296001442832714</v>
      </c>
      <c r="AI55" s="1070"/>
      <c r="AJ55" s="61"/>
    </row>
    <row r="56" spans="1:37" s="31" customFormat="1" ht="18.75" outlineLevel="1">
      <c r="A56" s="60"/>
      <c r="B56" s="57" t="s">
        <v>236</v>
      </c>
      <c r="C56" s="658" t="s">
        <v>0</v>
      </c>
      <c r="D56" s="438">
        <f t="shared" si="103"/>
        <v>0</v>
      </c>
      <c r="E56" s="100"/>
      <c r="F56" s="100"/>
      <c r="G56" s="439"/>
      <c r="H56" s="479">
        <v>85.5</v>
      </c>
      <c r="I56" s="494">
        <f t="shared" ref="I56:I58" si="143">J56+K56+L56</f>
        <v>0</v>
      </c>
      <c r="J56" s="100"/>
      <c r="K56" s="100"/>
      <c r="L56" s="439"/>
      <c r="M56" s="494">
        <f t="shared" si="131"/>
        <v>0</v>
      </c>
      <c r="N56" s="100"/>
      <c r="O56" s="100"/>
      <c r="P56" s="439"/>
      <c r="Q56" s="494">
        <f t="shared" ref="Q56:Q58" si="144">R56+S56+T56</f>
        <v>0</v>
      </c>
      <c r="R56" s="100"/>
      <c r="S56" s="100"/>
      <c r="T56" s="439"/>
      <c r="U56" s="494">
        <f t="shared" ref="U56:U58" si="145">V56+W56+X56</f>
        <v>0</v>
      </c>
      <c r="V56" s="100"/>
      <c r="W56" s="100"/>
      <c r="X56" s="439"/>
      <c r="Y56" s="494">
        <f t="shared" ref="Y56:Y58" si="146">Z56+AA56+AB56</f>
        <v>0</v>
      </c>
      <c r="Z56" s="100"/>
      <c r="AA56" s="100"/>
      <c r="AB56" s="439"/>
      <c r="AC56" s="633">
        <f t="shared" si="8"/>
        <v>0</v>
      </c>
      <c r="AD56" s="615" t="str">
        <f t="shared" si="9"/>
        <v xml:space="preserve"> </v>
      </c>
      <c r="AE56" s="615" t="str">
        <f t="shared" si="10"/>
        <v xml:space="preserve"> </v>
      </c>
      <c r="AF56" s="615" t="str">
        <f t="shared" si="11"/>
        <v xml:space="preserve"> </v>
      </c>
      <c r="AG56" s="615" t="str">
        <f t="shared" si="12"/>
        <v xml:space="preserve"> </v>
      </c>
      <c r="AH56" s="176" t="str">
        <f t="shared" si="13"/>
        <v xml:space="preserve"> </v>
      </c>
      <c r="AI56" s="1070"/>
      <c r="AJ56" s="61"/>
    </row>
    <row r="57" spans="1:37" s="31" customFormat="1" ht="18.75" outlineLevel="1">
      <c r="A57" s="60"/>
      <c r="B57" s="57" t="s">
        <v>404</v>
      </c>
      <c r="C57" s="658" t="s">
        <v>0</v>
      </c>
      <c r="D57" s="438">
        <f t="shared" si="103"/>
        <v>0</v>
      </c>
      <c r="E57" s="100"/>
      <c r="F57" s="100"/>
      <c r="G57" s="439"/>
      <c r="H57" s="479"/>
      <c r="I57" s="438">
        <f t="shared" si="143"/>
        <v>0</v>
      </c>
      <c r="J57" s="100"/>
      <c r="K57" s="100"/>
      <c r="L57" s="439"/>
      <c r="M57" s="438">
        <f t="shared" si="131"/>
        <v>0</v>
      </c>
      <c r="N57" s="100"/>
      <c r="O57" s="100"/>
      <c r="P57" s="439"/>
      <c r="Q57" s="438">
        <f t="shared" si="144"/>
        <v>0</v>
      </c>
      <c r="R57" s="100"/>
      <c r="S57" s="100"/>
      <c r="T57" s="439"/>
      <c r="U57" s="438">
        <f t="shared" si="145"/>
        <v>0</v>
      </c>
      <c r="V57" s="100"/>
      <c r="W57" s="100"/>
      <c r="X57" s="439"/>
      <c r="Y57" s="438">
        <f t="shared" si="146"/>
        <v>0</v>
      </c>
      <c r="Z57" s="100"/>
      <c r="AA57" s="100"/>
      <c r="AB57" s="439"/>
      <c r="AC57" s="633" t="str">
        <f t="shared" si="8"/>
        <v xml:space="preserve"> </v>
      </c>
      <c r="AD57" s="615" t="str">
        <f t="shared" si="9"/>
        <v xml:space="preserve"> </v>
      </c>
      <c r="AE57" s="615" t="str">
        <f t="shared" si="10"/>
        <v xml:space="preserve"> </v>
      </c>
      <c r="AF57" s="615" t="str">
        <f t="shared" si="11"/>
        <v xml:space="preserve"> </v>
      </c>
      <c r="AG57" s="615" t="str">
        <f t="shared" si="12"/>
        <v xml:space="preserve"> </v>
      </c>
      <c r="AH57" s="176" t="str">
        <f t="shared" si="13"/>
        <v xml:space="preserve"> </v>
      </c>
      <c r="AI57" s="1070"/>
      <c r="AJ57" s="348"/>
    </row>
    <row r="58" spans="1:37" s="179" customFormat="1" ht="18.75" outlineLevel="1">
      <c r="A58" s="60"/>
      <c r="B58" s="57" t="s">
        <v>250</v>
      </c>
      <c r="C58" s="658" t="s">
        <v>0</v>
      </c>
      <c r="D58" s="438">
        <f t="shared" si="103"/>
        <v>29.54</v>
      </c>
      <c r="E58" s="100">
        <v>7.26</v>
      </c>
      <c r="F58" s="100"/>
      <c r="G58" s="439">
        <v>22.28</v>
      </c>
      <c r="H58" s="479">
        <v>32.22</v>
      </c>
      <c r="I58" s="438">
        <f t="shared" si="143"/>
        <v>32.22</v>
      </c>
      <c r="J58" s="102">
        <f>ROUND(H58*$J$137,2)</f>
        <v>5.0199999999999996</v>
      </c>
      <c r="K58" s="100"/>
      <c r="L58" s="442">
        <f>ROUND(H58-J58,2)</f>
        <v>27.2</v>
      </c>
      <c r="M58" s="438">
        <f t="shared" si="131"/>
        <v>32.982290076260618</v>
      </c>
      <c r="N58" s="620">
        <f t="shared" ref="N58" si="147">IF($N$20&gt;0,J58/$J$20*$N$20,0)</f>
        <v>5.1387575224718489</v>
      </c>
      <c r="O58" s="100"/>
      <c r="P58" s="642">
        <f t="shared" ref="P58" si="148">IF($P$20&gt;0,L58/$L$20*$P$20,0)</f>
        <v>27.843532553788769</v>
      </c>
      <c r="Q58" s="438">
        <f t="shared" si="144"/>
        <v>33.958570786375766</v>
      </c>
      <c r="R58" s="620">
        <f t="shared" ref="R58" si="149">IF($R$20&gt;0,N58/$N$20*$R$20,0)</f>
        <v>5.2908504898480766</v>
      </c>
      <c r="S58" s="100"/>
      <c r="T58" s="642">
        <f t="shared" ref="T58" si="150">IF($T$20&gt;0,P58/$P$20*$T$20,0)</f>
        <v>28.667720296527687</v>
      </c>
      <c r="U58" s="438">
        <f t="shared" si="145"/>
        <v>34.963733783544676</v>
      </c>
      <c r="V58" s="620">
        <f t="shared" ref="V58" si="151">IF($V$20&gt;0,R58/$R$20*$V$20,0)</f>
        <v>5.4474393560436445</v>
      </c>
      <c r="W58" s="100"/>
      <c r="X58" s="642">
        <f t="shared" ref="X58" si="152">IF($X$20&gt;0,T58/$T$20*$X$20,0)</f>
        <v>29.51629442750103</v>
      </c>
      <c r="Y58" s="438">
        <f t="shared" si="146"/>
        <v>35.998665347716759</v>
      </c>
      <c r="Z58" s="620">
        <f t="shared" ref="Z58" si="153">IF($Z$20&gt;0,V58/$V$20*$Z$20,0)</f>
        <v>5.6086886051617002</v>
      </c>
      <c r="AA58" s="100"/>
      <c r="AB58" s="642">
        <f t="shared" ref="AB58" si="154">IF($AB$20&gt;0,X58/$X$20*$AB$20,0)</f>
        <v>30.38997674255506</v>
      </c>
      <c r="AC58" s="633">
        <f t="shared" si="8"/>
        <v>1</v>
      </c>
      <c r="AD58" s="615">
        <f t="shared" si="9"/>
        <v>1.0907244414353419</v>
      </c>
      <c r="AE58" s="615">
        <f t="shared" si="10"/>
        <v>1.0236589098777349</v>
      </c>
      <c r="AF58" s="615">
        <f t="shared" si="11"/>
        <v>1.0296001492879308</v>
      </c>
      <c r="AG58" s="615">
        <f t="shared" si="12"/>
        <v>1.0295996849658993</v>
      </c>
      <c r="AH58" s="176">
        <f t="shared" si="13"/>
        <v>1.0296001442688929</v>
      </c>
      <c r="AI58" s="1072"/>
      <c r="AJ58" s="178"/>
    </row>
    <row r="59" spans="1:37" s="33" customFormat="1" ht="18.75">
      <c r="A59" s="1235" t="s">
        <v>106</v>
      </c>
      <c r="B59" s="1236"/>
      <c r="C59" s="647" t="s">
        <v>0</v>
      </c>
      <c r="D59" s="640">
        <f>SUM(D60,D63,D72:D75,D79,D80:D82)</f>
        <v>3609.1349999999998</v>
      </c>
      <c r="E59" s="619">
        <f t="shared" ref="E59:G59" si="155">SUM(E60,E63,E72:E75,E79,E80:E82)</f>
        <v>2237.0749999999998</v>
      </c>
      <c r="F59" s="619">
        <f t="shared" si="155"/>
        <v>0</v>
      </c>
      <c r="G59" s="641">
        <f t="shared" si="155"/>
        <v>1372.06</v>
      </c>
      <c r="H59" s="651">
        <f t="shared" ref="H59" si="156">SUM(H60,H63,H72:H75,H79,H80:H82)</f>
        <v>4218.0540000000001</v>
      </c>
      <c r="I59" s="640">
        <f>SUM(I60,I63,I72:I75,I79,I80:I82)</f>
        <v>2150.52</v>
      </c>
      <c r="J59" s="619">
        <f t="shared" ref="J59:L59" si="157">SUM(J60,J63,J72:J75,J79,J80:J82)</f>
        <v>1268.6300000000001</v>
      </c>
      <c r="K59" s="619">
        <f t="shared" si="157"/>
        <v>0</v>
      </c>
      <c r="L59" s="641">
        <f t="shared" si="157"/>
        <v>881.89</v>
      </c>
      <c r="M59" s="640">
        <f>SUM(M60,M63,M72:M75,M79,M80:M82)</f>
        <v>2168.29</v>
      </c>
      <c r="N59" s="619">
        <f t="shared" ref="N59:P59" si="158">SUM(N60,N63,N72:N75,N79,N80:N82)</f>
        <v>1271.4100000000001</v>
      </c>
      <c r="O59" s="619">
        <f t="shared" si="158"/>
        <v>0</v>
      </c>
      <c r="P59" s="641">
        <f t="shared" si="158"/>
        <v>896.88</v>
      </c>
      <c r="Q59" s="640">
        <f>SUM(Q60,Q63,Q72:Q75,Q79,Q80:Q82)</f>
        <v>2191</v>
      </c>
      <c r="R59" s="619">
        <f t="shared" ref="R59:T59" si="159">SUM(R60,R63,R72:R75,R79,R80:R82)</f>
        <v>1274.94</v>
      </c>
      <c r="S59" s="619">
        <f t="shared" si="159"/>
        <v>0</v>
      </c>
      <c r="T59" s="641">
        <f t="shared" si="159"/>
        <v>916.06000000000006</v>
      </c>
      <c r="U59" s="640">
        <f>SUM(U60,U63,U72:U75,U79,U80:U82)</f>
        <v>2214.42</v>
      </c>
      <c r="V59" s="619">
        <f t="shared" ref="V59:X59" si="160">SUM(V60,V63,V72:V75,V79,V80:V82)</f>
        <v>1278.5999999999999</v>
      </c>
      <c r="W59" s="619">
        <f t="shared" si="160"/>
        <v>0</v>
      </c>
      <c r="X59" s="641">
        <f t="shared" si="160"/>
        <v>935.82</v>
      </c>
      <c r="Y59" s="640">
        <f>SUM(Y60,Y63,Y72:Y75,Y79,Y80:Y82)</f>
        <v>2148.6800000000003</v>
      </c>
      <c r="Z59" s="619">
        <f t="shared" ref="Z59:AB59" si="161">SUM(Z60,Z63,Z72:Z75,Z79,Z80:Z82)</f>
        <v>1192.52</v>
      </c>
      <c r="AA59" s="619">
        <f t="shared" si="161"/>
        <v>0</v>
      </c>
      <c r="AB59" s="641">
        <f t="shared" si="161"/>
        <v>956.16</v>
      </c>
      <c r="AC59" s="633">
        <f t="shared" si="8"/>
        <v>0.50983700066428739</v>
      </c>
      <c r="AD59" s="615">
        <f t="shared" si="9"/>
        <v>0.59585468540245801</v>
      </c>
      <c r="AE59" s="615">
        <f t="shared" si="10"/>
        <v>1.0082631177575656</v>
      </c>
      <c r="AF59" s="615">
        <f t="shared" si="11"/>
        <v>1.0104736912497867</v>
      </c>
      <c r="AG59" s="615">
        <f t="shared" si="12"/>
        <v>1.0106891830214515</v>
      </c>
      <c r="AH59" s="176">
        <f t="shared" si="13"/>
        <v>0.97031276812890066</v>
      </c>
      <c r="AI59" s="1069"/>
    </row>
    <row r="60" spans="1:37" s="36" customFormat="1" ht="31.5">
      <c r="A60" s="39" t="s">
        <v>28</v>
      </c>
      <c r="B60" s="63" t="s">
        <v>107</v>
      </c>
      <c r="C60" s="659" t="s">
        <v>0</v>
      </c>
      <c r="D60" s="443">
        <f t="shared" ref="D60:G60" si="162">SUM(D61:D62)</f>
        <v>0</v>
      </c>
      <c r="E60" s="101">
        <f t="shared" si="162"/>
        <v>0</v>
      </c>
      <c r="F60" s="101">
        <f t="shared" si="162"/>
        <v>0</v>
      </c>
      <c r="G60" s="444">
        <f t="shared" si="162"/>
        <v>0</v>
      </c>
      <c r="H60" s="482">
        <f t="shared" ref="H60:L60" si="163">SUM(H61:H62)</f>
        <v>0</v>
      </c>
      <c r="I60" s="443">
        <f t="shared" si="163"/>
        <v>0</v>
      </c>
      <c r="J60" s="101">
        <f t="shared" si="163"/>
        <v>0</v>
      </c>
      <c r="K60" s="101">
        <f t="shared" si="163"/>
        <v>0</v>
      </c>
      <c r="L60" s="444">
        <f t="shared" si="163"/>
        <v>0</v>
      </c>
      <c r="M60" s="443">
        <f t="shared" ref="M60:P60" si="164">SUM(M61:M62)</f>
        <v>0</v>
      </c>
      <c r="N60" s="101">
        <f t="shared" si="164"/>
        <v>0</v>
      </c>
      <c r="O60" s="101">
        <f t="shared" si="164"/>
        <v>0</v>
      </c>
      <c r="P60" s="444">
        <f t="shared" si="164"/>
        <v>0</v>
      </c>
      <c r="Q60" s="443">
        <f t="shared" ref="Q60:T60" si="165">SUM(Q61:Q62)</f>
        <v>0</v>
      </c>
      <c r="R60" s="101">
        <f t="shared" si="165"/>
        <v>0</v>
      </c>
      <c r="S60" s="101">
        <f t="shared" si="165"/>
        <v>0</v>
      </c>
      <c r="T60" s="444">
        <f t="shared" si="165"/>
        <v>0</v>
      </c>
      <c r="U60" s="443">
        <f t="shared" ref="U60:X60" si="166">SUM(U61:U62)</f>
        <v>0</v>
      </c>
      <c r="V60" s="101">
        <f t="shared" si="166"/>
        <v>0</v>
      </c>
      <c r="W60" s="101">
        <f t="shared" si="166"/>
        <v>0</v>
      </c>
      <c r="X60" s="444">
        <f t="shared" si="166"/>
        <v>0</v>
      </c>
      <c r="Y60" s="443">
        <f t="shared" ref="Y60:AB60" si="167">SUM(Y61:Y62)</f>
        <v>0</v>
      </c>
      <c r="Z60" s="101">
        <f t="shared" si="167"/>
        <v>0</v>
      </c>
      <c r="AA60" s="101">
        <f t="shared" si="167"/>
        <v>0</v>
      </c>
      <c r="AB60" s="444">
        <f t="shared" si="167"/>
        <v>0</v>
      </c>
      <c r="AC60" s="633" t="str">
        <f t="shared" si="8"/>
        <v xml:space="preserve"> </v>
      </c>
      <c r="AD60" s="615" t="str">
        <f t="shared" si="9"/>
        <v xml:space="preserve"> </v>
      </c>
      <c r="AE60" s="615" t="str">
        <f t="shared" si="10"/>
        <v xml:space="preserve"> </v>
      </c>
      <c r="AF60" s="615" t="str">
        <f t="shared" si="11"/>
        <v xml:space="preserve"> </v>
      </c>
      <c r="AG60" s="615" t="str">
        <f t="shared" si="12"/>
        <v xml:space="preserve"> </v>
      </c>
      <c r="AH60" s="176" t="str">
        <f t="shared" si="13"/>
        <v xml:space="preserve"> </v>
      </c>
      <c r="AI60" s="1070"/>
    </row>
    <row r="61" spans="1:37" s="31" customFormat="1" ht="18.75">
      <c r="A61" s="60" t="s">
        <v>29</v>
      </c>
      <c r="B61" s="62" t="s">
        <v>108</v>
      </c>
      <c r="C61" s="660" t="s">
        <v>0</v>
      </c>
      <c r="D61" s="438">
        <f t="shared" ref="D61:D82" si="168">E61+F61+G61</f>
        <v>0</v>
      </c>
      <c r="E61" s="100"/>
      <c r="F61" s="100"/>
      <c r="G61" s="439"/>
      <c r="H61" s="479"/>
      <c r="I61" s="438">
        <f t="shared" ref="I61:I62" si="169">J61+K61+L61</f>
        <v>0</v>
      </c>
      <c r="J61" s="100"/>
      <c r="K61" s="100"/>
      <c r="L61" s="439"/>
      <c r="M61" s="438">
        <f t="shared" ref="M61:M62" si="170">N61+O61+P61</f>
        <v>0</v>
      </c>
      <c r="N61" s="100"/>
      <c r="O61" s="100"/>
      <c r="P61" s="439"/>
      <c r="Q61" s="438">
        <f t="shared" ref="Q61:Q62" si="171">R61+S61+T61</f>
        <v>0</v>
      </c>
      <c r="R61" s="100"/>
      <c r="S61" s="100"/>
      <c r="T61" s="439"/>
      <c r="U61" s="438">
        <f t="shared" ref="U61:U62" si="172">V61+W61+X61</f>
        <v>0</v>
      </c>
      <c r="V61" s="100"/>
      <c r="W61" s="100"/>
      <c r="X61" s="439"/>
      <c r="Y61" s="438">
        <f t="shared" ref="Y61:Y62" si="173">Z61+AA61+AB61</f>
        <v>0</v>
      </c>
      <c r="Z61" s="100"/>
      <c r="AA61" s="100"/>
      <c r="AB61" s="439"/>
      <c r="AC61" s="633" t="str">
        <f t="shared" si="8"/>
        <v xml:space="preserve"> </v>
      </c>
      <c r="AD61" s="615" t="str">
        <f t="shared" si="9"/>
        <v xml:space="preserve"> </v>
      </c>
      <c r="AE61" s="615" t="str">
        <f t="shared" si="10"/>
        <v xml:space="preserve"> </v>
      </c>
      <c r="AF61" s="615" t="str">
        <f t="shared" si="11"/>
        <v xml:space="preserve"> </v>
      </c>
      <c r="AG61" s="615" t="str">
        <f t="shared" si="12"/>
        <v xml:space="preserve"> </v>
      </c>
      <c r="AH61" s="176" t="str">
        <f t="shared" si="13"/>
        <v xml:space="preserve"> </v>
      </c>
      <c r="AI61" s="1070"/>
    </row>
    <row r="62" spans="1:37" s="31" customFormat="1" ht="18.75">
      <c r="A62" s="60" t="s">
        <v>30</v>
      </c>
      <c r="B62" s="62" t="s">
        <v>47</v>
      </c>
      <c r="C62" s="660" t="s">
        <v>0</v>
      </c>
      <c r="D62" s="438">
        <f t="shared" si="168"/>
        <v>0</v>
      </c>
      <c r="E62" s="100"/>
      <c r="F62" s="100"/>
      <c r="G62" s="439"/>
      <c r="H62" s="479"/>
      <c r="I62" s="438">
        <f t="shared" si="169"/>
        <v>0</v>
      </c>
      <c r="J62" s="100"/>
      <c r="K62" s="100"/>
      <c r="L62" s="439"/>
      <c r="M62" s="438">
        <f t="shared" si="170"/>
        <v>0</v>
      </c>
      <c r="N62" s="100"/>
      <c r="O62" s="100"/>
      <c r="P62" s="439"/>
      <c r="Q62" s="438">
        <f t="shared" si="171"/>
        <v>0</v>
      </c>
      <c r="R62" s="100"/>
      <c r="S62" s="100"/>
      <c r="T62" s="439"/>
      <c r="U62" s="438">
        <f t="shared" si="172"/>
        <v>0</v>
      </c>
      <c r="V62" s="100"/>
      <c r="W62" s="100"/>
      <c r="X62" s="439"/>
      <c r="Y62" s="438">
        <f t="shared" si="173"/>
        <v>0</v>
      </c>
      <c r="Z62" s="100"/>
      <c r="AA62" s="100"/>
      <c r="AB62" s="439"/>
      <c r="AC62" s="633" t="str">
        <f t="shared" si="8"/>
        <v xml:space="preserve"> </v>
      </c>
      <c r="AD62" s="615" t="str">
        <f t="shared" si="9"/>
        <v xml:space="preserve"> </v>
      </c>
      <c r="AE62" s="615" t="str">
        <f t="shared" si="10"/>
        <v xml:space="preserve"> </v>
      </c>
      <c r="AF62" s="615" t="str">
        <f t="shared" si="11"/>
        <v xml:space="preserve"> </v>
      </c>
      <c r="AG62" s="615" t="str">
        <f t="shared" si="12"/>
        <v xml:space="preserve"> </v>
      </c>
      <c r="AH62" s="176" t="str">
        <f t="shared" si="13"/>
        <v xml:space="preserve"> </v>
      </c>
      <c r="AI62" s="1070"/>
    </row>
    <row r="63" spans="1:37" s="36" customFormat="1" ht="31.5">
      <c r="A63" s="39" t="s">
        <v>31</v>
      </c>
      <c r="B63" s="63" t="s">
        <v>109</v>
      </c>
      <c r="C63" s="659" t="s">
        <v>0</v>
      </c>
      <c r="D63" s="443">
        <f>SUM(D64:D71)</f>
        <v>858.54</v>
      </c>
      <c r="E63" s="101">
        <f>SUM(E64:E71)</f>
        <v>27.65</v>
      </c>
      <c r="F63" s="101">
        <f t="shared" ref="F63" si="174">SUM(F64:F71)</f>
        <v>0</v>
      </c>
      <c r="G63" s="444">
        <f>SUM(G64:G71)</f>
        <v>830.89</v>
      </c>
      <c r="H63" s="482">
        <f>SUM(H64:H71)</f>
        <v>987.14</v>
      </c>
      <c r="I63" s="443">
        <f>SUM(I64:I71)</f>
        <v>266.77</v>
      </c>
      <c r="J63" s="101">
        <f>SUM(J64:J71)</f>
        <v>18.170000000000002</v>
      </c>
      <c r="K63" s="101">
        <f t="shared" ref="K63" si="175">SUM(K64:K71)</f>
        <v>0</v>
      </c>
      <c r="L63" s="444">
        <f>SUM(L64:L71)</f>
        <v>248.6</v>
      </c>
      <c r="M63" s="443">
        <f>SUM(M64:M71)</f>
        <v>266.77</v>
      </c>
      <c r="N63" s="101">
        <f>SUM(N64:N71)</f>
        <v>18.170000000000002</v>
      </c>
      <c r="O63" s="101">
        <f t="shared" ref="O63" si="176">SUM(O64:O71)</f>
        <v>0</v>
      </c>
      <c r="P63" s="444">
        <f>SUM(P64:P71)</f>
        <v>248.6</v>
      </c>
      <c r="Q63" s="443">
        <f>SUM(Q64:Q71)</f>
        <v>266.77</v>
      </c>
      <c r="R63" s="101">
        <f>SUM(R64:R71)</f>
        <v>18.170000000000002</v>
      </c>
      <c r="S63" s="101">
        <f t="shared" ref="S63" si="177">SUM(S64:S71)</f>
        <v>0</v>
      </c>
      <c r="T63" s="444">
        <f>SUM(T64:T71)</f>
        <v>248.6</v>
      </c>
      <c r="U63" s="443">
        <f>SUM(U64:U71)</f>
        <v>266.77</v>
      </c>
      <c r="V63" s="101">
        <f>SUM(V64:V71)</f>
        <v>18.170000000000002</v>
      </c>
      <c r="W63" s="101">
        <f t="shared" ref="W63" si="178">SUM(W64:W71)</f>
        <v>0</v>
      </c>
      <c r="X63" s="444">
        <f>SUM(X64:X71)</f>
        <v>248.6</v>
      </c>
      <c r="Y63" s="443">
        <f>SUM(Y64:Y71)</f>
        <v>266.77</v>
      </c>
      <c r="Z63" s="101">
        <f>SUM(Z64:Z71)</f>
        <v>18.170000000000002</v>
      </c>
      <c r="AA63" s="101">
        <f t="shared" ref="AA63" si="179">SUM(AA64:AA71)</f>
        <v>0</v>
      </c>
      <c r="AB63" s="444">
        <f>SUM(AB64:AB71)</f>
        <v>248.6</v>
      </c>
      <c r="AC63" s="633">
        <f t="shared" si="8"/>
        <v>0.2702453552687562</v>
      </c>
      <c r="AD63" s="615">
        <f t="shared" si="9"/>
        <v>0.310725184615743</v>
      </c>
      <c r="AE63" s="615">
        <f t="shared" si="10"/>
        <v>1</v>
      </c>
      <c r="AF63" s="615">
        <f t="shared" si="11"/>
        <v>1</v>
      </c>
      <c r="AG63" s="615">
        <f t="shared" si="12"/>
        <v>1</v>
      </c>
      <c r="AH63" s="176">
        <f t="shared" si="13"/>
        <v>1</v>
      </c>
      <c r="AI63" s="1070"/>
    </row>
    <row r="64" spans="1:37" s="31" customFormat="1" ht="47.25" outlineLevel="1">
      <c r="A64" s="60"/>
      <c r="B64" s="64" t="s">
        <v>248</v>
      </c>
      <c r="C64" s="658" t="s">
        <v>0</v>
      </c>
      <c r="D64" s="438">
        <f t="shared" si="168"/>
        <v>0</v>
      </c>
      <c r="E64" s="100"/>
      <c r="F64" s="100"/>
      <c r="G64" s="439"/>
      <c r="H64" s="479"/>
      <c r="I64" s="438">
        <f t="shared" ref="I64:I74" si="180">J64+K64+L64</f>
        <v>0</v>
      </c>
      <c r="J64" s="100"/>
      <c r="K64" s="100"/>
      <c r="L64" s="439"/>
      <c r="M64" s="438">
        <f t="shared" ref="M64:M74" si="181">N64+O64+P64</f>
        <v>0</v>
      </c>
      <c r="N64" s="100"/>
      <c r="O64" s="100"/>
      <c r="P64" s="439"/>
      <c r="Q64" s="438">
        <f t="shared" ref="Q64:Q74" si="182">R64+S64+T64</f>
        <v>0</v>
      </c>
      <c r="R64" s="100"/>
      <c r="S64" s="100"/>
      <c r="T64" s="439"/>
      <c r="U64" s="438">
        <f t="shared" ref="U64:U74" si="183">V64+W64+X64</f>
        <v>0</v>
      </c>
      <c r="V64" s="100"/>
      <c r="W64" s="100"/>
      <c r="X64" s="439"/>
      <c r="Y64" s="438">
        <f t="shared" ref="Y64:Y74" si="184">Z64+AA64+AB64</f>
        <v>0</v>
      </c>
      <c r="Z64" s="100"/>
      <c r="AA64" s="100"/>
      <c r="AB64" s="439"/>
      <c r="AC64" s="633" t="str">
        <f t="shared" si="8"/>
        <v xml:space="preserve"> </v>
      </c>
      <c r="AD64" s="615" t="str">
        <f t="shared" si="9"/>
        <v xml:space="preserve"> </v>
      </c>
      <c r="AE64" s="615" t="str">
        <f t="shared" si="10"/>
        <v xml:space="preserve"> </v>
      </c>
      <c r="AF64" s="615" t="str">
        <f t="shared" si="11"/>
        <v xml:space="preserve"> </v>
      </c>
      <c r="AG64" s="615" t="str">
        <f t="shared" si="12"/>
        <v xml:space="preserve"> </v>
      </c>
      <c r="AH64" s="176" t="str">
        <f t="shared" si="13"/>
        <v xml:space="preserve"> </v>
      </c>
      <c r="AI64" s="1070"/>
    </row>
    <row r="65" spans="1:37" s="31" customFormat="1" ht="31.5">
      <c r="A65" s="60"/>
      <c r="B65" s="64" t="s">
        <v>110</v>
      </c>
      <c r="C65" s="658" t="s">
        <v>0</v>
      </c>
      <c r="D65" s="438">
        <f t="shared" si="168"/>
        <v>10</v>
      </c>
      <c r="E65" s="100">
        <v>10</v>
      </c>
      <c r="F65" s="100"/>
      <c r="G65" s="439"/>
      <c r="H65" s="479">
        <v>26.96</v>
      </c>
      <c r="I65" s="438">
        <f t="shared" si="180"/>
        <v>18.170000000000002</v>
      </c>
      <c r="J65" s="882">
        <f>ROUND(9+9.17017,2)</f>
        <v>18.170000000000002</v>
      </c>
      <c r="K65" s="100"/>
      <c r="L65" s="439"/>
      <c r="M65" s="438">
        <f t="shared" si="181"/>
        <v>18.170000000000002</v>
      </c>
      <c r="N65" s="882">
        <f>J65</f>
        <v>18.170000000000002</v>
      </c>
      <c r="O65" s="882"/>
      <c r="P65" s="883"/>
      <c r="Q65" s="602">
        <f t="shared" si="182"/>
        <v>18.170000000000002</v>
      </c>
      <c r="R65" s="882">
        <f>N65</f>
        <v>18.170000000000002</v>
      </c>
      <c r="S65" s="882"/>
      <c r="T65" s="883"/>
      <c r="U65" s="602">
        <f t="shared" si="183"/>
        <v>18.170000000000002</v>
      </c>
      <c r="V65" s="882">
        <f>R65</f>
        <v>18.170000000000002</v>
      </c>
      <c r="W65" s="882"/>
      <c r="X65" s="883"/>
      <c r="Y65" s="602">
        <f t="shared" si="184"/>
        <v>18.170000000000002</v>
      </c>
      <c r="Z65" s="882">
        <f>V65</f>
        <v>18.170000000000002</v>
      </c>
      <c r="AA65" s="882"/>
      <c r="AB65" s="883"/>
      <c r="AC65" s="633">
        <f t="shared" si="8"/>
        <v>0.67396142433234429</v>
      </c>
      <c r="AD65" s="615">
        <f t="shared" si="9"/>
        <v>1.8170000000000002</v>
      </c>
      <c r="AE65" s="615">
        <f t="shared" si="10"/>
        <v>1</v>
      </c>
      <c r="AF65" s="615">
        <f t="shared" si="11"/>
        <v>1</v>
      </c>
      <c r="AG65" s="615">
        <f t="shared" si="12"/>
        <v>1</v>
      </c>
      <c r="AH65" s="176">
        <f t="shared" si="13"/>
        <v>1</v>
      </c>
      <c r="AI65" s="1070" t="s">
        <v>563</v>
      </c>
    </row>
    <row r="66" spans="1:37" s="31" customFormat="1" ht="21.75" customHeight="1">
      <c r="A66" s="60"/>
      <c r="B66" s="64" t="s">
        <v>111</v>
      </c>
      <c r="C66" s="658" t="s">
        <v>0</v>
      </c>
      <c r="D66" s="438">
        <f t="shared" si="168"/>
        <v>17.649999999999999</v>
      </c>
      <c r="E66" s="100">
        <v>17.649999999999999</v>
      </c>
      <c r="F66" s="100"/>
      <c r="G66" s="439"/>
      <c r="H66" s="479">
        <v>17.899999999999999</v>
      </c>
      <c r="I66" s="438">
        <f t="shared" si="180"/>
        <v>0</v>
      </c>
      <c r="J66" s="495">
        <v>0</v>
      </c>
      <c r="K66" s="100"/>
      <c r="L66" s="439"/>
      <c r="M66" s="438">
        <f t="shared" si="181"/>
        <v>0</v>
      </c>
      <c r="N66" s="882">
        <v>0</v>
      </c>
      <c r="O66" s="882"/>
      <c r="P66" s="883"/>
      <c r="Q66" s="602">
        <f t="shared" si="182"/>
        <v>0</v>
      </c>
      <c r="R66" s="882">
        <v>0</v>
      </c>
      <c r="S66" s="882"/>
      <c r="T66" s="883"/>
      <c r="U66" s="602">
        <f t="shared" si="183"/>
        <v>0</v>
      </c>
      <c r="V66" s="882">
        <v>0</v>
      </c>
      <c r="W66" s="882"/>
      <c r="X66" s="883"/>
      <c r="Y66" s="602">
        <f t="shared" si="184"/>
        <v>0</v>
      </c>
      <c r="Z66" s="882">
        <v>0</v>
      </c>
      <c r="AA66" s="882"/>
      <c r="AB66" s="883"/>
      <c r="AC66" s="633">
        <f t="shared" si="8"/>
        <v>0</v>
      </c>
      <c r="AD66" s="615">
        <f t="shared" si="9"/>
        <v>0</v>
      </c>
      <c r="AE66" s="615" t="str">
        <f t="shared" si="10"/>
        <v xml:space="preserve"> </v>
      </c>
      <c r="AF66" s="615" t="str">
        <f t="shared" si="11"/>
        <v xml:space="preserve"> </v>
      </c>
      <c r="AG66" s="615" t="str">
        <f t="shared" si="12"/>
        <v xml:space="preserve"> </v>
      </c>
      <c r="AH66" s="176" t="str">
        <f t="shared" si="13"/>
        <v xml:space="preserve"> </v>
      </c>
      <c r="AI66" s="1073" t="s">
        <v>511</v>
      </c>
    </row>
    <row r="67" spans="1:37" s="31" customFormat="1" ht="18.75">
      <c r="A67" s="60"/>
      <c r="B67" s="64" t="s">
        <v>115</v>
      </c>
      <c r="C67" s="658" t="s">
        <v>0</v>
      </c>
      <c r="D67" s="438">
        <f t="shared" si="168"/>
        <v>0</v>
      </c>
      <c r="E67" s="100"/>
      <c r="F67" s="100"/>
      <c r="G67" s="439"/>
      <c r="H67" s="479"/>
      <c r="I67" s="438">
        <f t="shared" si="180"/>
        <v>0</v>
      </c>
      <c r="J67" s="100"/>
      <c r="K67" s="100"/>
      <c r="L67" s="439"/>
      <c r="M67" s="438">
        <f t="shared" si="181"/>
        <v>0</v>
      </c>
      <c r="N67" s="100"/>
      <c r="O67" s="100"/>
      <c r="P67" s="439"/>
      <c r="Q67" s="438">
        <f t="shared" si="182"/>
        <v>0</v>
      </c>
      <c r="R67" s="100"/>
      <c r="S67" s="100"/>
      <c r="T67" s="439"/>
      <c r="U67" s="438">
        <f t="shared" si="183"/>
        <v>0</v>
      </c>
      <c r="V67" s="100"/>
      <c r="W67" s="100"/>
      <c r="X67" s="439"/>
      <c r="Y67" s="438">
        <f t="shared" si="184"/>
        <v>0</v>
      </c>
      <c r="Z67" s="100"/>
      <c r="AA67" s="100"/>
      <c r="AB67" s="439"/>
      <c r="AC67" s="633" t="str">
        <f t="shared" si="8"/>
        <v xml:space="preserve"> </v>
      </c>
      <c r="AD67" s="615" t="str">
        <f t="shared" si="9"/>
        <v xml:space="preserve"> </v>
      </c>
      <c r="AE67" s="615" t="str">
        <f t="shared" si="10"/>
        <v xml:space="preserve"> </v>
      </c>
      <c r="AF67" s="615" t="str">
        <f t="shared" si="11"/>
        <v xml:space="preserve"> </v>
      </c>
      <c r="AG67" s="615" t="str">
        <f t="shared" si="12"/>
        <v xml:space="preserve"> </v>
      </c>
      <c r="AH67" s="176" t="str">
        <f t="shared" si="13"/>
        <v xml:space="preserve"> </v>
      </c>
      <c r="AI67" s="1070"/>
    </row>
    <row r="68" spans="1:37" s="31" customFormat="1" ht="18.75">
      <c r="A68" s="60"/>
      <c r="B68" s="64" t="s">
        <v>114</v>
      </c>
      <c r="C68" s="658" t="s">
        <v>0</v>
      </c>
      <c r="D68" s="438">
        <f t="shared" si="168"/>
        <v>0</v>
      </c>
      <c r="E68" s="100"/>
      <c r="F68" s="100"/>
      <c r="G68" s="439"/>
      <c r="H68" s="479"/>
      <c r="I68" s="438">
        <f t="shared" si="180"/>
        <v>0</v>
      </c>
      <c r="J68" s="100"/>
      <c r="K68" s="100"/>
      <c r="L68" s="439"/>
      <c r="M68" s="438">
        <f t="shared" si="181"/>
        <v>0</v>
      </c>
      <c r="N68" s="100"/>
      <c r="O68" s="100"/>
      <c r="P68" s="439"/>
      <c r="Q68" s="438">
        <f t="shared" si="182"/>
        <v>0</v>
      </c>
      <c r="R68" s="100"/>
      <c r="S68" s="100"/>
      <c r="T68" s="439"/>
      <c r="U68" s="438">
        <f t="shared" si="183"/>
        <v>0</v>
      </c>
      <c r="V68" s="100"/>
      <c r="W68" s="100"/>
      <c r="X68" s="439"/>
      <c r="Y68" s="438">
        <f t="shared" si="184"/>
        <v>0</v>
      </c>
      <c r="Z68" s="100"/>
      <c r="AA68" s="100"/>
      <c r="AB68" s="439"/>
      <c r="AC68" s="633" t="str">
        <f t="shared" si="8"/>
        <v xml:space="preserve"> </v>
      </c>
      <c r="AD68" s="615" t="str">
        <f t="shared" si="9"/>
        <v xml:space="preserve"> </v>
      </c>
      <c r="AE68" s="615" t="str">
        <f t="shared" si="10"/>
        <v xml:space="preserve"> </v>
      </c>
      <c r="AF68" s="615" t="str">
        <f t="shared" si="11"/>
        <v xml:space="preserve"> </v>
      </c>
      <c r="AG68" s="615" t="str">
        <f t="shared" si="12"/>
        <v xml:space="preserve"> </v>
      </c>
      <c r="AH68" s="176" t="str">
        <f t="shared" si="13"/>
        <v xml:space="preserve"> </v>
      </c>
      <c r="AI68" s="1070"/>
    </row>
    <row r="69" spans="1:37" s="31" customFormat="1" ht="15.75" customHeight="1" outlineLevel="1">
      <c r="A69" s="60"/>
      <c r="B69" s="64" t="s">
        <v>112</v>
      </c>
      <c r="C69" s="658" t="s">
        <v>0</v>
      </c>
      <c r="D69" s="438">
        <f t="shared" si="168"/>
        <v>0</v>
      </c>
      <c r="E69" s="100"/>
      <c r="F69" s="100"/>
      <c r="G69" s="439"/>
      <c r="H69" s="479"/>
      <c r="I69" s="438">
        <f t="shared" si="180"/>
        <v>0</v>
      </c>
      <c r="J69" s="100"/>
      <c r="K69" s="100"/>
      <c r="L69" s="439"/>
      <c r="M69" s="438">
        <f t="shared" si="181"/>
        <v>0</v>
      </c>
      <c r="N69" s="100"/>
      <c r="O69" s="100"/>
      <c r="P69" s="439"/>
      <c r="Q69" s="438">
        <f t="shared" si="182"/>
        <v>0</v>
      </c>
      <c r="R69" s="100"/>
      <c r="S69" s="100"/>
      <c r="T69" s="439"/>
      <c r="U69" s="438">
        <f t="shared" si="183"/>
        <v>0</v>
      </c>
      <c r="V69" s="100"/>
      <c r="W69" s="100"/>
      <c r="X69" s="439"/>
      <c r="Y69" s="438">
        <f t="shared" si="184"/>
        <v>0</v>
      </c>
      <c r="Z69" s="100"/>
      <c r="AA69" s="100"/>
      <c r="AB69" s="439"/>
      <c r="AC69" s="633" t="str">
        <f t="shared" si="8"/>
        <v xml:space="preserve"> </v>
      </c>
      <c r="AD69" s="615" t="str">
        <f t="shared" si="9"/>
        <v xml:space="preserve"> </v>
      </c>
      <c r="AE69" s="615" t="str">
        <f t="shared" si="10"/>
        <v xml:space="preserve"> </v>
      </c>
      <c r="AF69" s="615" t="str">
        <f t="shared" si="11"/>
        <v xml:space="preserve"> </v>
      </c>
      <c r="AG69" s="615" t="str">
        <f t="shared" si="12"/>
        <v xml:space="preserve"> </v>
      </c>
      <c r="AH69" s="176" t="str">
        <f t="shared" si="13"/>
        <v xml:space="preserve"> </v>
      </c>
      <c r="AI69" s="1070"/>
    </row>
    <row r="70" spans="1:37" s="31" customFormat="1" ht="18.75">
      <c r="A70" s="60"/>
      <c r="B70" s="64" t="s">
        <v>113</v>
      </c>
      <c r="C70" s="658" t="s">
        <v>0</v>
      </c>
      <c r="D70" s="438">
        <f t="shared" si="168"/>
        <v>830.89</v>
      </c>
      <c r="E70" s="100"/>
      <c r="F70" s="100"/>
      <c r="G70" s="439">
        <v>830.89</v>
      </c>
      <c r="H70" s="479">
        <v>942.28</v>
      </c>
      <c r="I70" s="438">
        <f t="shared" si="180"/>
        <v>248.6</v>
      </c>
      <c r="J70" s="100"/>
      <c r="K70" s="100"/>
      <c r="L70" s="439">
        <f>ROUND(L83*20/80,2)</f>
        <v>248.6</v>
      </c>
      <c r="M70" s="438">
        <f t="shared" si="181"/>
        <v>248.6</v>
      </c>
      <c r="N70" s="100"/>
      <c r="O70" s="100"/>
      <c r="P70" s="439">
        <f>ROUND(P83*20/80,2)</f>
        <v>248.6</v>
      </c>
      <c r="Q70" s="438">
        <f t="shared" si="182"/>
        <v>248.6</v>
      </c>
      <c r="R70" s="100"/>
      <c r="S70" s="100"/>
      <c r="T70" s="439">
        <f>ROUND(T83*20/80,2)</f>
        <v>248.6</v>
      </c>
      <c r="U70" s="438">
        <f t="shared" si="183"/>
        <v>248.6</v>
      </c>
      <c r="V70" s="100"/>
      <c r="W70" s="100"/>
      <c r="X70" s="439">
        <f>ROUND(X83*20/80,2)</f>
        <v>248.6</v>
      </c>
      <c r="Y70" s="438">
        <f t="shared" si="184"/>
        <v>248.6</v>
      </c>
      <c r="Z70" s="100"/>
      <c r="AA70" s="100"/>
      <c r="AB70" s="439">
        <f>ROUND(AB83*20/80,2)</f>
        <v>248.6</v>
      </c>
      <c r="AC70" s="633">
        <f t="shared" si="8"/>
        <v>0.2638281614806639</v>
      </c>
      <c r="AD70" s="615">
        <f t="shared" si="9"/>
        <v>0.29919724632622852</v>
      </c>
      <c r="AE70" s="615">
        <f t="shared" si="10"/>
        <v>1</v>
      </c>
      <c r="AF70" s="615">
        <f t="shared" si="11"/>
        <v>1</v>
      </c>
      <c r="AG70" s="615">
        <f t="shared" si="12"/>
        <v>1</v>
      </c>
      <c r="AH70" s="176">
        <f t="shared" si="13"/>
        <v>1</v>
      </c>
      <c r="AI70" s="1070"/>
    </row>
    <row r="71" spans="1:37" s="31" customFormat="1" ht="18.75">
      <c r="A71" s="60"/>
      <c r="B71" s="64" t="s">
        <v>116</v>
      </c>
      <c r="C71" s="658" t="s">
        <v>0</v>
      </c>
      <c r="D71" s="438">
        <f t="shared" si="168"/>
        <v>0</v>
      </c>
      <c r="E71" s="100"/>
      <c r="F71" s="100"/>
      <c r="G71" s="439"/>
      <c r="H71" s="479"/>
      <c r="I71" s="438">
        <f t="shared" si="180"/>
        <v>0</v>
      </c>
      <c r="J71" s="100"/>
      <c r="K71" s="100"/>
      <c r="L71" s="439"/>
      <c r="M71" s="438">
        <f t="shared" si="181"/>
        <v>0</v>
      </c>
      <c r="N71" s="100"/>
      <c r="O71" s="100"/>
      <c r="P71" s="439"/>
      <c r="Q71" s="438">
        <f t="shared" si="182"/>
        <v>0</v>
      </c>
      <c r="R71" s="100"/>
      <c r="S71" s="100"/>
      <c r="T71" s="439"/>
      <c r="U71" s="438">
        <f t="shared" si="183"/>
        <v>0</v>
      </c>
      <c r="V71" s="100"/>
      <c r="W71" s="100"/>
      <c r="X71" s="439"/>
      <c r="Y71" s="438">
        <f t="shared" si="184"/>
        <v>0</v>
      </c>
      <c r="Z71" s="100"/>
      <c r="AA71" s="100"/>
      <c r="AB71" s="439"/>
      <c r="AC71" s="633" t="str">
        <f t="shared" si="8"/>
        <v xml:space="preserve"> </v>
      </c>
      <c r="AD71" s="615" t="str">
        <f t="shared" si="9"/>
        <v xml:space="preserve"> </v>
      </c>
      <c r="AE71" s="615" t="str">
        <f t="shared" si="10"/>
        <v xml:space="preserve"> </v>
      </c>
      <c r="AF71" s="615" t="str">
        <f t="shared" si="11"/>
        <v xml:space="preserve"> </v>
      </c>
      <c r="AG71" s="615" t="str">
        <f t="shared" si="12"/>
        <v xml:space="preserve"> </v>
      </c>
      <c r="AH71" s="176" t="str">
        <f t="shared" si="13"/>
        <v xml:space="preserve"> </v>
      </c>
      <c r="AI71" s="1070"/>
    </row>
    <row r="72" spans="1:37" s="36" customFormat="1" ht="18.75">
      <c r="A72" s="39" t="s">
        <v>32</v>
      </c>
      <c r="B72" s="63" t="s">
        <v>117</v>
      </c>
      <c r="C72" s="654" t="s">
        <v>0</v>
      </c>
      <c r="D72" s="438">
        <f t="shared" si="168"/>
        <v>0</v>
      </c>
      <c r="E72" s="93"/>
      <c r="F72" s="93"/>
      <c r="G72" s="435"/>
      <c r="H72" s="477"/>
      <c r="I72" s="438">
        <f t="shared" si="180"/>
        <v>0</v>
      </c>
      <c r="J72" s="93"/>
      <c r="K72" s="93"/>
      <c r="L72" s="435"/>
      <c r="M72" s="438">
        <f t="shared" si="181"/>
        <v>0</v>
      </c>
      <c r="N72" s="93"/>
      <c r="O72" s="93"/>
      <c r="P72" s="435"/>
      <c r="Q72" s="438">
        <f t="shared" si="182"/>
        <v>0</v>
      </c>
      <c r="R72" s="93"/>
      <c r="S72" s="93"/>
      <c r="T72" s="435"/>
      <c r="U72" s="438">
        <f t="shared" si="183"/>
        <v>0</v>
      </c>
      <c r="V72" s="93"/>
      <c r="W72" s="93"/>
      <c r="X72" s="435"/>
      <c r="Y72" s="438">
        <f t="shared" si="184"/>
        <v>0</v>
      </c>
      <c r="Z72" s="93"/>
      <c r="AA72" s="93"/>
      <c r="AB72" s="435"/>
      <c r="AC72" s="633" t="str">
        <f t="shared" si="8"/>
        <v xml:space="preserve"> </v>
      </c>
      <c r="AD72" s="615" t="str">
        <f t="shared" si="9"/>
        <v xml:space="preserve"> </v>
      </c>
      <c r="AE72" s="615" t="str">
        <f t="shared" si="10"/>
        <v xml:space="preserve"> </v>
      </c>
      <c r="AF72" s="615" t="str">
        <f t="shared" si="11"/>
        <v xml:space="preserve"> </v>
      </c>
      <c r="AG72" s="615" t="str">
        <f t="shared" si="12"/>
        <v xml:space="preserve"> </v>
      </c>
      <c r="AH72" s="176" t="str">
        <f t="shared" si="13"/>
        <v xml:space="preserve"> </v>
      </c>
      <c r="AI72" s="1070"/>
    </row>
    <row r="73" spans="1:37" s="36" customFormat="1" ht="36.75" customHeight="1">
      <c r="A73" s="39" t="s">
        <v>34</v>
      </c>
      <c r="B73" s="63" t="s">
        <v>249</v>
      </c>
      <c r="C73" s="654" t="s">
        <v>0</v>
      </c>
      <c r="D73" s="438">
        <f t="shared" si="168"/>
        <v>0</v>
      </c>
      <c r="E73" s="93"/>
      <c r="F73" s="93"/>
      <c r="G73" s="435"/>
      <c r="H73" s="477"/>
      <c r="I73" s="438">
        <f t="shared" si="180"/>
        <v>0</v>
      </c>
      <c r="J73" s="93"/>
      <c r="K73" s="93"/>
      <c r="L73" s="435"/>
      <c r="M73" s="438">
        <f t="shared" si="181"/>
        <v>0</v>
      </c>
      <c r="N73" s="93"/>
      <c r="O73" s="93"/>
      <c r="P73" s="435"/>
      <c r="Q73" s="438">
        <f t="shared" si="182"/>
        <v>0</v>
      </c>
      <c r="R73" s="93"/>
      <c r="S73" s="93"/>
      <c r="T73" s="435"/>
      <c r="U73" s="438">
        <f t="shared" si="183"/>
        <v>0</v>
      </c>
      <c r="V73" s="93"/>
      <c r="W73" s="93"/>
      <c r="X73" s="435"/>
      <c r="Y73" s="438">
        <f t="shared" si="184"/>
        <v>0</v>
      </c>
      <c r="Z73" s="93"/>
      <c r="AA73" s="93"/>
      <c r="AB73" s="435"/>
      <c r="AC73" s="633" t="str">
        <f t="shared" si="8"/>
        <v xml:space="preserve"> </v>
      </c>
      <c r="AD73" s="615" t="str">
        <f t="shared" si="9"/>
        <v xml:space="preserve"> </v>
      </c>
      <c r="AE73" s="615" t="str">
        <f t="shared" si="10"/>
        <v xml:space="preserve"> </v>
      </c>
      <c r="AF73" s="615" t="str">
        <f t="shared" si="11"/>
        <v xml:space="preserve"> </v>
      </c>
      <c r="AG73" s="615" t="str">
        <f t="shared" si="12"/>
        <v xml:space="preserve"> </v>
      </c>
      <c r="AH73" s="176" t="str">
        <f t="shared" si="13"/>
        <v xml:space="preserve"> </v>
      </c>
      <c r="AI73" s="1070"/>
    </row>
    <row r="74" spans="1:37" s="36" customFormat="1" ht="18.75">
      <c r="A74" s="39" t="s">
        <v>33</v>
      </c>
      <c r="B74" s="63" t="s">
        <v>118</v>
      </c>
      <c r="C74" s="654" t="s">
        <v>0</v>
      </c>
      <c r="D74" s="438">
        <f t="shared" si="168"/>
        <v>145.44</v>
      </c>
      <c r="E74" s="93">
        <v>145.44</v>
      </c>
      <c r="F74" s="93"/>
      <c r="G74" s="435"/>
      <c r="H74" s="477">
        <v>1009.02</v>
      </c>
      <c r="I74" s="438">
        <f t="shared" si="180"/>
        <v>0</v>
      </c>
      <c r="J74" s="497"/>
      <c r="K74" s="93"/>
      <c r="L74" s="435"/>
      <c r="M74" s="438">
        <f t="shared" si="181"/>
        <v>0</v>
      </c>
      <c r="N74" s="497">
        <f>J74</f>
        <v>0</v>
      </c>
      <c r="O74" s="93"/>
      <c r="P74" s="435"/>
      <c r="Q74" s="438">
        <f t="shared" si="182"/>
        <v>0</v>
      </c>
      <c r="R74" s="497">
        <f>N74</f>
        <v>0</v>
      </c>
      <c r="S74" s="93"/>
      <c r="T74" s="435"/>
      <c r="U74" s="438">
        <f t="shared" si="183"/>
        <v>0</v>
      </c>
      <c r="V74" s="497">
        <f>R74</f>
        <v>0</v>
      </c>
      <c r="W74" s="93"/>
      <c r="X74" s="435"/>
      <c r="Y74" s="438">
        <f t="shared" si="184"/>
        <v>0</v>
      </c>
      <c r="Z74" s="497">
        <f>V74</f>
        <v>0</v>
      </c>
      <c r="AA74" s="93"/>
      <c r="AB74" s="435"/>
      <c r="AC74" s="633">
        <f t="shared" si="8"/>
        <v>0</v>
      </c>
      <c r="AD74" s="615">
        <f t="shared" si="9"/>
        <v>0</v>
      </c>
      <c r="AE74" s="615" t="str">
        <f t="shared" si="10"/>
        <v xml:space="preserve"> </v>
      </c>
      <c r="AF74" s="615" t="str">
        <f t="shared" si="11"/>
        <v xml:space="preserve"> </v>
      </c>
      <c r="AG74" s="615" t="str">
        <f t="shared" si="12"/>
        <v xml:space="preserve"> </v>
      </c>
      <c r="AH74" s="176" t="str">
        <f t="shared" si="13"/>
        <v xml:space="preserve"> </v>
      </c>
      <c r="AI74" s="1070"/>
      <c r="AJ74" s="65"/>
    </row>
    <row r="75" spans="1:37" s="36" customFormat="1" ht="18.75">
      <c r="A75" s="39" t="s">
        <v>25</v>
      </c>
      <c r="B75" s="63" t="s">
        <v>119</v>
      </c>
      <c r="C75" s="654" t="s">
        <v>0</v>
      </c>
      <c r="D75" s="436">
        <f t="shared" ref="D75:G75" si="185">SUM(D76:D78)</f>
        <v>717.26</v>
      </c>
      <c r="E75" s="111">
        <f t="shared" si="185"/>
        <v>176.08999999999997</v>
      </c>
      <c r="F75" s="111">
        <f t="shared" si="185"/>
        <v>0</v>
      </c>
      <c r="G75" s="437">
        <f t="shared" si="185"/>
        <v>541.17000000000007</v>
      </c>
      <c r="H75" s="478">
        <f t="shared" ref="H75:L75" si="186">SUM(H76:H78)</f>
        <v>785.09400000000005</v>
      </c>
      <c r="I75" s="436">
        <f t="shared" si="186"/>
        <v>750.25</v>
      </c>
      <c r="J75" s="111">
        <f t="shared" si="186"/>
        <v>116.96000000000001</v>
      </c>
      <c r="K75" s="111">
        <f t="shared" si="186"/>
        <v>0</v>
      </c>
      <c r="L75" s="437">
        <f t="shared" si="186"/>
        <v>633.29</v>
      </c>
      <c r="M75" s="436">
        <f t="shared" ref="M75:P75" si="187">SUM(M76:M78)</f>
        <v>768.02</v>
      </c>
      <c r="N75" s="111">
        <f t="shared" si="187"/>
        <v>119.74000000000001</v>
      </c>
      <c r="O75" s="111">
        <f t="shared" si="187"/>
        <v>0</v>
      </c>
      <c r="P75" s="437">
        <f t="shared" si="187"/>
        <v>648.28</v>
      </c>
      <c r="Q75" s="436">
        <f t="shared" ref="Q75:T75" si="188">SUM(Q76:Q78)</f>
        <v>790.73</v>
      </c>
      <c r="R75" s="111">
        <f t="shared" si="188"/>
        <v>123.27</v>
      </c>
      <c r="S75" s="111">
        <f t="shared" si="188"/>
        <v>0</v>
      </c>
      <c r="T75" s="437">
        <f t="shared" si="188"/>
        <v>667.46</v>
      </c>
      <c r="U75" s="436">
        <f t="shared" ref="U75:X75" si="189">SUM(U76:U78)</f>
        <v>814.15</v>
      </c>
      <c r="V75" s="111">
        <f t="shared" si="189"/>
        <v>126.93</v>
      </c>
      <c r="W75" s="111">
        <f t="shared" si="189"/>
        <v>0</v>
      </c>
      <c r="X75" s="437">
        <f t="shared" si="189"/>
        <v>687.22</v>
      </c>
      <c r="Y75" s="436">
        <f t="shared" ref="Y75:AB75" si="190">SUM(Y76:Y78)</f>
        <v>838.24</v>
      </c>
      <c r="Z75" s="111">
        <f t="shared" si="190"/>
        <v>130.68</v>
      </c>
      <c r="AA75" s="111">
        <f t="shared" si="190"/>
        <v>0</v>
      </c>
      <c r="AB75" s="437">
        <f t="shared" si="190"/>
        <v>707.56</v>
      </c>
      <c r="AC75" s="633">
        <f t="shared" si="8"/>
        <v>0.95561805337959527</v>
      </c>
      <c r="AD75" s="615">
        <f t="shared" si="9"/>
        <v>1.0459944789894877</v>
      </c>
      <c r="AE75" s="615">
        <f t="shared" si="10"/>
        <v>1.0236854381872709</v>
      </c>
      <c r="AF75" s="615">
        <f t="shared" si="11"/>
        <v>1.0295695424598319</v>
      </c>
      <c r="AG75" s="615">
        <f t="shared" si="12"/>
        <v>1.0296182009029631</v>
      </c>
      <c r="AH75" s="176">
        <f t="shared" si="13"/>
        <v>1.0295891420499907</v>
      </c>
      <c r="AI75" s="1070"/>
      <c r="AJ75" s="65"/>
      <c r="AK75" s="66"/>
    </row>
    <row r="76" spans="1:37" s="52" customFormat="1" ht="18.75" outlineLevel="1">
      <c r="A76" s="67"/>
      <c r="B76" s="53" t="s">
        <v>120</v>
      </c>
      <c r="C76" s="657" t="s">
        <v>0</v>
      </c>
      <c r="D76" s="438">
        <f t="shared" si="168"/>
        <v>539.85</v>
      </c>
      <c r="E76" s="102">
        <v>132.54</v>
      </c>
      <c r="F76" s="102">
        <v>0</v>
      </c>
      <c r="G76" s="442">
        <v>407.31</v>
      </c>
      <c r="H76" s="481">
        <v>510.98399999999998</v>
      </c>
      <c r="I76" s="438">
        <f t="shared" ref="I76:I82" si="191">J76+K76+L76</f>
        <v>564.67999999999995</v>
      </c>
      <c r="J76" s="102">
        <f>ROUND(J30*0.301,2)</f>
        <v>88.03</v>
      </c>
      <c r="K76" s="102">
        <v>0</v>
      </c>
      <c r="L76" s="442">
        <f>ROUND(L30*0.301,2)</f>
        <v>476.65</v>
      </c>
      <c r="M76" s="438">
        <f t="shared" ref="M76:M82" si="192">N76+O76+P76</f>
        <v>578.04999999999995</v>
      </c>
      <c r="N76" s="102">
        <f>ROUND(N30*0.301,2)</f>
        <v>90.12</v>
      </c>
      <c r="O76" s="102">
        <v>0</v>
      </c>
      <c r="P76" s="442">
        <f>ROUND(P30*0.301,2)</f>
        <v>487.93</v>
      </c>
      <c r="Q76" s="438">
        <f t="shared" ref="Q76:Q82" si="193">R76+S76+T76</f>
        <v>595.15</v>
      </c>
      <c r="R76" s="102">
        <f>ROUND(R30*0.301,2)</f>
        <v>92.78</v>
      </c>
      <c r="S76" s="102">
        <v>0</v>
      </c>
      <c r="T76" s="442">
        <f>ROUND(T30*0.301,2)</f>
        <v>502.37</v>
      </c>
      <c r="U76" s="438">
        <f t="shared" ref="U76:U82" si="194">V76+W76+X76</f>
        <v>612.77</v>
      </c>
      <c r="V76" s="102">
        <f>ROUND(V30*0.301,2)</f>
        <v>95.53</v>
      </c>
      <c r="W76" s="102">
        <v>0</v>
      </c>
      <c r="X76" s="442">
        <f>ROUND(X30*0.301,2)</f>
        <v>517.24</v>
      </c>
      <c r="Y76" s="438">
        <f t="shared" ref="Y76:Y82" si="195">Z76+AA76+AB76</f>
        <v>630.91</v>
      </c>
      <c r="Z76" s="102">
        <f>ROUND(Z30*0.301,2)</f>
        <v>98.36</v>
      </c>
      <c r="AA76" s="102">
        <v>0</v>
      </c>
      <c r="AB76" s="442">
        <f>ROUND(AB30*0.301,2)</f>
        <v>532.54999999999995</v>
      </c>
      <c r="AC76" s="633">
        <f t="shared" si="8"/>
        <v>1.1050835251201603</v>
      </c>
      <c r="AD76" s="615">
        <f t="shared" si="9"/>
        <v>1.0459942576641659</v>
      </c>
      <c r="AE76" s="615">
        <f t="shared" si="10"/>
        <v>1.0236771268683149</v>
      </c>
      <c r="AF76" s="615">
        <f t="shared" si="11"/>
        <v>1.0295822160712742</v>
      </c>
      <c r="AG76" s="615">
        <f t="shared" si="12"/>
        <v>1.0296059816852894</v>
      </c>
      <c r="AH76" s="176">
        <f t="shared" si="13"/>
        <v>1.0296032769228258</v>
      </c>
      <c r="AI76" s="1071"/>
      <c r="AJ76" s="68"/>
      <c r="AK76" s="69"/>
    </row>
    <row r="77" spans="1:37" s="52" customFormat="1" ht="18.75" outlineLevel="1">
      <c r="A77" s="67"/>
      <c r="B77" s="53" t="s">
        <v>121</v>
      </c>
      <c r="C77" s="657" t="s">
        <v>0</v>
      </c>
      <c r="D77" s="438">
        <f t="shared" si="168"/>
        <v>0</v>
      </c>
      <c r="E77" s="102"/>
      <c r="F77" s="102"/>
      <c r="G77" s="442"/>
      <c r="H77" s="481"/>
      <c r="I77" s="438">
        <f t="shared" si="191"/>
        <v>0</v>
      </c>
      <c r="J77" s="102"/>
      <c r="K77" s="102"/>
      <c r="L77" s="442"/>
      <c r="M77" s="438">
        <f t="shared" si="192"/>
        <v>0</v>
      </c>
      <c r="N77" s="102"/>
      <c r="O77" s="102"/>
      <c r="P77" s="442"/>
      <c r="Q77" s="438">
        <f t="shared" si="193"/>
        <v>0</v>
      </c>
      <c r="R77" s="102"/>
      <c r="S77" s="102"/>
      <c r="T77" s="442"/>
      <c r="U77" s="438">
        <f t="shared" si="194"/>
        <v>0</v>
      </c>
      <c r="V77" s="102"/>
      <c r="W77" s="102"/>
      <c r="X77" s="442"/>
      <c r="Y77" s="438">
        <f t="shared" si="195"/>
        <v>0</v>
      </c>
      <c r="Z77" s="102"/>
      <c r="AA77" s="102"/>
      <c r="AB77" s="442"/>
      <c r="AC77" s="633" t="str">
        <f t="shared" si="8"/>
        <v xml:space="preserve"> </v>
      </c>
      <c r="AD77" s="615" t="str">
        <f t="shared" si="9"/>
        <v xml:space="preserve"> </v>
      </c>
      <c r="AE77" s="615" t="str">
        <f t="shared" si="10"/>
        <v xml:space="preserve"> </v>
      </c>
      <c r="AF77" s="615" t="str">
        <f t="shared" si="11"/>
        <v xml:space="preserve"> </v>
      </c>
      <c r="AG77" s="615" t="str">
        <f t="shared" si="12"/>
        <v xml:space="preserve"> </v>
      </c>
      <c r="AH77" s="176" t="str">
        <f t="shared" si="13"/>
        <v xml:space="preserve"> </v>
      </c>
      <c r="AI77" s="1071"/>
      <c r="AJ77" s="68"/>
      <c r="AK77" s="69"/>
    </row>
    <row r="78" spans="1:37" s="52" customFormat="1" ht="18.75" outlineLevel="1">
      <c r="A78" s="67"/>
      <c r="B78" s="53" t="s">
        <v>48</v>
      </c>
      <c r="C78" s="657" t="s">
        <v>0</v>
      </c>
      <c r="D78" s="438">
        <f t="shared" si="168"/>
        <v>177.41000000000003</v>
      </c>
      <c r="E78" s="102">
        <v>43.55</v>
      </c>
      <c r="F78" s="102">
        <v>0</v>
      </c>
      <c r="G78" s="442">
        <v>133.86000000000001</v>
      </c>
      <c r="H78" s="481">
        <v>274.11</v>
      </c>
      <c r="I78" s="438">
        <f t="shared" si="191"/>
        <v>185.57</v>
      </c>
      <c r="J78" s="102">
        <f>ROUND(J32*0.301,2)</f>
        <v>28.93</v>
      </c>
      <c r="K78" s="102">
        <v>0</v>
      </c>
      <c r="L78" s="442">
        <f>ROUND(L32*0.301,2)</f>
        <v>156.63999999999999</v>
      </c>
      <c r="M78" s="438">
        <f t="shared" si="192"/>
        <v>189.97</v>
      </c>
      <c r="N78" s="102">
        <f>ROUND(N32*0.301,2)</f>
        <v>29.62</v>
      </c>
      <c r="O78" s="102">
        <v>0</v>
      </c>
      <c r="P78" s="442">
        <f>ROUND(P32*0.301,2)</f>
        <v>160.35</v>
      </c>
      <c r="Q78" s="438">
        <f t="shared" si="193"/>
        <v>195.58</v>
      </c>
      <c r="R78" s="102">
        <f>ROUND(R32*0.301,2)</f>
        <v>30.49</v>
      </c>
      <c r="S78" s="102">
        <v>0</v>
      </c>
      <c r="T78" s="442">
        <f>ROUND(T32*0.301,2)</f>
        <v>165.09</v>
      </c>
      <c r="U78" s="438">
        <f t="shared" si="194"/>
        <v>201.38</v>
      </c>
      <c r="V78" s="102">
        <f>ROUND(V32*0.301,2)</f>
        <v>31.4</v>
      </c>
      <c r="W78" s="102">
        <v>0</v>
      </c>
      <c r="X78" s="442">
        <f>ROUND(X32*0.301,2)</f>
        <v>169.98</v>
      </c>
      <c r="Y78" s="438">
        <f t="shared" si="195"/>
        <v>207.32999999999998</v>
      </c>
      <c r="Z78" s="102">
        <f>ROUND(Z32*0.301,2)</f>
        <v>32.32</v>
      </c>
      <c r="AA78" s="102">
        <v>0</v>
      </c>
      <c r="AB78" s="442">
        <f>ROUND(AB32*0.301,2)</f>
        <v>175.01</v>
      </c>
      <c r="AC78" s="633">
        <f t="shared" si="8"/>
        <v>0.67699098901900689</v>
      </c>
      <c r="AD78" s="615">
        <f t="shared" si="9"/>
        <v>1.0459951524716755</v>
      </c>
      <c r="AE78" s="615">
        <f t="shared" si="10"/>
        <v>1.0237107291049201</v>
      </c>
      <c r="AF78" s="615">
        <f t="shared" si="11"/>
        <v>1.0295309785755646</v>
      </c>
      <c r="AG78" s="615">
        <f t="shared" si="12"/>
        <v>1.0296553839860925</v>
      </c>
      <c r="AH78" s="176">
        <f t="shared" si="13"/>
        <v>1.0295461316913297</v>
      </c>
      <c r="AI78" s="1071"/>
      <c r="AJ78" s="68"/>
      <c r="AK78" s="69"/>
    </row>
    <row r="79" spans="1:37" s="36" customFormat="1" ht="18.75">
      <c r="A79" s="39" t="s">
        <v>23</v>
      </c>
      <c r="B79" s="63" t="s">
        <v>56</v>
      </c>
      <c r="C79" s="654" t="s">
        <v>0</v>
      </c>
      <c r="D79" s="445">
        <f t="shared" si="168"/>
        <v>1153.6300000000001</v>
      </c>
      <c r="E79" s="93">
        <v>1153.6300000000001</v>
      </c>
      <c r="F79" s="93"/>
      <c r="G79" s="435"/>
      <c r="H79" s="477">
        <v>1058</v>
      </c>
      <c r="I79" s="445">
        <f t="shared" si="191"/>
        <v>1133.5</v>
      </c>
      <c r="J79" s="596">
        <f>ROUND(амортизация!O28/1000,2)</f>
        <v>1133.5</v>
      </c>
      <c r="K79" s="93"/>
      <c r="L79" s="435"/>
      <c r="M79" s="445">
        <f t="shared" si="192"/>
        <v>1133.5</v>
      </c>
      <c r="N79" s="596">
        <f>ROUND(амортизация!Q28/1000,2)</f>
        <v>1133.5</v>
      </c>
      <c r="O79" s="93"/>
      <c r="P79" s="435"/>
      <c r="Q79" s="445">
        <f t="shared" si="193"/>
        <v>1133.5</v>
      </c>
      <c r="R79" s="596">
        <f>ROUND(амортизация!S28/1000,2)</f>
        <v>1133.5</v>
      </c>
      <c r="S79" s="93"/>
      <c r="T79" s="435"/>
      <c r="U79" s="445">
        <f t="shared" si="194"/>
        <v>1133.5</v>
      </c>
      <c r="V79" s="596">
        <f>ROUND(амортизация!U28/1000,2)</f>
        <v>1133.5</v>
      </c>
      <c r="W79" s="93"/>
      <c r="X79" s="435"/>
      <c r="Y79" s="445">
        <f t="shared" si="195"/>
        <v>1043.67</v>
      </c>
      <c r="Z79" s="596">
        <f>ROUND(амортизация!W28/1000,2)</f>
        <v>1043.67</v>
      </c>
      <c r="AA79" s="93"/>
      <c r="AB79" s="435"/>
      <c r="AC79" s="633">
        <f t="shared" ref="AC79:AC124" si="196">IFERROR(I79/H79, " ")</f>
        <v>1.0713610586011342</v>
      </c>
      <c r="AD79" s="615">
        <f t="shared" ref="AD79:AD124" si="197">IFERROR(I79/D79, " ")</f>
        <v>0.98255073117030578</v>
      </c>
      <c r="AE79" s="615">
        <f t="shared" ref="AE79:AE124" si="198">IFERROR(M79/I79, " ")</f>
        <v>1</v>
      </c>
      <c r="AF79" s="615">
        <f t="shared" ref="AF79:AF124" si="199">IFERROR(Q79/M79, " ")</f>
        <v>1</v>
      </c>
      <c r="AG79" s="615">
        <f t="shared" ref="AG79:AG124" si="200">IFERROR(U79/Q79, " ")</f>
        <v>1</v>
      </c>
      <c r="AH79" s="176">
        <f t="shared" ref="AH79:AH124" si="201">IFERROR(Y79/U79, " ")</f>
        <v>0.9207498897220997</v>
      </c>
      <c r="AI79" s="1073"/>
    </row>
    <row r="80" spans="1:37" s="36" customFormat="1" ht="35.25" customHeight="1">
      <c r="A80" s="39" t="s">
        <v>45</v>
      </c>
      <c r="B80" s="70" t="s">
        <v>122</v>
      </c>
      <c r="C80" s="654" t="s">
        <v>0</v>
      </c>
      <c r="D80" s="445">
        <f t="shared" si="168"/>
        <v>734.26499999999999</v>
      </c>
      <c r="E80" s="93">
        <v>734.26499999999999</v>
      </c>
      <c r="F80" s="93"/>
      <c r="G80" s="435"/>
      <c r="H80" s="477">
        <v>378.8</v>
      </c>
      <c r="I80" s="445">
        <f t="shared" si="191"/>
        <v>0</v>
      </c>
      <c r="J80" s="497"/>
      <c r="K80" s="93"/>
      <c r="L80" s="435"/>
      <c r="M80" s="445">
        <f t="shared" si="192"/>
        <v>0</v>
      </c>
      <c r="N80" s="497">
        <f>J80</f>
        <v>0</v>
      </c>
      <c r="O80" s="93"/>
      <c r="P80" s="435"/>
      <c r="Q80" s="445">
        <f t="shared" si="193"/>
        <v>0</v>
      </c>
      <c r="R80" s="497">
        <f>N80</f>
        <v>0</v>
      </c>
      <c r="S80" s="93"/>
      <c r="T80" s="435"/>
      <c r="U80" s="445">
        <f t="shared" si="194"/>
        <v>0</v>
      </c>
      <c r="V80" s="497">
        <f>R80</f>
        <v>0</v>
      </c>
      <c r="W80" s="93"/>
      <c r="X80" s="435"/>
      <c r="Y80" s="445">
        <f t="shared" si="195"/>
        <v>0</v>
      </c>
      <c r="Z80" s="497">
        <f>V80</f>
        <v>0</v>
      </c>
      <c r="AA80" s="93"/>
      <c r="AB80" s="435"/>
      <c r="AC80" s="633">
        <f t="shared" si="196"/>
        <v>0</v>
      </c>
      <c r="AD80" s="615">
        <f t="shared" si="197"/>
        <v>0</v>
      </c>
      <c r="AE80" s="615" t="str">
        <f t="shared" si="198"/>
        <v xml:space="preserve"> </v>
      </c>
      <c r="AF80" s="615" t="str">
        <f t="shared" si="199"/>
        <v xml:space="preserve"> </v>
      </c>
      <c r="AG80" s="615" t="str">
        <f t="shared" si="200"/>
        <v xml:space="preserve"> </v>
      </c>
      <c r="AH80" s="176" t="str">
        <f t="shared" si="201"/>
        <v xml:space="preserve"> </v>
      </c>
      <c r="AI80" s="1070"/>
    </row>
    <row r="81" spans="1:39" s="36" customFormat="1" ht="31.5">
      <c r="A81" s="39" t="s">
        <v>52</v>
      </c>
      <c r="B81" s="70" t="s">
        <v>194</v>
      </c>
      <c r="C81" s="654" t="s">
        <v>0</v>
      </c>
      <c r="D81" s="438">
        <f t="shared" si="168"/>
        <v>0</v>
      </c>
      <c r="E81" s="93"/>
      <c r="F81" s="93"/>
      <c r="G81" s="435"/>
      <c r="H81" s="477"/>
      <c r="I81" s="438">
        <f t="shared" si="191"/>
        <v>0</v>
      </c>
      <c r="J81" s="93"/>
      <c r="K81" s="93"/>
      <c r="L81" s="435"/>
      <c r="M81" s="438">
        <f t="shared" si="192"/>
        <v>0</v>
      </c>
      <c r="N81" s="93"/>
      <c r="O81" s="93"/>
      <c r="P81" s="435"/>
      <c r="Q81" s="438">
        <f t="shared" si="193"/>
        <v>0</v>
      </c>
      <c r="R81" s="93"/>
      <c r="S81" s="93"/>
      <c r="T81" s="435"/>
      <c r="U81" s="438">
        <f t="shared" si="194"/>
        <v>0</v>
      </c>
      <c r="V81" s="93"/>
      <c r="W81" s="93"/>
      <c r="X81" s="435"/>
      <c r="Y81" s="438">
        <f t="shared" si="195"/>
        <v>0</v>
      </c>
      <c r="Z81" s="93"/>
      <c r="AA81" s="93"/>
      <c r="AB81" s="435"/>
      <c r="AC81" s="633" t="str">
        <f t="shared" si="196"/>
        <v xml:space="preserve"> </v>
      </c>
      <c r="AD81" s="615" t="str">
        <f t="shared" si="197"/>
        <v xml:space="preserve"> </v>
      </c>
      <c r="AE81" s="615" t="str">
        <f t="shared" si="198"/>
        <v xml:space="preserve"> </v>
      </c>
      <c r="AF81" s="615" t="str">
        <f t="shared" si="199"/>
        <v xml:space="preserve"> </v>
      </c>
      <c r="AG81" s="615" t="str">
        <f t="shared" si="200"/>
        <v xml:space="preserve"> </v>
      </c>
      <c r="AH81" s="176" t="str">
        <f t="shared" si="201"/>
        <v xml:space="preserve"> </v>
      </c>
      <c r="AI81" s="1070"/>
    </row>
    <row r="82" spans="1:39" s="36" customFormat="1" ht="69" customHeight="1" thickBot="1">
      <c r="A82" s="701" t="s">
        <v>53</v>
      </c>
      <c r="B82" s="720" t="s">
        <v>251</v>
      </c>
      <c r="C82" s="702" t="s">
        <v>0</v>
      </c>
      <c r="D82" s="721">
        <f t="shared" si="168"/>
        <v>0</v>
      </c>
      <c r="E82" s="703"/>
      <c r="F82" s="703"/>
      <c r="G82" s="704"/>
      <c r="H82" s="705"/>
      <c r="I82" s="721">
        <f t="shared" si="191"/>
        <v>0</v>
      </c>
      <c r="J82" s="703"/>
      <c r="K82" s="703"/>
      <c r="L82" s="704"/>
      <c r="M82" s="721">
        <f t="shared" si="192"/>
        <v>0</v>
      </c>
      <c r="N82" s="703"/>
      <c r="O82" s="703"/>
      <c r="P82" s="704"/>
      <c r="Q82" s="721">
        <f t="shared" si="193"/>
        <v>0</v>
      </c>
      <c r="R82" s="703"/>
      <c r="S82" s="703"/>
      <c r="T82" s="704"/>
      <c r="U82" s="721">
        <f t="shared" si="194"/>
        <v>0</v>
      </c>
      <c r="V82" s="703"/>
      <c r="W82" s="703"/>
      <c r="X82" s="704"/>
      <c r="Y82" s="721">
        <f t="shared" si="195"/>
        <v>0</v>
      </c>
      <c r="Z82" s="703"/>
      <c r="AA82" s="703"/>
      <c r="AB82" s="704"/>
      <c r="AC82" s="634" t="str">
        <f t="shared" si="196"/>
        <v xml:space="preserve"> </v>
      </c>
      <c r="AD82" s="631" t="str">
        <f t="shared" si="197"/>
        <v xml:space="preserve"> </v>
      </c>
      <c r="AE82" s="631" t="str">
        <f t="shared" si="198"/>
        <v xml:space="preserve"> </v>
      </c>
      <c r="AF82" s="631" t="str">
        <f t="shared" si="199"/>
        <v xml:space="preserve"> </v>
      </c>
      <c r="AG82" s="631" t="str">
        <f t="shared" si="200"/>
        <v xml:space="preserve"> </v>
      </c>
      <c r="AH82" s="632" t="str">
        <f t="shared" si="201"/>
        <v xml:space="preserve"> </v>
      </c>
      <c r="AI82" s="1070"/>
    </row>
    <row r="83" spans="1:39" s="33" customFormat="1" ht="18.75">
      <c r="A83" s="1233" t="s">
        <v>203</v>
      </c>
      <c r="B83" s="1234"/>
      <c r="C83" s="676" t="s">
        <v>0</v>
      </c>
      <c r="D83" s="696">
        <f t="shared" ref="D83:G83" si="202">D84+D85</f>
        <v>3323.55</v>
      </c>
      <c r="E83" s="697">
        <f t="shared" si="202"/>
        <v>0</v>
      </c>
      <c r="F83" s="697">
        <f t="shared" si="202"/>
        <v>0</v>
      </c>
      <c r="G83" s="698">
        <f t="shared" si="202"/>
        <v>3323.55</v>
      </c>
      <c r="H83" s="699">
        <f t="shared" ref="H83:L83" si="203">H84+H85</f>
        <v>1867.8</v>
      </c>
      <c r="I83" s="696">
        <f t="shared" si="203"/>
        <v>994.4</v>
      </c>
      <c r="J83" s="697">
        <f t="shared" si="203"/>
        <v>0</v>
      </c>
      <c r="K83" s="697">
        <f t="shared" si="203"/>
        <v>0</v>
      </c>
      <c r="L83" s="698">
        <f t="shared" si="203"/>
        <v>994.4</v>
      </c>
      <c r="M83" s="696">
        <f t="shared" ref="M83:P83" si="204">M84+M85</f>
        <v>994.4</v>
      </c>
      <c r="N83" s="697">
        <f t="shared" si="204"/>
        <v>0</v>
      </c>
      <c r="O83" s="697">
        <f t="shared" si="204"/>
        <v>0</v>
      </c>
      <c r="P83" s="698">
        <f t="shared" si="204"/>
        <v>994.4</v>
      </c>
      <c r="Q83" s="696">
        <f t="shared" ref="Q83:T83" si="205">Q84+Q85</f>
        <v>994.4</v>
      </c>
      <c r="R83" s="697">
        <f t="shared" si="205"/>
        <v>0</v>
      </c>
      <c r="S83" s="697">
        <f t="shared" si="205"/>
        <v>0</v>
      </c>
      <c r="T83" s="698">
        <f t="shared" si="205"/>
        <v>994.4</v>
      </c>
      <c r="U83" s="696">
        <f t="shared" ref="U83:X83" si="206">U84+U85</f>
        <v>994.4</v>
      </c>
      <c r="V83" s="697">
        <f t="shared" si="206"/>
        <v>0</v>
      </c>
      <c r="W83" s="697">
        <f t="shared" si="206"/>
        <v>0</v>
      </c>
      <c r="X83" s="698">
        <f t="shared" si="206"/>
        <v>994.4</v>
      </c>
      <c r="Y83" s="696">
        <f t="shared" ref="Y83:AB83" si="207">Y84+Y85</f>
        <v>994.4</v>
      </c>
      <c r="Z83" s="697">
        <f t="shared" si="207"/>
        <v>0</v>
      </c>
      <c r="AA83" s="697">
        <f t="shared" si="207"/>
        <v>0</v>
      </c>
      <c r="AB83" s="698">
        <f t="shared" si="207"/>
        <v>994.4</v>
      </c>
      <c r="AC83" s="700">
        <f t="shared" si="196"/>
        <v>0.53239104829210837</v>
      </c>
      <c r="AD83" s="685">
        <f t="shared" si="197"/>
        <v>0.29919814656015403</v>
      </c>
      <c r="AE83" s="685">
        <f t="shared" si="198"/>
        <v>1</v>
      </c>
      <c r="AF83" s="685">
        <f t="shared" si="199"/>
        <v>1</v>
      </c>
      <c r="AG83" s="685">
        <f t="shared" si="200"/>
        <v>1</v>
      </c>
      <c r="AH83" s="686">
        <f t="shared" si="201"/>
        <v>1</v>
      </c>
      <c r="AI83" s="1069"/>
    </row>
    <row r="84" spans="1:39" s="174" customFormat="1" ht="78.75">
      <c r="A84" s="627" t="s">
        <v>210</v>
      </c>
      <c r="B84" s="624" t="s">
        <v>243</v>
      </c>
      <c r="C84" s="654" t="s">
        <v>0</v>
      </c>
      <c r="D84" s="445"/>
      <c r="E84" s="93"/>
      <c r="F84" s="93"/>
      <c r="G84" s="435"/>
      <c r="H84" s="477"/>
      <c r="I84" s="445"/>
      <c r="J84" s="93"/>
      <c r="K84" s="93"/>
      <c r="L84" s="435"/>
      <c r="M84" s="445"/>
      <c r="N84" s="93"/>
      <c r="O84" s="93"/>
      <c r="P84" s="435"/>
      <c r="Q84" s="445"/>
      <c r="R84" s="93"/>
      <c r="S84" s="93"/>
      <c r="T84" s="435"/>
      <c r="U84" s="445"/>
      <c r="V84" s="93"/>
      <c r="W84" s="93"/>
      <c r="X84" s="435"/>
      <c r="Y84" s="445"/>
      <c r="Z84" s="93"/>
      <c r="AA84" s="93"/>
      <c r="AB84" s="435"/>
      <c r="AC84" s="633" t="str">
        <f t="shared" si="196"/>
        <v xml:space="preserve"> </v>
      </c>
      <c r="AD84" s="615" t="str">
        <f t="shared" si="197"/>
        <v xml:space="preserve"> </v>
      </c>
      <c r="AE84" s="615" t="str">
        <f t="shared" si="198"/>
        <v xml:space="preserve"> </v>
      </c>
      <c r="AF84" s="615" t="str">
        <f t="shared" si="199"/>
        <v xml:space="preserve"> </v>
      </c>
      <c r="AG84" s="615" t="str">
        <f t="shared" si="200"/>
        <v xml:space="preserve"> </v>
      </c>
      <c r="AH84" s="176" t="str">
        <f t="shared" si="201"/>
        <v xml:space="preserve"> </v>
      </c>
      <c r="AI84" s="1069"/>
    </row>
    <row r="85" spans="1:39" s="175" customFormat="1" ht="18.75">
      <c r="A85" s="627" t="s">
        <v>244</v>
      </c>
      <c r="B85" s="624" t="s">
        <v>245</v>
      </c>
      <c r="C85" s="654" t="s">
        <v>0</v>
      </c>
      <c r="D85" s="436">
        <f t="shared" ref="D85:G85" si="208">D86+D87+D88</f>
        <v>3323.55</v>
      </c>
      <c r="E85" s="111">
        <f t="shared" si="208"/>
        <v>0</v>
      </c>
      <c r="F85" s="111">
        <f t="shared" si="208"/>
        <v>0</v>
      </c>
      <c r="G85" s="437">
        <f t="shared" si="208"/>
        <v>3323.55</v>
      </c>
      <c r="H85" s="478">
        <f t="shared" ref="H85:L85" si="209">H86+H87+H88</f>
        <v>1867.8</v>
      </c>
      <c r="I85" s="436">
        <f t="shared" si="209"/>
        <v>994.4</v>
      </c>
      <c r="J85" s="111">
        <f t="shared" si="209"/>
        <v>0</v>
      </c>
      <c r="K85" s="111">
        <f t="shared" si="209"/>
        <v>0</v>
      </c>
      <c r="L85" s="437">
        <f t="shared" si="209"/>
        <v>994.4</v>
      </c>
      <c r="M85" s="436">
        <f t="shared" ref="M85:P85" si="210">M86+M87+M88</f>
        <v>994.4</v>
      </c>
      <c r="N85" s="111">
        <f t="shared" si="210"/>
        <v>0</v>
      </c>
      <c r="O85" s="111">
        <f t="shared" si="210"/>
        <v>0</v>
      </c>
      <c r="P85" s="437">
        <f t="shared" si="210"/>
        <v>994.4</v>
      </c>
      <c r="Q85" s="436">
        <f t="shared" ref="Q85:T85" si="211">Q86+Q87+Q88</f>
        <v>994.4</v>
      </c>
      <c r="R85" s="111">
        <f t="shared" si="211"/>
        <v>0</v>
      </c>
      <c r="S85" s="111">
        <f t="shared" si="211"/>
        <v>0</v>
      </c>
      <c r="T85" s="437">
        <f t="shared" si="211"/>
        <v>994.4</v>
      </c>
      <c r="U85" s="436">
        <f t="shared" ref="U85:X85" si="212">U86+U87+U88</f>
        <v>994.4</v>
      </c>
      <c r="V85" s="111">
        <f t="shared" si="212"/>
        <v>0</v>
      </c>
      <c r="W85" s="111">
        <f t="shared" si="212"/>
        <v>0</v>
      </c>
      <c r="X85" s="437">
        <f t="shared" si="212"/>
        <v>994.4</v>
      </c>
      <c r="Y85" s="436">
        <f t="shared" ref="Y85:AB85" si="213">Y86+Y87+Y88</f>
        <v>994.4</v>
      </c>
      <c r="Z85" s="111">
        <f t="shared" si="213"/>
        <v>0</v>
      </c>
      <c r="AA85" s="111">
        <f t="shared" si="213"/>
        <v>0</v>
      </c>
      <c r="AB85" s="437">
        <f t="shared" si="213"/>
        <v>994.4</v>
      </c>
      <c r="AC85" s="633">
        <f t="shared" si="196"/>
        <v>0.53239104829210837</v>
      </c>
      <c r="AD85" s="615">
        <f t="shared" si="197"/>
        <v>0.29919814656015403</v>
      </c>
      <c r="AE85" s="615">
        <f t="shared" si="198"/>
        <v>1</v>
      </c>
      <c r="AF85" s="615">
        <f t="shared" si="199"/>
        <v>1</v>
      </c>
      <c r="AG85" s="615">
        <f t="shared" si="200"/>
        <v>1</v>
      </c>
      <c r="AH85" s="176">
        <f t="shared" si="201"/>
        <v>1</v>
      </c>
      <c r="AI85" s="1069"/>
    </row>
    <row r="86" spans="1:39" s="31" customFormat="1" ht="18.75">
      <c r="A86" s="60"/>
      <c r="B86" s="73" t="s">
        <v>59</v>
      </c>
      <c r="C86" s="658" t="s">
        <v>0</v>
      </c>
      <c r="D86" s="438">
        <f t="shared" ref="D86:D88" si="214">E86+F86+G86</f>
        <v>0</v>
      </c>
      <c r="E86" s="100"/>
      <c r="F86" s="100"/>
      <c r="G86" s="439"/>
      <c r="H86" s="479">
        <v>873.4</v>
      </c>
      <c r="I86" s="438">
        <f t="shared" ref="I86:I88" si="215">J86+K86+L86</f>
        <v>0</v>
      </c>
      <c r="J86" s="100"/>
      <c r="K86" s="100"/>
      <c r="L86" s="439"/>
      <c r="M86" s="438">
        <f t="shared" ref="M86:M88" si="216">N86+O86+P86</f>
        <v>0</v>
      </c>
      <c r="N86" s="100"/>
      <c r="O86" s="100"/>
      <c r="P86" s="439"/>
      <c r="Q86" s="438">
        <f t="shared" ref="Q86:Q88" si="217">R86+S86+T86</f>
        <v>0</v>
      </c>
      <c r="R86" s="100"/>
      <c r="S86" s="100"/>
      <c r="T86" s="439"/>
      <c r="U86" s="438">
        <f t="shared" ref="U86:U88" si="218">V86+W86+X86</f>
        <v>0</v>
      </c>
      <c r="V86" s="100"/>
      <c r="W86" s="100"/>
      <c r="X86" s="439"/>
      <c r="Y86" s="438">
        <f t="shared" ref="Y86:Y88" si="219">Z86+AA86+AB86</f>
        <v>0</v>
      </c>
      <c r="Z86" s="100"/>
      <c r="AA86" s="100"/>
      <c r="AB86" s="439"/>
      <c r="AC86" s="633">
        <f t="shared" si="196"/>
        <v>0</v>
      </c>
      <c r="AD86" s="615" t="str">
        <f t="shared" si="197"/>
        <v xml:space="preserve"> </v>
      </c>
      <c r="AE86" s="615" t="str">
        <f t="shared" si="198"/>
        <v xml:space="preserve"> </v>
      </c>
      <c r="AF86" s="615" t="str">
        <f t="shared" si="199"/>
        <v xml:space="preserve"> </v>
      </c>
      <c r="AG86" s="615" t="str">
        <f t="shared" si="200"/>
        <v xml:space="preserve"> </v>
      </c>
      <c r="AH86" s="176" t="str">
        <f t="shared" si="201"/>
        <v xml:space="preserve"> </v>
      </c>
      <c r="AI86" s="1069"/>
    </row>
    <row r="87" spans="1:39" s="31" customFormat="1" ht="31.5">
      <c r="A87" s="60"/>
      <c r="B87" s="73" t="s">
        <v>208</v>
      </c>
      <c r="C87" s="658" t="s">
        <v>0</v>
      </c>
      <c r="D87" s="438">
        <f t="shared" si="214"/>
        <v>0</v>
      </c>
      <c r="E87" s="100"/>
      <c r="F87" s="100"/>
      <c r="G87" s="439"/>
      <c r="H87" s="479"/>
      <c r="I87" s="438">
        <f t="shared" si="215"/>
        <v>0</v>
      </c>
      <c r="J87" s="100"/>
      <c r="K87" s="100"/>
      <c r="L87" s="439"/>
      <c r="M87" s="438">
        <f t="shared" si="216"/>
        <v>0</v>
      </c>
      <c r="N87" s="100"/>
      <c r="O87" s="100"/>
      <c r="P87" s="439"/>
      <c r="Q87" s="438">
        <f t="shared" si="217"/>
        <v>0</v>
      </c>
      <c r="R87" s="100"/>
      <c r="S87" s="100"/>
      <c r="T87" s="439"/>
      <c r="U87" s="438">
        <f t="shared" si="218"/>
        <v>0</v>
      </c>
      <c r="V87" s="100"/>
      <c r="W87" s="100"/>
      <c r="X87" s="439"/>
      <c r="Y87" s="438">
        <f t="shared" si="219"/>
        <v>0</v>
      </c>
      <c r="Z87" s="100"/>
      <c r="AA87" s="100"/>
      <c r="AB87" s="439"/>
      <c r="AC87" s="633" t="str">
        <f t="shared" si="196"/>
        <v xml:space="preserve"> </v>
      </c>
      <c r="AD87" s="615" t="str">
        <f t="shared" si="197"/>
        <v xml:space="preserve"> </v>
      </c>
      <c r="AE87" s="615" t="str">
        <f t="shared" si="198"/>
        <v xml:space="preserve"> </v>
      </c>
      <c r="AF87" s="615" t="str">
        <f t="shared" si="199"/>
        <v xml:space="preserve"> </v>
      </c>
      <c r="AG87" s="615" t="str">
        <f t="shared" si="200"/>
        <v xml:space="preserve"> </v>
      </c>
      <c r="AH87" s="176" t="str">
        <f t="shared" si="201"/>
        <v xml:space="preserve"> </v>
      </c>
      <c r="AI87" s="1070"/>
      <c r="AK87" s="177"/>
    </row>
    <row r="88" spans="1:39" s="31" customFormat="1" ht="19.5" thickBot="1">
      <c r="A88" s="722"/>
      <c r="B88" s="723" t="s">
        <v>209</v>
      </c>
      <c r="C88" s="724" t="s">
        <v>0</v>
      </c>
      <c r="D88" s="885">
        <f t="shared" si="214"/>
        <v>3323.55</v>
      </c>
      <c r="E88" s="886"/>
      <c r="F88" s="886"/>
      <c r="G88" s="884">
        <v>3323.55</v>
      </c>
      <c r="H88" s="887">
        <v>994.4</v>
      </c>
      <c r="I88" s="885">
        <f t="shared" si="215"/>
        <v>994.4</v>
      </c>
      <c r="J88" s="886"/>
      <c r="K88" s="886"/>
      <c r="L88" s="884">
        <f>H88</f>
        <v>994.4</v>
      </c>
      <c r="M88" s="885">
        <f t="shared" si="216"/>
        <v>994.4</v>
      </c>
      <c r="N88" s="886"/>
      <c r="O88" s="886"/>
      <c r="P88" s="884">
        <f>L88</f>
        <v>994.4</v>
      </c>
      <c r="Q88" s="885">
        <f t="shared" si="217"/>
        <v>994.4</v>
      </c>
      <c r="R88" s="886"/>
      <c r="S88" s="886"/>
      <c r="T88" s="884">
        <f>P88</f>
        <v>994.4</v>
      </c>
      <c r="U88" s="885">
        <f t="shared" si="218"/>
        <v>994.4</v>
      </c>
      <c r="V88" s="886"/>
      <c r="W88" s="886"/>
      <c r="X88" s="884">
        <f>T88</f>
        <v>994.4</v>
      </c>
      <c r="Y88" s="885">
        <f t="shared" si="219"/>
        <v>994.4</v>
      </c>
      <c r="Z88" s="886"/>
      <c r="AA88" s="886"/>
      <c r="AB88" s="884">
        <f>X88</f>
        <v>994.4</v>
      </c>
      <c r="AC88" s="634">
        <f t="shared" si="196"/>
        <v>1</v>
      </c>
      <c r="AD88" s="631">
        <f t="shared" si="197"/>
        <v>0.29919814656015403</v>
      </c>
      <c r="AE88" s="631">
        <f t="shared" si="198"/>
        <v>1</v>
      </c>
      <c r="AF88" s="631">
        <f t="shared" si="199"/>
        <v>1</v>
      </c>
      <c r="AG88" s="631">
        <f t="shared" si="200"/>
        <v>1</v>
      </c>
      <c r="AH88" s="632">
        <f t="shared" si="201"/>
        <v>1</v>
      </c>
      <c r="AI88" s="1070"/>
      <c r="AL88" s="345"/>
      <c r="AM88" s="346"/>
    </row>
    <row r="89" spans="1:39" s="33" customFormat="1" ht="24" customHeight="1" thickBot="1">
      <c r="A89" s="1237" t="s">
        <v>181</v>
      </c>
      <c r="B89" s="1238"/>
      <c r="C89" s="745" t="s">
        <v>0</v>
      </c>
      <c r="D89" s="746">
        <f>E89+F89+G89</f>
        <v>417.59999999999997</v>
      </c>
      <c r="E89" s="747">
        <v>144.63999999999999</v>
      </c>
      <c r="F89" s="747"/>
      <c r="G89" s="748">
        <v>272.95999999999998</v>
      </c>
      <c r="H89" s="749">
        <v>686.3</v>
      </c>
      <c r="I89" s="746">
        <f>J89+K89+L89</f>
        <v>417.09</v>
      </c>
      <c r="J89" s="747">
        <f>ROUND((J14-J15-J17-J19+J20+J59-J80)*0.05,2)</f>
        <v>109.21</v>
      </c>
      <c r="K89" s="747"/>
      <c r="L89" s="748">
        <f>ROUND((L14-L15-L17-L19+L20+L59-L80)*0.05,2)</f>
        <v>307.88</v>
      </c>
      <c r="M89" s="746">
        <f>N89+O89+P89</f>
        <v>425.3</v>
      </c>
      <c r="N89" s="747">
        <f>ROUND((N14-N15-N17-N19+N20+N59-N80)*0.05,2)</f>
        <v>110.43</v>
      </c>
      <c r="O89" s="747"/>
      <c r="P89" s="748">
        <f>ROUND((P14-P15-P17-P19+P20+P59-P80)*0.05,2)</f>
        <v>314.87</v>
      </c>
      <c r="Q89" s="746">
        <f>R89+S89+T89</f>
        <v>435.82</v>
      </c>
      <c r="R89" s="747">
        <f>ROUND((R14-R15-R17-R19+R20+R59-R80)*0.05,2)</f>
        <v>112</v>
      </c>
      <c r="S89" s="747"/>
      <c r="T89" s="748">
        <f>ROUND((T14-T15-T17-T19+T20+T59-T80)*0.05,2)</f>
        <v>323.82</v>
      </c>
      <c r="U89" s="746">
        <f>V89+W89+X89</f>
        <v>446.65000000000003</v>
      </c>
      <c r="V89" s="747">
        <f>ROUND((V14-V15-V17-V19+V20+V59-V80)*0.05,2)</f>
        <v>113.61</v>
      </c>
      <c r="W89" s="747"/>
      <c r="X89" s="748">
        <f>ROUND((X14-X15-X17-X19+X20+X59-X80)*0.05,2)</f>
        <v>333.04</v>
      </c>
      <c r="Y89" s="746">
        <f>Z89+AA89+AB89</f>
        <v>453.29999999999995</v>
      </c>
      <c r="Z89" s="747">
        <f>ROUND((Z14-Z15-Z17-Z19+Z20+Z59-Z80)*0.05,2)</f>
        <v>110.77</v>
      </c>
      <c r="AA89" s="747"/>
      <c r="AB89" s="748">
        <f>ROUND((AB14-AB15-AB17-AB19+AB20+AB59-AB80)*0.05,2)</f>
        <v>342.53</v>
      </c>
      <c r="AC89" s="750">
        <f t="shared" si="196"/>
        <v>0.60773714119189859</v>
      </c>
      <c r="AD89" s="751">
        <f t="shared" si="197"/>
        <v>0.99877873563218389</v>
      </c>
      <c r="AE89" s="751">
        <f t="shared" si="198"/>
        <v>1.0196840010549282</v>
      </c>
      <c r="AF89" s="751">
        <f t="shared" si="199"/>
        <v>1.0247354808370561</v>
      </c>
      <c r="AG89" s="751">
        <f t="shared" si="200"/>
        <v>1.0248497085952917</v>
      </c>
      <c r="AH89" s="337">
        <f t="shared" si="201"/>
        <v>1.0148886152468375</v>
      </c>
      <c r="AI89" s="1069"/>
    </row>
    <row r="90" spans="1:39" s="33" customFormat="1" ht="41.25" customHeight="1" thickBot="1">
      <c r="A90" s="1231" t="s">
        <v>182</v>
      </c>
      <c r="B90" s="1232"/>
      <c r="C90" s="32" t="s">
        <v>0</v>
      </c>
      <c r="D90" s="433">
        <f>E90+F90+G90</f>
        <v>-210.88</v>
      </c>
      <c r="E90" s="92">
        <v>-210.88</v>
      </c>
      <c r="F90" s="92"/>
      <c r="G90" s="434"/>
      <c r="H90" s="476"/>
      <c r="I90" s="433">
        <f>J90+K90+L90</f>
        <v>0</v>
      </c>
      <c r="J90" s="92"/>
      <c r="K90" s="92"/>
      <c r="L90" s="434"/>
      <c r="M90" s="433">
        <f>N90+O90+P90</f>
        <v>0</v>
      </c>
      <c r="N90" s="92"/>
      <c r="O90" s="92"/>
      <c r="P90" s="434"/>
      <c r="Q90" s="433">
        <f>R90+S90+T90</f>
        <v>0</v>
      </c>
      <c r="R90" s="92"/>
      <c r="S90" s="92"/>
      <c r="T90" s="434"/>
      <c r="U90" s="433">
        <f>V90+W90+X90</f>
        <v>0</v>
      </c>
      <c r="V90" s="92"/>
      <c r="W90" s="92"/>
      <c r="X90" s="434"/>
      <c r="Y90" s="433">
        <f>Z90+AA90+AB90</f>
        <v>0</v>
      </c>
      <c r="Z90" s="92"/>
      <c r="AA90" s="92"/>
      <c r="AB90" s="434"/>
      <c r="AC90" s="743" t="str">
        <f t="shared" si="196"/>
        <v xml:space="preserve"> </v>
      </c>
      <c r="AD90" s="744">
        <f t="shared" si="197"/>
        <v>0</v>
      </c>
      <c r="AE90" s="744" t="str">
        <f t="shared" si="198"/>
        <v xml:space="preserve"> </v>
      </c>
      <c r="AF90" s="744" t="str">
        <f t="shared" si="199"/>
        <v xml:space="preserve"> </v>
      </c>
      <c r="AG90" s="744" t="str">
        <f t="shared" si="200"/>
        <v xml:space="preserve"> </v>
      </c>
      <c r="AH90" s="97" t="str">
        <f t="shared" si="201"/>
        <v xml:space="preserve"> </v>
      </c>
      <c r="AI90" s="1069"/>
    </row>
    <row r="91" spans="1:39" s="33" customFormat="1" ht="26.25" customHeight="1" thickBot="1">
      <c r="A91" s="1231" t="s">
        <v>183</v>
      </c>
      <c r="B91" s="1232"/>
      <c r="C91" s="32" t="s">
        <v>0</v>
      </c>
      <c r="D91" s="433">
        <f>SUM(D92:D95)</f>
        <v>0</v>
      </c>
      <c r="E91" s="92"/>
      <c r="F91" s="92"/>
      <c r="G91" s="434"/>
      <c r="H91" s="476"/>
      <c r="I91" s="433">
        <f>SUM(I92:I95)</f>
        <v>-2988.16</v>
      </c>
      <c r="J91" s="92">
        <f>SUM(J92:J95)</f>
        <v>-2988.16</v>
      </c>
      <c r="K91" s="92">
        <f t="shared" ref="K91:L91" si="220">SUM(K92:K95)</f>
        <v>0</v>
      </c>
      <c r="L91" s="92">
        <f t="shared" si="220"/>
        <v>0</v>
      </c>
      <c r="M91" s="433">
        <f>SUM(M92:M95)</f>
        <v>-126.51624797211835</v>
      </c>
      <c r="N91" s="92">
        <f>SUM(N92:N95)</f>
        <v>-126.51624797211835</v>
      </c>
      <c r="O91" s="92">
        <f t="shared" ref="O91" si="221">SUM(O92:O95)</f>
        <v>0</v>
      </c>
      <c r="P91" s="92">
        <f t="shared" ref="P91" si="222">SUM(P92:P95)</f>
        <v>0</v>
      </c>
      <c r="Q91" s="433">
        <f>SUM(Q92:Q95)</f>
        <v>0</v>
      </c>
      <c r="R91" s="92">
        <f>SUM(R92:R95)</f>
        <v>0</v>
      </c>
      <c r="S91" s="92">
        <f t="shared" ref="S91" si="223">SUM(S92:S95)</f>
        <v>0</v>
      </c>
      <c r="T91" s="92">
        <f t="shared" ref="T91" si="224">SUM(T92:T95)</f>
        <v>0</v>
      </c>
      <c r="U91" s="433">
        <f>SUM(U92:U95)</f>
        <v>0</v>
      </c>
      <c r="V91" s="92">
        <f>SUM(V92:V95)</f>
        <v>0</v>
      </c>
      <c r="W91" s="92">
        <f t="shared" ref="W91" si="225">SUM(W92:W95)</f>
        <v>0</v>
      </c>
      <c r="X91" s="92">
        <f t="shared" ref="X91" si="226">SUM(X92:X95)</f>
        <v>0</v>
      </c>
      <c r="Y91" s="433">
        <f>SUM(Y92:Y95)</f>
        <v>0</v>
      </c>
      <c r="Z91" s="92">
        <f>SUM(Z92:Z95)</f>
        <v>0</v>
      </c>
      <c r="AA91" s="92">
        <f t="shared" ref="AA91" si="227">SUM(AA92:AA95)</f>
        <v>0</v>
      </c>
      <c r="AB91" s="92">
        <f t="shared" ref="AB91" si="228">SUM(AB92:AB95)</f>
        <v>0</v>
      </c>
      <c r="AC91" s="743" t="str">
        <f t="shared" si="196"/>
        <v xml:space="preserve"> </v>
      </c>
      <c r="AD91" s="744" t="str">
        <f t="shared" si="197"/>
        <v xml:space="preserve"> </v>
      </c>
      <c r="AE91" s="744">
        <f t="shared" si="198"/>
        <v>4.2339181292875332E-2</v>
      </c>
      <c r="AF91" s="744">
        <f t="shared" si="199"/>
        <v>0</v>
      </c>
      <c r="AG91" s="744" t="str">
        <f t="shared" si="200"/>
        <v xml:space="preserve"> </v>
      </c>
      <c r="AH91" s="97" t="str">
        <f t="shared" si="201"/>
        <v xml:space="preserve"> </v>
      </c>
      <c r="AI91" s="1069"/>
    </row>
    <row r="92" spans="1:39" s="31" customFormat="1" ht="32.25" customHeight="1" outlineLevel="1">
      <c r="A92" s="71" t="s">
        <v>28</v>
      </c>
      <c r="B92" s="72" t="s">
        <v>204</v>
      </c>
      <c r="C92" s="427" t="s">
        <v>0</v>
      </c>
      <c r="D92" s="446"/>
      <c r="E92" s="103"/>
      <c r="F92" s="103"/>
      <c r="G92" s="447"/>
      <c r="H92" s="483"/>
      <c r="I92" s="446">
        <f>J92+K92+L92</f>
        <v>-2696.8199999999997</v>
      </c>
      <c r="J92" s="103">
        <f>'учет итогов'!I9+'учет итогов'!I15+'учет итогов'!I21</f>
        <v>-2696.8199999999997</v>
      </c>
      <c r="K92" s="103"/>
      <c r="L92" s="447"/>
      <c r="M92" s="446">
        <f>N92+O92+P92</f>
        <v>0</v>
      </c>
      <c r="N92" s="103"/>
      <c r="O92" s="103"/>
      <c r="P92" s="447"/>
      <c r="Q92" s="446">
        <f>R92+S92+T92</f>
        <v>0</v>
      </c>
      <c r="R92" s="103"/>
      <c r="S92" s="103"/>
      <c r="T92" s="447"/>
      <c r="U92" s="446">
        <f>V92+W92+X92</f>
        <v>0</v>
      </c>
      <c r="V92" s="103"/>
      <c r="W92" s="103"/>
      <c r="X92" s="447"/>
      <c r="Y92" s="446">
        <f>Z92+AA92+AB92</f>
        <v>0</v>
      </c>
      <c r="Z92" s="103"/>
      <c r="AA92" s="103"/>
      <c r="AB92" s="447"/>
      <c r="AC92" s="675" t="str">
        <f t="shared" si="196"/>
        <v xml:space="preserve"> </v>
      </c>
      <c r="AD92" s="667" t="str">
        <f t="shared" si="197"/>
        <v xml:space="preserve"> </v>
      </c>
      <c r="AE92" s="667">
        <f t="shared" si="198"/>
        <v>0</v>
      </c>
      <c r="AF92" s="667" t="str">
        <f t="shared" si="199"/>
        <v xml:space="preserve"> </v>
      </c>
      <c r="AG92" s="667" t="str">
        <f t="shared" si="200"/>
        <v xml:space="preserve"> </v>
      </c>
      <c r="AH92" s="668" t="str">
        <f t="shared" si="201"/>
        <v xml:space="preserve"> </v>
      </c>
      <c r="AI92" s="1070"/>
    </row>
    <row r="93" spans="1:39" s="31" customFormat="1" ht="78.75" outlineLevel="1">
      <c r="A93" s="60" t="s">
        <v>31</v>
      </c>
      <c r="B93" s="73" t="s">
        <v>205</v>
      </c>
      <c r="C93" s="658" t="s">
        <v>0</v>
      </c>
      <c r="D93" s="448"/>
      <c r="E93" s="104"/>
      <c r="F93" s="104"/>
      <c r="G93" s="449"/>
      <c r="H93" s="484"/>
      <c r="I93" s="446">
        <f t="shared" ref="I93:I95" si="229">J93+K93+L93</f>
        <v>0</v>
      </c>
      <c r="J93" s="104"/>
      <c r="K93" s="104"/>
      <c r="L93" s="449"/>
      <c r="M93" s="446">
        <f t="shared" ref="M93:M95" si="230">N93+O93+P93</f>
        <v>0</v>
      </c>
      <c r="N93" s="104"/>
      <c r="O93" s="104"/>
      <c r="P93" s="449"/>
      <c r="Q93" s="446">
        <f t="shared" ref="Q93:Q95" si="231">R93+S93+T93</f>
        <v>0</v>
      </c>
      <c r="R93" s="104"/>
      <c r="S93" s="104"/>
      <c r="T93" s="449"/>
      <c r="U93" s="446">
        <f t="shared" ref="U93:U95" si="232">V93+W93+X93</f>
        <v>0</v>
      </c>
      <c r="V93" s="104"/>
      <c r="W93" s="104"/>
      <c r="X93" s="449"/>
      <c r="Y93" s="446">
        <f t="shared" ref="Y93:Y95" si="233">Z93+AA93+AB93</f>
        <v>0</v>
      </c>
      <c r="Z93" s="104"/>
      <c r="AA93" s="104"/>
      <c r="AB93" s="449"/>
      <c r="AC93" s="633" t="str">
        <f t="shared" si="196"/>
        <v xml:space="preserve"> </v>
      </c>
      <c r="AD93" s="615" t="str">
        <f t="shared" si="197"/>
        <v xml:space="preserve"> </v>
      </c>
      <c r="AE93" s="615" t="str">
        <f t="shared" si="198"/>
        <v xml:space="preserve"> </v>
      </c>
      <c r="AF93" s="615" t="str">
        <f t="shared" si="199"/>
        <v xml:space="preserve"> </v>
      </c>
      <c r="AG93" s="615" t="str">
        <f t="shared" si="200"/>
        <v xml:space="preserve"> </v>
      </c>
      <c r="AH93" s="176" t="str">
        <f t="shared" si="201"/>
        <v xml:space="preserve"> </v>
      </c>
      <c r="AI93" s="1070"/>
    </row>
    <row r="94" spans="1:39" s="31" customFormat="1" ht="32.25" customHeight="1" outlineLevel="1">
      <c r="A94" s="60" t="s">
        <v>32</v>
      </c>
      <c r="B94" s="73" t="s">
        <v>206</v>
      </c>
      <c r="C94" s="658" t="s">
        <v>0</v>
      </c>
      <c r="D94" s="448"/>
      <c r="E94" s="104"/>
      <c r="F94" s="104"/>
      <c r="G94" s="449"/>
      <c r="H94" s="484"/>
      <c r="I94" s="446">
        <f t="shared" si="229"/>
        <v>0</v>
      </c>
      <c r="J94" s="104"/>
      <c r="K94" s="104"/>
      <c r="L94" s="449"/>
      <c r="M94" s="446">
        <f t="shared" si="230"/>
        <v>0</v>
      </c>
      <c r="N94" s="104"/>
      <c r="O94" s="104"/>
      <c r="P94" s="449"/>
      <c r="Q94" s="446">
        <f t="shared" si="231"/>
        <v>0</v>
      </c>
      <c r="R94" s="104"/>
      <c r="S94" s="104"/>
      <c r="T94" s="449"/>
      <c r="U94" s="446">
        <f t="shared" si="232"/>
        <v>0</v>
      </c>
      <c r="V94" s="104"/>
      <c r="W94" s="104"/>
      <c r="X94" s="449"/>
      <c r="Y94" s="446">
        <f t="shared" si="233"/>
        <v>0</v>
      </c>
      <c r="Z94" s="104"/>
      <c r="AA94" s="104"/>
      <c r="AB94" s="449"/>
      <c r="AC94" s="633" t="str">
        <f t="shared" si="196"/>
        <v xml:space="preserve"> </v>
      </c>
      <c r="AD94" s="615" t="str">
        <f t="shared" si="197"/>
        <v xml:space="preserve"> </v>
      </c>
      <c r="AE94" s="615" t="str">
        <f t="shared" si="198"/>
        <v xml:space="preserve"> </v>
      </c>
      <c r="AF94" s="615" t="str">
        <f t="shared" si="199"/>
        <v xml:space="preserve"> </v>
      </c>
      <c r="AG94" s="615" t="str">
        <f t="shared" si="200"/>
        <v xml:space="preserve"> </v>
      </c>
      <c r="AH94" s="176" t="str">
        <f t="shared" si="201"/>
        <v xml:space="preserve"> </v>
      </c>
      <c r="AI94" s="1070"/>
    </row>
    <row r="95" spans="1:39" s="31" customFormat="1" ht="97.5" customHeight="1" outlineLevel="1" thickBot="1">
      <c r="A95" s="722" t="s">
        <v>34</v>
      </c>
      <c r="B95" s="723" t="s">
        <v>207</v>
      </c>
      <c r="C95" s="724" t="s">
        <v>0</v>
      </c>
      <c r="D95" s="450"/>
      <c r="E95" s="725"/>
      <c r="F95" s="725"/>
      <c r="G95" s="726"/>
      <c r="H95" s="727"/>
      <c r="I95" s="446">
        <f t="shared" si="229"/>
        <v>-291.33999999999997</v>
      </c>
      <c r="J95" s="725">
        <f>'учет итогов'!I18+'учет итогов'!I24</f>
        <v>-291.33999999999997</v>
      </c>
      <c r="K95" s="725"/>
      <c r="L95" s="726"/>
      <c r="M95" s="446">
        <f t="shared" si="230"/>
        <v>-126.51624797211835</v>
      </c>
      <c r="N95" s="725">
        <f>'учет итогов'!J24</f>
        <v>-126.51624797211835</v>
      </c>
      <c r="O95" s="725"/>
      <c r="P95" s="726"/>
      <c r="Q95" s="446">
        <f t="shared" si="231"/>
        <v>0</v>
      </c>
      <c r="R95" s="725"/>
      <c r="S95" s="725"/>
      <c r="T95" s="726"/>
      <c r="U95" s="446">
        <f t="shared" si="232"/>
        <v>0</v>
      </c>
      <c r="V95" s="725"/>
      <c r="W95" s="725"/>
      <c r="X95" s="726"/>
      <c r="Y95" s="446">
        <f t="shared" si="233"/>
        <v>0</v>
      </c>
      <c r="Z95" s="725"/>
      <c r="AA95" s="725"/>
      <c r="AB95" s="726"/>
      <c r="AC95" s="634" t="str">
        <f t="shared" si="196"/>
        <v xml:space="preserve"> </v>
      </c>
      <c r="AD95" s="631" t="str">
        <f t="shared" si="197"/>
        <v xml:space="preserve"> </v>
      </c>
      <c r="AE95" s="631">
        <f t="shared" si="198"/>
        <v>0.43425636017065411</v>
      </c>
      <c r="AF95" s="631">
        <f t="shared" si="199"/>
        <v>0</v>
      </c>
      <c r="AG95" s="631" t="str">
        <f t="shared" si="200"/>
        <v xml:space="preserve"> </v>
      </c>
      <c r="AH95" s="632" t="str">
        <f t="shared" si="201"/>
        <v xml:space="preserve"> </v>
      </c>
      <c r="AI95" s="1070"/>
    </row>
    <row r="96" spans="1:39" s="33" customFormat="1" ht="19.5" thickBot="1">
      <c r="A96" s="1231" t="s">
        <v>184</v>
      </c>
      <c r="B96" s="1232"/>
      <c r="C96" s="32" t="s">
        <v>0</v>
      </c>
      <c r="D96" s="433">
        <f>SUM(D98:D104)</f>
        <v>25610.034999999996</v>
      </c>
      <c r="E96" s="92">
        <f t="shared" ref="E96:G96" si="234">SUM(E98:E104)</f>
        <v>13714.584999999999</v>
      </c>
      <c r="F96" s="92">
        <f t="shared" si="234"/>
        <v>1031.07</v>
      </c>
      <c r="G96" s="434">
        <f t="shared" si="234"/>
        <v>10864.380000000001</v>
      </c>
      <c r="H96" s="476">
        <f t="shared" ref="H96" si="235">SUM(H98:H104)</f>
        <v>31215.192999999999</v>
      </c>
      <c r="I96" s="433">
        <f>SUM(I98:I104)</f>
        <v>26843.769999999997</v>
      </c>
      <c r="J96" s="92">
        <f t="shared" ref="J96:L96" si="236">SUM(J98:J104)</f>
        <v>15080.859999999997</v>
      </c>
      <c r="K96" s="92">
        <f t="shared" si="236"/>
        <v>1811.5</v>
      </c>
      <c r="L96" s="434">
        <f t="shared" si="236"/>
        <v>9951.409999999998</v>
      </c>
      <c r="M96" s="433">
        <f>SUM(M98:M104)</f>
        <v>30222.60844113545</v>
      </c>
      <c r="N96" s="92">
        <f t="shared" ref="N96:P96" si="237">SUM(N98:N104)</f>
        <v>18118.573752027882</v>
      </c>
      <c r="O96" s="92">
        <f t="shared" si="237"/>
        <v>1926.4899999999998</v>
      </c>
      <c r="P96" s="434">
        <f t="shared" si="237"/>
        <v>10199.410000000002</v>
      </c>
      <c r="Q96" s="433">
        <f>SUM(Q98:Q104)</f>
        <v>31812.917536561126</v>
      </c>
      <c r="R96" s="92">
        <f t="shared" ref="R96:T96" si="238">SUM(R98:R104)</f>
        <v>19224.41</v>
      </c>
      <c r="S96" s="92">
        <f t="shared" si="238"/>
        <v>2027.7899999999997</v>
      </c>
      <c r="T96" s="434">
        <f t="shared" si="238"/>
        <v>10583.23</v>
      </c>
      <c r="U96" s="433">
        <f>SUM(U98:U104)</f>
        <v>33058.911254054765</v>
      </c>
      <c r="V96" s="92">
        <f t="shared" ref="V96:X96" si="239">SUM(V98:V104)</f>
        <v>20062.580000000002</v>
      </c>
      <c r="W96" s="92">
        <f t="shared" si="239"/>
        <v>2107.34</v>
      </c>
      <c r="X96" s="434">
        <f t="shared" si="239"/>
        <v>10912.17</v>
      </c>
      <c r="Y96" s="433">
        <f>SUM(Y98:Y104)</f>
        <v>34238.57514171191</v>
      </c>
      <c r="Z96" s="92">
        <f t="shared" ref="Z96:AB96" si="240">SUM(Z98:Z104)</f>
        <v>20974.400000000001</v>
      </c>
      <c r="AA96" s="92">
        <f t="shared" si="240"/>
        <v>2187.7000000000003</v>
      </c>
      <c r="AB96" s="434">
        <f t="shared" si="240"/>
        <v>11100.34</v>
      </c>
      <c r="AC96" s="743">
        <f t="shared" si="196"/>
        <v>0.85995848239669692</v>
      </c>
      <c r="AD96" s="744">
        <f t="shared" si="197"/>
        <v>1.0481738896491162</v>
      </c>
      <c r="AE96" s="744">
        <f t="shared" si="198"/>
        <v>1.1258704884274993</v>
      </c>
      <c r="AF96" s="744">
        <f t="shared" si="199"/>
        <v>1.0526198490948628</v>
      </c>
      <c r="AG96" s="744">
        <f t="shared" si="200"/>
        <v>1.039166282566246</v>
      </c>
      <c r="AH96" s="97">
        <f t="shared" si="201"/>
        <v>1.0356836883886325</v>
      </c>
      <c r="AI96" s="1069"/>
      <c r="AK96" s="344"/>
    </row>
    <row r="97" spans="1:37" s="76" customFormat="1" ht="18.75" outlineLevel="1">
      <c r="A97" s="74"/>
      <c r="B97" s="75" t="s">
        <v>101</v>
      </c>
      <c r="C97" s="428"/>
      <c r="D97" s="451"/>
      <c r="E97" s="105"/>
      <c r="F97" s="105"/>
      <c r="G97" s="452"/>
      <c r="H97" s="485"/>
      <c r="I97" s="451"/>
      <c r="J97" s="105"/>
      <c r="K97" s="105"/>
      <c r="L97" s="452"/>
      <c r="M97" s="451"/>
      <c r="N97" s="105"/>
      <c r="O97" s="105"/>
      <c r="P97" s="452"/>
      <c r="Q97" s="451"/>
      <c r="R97" s="105"/>
      <c r="S97" s="105"/>
      <c r="T97" s="452"/>
      <c r="U97" s="451"/>
      <c r="V97" s="105"/>
      <c r="W97" s="105"/>
      <c r="X97" s="452"/>
      <c r="Y97" s="451"/>
      <c r="Z97" s="105"/>
      <c r="AA97" s="105"/>
      <c r="AB97" s="452"/>
      <c r="AC97" s="675" t="str">
        <f t="shared" si="196"/>
        <v xml:space="preserve"> </v>
      </c>
      <c r="AD97" s="667" t="str">
        <f t="shared" si="197"/>
        <v xml:space="preserve"> </v>
      </c>
      <c r="AE97" s="667" t="str">
        <f t="shared" si="198"/>
        <v xml:space="preserve"> </v>
      </c>
      <c r="AF97" s="667" t="str">
        <f t="shared" si="199"/>
        <v xml:space="preserve"> </v>
      </c>
      <c r="AG97" s="667" t="str">
        <f t="shared" si="200"/>
        <v xml:space="preserve"> </v>
      </c>
      <c r="AH97" s="668" t="str">
        <f t="shared" si="201"/>
        <v xml:space="preserve"> </v>
      </c>
      <c r="AI97" s="1074"/>
    </row>
    <row r="98" spans="1:37" s="31" customFormat="1" ht="18.75">
      <c r="A98" s="77"/>
      <c r="B98" s="78" t="s">
        <v>123</v>
      </c>
      <c r="C98" s="661" t="s">
        <v>0</v>
      </c>
      <c r="D98" s="453">
        <f t="shared" ref="D98" si="241">D20</f>
        <v>5477.0599999999995</v>
      </c>
      <c r="E98" s="106">
        <f t="shared" ref="E98:F98" si="242">E20</f>
        <v>1389.9299999999998</v>
      </c>
      <c r="F98" s="106">
        <f t="shared" si="242"/>
        <v>0</v>
      </c>
      <c r="G98" s="454">
        <f t="shared" ref="G98:K98" si="243">G20</f>
        <v>4087.13</v>
      </c>
      <c r="H98" s="486">
        <f t="shared" si="243"/>
        <v>8989.1849999999995</v>
      </c>
      <c r="I98" s="453">
        <f t="shared" si="243"/>
        <v>6191.32</v>
      </c>
      <c r="J98" s="106">
        <f t="shared" si="243"/>
        <v>915.59</v>
      </c>
      <c r="K98" s="106">
        <f t="shared" si="243"/>
        <v>0</v>
      </c>
      <c r="L98" s="454">
        <f t="shared" ref="L98:O98" si="244">L20</f>
        <v>5275.73</v>
      </c>
      <c r="M98" s="453">
        <f t="shared" si="244"/>
        <v>6315.9346891075711</v>
      </c>
      <c r="N98" s="106">
        <f t="shared" si="244"/>
        <v>937.25</v>
      </c>
      <c r="O98" s="106">
        <f t="shared" si="244"/>
        <v>0</v>
      </c>
      <c r="P98" s="454">
        <f t="shared" ref="P98:S98" si="245">P20</f>
        <v>5400.55</v>
      </c>
      <c r="Q98" s="453">
        <f t="shared" si="245"/>
        <v>6502.8875365611248</v>
      </c>
      <c r="R98" s="106">
        <f t="shared" si="245"/>
        <v>964.99</v>
      </c>
      <c r="S98" s="106">
        <f t="shared" si="245"/>
        <v>0</v>
      </c>
      <c r="T98" s="454">
        <f t="shared" ref="T98:W98" si="246">T20</f>
        <v>5560.41</v>
      </c>
      <c r="U98" s="453">
        <f t="shared" si="246"/>
        <v>6695.3712540547622</v>
      </c>
      <c r="V98" s="106">
        <f t="shared" si="246"/>
        <v>993.55</v>
      </c>
      <c r="W98" s="106">
        <f t="shared" si="246"/>
        <v>0</v>
      </c>
      <c r="X98" s="454">
        <f t="shared" ref="X98:AA98" si="247">X20</f>
        <v>5725</v>
      </c>
      <c r="Y98" s="453">
        <f t="shared" si="247"/>
        <v>6893.5551417119023</v>
      </c>
      <c r="Z98" s="106">
        <f t="shared" si="247"/>
        <v>1022.96</v>
      </c>
      <c r="AA98" s="106">
        <f t="shared" si="247"/>
        <v>0</v>
      </c>
      <c r="AB98" s="454">
        <f t="shared" ref="AB98" si="248">AB20</f>
        <v>5894.46</v>
      </c>
      <c r="AC98" s="633">
        <f t="shared" si="196"/>
        <v>0.68875209487845668</v>
      </c>
      <c r="AD98" s="615">
        <f t="shared" si="197"/>
        <v>1.1304093802149329</v>
      </c>
      <c r="AE98" s="615">
        <f t="shared" si="198"/>
        <v>1.0201273216547637</v>
      </c>
      <c r="AF98" s="615">
        <f t="shared" si="199"/>
        <v>1.0296001869328972</v>
      </c>
      <c r="AG98" s="615">
        <f t="shared" si="200"/>
        <v>1.0295997303369369</v>
      </c>
      <c r="AH98" s="176">
        <f t="shared" si="201"/>
        <v>1.0296001342027328</v>
      </c>
      <c r="AI98" s="1070"/>
    </row>
    <row r="99" spans="1:37" s="31" customFormat="1" ht="18.75">
      <c r="A99" s="77"/>
      <c r="B99" s="78" t="s">
        <v>124</v>
      </c>
      <c r="C99" s="661" t="s">
        <v>0</v>
      </c>
      <c r="D99" s="453">
        <f t="shared" ref="D99" si="249">D59</f>
        <v>3609.1349999999998</v>
      </c>
      <c r="E99" s="106">
        <f t="shared" ref="E99:F99" si="250">E59</f>
        <v>2237.0749999999998</v>
      </c>
      <c r="F99" s="106">
        <f t="shared" si="250"/>
        <v>0</v>
      </c>
      <c r="G99" s="454">
        <f t="shared" ref="G99:K99" si="251">G59</f>
        <v>1372.06</v>
      </c>
      <c r="H99" s="486">
        <f t="shared" si="251"/>
        <v>4218.0540000000001</v>
      </c>
      <c r="I99" s="453">
        <f t="shared" si="251"/>
        <v>2150.52</v>
      </c>
      <c r="J99" s="106">
        <f t="shared" si="251"/>
        <v>1268.6300000000001</v>
      </c>
      <c r="K99" s="106">
        <f t="shared" si="251"/>
        <v>0</v>
      </c>
      <c r="L99" s="454">
        <f t="shared" ref="L99:O99" si="252">L59</f>
        <v>881.89</v>
      </c>
      <c r="M99" s="453">
        <f t="shared" si="252"/>
        <v>2168.29</v>
      </c>
      <c r="N99" s="106">
        <f t="shared" si="252"/>
        <v>1271.4100000000001</v>
      </c>
      <c r="O99" s="106">
        <f t="shared" si="252"/>
        <v>0</v>
      </c>
      <c r="P99" s="454">
        <f t="shared" ref="P99:S99" si="253">P59</f>
        <v>896.88</v>
      </c>
      <c r="Q99" s="453">
        <f t="shared" si="253"/>
        <v>2191</v>
      </c>
      <c r="R99" s="106">
        <f t="shared" si="253"/>
        <v>1274.94</v>
      </c>
      <c r="S99" s="106">
        <f t="shared" si="253"/>
        <v>0</v>
      </c>
      <c r="T99" s="454">
        <f t="shared" ref="T99:W99" si="254">T59</f>
        <v>916.06000000000006</v>
      </c>
      <c r="U99" s="453">
        <f t="shared" si="254"/>
        <v>2214.42</v>
      </c>
      <c r="V99" s="106">
        <f t="shared" si="254"/>
        <v>1278.5999999999999</v>
      </c>
      <c r="W99" s="106">
        <f t="shared" si="254"/>
        <v>0</v>
      </c>
      <c r="X99" s="454">
        <f t="shared" ref="X99:AA99" si="255">X59</f>
        <v>935.82</v>
      </c>
      <c r="Y99" s="453">
        <f t="shared" si="255"/>
        <v>2148.6800000000003</v>
      </c>
      <c r="Z99" s="106">
        <f t="shared" si="255"/>
        <v>1192.52</v>
      </c>
      <c r="AA99" s="106">
        <f t="shared" si="255"/>
        <v>0</v>
      </c>
      <c r="AB99" s="454">
        <f t="shared" ref="AB99" si="256">AB59</f>
        <v>956.16</v>
      </c>
      <c r="AC99" s="633">
        <f t="shared" si="196"/>
        <v>0.50983700066428739</v>
      </c>
      <c r="AD99" s="615">
        <f t="shared" si="197"/>
        <v>0.59585468540245801</v>
      </c>
      <c r="AE99" s="615">
        <f t="shared" si="198"/>
        <v>1.0082631177575656</v>
      </c>
      <c r="AF99" s="615">
        <f t="shared" si="199"/>
        <v>1.0104736912497867</v>
      </c>
      <c r="AG99" s="615">
        <f t="shared" si="200"/>
        <v>1.0106891830214515</v>
      </c>
      <c r="AH99" s="176">
        <f t="shared" si="201"/>
        <v>0.97031276812890066</v>
      </c>
      <c r="AI99" s="1070"/>
    </row>
    <row r="100" spans="1:37" s="31" customFormat="1" ht="18.75">
      <c r="A100" s="77"/>
      <c r="B100" s="78" t="s">
        <v>125</v>
      </c>
      <c r="C100" s="661" t="s">
        <v>0</v>
      </c>
      <c r="D100" s="453">
        <f t="shared" ref="D100" si="257">D14</f>
        <v>12993.57</v>
      </c>
      <c r="E100" s="106">
        <f t="shared" ref="E100:F100" si="258">E14</f>
        <v>10153.82</v>
      </c>
      <c r="F100" s="106">
        <f t="shared" si="258"/>
        <v>1031.07</v>
      </c>
      <c r="G100" s="454">
        <f t="shared" ref="G100:K100" si="259">G14</f>
        <v>1808.68</v>
      </c>
      <c r="H100" s="486">
        <f t="shared" si="259"/>
        <v>15453.854000000001</v>
      </c>
      <c r="I100" s="453">
        <f t="shared" si="259"/>
        <v>20078.599999999995</v>
      </c>
      <c r="J100" s="106">
        <f t="shared" si="259"/>
        <v>15775.589999999998</v>
      </c>
      <c r="K100" s="106">
        <f t="shared" si="259"/>
        <v>1811.5</v>
      </c>
      <c r="L100" s="454">
        <f t="shared" ref="L100:O100" si="260">L14</f>
        <v>2491.5099999999998</v>
      </c>
      <c r="M100" s="453">
        <f t="shared" si="260"/>
        <v>20445.199999999997</v>
      </c>
      <c r="N100" s="106">
        <f t="shared" si="260"/>
        <v>15926</v>
      </c>
      <c r="O100" s="106">
        <f t="shared" si="260"/>
        <v>1926.4899999999998</v>
      </c>
      <c r="P100" s="454">
        <f t="shared" ref="P100:S100" si="261">P14</f>
        <v>2592.7100000000005</v>
      </c>
      <c r="Q100" s="453">
        <f t="shared" si="261"/>
        <v>21688.81</v>
      </c>
      <c r="R100" s="106">
        <f t="shared" si="261"/>
        <v>16872.48</v>
      </c>
      <c r="S100" s="106">
        <f t="shared" si="261"/>
        <v>2027.7899999999997</v>
      </c>
      <c r="T100" s="454">
        <f t="shared" ref="T100:W100" si="262">T14</f>
        <v>2788.54</v>
      </c>
      <c r="U100" s="453">
        <f t="shared" si="262"/>
        <v>22708.07</v>
      </c>
      <c r="V100" s="106">
        <f t="shared" si="262"/>
        <v>17676.82</v>
      </c>
      <c r="W100" s="106">
        <f t="shared" si="262"/>
        <v>2107.34</v>
      </c>
      <c r="X100" s="454">
        <f t="shared" ref="X100:AA100" si="263">X14</f>
        <v>2923.9100000000003</v>
      </c>
      <c r="Y100" s="453">
        <f t="shared" si="263"/>
        <v>23748.640000000003</v>
      </c>
      <c r="Z100" s="106">
        <f t="shared" si="263"/>
        <v>18648.150000000001</v>
      </c>
      <c r="AA100" s="106">
        <f t="shared" si="263"/>
        <v>2187.7000000000003</v>
      </c>
      <c r="AB100" s="454">
        <f t="shared" ref="AB100" si="264">AB14</f>
        <v>2912.79</v>
      </c>
      <c r="AC100" s="633">
        <f t="shared" si="196"/>
        <v>1.2992616599069717</v>
      </c>
      <c r="AD100" s="615">
        <f t="shared" si="197"/>
        <v>1.5452720076160744</v>
      </c>
      <c r="AE100" s="615">
        <f t="shared" si="198"/>
        <v>1.0182582450967699</v>
      </c>
      <c r="AF100" s="615">
        <f t="shared" si="199"/>
        <v>1.0608265020640544</v>
      </c>
      <c r="AG100" s="615">
        <f t="shared" si="200"/>
        <v>1.0469947406058699</v>
      </c>
      <c r="AH100" s="176">
        <f t="shared" si="201"/>
        <v>1.0458237974429356</v>
      </c>
      <c r="AI100" s="1070"/>
    </row>
    <row r="101" spans="1:37" s="31" customFormat="1" ht="18.75">
      <c r="A101" s="77"/>
      <c r="B101" s="78" t="s">
        <v>126</v>
      </c>
      <c r="C101" s="661" t="s">
        <v>0</v>
      </c>
      <c r="D101" s="453">
        <f t="shared" ref="D101" si="265">D83</f>
        <v>3323.55</v>
      </c>
      <c r="E101" s="106">
        <f t="shared" ref="E101:F101" si="266">E83</f>
        <v>0</v>
      </c>
      <c r="F101" s="106">
        <f t="shared" si="266"/>
        <v>0</v>
      </c>
      <c r="G101" s="454">
        <f t="shared" ref="G101:K101" si="267">G83</f>
        <v>3323.55</v>
      </c>
      <c r="H101" s="486">
        <f t="shared" si="267"/>
        <v>1867.8</v>
      </c>
      <c r="I101" s="453">
        <f t="shared" si="267"/>
        <v>994.4</v>
      </c>
      <c r="J101" s="106">
        <f t="shared" si="267"/>
        <v>0</v>
      </c>
      <c r="K101" s="106">
        <f t="shared" si="267"/>
        <v>0</v>
      </c>
      <c r="L101" s="454">
        <f t="shared" ref="L101:O101" si="268">L83</f>
        <v>994.4</v>
      </c>
      <c r="M101" s="453">
        <f t="shared" si="268"/>
        <v>994.4</v>
      </c>
      <c r="N101" s="106">
        <f t="shared" si="268"/>
        <v>0</v>
      </c>
      <c r="O101" s="106">
        <f t="shared" si="268"/>
        <v>0</v>
      </c>
      <c r="P101" s="454">
        <f t="shared" ref="P101:S101" si="269">P83</f>
        <v>994.4</v>
      </c>
      <c r="Q101" s="453">
        <f t="shared" si="269"/>
        <v>994.4</v>
      </c>
      <c r="R101" s="106">
        <f t="shared" si="269"/>
        <v>0</v>
      </c>
      <c r="S101" s="106">
        <f t="shared" si="269"/>
        <v>0</v>
      </c>
      <c r="T101" s="454">
        <f t="shared" ref="T101:W101" si="270">T83</f>
        <v>994.4</v>
      </c>
      <c r="U101" s="453">
        <f t="shared" si="270"/>
        <v>994.4</v>
      </c>
      <c r="V101" s="106">
        <f t="shared" si="270"/>
        <v>0</v>
      </c>
      <c r="W101" s="106">
        <f t="shared" si="270"/>
        <v>0</v>
      </c>
      <c r="X101" s="454">
        <f t="shared" ref="X101:AA101" si="271">X83</f>
        <v>994.4</v>
      </c>
      <c r="Y101" s="453">
        <f t="shared" si="271"/>
        <v>994.4</v>
      </c>
      <c r="Z101" s="106">
        <f t="shared" si="271"/>
        <v>0</v>
      </c>
      <c r="AA101" s="106">
        <f t="shared" si="271"/>
        <v>0</v>
      </c>
      <c r="AB101" s="454">
        <f t="shared" ref="AB101" si="272">AB83</f>
        <v>994.4</v>
      </c>
      <c r="AC101" s="633">
        <f t="shared" si="196"/>
        <v>0.53239104829210837</v>
      </c>
      <c r="AD101" s="615">
        <f t="shared" si="197"/>
        <v>0.29919814656015403</v>
      </c>
      <c r="AE101" s="615">
        <f t="shared" si="198"/>
        <v>1</v>
      </c>
      <c r="AF101" s="615">
        <f t="shared" si="199"/>
        <v>1</v>
      </c>
      <c r="AG101" s="615">
        <f t="shared" si="200"/>
        <v>1</v>
      </c>
      <c r="AH101" s="176">
        <f t="shared" si="201"/>
        <v>1</v>
      </c>
      <c r="AI101" s="1070"/>
    </row>
    <row r="102" spans="1:37" s="31" customFormat="1" ht="18.75">
      <c r="A102" s="77"/>
      <c r="B102" s="78" t="s">
        <v>176</v>
      </c>
      <c r="C102" s="661" t="s">
        <v>0</v>
      </c>
      <c r="D102" s="453">
        <f t="shared" ref="D102:E102" si="273">D89</f>
        <v>417.59999999999997</v>
      </c>
      <c r="E102" s="106">
        <f t="shared" si="273"/>
        <v>144.63999999999999</v>
      </c>
      <c r="F102" s="106">
        <f t="shared" ref="F102:J102" si="274">F89</f>
        <v>0</v>
      </c>
      <c r="G102" s="454">
        <f t="shared" si="274"/>
        <v>272.95999999999998</v>
      </c>
      <c r="H102" s="486">
        <f t="shared" si="274"/>
        <v>686.3</v>
      </c>
      <c r="I102" s="453">
        <f t="shared" si="274"/>
        <v>417.09</v>
      </c>
      <c r="J102" s="106">
        <f t="shared" si="274"/>
        <v>109.21</v>
      </c>
      <c r="K102" s="106">
        <f t="shared" ref="K102:N102" si="275">K89</f>
        <v>0</v>
      </c>
      <c r="L102" s="454">
        <f t="shared" si="275"/>
        <v>307.88</v>
      </c>
      <c r="M102" s="453">
        <f t="shared" si="275"/>
        <v>425.3</v>
      </c>
      <c r="N102" s="106">
        <f t="shared" si="275"/>
        <v>110.43</v>
      </c>
      <c r="O102" s="106">
        <f t="shared" ref="O102:R102" si="276">O89</f>
        <v>0</v>
      </c>
      <c r="P102" s="454">
        <f t="shared" si="276"/>
        <v>314.87</v>
      </c>
      <c r="Q102" s="453">
        <f t="shared" si="276"/>
        <v>435.82</v>
      </c>
      <c r="R102" s="106">
        <f t="shared" si="276"/>
        <v>112</v>
      </c>
      <c r="S102" s="106">
        <f t="shared" ref="S102:V102" si="277">S89</f>
        <v>0</v>
      </c>
      <c r="T102" s="454">
        <f t="shared" si="277"/>
        <v>323.82</v>
      </c>
      <c r="U102" s="453">
        <f t="shared" si="277"/>
        <v>446.65000000000003</v>
      </c>
      <c r="V102" s="106">
        <f t="shared" si="277"/>
        <v>113.61</v>
      </c>
      <c r="W102" s="106">
        <f t="shared" ref="W102:Z102" si="278">W89</f>
        <v>0</v>
      </c>
      <c r="X102" s="454">
        <f t="shared" si="278"/>
        <v>333.04</v>
      </c>
      <c r="Y102" s="453">
        <f t="shared" si="278"/>
        <v>453.29999999999995</v>
      </c>
      <c r="Z102" s="106">
        <f t="shared" si="278"/>
        <v>110.77</v>
      </c>
      <c r="AA102" s="106">
        <f t="shared" ref="AA102:AB102" si="279">AA89</f>
        <v>0</v>
      </c>
      <c r="AB102" s="454">
        <f t="shared" si="279"/>
        <v>342.53</v>
      </c>
      <c r="AC102" s="633">
        <f t="shared" si="196"/>
        <v>0.60773714119189859</v>
      </c>
      <c r="AD102" s="615">
        <f t="shared" si="197"/>
        <v>0.99877873563218389</v>
      </c>
      <c r="AE102" s="615">
        <f t="shared" si="198"/>
        <v>1.0196840010549282</v>
      </c>
      <c r="AF102" s="615">
        <f t="shared" si="199"/>
        <v>1.0247354808370561</v>
      </c>
      <c r="AG102" s="615">
        <f t="shared" si="200"/>
        <v>1.0248497085952917</v>
      </c>
      <c r="AH102" s="176">
        <f t="shared" si="201"/>
        <v>1.0148886152468375</v>
      </c>
      <c r="AI102" s="1070"/>
    </row>
    <row r="103" spans="1:37" s="31" customFormat="1" ht="18.75">
      <c r="A103" s="77"/>
      <c r="B103" s="78" t="s">
        <v>127</v>
      </c>
      <c r="C103" s="661" t="s">
        <v>0</v>
      </c>
      <c r="D103" s="453">
        <f t="shared" ref="D103:E103" si="280">D90</f>
        <v>-210.88</v>
      </c>
      <c r="E103" s="106">
        <f t="shared" si="280"/>
        <v>-210.88</v>
      </c>
      <c r="F103" s="106">
        <f t="shared" ref="F103:J103" si="281">F90</f>
        <v>0</v>
      </c>
      <c r="G103" s="454">
        <f t="shared" si="281"/>
        <v>0</v>
      </c>
      <c r="H103" s="486">
        <f t="shared" si="281"/>
        <v>0</v>
      </c>
      <c r="I103" s="453">
        <f t="shared" si="281"/>
        <v>0</v>
      </c>
      <c r="J103" s="106">
        <f t="shared" si="281"/>
        <v>0</v>
      </c>
      <c r="K103" s="106">
        <f t="shared" ref="K103:N103" si="282">K90</f>
        <v>0</v>
      </c>
      <c r="L103" s="454">
        <f t="shared" si="282"/>
        <v>0</v>
      </c>
      <c r="M103" s="453">
        <f t="shared" si="282"/>
        <v>0</v>
      </c>
      <c r="N103" s="106">
        <f t="shared" si="282"/>
        <v>0</v>
      </c>
      <c r="O103" s="106">
        <f t="shared" ref="O103:R103" si="283">O90</f>
        <v>0</v>
      </c>
      <c r="P103" s="454">
        <f t="shared" si="283"/>
        <v>0</v>
      </c>
      <c r="Q103" s="453">
        <f t="shared" si="283"/>
        <v>0</v>
      </c>
      <c r="R103" s="106">
        <f t="shared" si="283"/>
        <v>0</v>
      </c>
      <c r="S103" s="106">
        <f t="shared" ref="S103:V103" si="284">S90</f>
        <v>0</v>
      </c>
      <c r="T103" s="454">
        <f t="shared" si="284"/>
        <v>0</v>
      </c>
      <c r="U103" s="453">
        <f t="shared" si="284"/>
        <v>0</v>
      </c>
      <c r="V103" s="106">
        <f t="shared" si="284"/>
        <v>0</v>
      </c>
      <c r="W103" s="106">
        <f t="shared" ref="W103:Z103" si="285">W90</f>
        <v>0</v>
      </c>
      <c r="X103" s="454">
        <f t="shared" si="285"/>
        <v>0</v>
      </c>
      <c r="Y103" s="453">
        <f t="shared" si="285"/>
        <v>0</v>
      </c>
      <c r="Z103" s="106">
        <f t="shared" si="285"/>
        <v>0</v>
      </c>
      <c r="AA103" s="106">
        <f t="shared" ref="AA103:AB103" si="286">AA90</f>
        <v>0</v>
      </c>
      <c r="AB103" s="454">
        <f t="shared" si="286"/>
        <v>0</v>
      </c>
      <c r="AC103" s="633" t="str">
        <f t="shared" si="196"/>
        <v xml:space="preserve"> </v>
      </c>
      <c r="AD103" s="615">
        <f t="shared" si="197"/>
        <v>0</v>
      </c>
      <c r="AE103" s="615" t="str">
        <f t="shared" si="198"/>
        <v xml:space="preserve"> </v>
      </c>
      <c r="AF103" s="615" t="str">
        <f t="shared" si="199"/>
        <v xml:space="preserve"> </v>
      </c>
      <c r="AG103" s="615" t="str">
        <f t="shared" si="200"/>
        <v xml:space="preserve"> </v>
      </c>
      <c r="AH103" s="176" t="str">
        <f t="shared" si="201"/>
        <v xml:space="preserve"> </v>
      </c>
      <c r="AI103" s="1070"/>
    </row>
    <row r="104" spans="1:37" s="31" customFormat="1" ht="18.75">
      <c r="A104" s="77"/>
      <c r="B104" s="79" t="s">
        <v>128</v>
      </c>
      <c r="C104" s="661" t="s">
        <v>0</v>
      </c>
      <c r="D104" s="453">
        <f t="shared" ref="D104:L104" si="287">D91</f>
        <v>0</v>
      </c>
      <c r="E104" s="106">
        <f t="shared" si="287"/>
        <v>0</v>
      </c>
      <c r="F104" s="106">
        <f t="shared" si="287"/>
        <v>0</v>
      </c>
      <c r="G104" s="454">
        <f t="shared" si="287"/>
        <v>0</v>
      </c>
      <c r="H104" s="486">
        <f t="shared" si="287"/>
        <v>0</v>
      </c>
      <c r="I104" s="453">
        <f t="shared" si="287"/>
        <v>-2988.16</v>
      </c>
      <c r="J104" s="106">
        <f t="shared" si="287"/>
        <v>-2988.16</v>
      </c>
      <c r="K104" s="106">
        <f t="shared" si="287"/>
        <v>0</v>
      </c>
      <c r="L104" s="454">
        <f t="shared" si="287"/>
        <v>0</v>
      </c>
      <c r="M104" s="453">
        <f t="shared" ref="M104:P104" si="288">M91</f>
        <v>-126.51624797211835</v>
      </c>
      <c r="N104" s="106">
        <f t="shared" si="288"/>
        <v>-126.51624797211835</v>
      </c>
      <c r="O104" s="106">
        <f t="shared" si="288"/>
        <v>0</v>
      </c>
      <c r="P104" s="454">
        <f t="shared" si="288"/>
        <v>0</v>
      </c>
      <c r="Q104" s="453">
        <f t="shared" ref="Q104:T104" si="289">Q91</f>
        <v>0</v>
      </c>
      <c r="R104" s="106">
        <f t="shared" si="289"/>
        <v>0</v>
      </c>
      <c r="S104" s="106">
        <f t="shared" si="289"/>
        <v>0</v>
      </c>
      <c r="T104" s="454">
        <f t="shared" si="289"/>
        <v>0</v>
      </c>
      <c r="U104" s="453">
        <f t="shared" ref="U104:X104" si="290">U91</f>
        <v>0</v>
      </c>
      <c r="V104" s="106">
        <f t="shared" si="290"/>
        <v>0</v>
      </c>
      <c r="W104" s="106">
        <f t="shared" si="290"/>
        <v>0</v>
      </c>
      <c r="X104" s="454">
        <f t="shared" si="290"/>
        <v>0</v>
      </c>
      <c r="Y104" s="453">
        <f t="shared" ref="Y104:AB104" si="291">Y91</f>
        <v>0</v>
      </c>
      <c r="Z104" s="106">
        <f t="shared" si="291"/>
        <v>0</v>
      </c>
      <c r="AA104" s="106">
        <f t="shared" si="291"/>
        <v>0</v>
      </c>
      <c r="AB104" s="454">
        <f t="shared" si="291"/>
        <v>0</v>
      </c>
      <c r="AC104" s="633" t="str">
        <f t="shared" si="196"/>
        <v xml:space="preserve"> </v>
      </c>
      <c r="AD104" s="615" t="str">
        <f t="shared" si="197"/>
        <v xml:space="preserve"> </v>
      </c>
      <c r="AE104" s="615">
        <f t="shared" si="198"/>
        <v>4.2339181292875332E-2</v>
      </c>
      <c r="AF104" s="615">
        <f t="shared" si="199"/>
        <v>0</v>
      </c>
      <c r="AG104" s="615" t="str">
        <f t="shared" si="200"/>
        <v xml:space="preserve"> </v>
      </c>
      <c r="AH104" s="176" t="str">
        <f t="shared" si="201"/>
        <v xml:space="preserve"> </v>
      </c>
      <c r="AI104" s="1070"/>
    </row>
    <row r="105" spans="1:37" s="80" customFormat="1" ht="18.75">
      <c r="A105" s="81"/>
      <c r="B105" s="85"/>
      <c r="C105" s="662"/>
      <c r="D105" s="644"/>
      <c r="E105" s="625"/>
      <c r="F105" s="625"/>
      <c r="G105" s="645"/>
      <c r="H105" s="652"/>
      <c r="I105" s="644"/>
      <c r="J105" s="625"/>
      <c r="K105" s="625"/>
      <c r="L105" s="645"/>
      <c r="M105" s="644"/>
      <c r="N105" s="625"/>
      <c r="O105" s="625"/>
      <c r="P105" s="645"/>
      <c r="Q105" s="644"/>
      <c r="R105" s="625"/>
      <c r="S105" s="625"/>
      <c r="T105" s="645"/>
      <c r="U105" s="644"/>
      <c r="V105" s="625"/>
      <c r="W105" s="625"/>
      <c r="X105" s="645"/>
      <c r="Y105" s="644"/>
      <c r="Z105" s="625"/>
      <c r="AA105" s="625"/>
      <c r="AB105" s="645"/>
      <c r="AC105" s="633" t="str">
        <f t="shared" si="196"/>
        <v xml:space="preserve"> </v>
      </c>
      <c r="AD105" s="615" t="str">
        <f t="shared" si="197"/>
        <v xml:space="preserve"> </v>
      </c>
      <c r="AE105" s="615" t="str">
        <f t="shared" si="198"/>
        <v xml:space="preserve"> </v>
      </c>
      <c r="AF105" s="615" t="str">
        <f t="shared" si="199"/>
        <v xml:space="preserve"> </v>
      </c>
      <c r="AG105" s="615" t="str">
        <f t="shared" si="200"/>
        <v xml:space="preserve"> </v>
      </c>
      <c r="AH105" s="176" t="str">
        <f t="shared" si="201"/>
        <v xml:space="preserve"> </v>
      </c>
      <c r="AI105" s="1075"/>
      <c r="AJ105" s="107"/>
      <c r="AK105" s="107"/>
    </row>
    <row r="106" spans="1:37" ht="18.75">
      <c r="A106" s="81" t="s">
        <v>70</v>
      </c>
      <c r="B106" s="82" t="s">
        <v>187</v>
      </c>
      <c r="C106" s="661" t="s">
        <v>0</v>
      </c>
      <c r="D106" s="455">
        <f t="shared" ref="D106" si="292">D96-D101-D108</f>
        <v>21455.594999999998</v>
      </c>
      <c r="E106" s="108">
        <f t="shared" ref="E106:F106" si="293">E96-E101-E108</f>
        <v>13714.584999999999</v>
      </c>
      <c r="F106" s="108">
        <f t="shared" si="293"/>
        <v>1031.07</v>
      </c>
      <c r="G106" s="456">
        <f t="shared" ref="G106:K106" si="294">G96-G101-G108</f>
        <v>6709.9400000000005</v>
      </c>
      <c r="H106" s="487">
        <f t="shared" si="294"/>
        <v>28405.113000000001</v>
      </c>
      <c r="I106" s="455">
        <f t="shared" si="294"/>
        <v>25600.769999999997</v>
      </c>
      <c r="J106" s="108">
        <f t="shared" si="294"/>
        <v>15080.859999999997</v>
      </c>
      <c r="K106" s="108">
        <f t="shared" si="294"/>
        <v>1811.5</v>
      </c>
      <c r="L106" s="456">
        <f t="shared" ref="L106:O106" si="295">L96-L101-L108</f>
        <v>8708.409999999998</v>
      </c>
      <c r="M106" s="455">
        <f t="shared" si="295"/>
        <v>28979.60844113545</v>
      </c>
      <c r="N106" s="108">
        <f t="shared" si="295"/>
        <v>18118.573752027882</v>
      </c>
      <c r="O106" s="108">
        <f t="shared" si="295"/>
        <v>1926.4899999999998</v>
      </c>
      <c r="P106" s="456">
        <f t="shared" ref="P106:S106" si="296">P96-P101-P108</f>
        <v>8956.4100000000017</v>
      </c>
      <c r="Q106" s="455">
        <f t="shared" si="296"/>
        <v>30569.917536561126</v>
      </c>
      <c r="R106" s="108">
        <f t="shared" si="296"/>
        <v>19224.41</v>
      </c>
      <c r="S106" s="108">
        <f t="shared" si="296"/>
        <v>2027.7899999999997</v>
      </c>
      <c r="T106" s="456">
        <f t="shared" ref="T106:W106" si="297">T96-T101-T108</f>
        <v>9340.23</v>
      </c>
      <c r="U106" s="455">
        <f t="shared" si="297"/>
        <v>31815.911254054765</v>
      </c>
      <c r="V106" s="108">
        <f t="shared" si="297"/>
        <v>20062.580000000002</v>
      </c>
      <c r="W106" s="108">
        <f t="shared" si="297"/>
        <v>2107.34</v>
      </c>
      <c r="X106" s="456">
        <f t="shared" ref="X106:AA106" si="298">X96-X101-X108</f>
        <v>9669.17</v>
      </c>
      <c r="Y106" s="455">
        <f t="shared" si="298"/>
        <v>32995.57514171191</v>
      </c>
      <c r="Z106" s="108">
        <f t="shared" si="298"/>
        <v>20974.400000000001</v>
      </c>
      <c r="AA106" s="108">
        <f t="shared" si="298"/>
        <v>2187.7000000000003</v>
      </c>
      <c r="AB106" s="456">
        <f t="shared" ref="AB106" si="299">AB96-AB101-AB108</f>
        <v>9857.34</v>
      </c>
      <c r="AC106" s="633">
        <f t="shared" si="196"/>
        <v>0.9012733024508649</v>
      </c>
      <c r="AD106" s="615">
        <f t="shared" si="197"/>
        <v>1.1931978581810478</v>
      </c>
      <c r="AE106" s="615">
        <f t="shared" si="198"/>
        <v>1.1319819068385619</v>
      </c>
      <c r="AF106" s="615">
        <f t="shared" si="199"/>
        <v>1.0548768317093027</v>
      </c>
      <c r="AG106" s="615">
        <f t="shared" si="200"/>
        <v>1.040758818403859</v>
      </c>
      <c r="AH106" s="176">
        <f t="shared" si="201"/>
        <v>1.0370777966482667</v>
      </c>
      <c r="AI106" s="1070"/>
    </row>
    <row r="107" spans="1:37" ht="31.5">
      <c r="A107" s="81" t="s">
        <v>71</v>
      </c>
      <c r="B107" s="82" t="s">
        <v>189</v>
      </c>
      <c r="C107" s="661" t="s">
        <v>0</v>
      </c>
      <c r="D107" s="457">
        <f t="shared" ref="D107" si="300">D83</f>
        <v>3323.55</v>
      </c>
      <c r="E107" s="109">
        <f t="shared" ref="E107:F107" si="301">E83</f>
        <v>0</v>
      </c>
      <c r="F107" s="109">
        <f t="shared" si="301"/>
        <v>0</v>
      </c>
      <c r="G107" s="458">
        <f t="shared" ref="G107:K107" si="302">G83</f>
        <v>3323.55</v>
      </c>
      <c r="H107" s="488">
        <f t="shared" si="302"/>
        <v>1867.8</v>
      </c>
      <c r="I107" s="457">
        <f t="shared" si="302"/>
        <v>994.4</v>
      </c>
      <c r="J107" s="109">
        <f t="shared" si="302"/>
        <v>0</v>
      </c>
      <c r="K107" s="109">
        <f t="shared" si="302"/>
        <v>0</v>
      </c>
      <c r="L107" s="458">
        <f t="shared" ref="L107:O107" si="303">L83</f>
        <v>994.4</v>
      </c>
      <c r="M107" s="457">
        <f t="shared" si="303"/>
        <v>994.4</v>
      </c>
      <c r="N107" s="109">
        <f t="shared" si="303"/>
        <v>0</v>
      </c>
      <c r="O107" s="109">
        <f t="shared" si="303"/>
        <v>0</v>
      </c>
      <c r="P107" s="458">
        <f t="shared" ref="P107:S107" si="304">P83</f>
        <v>994.4</v>
      </c>
      <c r="Q107" s="457">
        <f t="shared" si="304"/>
        <v>994.4</v>
      </c>
      <c r="R107" s="109">
        <f t="shared" si="304"/>
        <v>0</v>
      </c>
      <c r="S107" s="109">
        <f t="shared" si="304"/>
        <v>0</v>
      </c>
      <c r="T107" s="458">
        <f t="shared" ref="T107:W107" si="305">T83</f>
        <v>994.4</v>
      </c>
      <c r="U107" s="457">
        <f t="shared" si="305"/>
        <v>994.4</v>
      </c>
      <c r="V107" s="109">
        <f t="shared" si="305"/>
        <v>0</v>
      </c>
      <c r="W107" s="109">
        <f t="shared" si="305"/>
        <v>0</v>
      </c>
      <c r="X107" s="458">
        <f t="shared" ref="X107:AA107" si="306">X83</f>
        <v>994.4</v>
      </c>
      <c r="Y107" s="457">
        <f t="shared" si="306"/>
        <v>994.4</v>
      </c>
      <c r="Z107" s="109">
        <f t="shared" si="306"/>
        <v>0</v>
      </c>
      <c r="AA107" s="109">
        <f t="shared" si="306"/>
        <v>0</v>
      </c>
      <c r="AB107" s="458">
        <f t="shared" ref="AB107" si="307">AB83</f>
        <v>994.4</v>
      </c>
      <c r="AC107" s="633">
        <f t="shared" si="196"/>
        <v>0.53239104829210837</v>
      </c>
      <c r="AD107" s="615">
        <f t="shared" si="197"/>
        <v>0.29919814656015403</v>
      </c>
      <c r="AE107" s="615">
        <f t="shared" si="198"/>
        <v>1</v>
      </c>
      <c r="AF107" s="615">
        <f t="shared" si="199"/>
        <v>1</v>
      </c>
      <c r="AG107" s="615">
        <f t="shared" si="200"/>
        <v>1</v>
      </c>
      <c r="AH107" s="176">
        <f t="shared" si="201"/>
        <v>1</v>
      </c>
      <c r="AI107" s="1070"/>
    </row>
    <row r="108" spans="1:37" ht="18.75">
      <c r="A108" s="81" t="s">
        <v>72</v>
      </c>
      <c r="B108" s="82" t="s">
        <v>188</v>
      </c>
      <c r="C108" s="661" t="s">
        <v>0</v>
      </c>
      <c r="D108" s="457">
        <f t="shared" ref="D108" si="308">D70</f>
        <v>830.89</v>
      </c>
      <c r="E108" s="109">
        <f t="shared" ref="E108:F108" si="309">E70</f>
        <v>0</v>
      </c>
      <c r="F108" s="109">
        <f t="shared" si="309"/>
        <v>0</v>
      </c>
      <c r="G108" s="458">
        <f t="shared" ref="G108:K108" si="310">G70</f>
        <v>830.89</v>
      </c>
      <c r="H108" s="488">
        <f t="shared" si="310"/>
        <v>942.28</v>
      </c>
      <c r="I108" s="457">
        <f t="shared" si="310"/>
        <v>248.6</v>
      </c>
      <c r="J108" s="109">
        <f t="shared" si="310"/>
        <v>0</v>
      </c>
      <c r="K108" s="109">
        <f t="shared" si="310"/>
        <v>0</v>
      </c>
      <c r="L108" s="458">
        <f t="shared" ref="L108:O108" si="311">L70</f>
        <v>248.6</v>
      </c>
      <c r="M108" s="457">
        <f t="shared" si="311"/>
        <v>248.6</v>
      </c>
      <c r="N108" s="109">
        <f t="shared" si="311"/>
        <v>0</v>
      </c>
      <c r="O108" s="109">
        <f t="shared" si="311"/>
        <v>0</v>
      </c>
      <c r="P108" s="458">
        <f t="shared" ref="P108:S108" si="312">P70</f>
        <v>248.6</v>
      </c>
      <c r="Q108" s="457">
        <f t="shared" si="312"/>
        <v>248.6</v>
      </c>
      <c r="R108" s="109">
        <f t="shared" si="312"/>
        <v>0</v>
      </c>
      <c r="S108" s="109">
        <f t="shared" si="312"/>
        <v>0</v>
      </c>
      <c r="T108" s="458">
        <f t="shared" ref="T108:W108" si="313">T70</f>
        <v>248.6</v>
      </c>
      <c r="U108" s="457">
        <f t="shared" si="313"/>
        <v>248.6</v>
      </c>
      <c r="V108" s="109">
        <f t="shared" si="313"/>
        <v>0</v>
      </c>
      <c r="W108" s="109">
        <f t="shared" si="313"/>
        <v>0</v>
      </c>
      <c r="X108" s="458">
        <f t="shared" ref="X108:AA108" si="314">X70</f>
        <v>248.6</v>
      </c>
      <c r="Y108" s="457">
        <f t="shared" si="314"/>
        <v>248.6</v>
      </c>
      <c r="Z108" s="109">
        <f t="shared" si="314"/>
        <v>0</v>
      </c>
      <c r="AA108" s="109">
        <f t="shared" si="314"/>
        <v>0</v>
      </c>
      <c r="AB108" s="458">
        <f t="shared" ref="AB108" si="315">AB70</f>
        <v>248.6</v>
      </c>
      <c r="AC108" s="633">
        <f t="shared" si="196"/>
        <v>0.2638281614806639</v>
      </c>
      <c r="AD108" s="615">
        <f t="shared" si="197"/>
        <v>0.29919724632622852</v>
      </c>
      <c r="AE108" s="615">
        <f t="shared" si="198"/>
        <v>1</v>
      </c>
      <c r="AF108" s="615">
        <f t="shared" si="199"/>
        <v>1</v>
      </c>
      <c r="AG108" s="615">
        <f t="shared" si="200"/>
        <v>1</v>
      </c>
      <c r="AH108" s="176">
        <f t="shared" si="201"/>
        <v>1</v>
      </c>
      <c r="AI108" s="1070"/>
    </row>
    <row r="109" spans="1:37" ht="18.75">
      <c r="A109" s="81" t="s">
        <v>73</v>
      </c>
      <c r="B109" s="85" t="s">
        <v>129</v>
      </c>
      <c r="C109" s="661" t="s">
        <v>0</v>
      </c>
      <c r="D109" s="457">
        <f t="shared" ref="D109" si="316">D106+D107+D108</f>
        <v>25610.034999999996</v>
      </c>
      <c r="E109" s="109">
        <f t="shared" ref="E109:F109" si="317">E106+E107+E108</f>
        <v>13714.584999999999</v>
      </c>
      <c r="F109" s="109">
        <f t="shared" si="317"/>
        <v>1031.07</v>
      </c>
      <c r="G109" s="458">
        <f t="shared" ref="G109:K109" si="318">G106+G107+G108</f>
        <v>10864.380000000001</v>
      </c>
      <c r="H109" s="488">
        <f t="shared" si="318"/>
        <v>31215.192999999999</v>
      </c>
      <c r="I109" s="457">
        <f t="shared" si="318"/>
        <v>26843.769999999997</v>
      </c>
      <c r="J109" s="109">
        <f t="shared" si="318"/>
        <v>15080.859999999997</v>
      </c>
      <c r="K109" s="109">
        <f t="shared" si="318"/>
        <v>1811.5</v>
      </c>
      <c r="L109" s="458">
        <f t="shared" ref="L109:O109" si="319">L106+L107+L108</f>
        <v>9951.409999999998</v>
      </c>
      <c r="M109" s="457">
        <f t="shared" si="319"/>
        <v>30222.60844113545</v>
      </c>
      <c r="N109" s="109">
        <f t="shared" si="319"/>
        <v>18118.573752027882</v>
      </c>
      <c r="O109" s="109">
        <f t="shared" si="319"/>
        <v>1926.4899999999998</v>
      </c>
      <c r="P109" s="458">
        <f t="shared" ref="P109:S109" si="320">P106+P107+P108</f>
        <v>10199.410000000002</v>
      </c>
      <c r="Q109" s="457">
        <f t="shared" si="320"/>
        <v>31812.917536561126</v>
      </c>
      <c r="R109" s="109">
        <f t="shared" si="320"/>
        <v>19224.41</v>
      </c>
      <c r="S109" s="109">
        <f t="shared" si="320"/>
        <v>2027.7899999999997</v>
      </c>
      <c r="T109" s="458">
        <f t="shared" ref="T109:W109" si="321">T106+T107+T108</f>
        <v>10583.23</v>
      </c>
      <c r="U109" s="457">
        <f t="shared" si="321"/>
        <v>33058.911254054765</v>
      </c>
      <c r="V109" s="109">
        <f t="shared" si="321"/>
        <v>20062.580000000002</v>
      </c>
      <c r="W109" s="109">
        <f t="shared" si="321"/>
        <v>2107.34</v>
      </c>
      <c r="X109" s="458">
        <f t="shared" ref="X109:AA109" si="322">X106+X107+X108</f>
        <v>10912.17</v>
      </c>
      <c r="Y109" s="457">
        <f t="shared" si="322"/>
        <v>34238.57514171191</v>
      </c>
      <c r="Z109" s="109">
        <f t="shared" si="322"/>
        <v>20974.400000000001</v>
      </c>
      <c r="AA109" s="109">
        <f t="shared" si="322"/>
        <v>2187.7000000000003</v>
      </c>
      <c r="AB109" s="458">
        <f t="shared" ref="AB109" si="323">AB106+AB107+AB108</f>
        <v>11100.34</v>
      </c>
      <c r="AC109" s="633">
        <f t="shared" si="196"/>
        <v>0.85995848239669692</v>
      </c>
      <c r="AD109" s="615">
        <f t="shared" si="197"/>
        <v>1.0481738896491162</v>
      </c>
      <c r="AE109" s="615">
        <f t="shared" si="198"/>
        <v>1.1258704884274993</v>
      </c>
      <c r="AF109" s="615">
        <f t="shared" si="199"/>
        <v>1.0526198490948628</v>
      </c>
      <c r="AG109" s="615">
        <f t="shared" si="200"/>
        <v>1.039166282566246</v>
      </c>
      <c r="AH109" s="176">
        <f t="shared" si="201"/>
        <v>1.0356836883886325</v>
      </c>
      <c r="AI109" s="1070"/>
    </row>
    <row r="110" spans="1:37" ht="18.75">
      <c r="A110" s="81"/>
      <c r="B110" s="162" t="s">
        <v>19</v>
      </c>
      <c r="C110" s="661"/>
      <c r="D110" s="457"/>
      <c r="E110" s="109"/>
      <c r="F110" s="109"/>
      <c r="G110" s="458"/>
      <c r="H110" s="488"/>
      <c r="I110" s="457"/>
      <c r="J110" s="109"/>
      <c r="K110" s="109"/>
      <c r="L110" s="458"/>
      <c r="M110" s="457"/>
      <c r="N110" s="109"/>
      <c r="O110" s="109"/>
      <c r="P110" s="458"/>
      <c r="Q110" s="457"/>
      <c r="R110" s="109"/>
      <c r="S110" s="109"/>
      <c r="T110" s="458"/>
      <c r="U110" s="457"/>
      <c r="V110" s="109"/>
      <c r="W110" s="109"/>
      <c r="X110" s="458"/>
      <c r="Y110" s="457"/>
      <c r="Z110" s="109"/>
      <c r="AA110" s="109"/>
      <c r="AB110" s="458"/>
      <c r="AC110" s="633" t="str">
        <f t="shared" si="196"/>
        <v xml:space="preserve"> </v>
      </c>
      <c r="AD110" s="615" t="str">
        <f t="shared" si="197"/>
        <v xml:space="preserve"> </v>
      </c>
      <c r="AE110" s="615" t="str">
        <f t="shared" si="198"/>
        <v xml:space="preserve"> </v>
      </c>
      <c r="AF110" s="615" t="str">
        <f t="shared" si="199"/>
        <v xml:space="preserve"> </v>
      </c>
      <c r="AG110" s="615" t="str">
        <f t="shared" si="200"/>
        <v xml:space="preserve"> </v>
      </c>
      <c r="AH110" s="176" t="str">
        <f t="shared" si="201"/>
        <v xml:space="preserve"> </v>
      </c>
      <c r="AI110" s="1070"/>
    </row>
    <row r="111" spans="1:37" s="9" customFormat="1" ht="38.25" customHeight="1">
      <c r="A111" s="86"/>
      <c r="B111" s="87" t="s">
        <v>190</v>
      </c>
      <c r="C111" s="663" t="s">
        <v>1</v>
      </c>
      <c r="D111" s="459"/>
      <c r="E111" s="160"/>
      <c r="F111" s="160"/>
      <c r="G111" s="460"/>
      <c r="H111" s="489"/>
      <c r="I111" s="459"/>
      <c r="J111" s="160"/>
      <c r="K111" s="160"/>
      <c r="L111" s="460"/>
      <c r="M111" s="459"/>
      <c r="N111" s="160"/>
      <c r="O111" s="160"/>
      <c r="P111" s="460"/>
      <c r="Q111" s="459"/>
      <c r="R111" s="160"/>
      <c r="S111" s="160"/>
      <c r="T111" s="460"/>
      <c r="U111" s="459"/>
      <c r="V111" s="160"/>
      <c r="W111" s="160"/>
      <c r="X111" s="460"/>
      <c r="Y111" s="459"/>
      <c r="Z111" s="160"/>
      <c r="AA111" s="160"/>
      <c r="AB111" s="460"/>
      <c r="AC111" s="633" t="str">
        <f t="shared" si="196"/>
        <v xml:space="preserve"> </v>
      </c>
      <c r="AD111" s="615" t="str">
        <f t="shared" si="197"/>
        <v xml:space="preserve"> </v>
      </c>
      <c r="AE111" s="615" t="str">
        <f t="shared" si="198"/>
        <v xml:space="preserve"> </v>
      </c>
      <c r="AF111" s="615" t="str">
        <f t="shared" si="199"/>
        <v xml:space="preserve"> </v>
      </c>
      <c r="AG111" s="615" t="str">
        <f t="shared" si="200"/>
        <v xml:space="preserve"> </v>
      </c>
      <c r="AH111" s="176" t="str">
        <f t="shared" si="201"/>
        <v xml:space="preserve"> </v>
      </c>
      <c r="AI111" s="1070"/>
    </row>
    <row r="112" spans="1:37" s="9" customFormat="1" ht="63.75">
      <c r="A112" s="86"/>
      <c r="B112" s="87" t="s">
        <v>185</v>
      </c>
      <c r="C112" s="663" t="s">
        <v>1</v>
      </c>
      <c r="D112" s="459"/>
      <c r="E112" s="160"/>
      <c r="F112" s="160"/>
      <c r="G112" s="460"/>
      <c r="H112" s="489"/>
      <c r="I112" s="459"/>
      <c r="J112" s="160"/>
      <c r="K112" s="160"/>
      <c r="L112" s="460"/>
      <c r="M112" s="459"/>
      <c r="N112" s="160"/>
      <c r="O112" s="160"/>
      <c r="P112" s="460"/>
      <c r="Q112" s="459"/>
      <c r="R112" s="160"/>
      <c r="S112" s="160"/>
      <c r="T112" s="460"/>
      <c r="U112" s="459"/>
      <c r="V112" s="160"/>
      <c r="W112" s="160"/>
      <c r="X112" s="460"/>
      <c r="Y112" s="459"/>
      <c r="Z112" s="160"/>
      <c r="AA112" s="160"/>
      <c r="AB112" s="460"/>
      <c r="AC112" s="633" t="str">
        <f t="shared" si="196"/>
        <v xml:space="preserve"> </v>
      </c>
      <c r="AD112" s="615" t="str">
        <f t="shared" si="197"/>
        <v xml:space="preserve"> </v>
      </c>
      <c r="AE112" s="615" t="str">
        <f t="shared" si="198"/>
        <v xml:space="preserve"> </v>
      </c>
      <c r="AF112" s="615" t="str">
        <f t="shared" si="199"/>
        <v xml:space="preserve"> </v>
      </c>
      <c r="AG112" s="615" t="str">
        <f t="shared" si="200"/>
        <v xml:space="preserve"> </v>
      </c>
      <c r="AH112" s="176" t="str">
        <f t="shared" si="201"/>
        <v xml:space="preserve"> </v>
      </c>
      <c r="AI112" s="1070"/>
    </row>
    <row r="113" spans="1:35" s="80" customFormat="1" ht="18.75">
      <c r="A113" s="461" t="str">
        <f>IF(ISERROR(#REF!/#REF!)," ",#REF!/#REF!)</f>
        <v xml:space="preserve"> </v>
      </c>
      <c r="B113" s="161"/>
      <c r="C113" s="604"/>
      <c r="D113" s="461"/>
      <c r="E113" s="161"/>
      <c r="F113" s="161"/>
      <c r="G113" s="462"/>
      <c r="H113" s="362"/>
      <c r="I113" s="461"/>
      <c r="J113" s="161"/>
      <c r="K113" s="161"/>
      <c r="L113" s="462"/>
      <c r="M113" s="461"/>
      <c r="N113" s="161"/>
      <c r="O113" s="161"/>
      <c r="P113" s="462"/>
      <c r="Q113" s="461"/>
      <c r="R113" s="161"/>
      <c r="S113" s="161"/>
      <c r="T113" s="462"/>
      <c r="U113" s="461"/>
      <c r="V113" s="161"/>
      <c r="W113" s="161"/>
      <c r="X113" s="462"/>
      <c r="Y113" s="461"/>
      <c r="Z113" s="161"/>
      <c r="AA113" s="161"/>
      <c r="AB113" s="462"/>
      <c r="AC113" s="633" t="str">
        <f t="shared" si="196"/>
        <v xml:space="preserve"> </v>
      </c>
      <c r="AD113" s="615" t="str">
        <f t="shared" si="197"/>
        <v xml:space="preserve"> </v>
      </c>
      <c r="AE113" s="615" t="str">
        <f t="shared" si="198"/>
        <v xml:space="preserve"> </v>
      </c>
      <c r="AF113" s="615" t="str">
        <f t="shared" si="199"/>
        <v xml:space="preserve"> </v>
      </c>
      <c r="AG113" s="615" t="str">
        <f t="shared" si="200"/>
        <v xml:space="preserve"> </v>
      </c>
      <c r="AH113" s="176" t="str">
        <f t="shared" si="201"/>
        <v xml:space="preserve"> </v>
      </c>
      <c r="AI113" s="1076"/>
    </row>
    <row r="114" spans="1:35" ht="18.75">
      <c r="A114" s="81"/>
      <c r="B114" s="82" t="s">
        <v>429</v>
      </c>
      <c r="C114" s="661" t="s">
        <v>10</v>
      </c>
      <c r="D114" s="463">
        <f>D116</f>
        <v>10395</v>
      </c>
      <c r="E114" s="84">
        <f>E116</f>
        <v>0</v>
      </c>
      <c r="F114" s="84"/>
      <c r="G114" s="464"/>
      <c r="H114" s="490">
        <f>H116</f>
        <v>10000</v>
      </c>
      <c r="I114" s="463">
        <f>I116</f>
        <v>10000</v>
      </c>
      <c r="J114" s="84"/>
      <c r="K114" s="84"/>
      <c r="L114" s="464"/>
      <c r="M114" s="463">
        <f>M116</f>
        <v>10000</v>
      </c>
      <c r="N114" s="84">
        <f>N116</f>
        <v>0</v>
      </c>
      <c r="O114" s="84"/>
      <c r="P114" s="464"/>
      <c r="Q114" s="463">
        <f>Q116</f>
        <v>10000</v>
      </c>
      <c r="R114" s="84">
        <f>R116</f>
        <v>0</v>
      </c>
      <c r="S114" s="84"/>
      <c r="T114" s="464"/>
      <c r="U114" s="463">
        <f>U116</f>
        <v>10000</v>
      </c>
      <c r="V114" s="84">
        <f>V116</f>
        <v>0</v>
      </c>
      <c r="W114" s="84"/>
      <c r="X114" s="464"/>
      <c r="Y114" s="463">
        <f>Y116</f>
        <v>10000</v>
      </c>
      <c r="Z114" s="84">
        <f>Z116</f>
        <v>0</v>
      </c>
      <c r="AA114" s="84"/>
      <c r="AB114" s="464"/>
      <c r="AC114" s="633">
        <f t="shared" si="196"/>
        <v>1</v>
      </c>
      <c r="AD114" s="615">
        <f t="shared" si="197"/>
        <v>0.96200096200096197</v>
      </c>
      <c r="AE114" s="615">
        <f t="shared" si="198"/>
        <v>1</v>
      </c>
      <c r="AF114" s="615">
        <f t="shared" si="199"/>
        <v>1</v>
      </c>
      <c r="AG114" s="615">
        <f t="shared" si="200"/>
        <v>1</v>
      </c>
      <c r="AH114" s="176">
        <f t="shared" si="201"/>
        <v>1</v>
      </c>
      <c r="AI114" s="1070"/>
    </row>
    <row r="115" spans="1:35" ht="18.75">
      <c r="A115" s="81"/>
      <c r="B115" s="82" t="s">
        <v>130</v>
      </c>
      <c r="C115" s="661" t="s">
        <v>10</v>
      </c>
      <c r="D115" s="465"/>
      <c r="E115" s="83"/>
      <c r="F115" s="83"/>
      <c r="G115" s="466"/>
      <c r="H115" s="491"/>
      <c r="I115" s="465"/>
      <c r="J115" s="83"/>
      <c r="K115" s="83"/>
      <c r="L115" s="466"/>
      <c r="M115" s="465"/>
      <c r="N115" s="83"/>
      <c r="O115" s="83"/>
      <c r="P115" s="466"/>
      <c r="Q115" s="465"/>
      <c r="R115" s="83"/>
      <c r="S115" s="83"/>
      <c r="T115" s="466"/>
      <c r="U115" s="465"/>
      <c r="V115" s="83"/>
      <c r="W115" s="83"/>
      <c r="X115" s="466"/>
      <c r="Y115" s="465"/>
      <c r="Z115" s="83"/>
      <c r="AA115" s="83"/>
      <c r="AB115" s="466"/>
      <c r="AC115" s="633" t="str">
        <f t="shared" si="196"/>
        <v xml:space="preserve"> </v>
      </c>
      <c r="AD115" s="615" t="str">
        <f t="shared" si="197"/>
        <v xml:space="preserve"> </v>
      </c>
      <c r="AE115" s="615" t="str">
        <f t="shared" si="198"/>
        <v xml:space="preserve"> </v>
      </c>
      <c r="AF115" s="615" t="str">
        <f t="shared" si="199"/>
        <v xml:space="preserve"> </v>
      </c>
      <c r="AG115" s="615" t="str">
        <f t="shared" si="200"/>
        <v xml:space="preserve"> </v>
      </c>
      <c r="AH115" s="176" t="str">
        <f t="shared" si="201"/>
        <v xml:space="preserve"> </v>
      </c>
      <c r="AI115" s="1070"/>
    </row>
    <row r="116" spans="1:35" ht="18.75">
      <c r="A116" s="81"/>
      <c r="B116" s="82" t="s">
        <v>430</v>
      </c>
      <c r="C116" s="661" t="s">
        <v>10</v>
      </c>
      <c r="D116" s="465">
        <v>10395</v>
      </c>
      <c r="E116" s="83"/>
      <c r="F116" s="83"/>
      <c r="G116" s="466"/>
      <c r="H116" s="491">
        <v>10000</v>
      </c>
      <c r="I116" s="465">
        <v>10000</v>
      </c>
      <c r="J116" s="83"/>
      <c r="K116" s="83"/>
      <c r="L116" s="466"/>
      <c r="M116" s="465">
        <v>10000</v>
      </c>
      <c r="N116" s="83"/>
      <c r="O116" s="83"/>
      <c r="P116" s="466"/>
      <c r="Q116" s="465">
        <v>10000</v>
      </c>
      <c r="R116" s="83"/>
      <c r="S116" s="83"/>
      <c r="T116" s="466"/>
      <c r="U116" s="465">
        <v>10000</v>
      </c>
      <c r="V116" s="83"/>
      <c r="W116" s="83"/>
      <c r="X116" s="466"/>
      <c r="Y116" s="465">
        <v>10000</v>
      </c>
      <c r="Z116" s="83"/>
      <c r="AA116" s="83"/>
      <c r="AB116" s="466"/>
      <c r="AC116" s="633">
        <f t="shared" si="196"/>
        <v>1</v>
      </c>
      <c r="AD116" s="615">
        <f t="shared" si="197"/>
        <v>0.96200096200096197</v>
      </c>
      <c r="AE116" s="615">
        <f t="shared" si="198"/>
        <v>1</v>
      </c>
      <c r="AF116" s="615">
        <f t="shared" si="199"/>
        <v>1</v>
      </c>
      <c r="AG116" s="615">
        <f t="shared" si="200"/>
        <v>1</v>
      </c>
      <c r="AH116" s="176">
        <f t="shared" si="201"/>
        <v>1</v>
      </c>
      <c r="AI116" s="1070"/>
    </row>
    <row r="117" spans="1:35" ht="18.75">
      <c r="A117" s="81"/>
      <c r="B117" s="82" t="s">
        <v>407</v>
      </c>
      <c r="C117" s="661" t="s">
        <v>75</v>
      </c>
      <c r="D117" s="463">
        <v>27.010999999999999</v>
      </c>
      <c r="E117" s="84"/>
      <c r="F117" s="84"/>
      <c r="G117" s="464"/>
      <c r="H117" s="490"/>
      <c r="I117" s="463">
        <v>27.010999999999999</v>
      </c>
      <c r="J117" s="84"/>
      <c r="K117" s="84"/>
      <c r="L117" s="464"/>
      <c r="M117" s="463">
        <v>27.010999999999999</v>
      </c>
      <c r="N117" s="84"/>
      <c r="O117" s="84"/>
      <c r="P117" s="464"/>
      <c r="Q117" s="463">
        <v>27.010999999999999</v>
      </c>
      <c r="R117" s="84"/>
      <c r="S117" s="84"/>
      <c r="T117" s="464"/>
      <c r="U117" s="463">
        <v>27.010999999999999</v>
      </c>
      <c r="V117" s="84"/>
      <c r="W117" s="84"/>
      <c r="X117" s="464"/>
      <c r="Y117" s="463">
        <v>27.010999999999999</v>
      </c>
      <c r="Z117" s="84"/>
      <c r="AA117" s="84"/>
      <c r="AB117" s="464"/>
      <c r="AC117" s="633" t="str">
        <f t="shared" si="196"/>
        <v xml:space="preserve"> </v>
      </c>
      <c r="AD117" s="615">
        <f t="shared" si="197"/>
        <v>1</v>
      </c>
      <c r="AE117" s="615">
        <f t="shared" si="198"/>
        <v>1</v>
      </c>
      <c r="AF117" s="615">
        <f t="shared" si="199"/>
        <v>1</v>
      </c>
      <c r="AG117" s="615">
        <f t="shared" si="200"/>
        <v>1</v>
      </c>
      <c r="AH117" s="176">
        <f t="shared" si="201"/>
        <v>1</v>
      </c>
      <c r="AI117" s="1070"/>
    </row>
    <row r="118" spans="1:35" s="342" customFormat="1" ht="18.75">
      <c r="A118" s="340"/>
      <c r="B118" s="162" t="s">
        <v>403</v>
      </c>
      <c r="C118" s="664" t="s">
        <v>10</v>
      </c>
      <c r="D118" s="467">
        <f>E118+F118+G118</f>
        <v>3004.98</v>
      </c>
      <c r="E118" s="341">
        <v>899.68</v>
      </c>
      <c r="F118" s="341"/>
      <c r="G118" s="468">
        <v>2105.3000000000002</v>
      </c>
      <c r="H118" s="492">
        <v>3592</v>
      </c>
      <c r="I118" s="467">
        <f>J118+K118+L118</f>
        <v>3592</v>
      </c>
      <c r="J118" s="341">
        <f>3592-L118</f>
        <v>1168.7600000000002</v>
      </c>
      <c r="K118" s="341"/>
      <c r="L118" s="468">
        <v>2423.2399999999998</v>
      </c>
      <c r="M118" s="467">
        <f>N118+O118+P118</f>
        <v>3592</v>
      </c>
      <c r="N118" s="341">
        <f>3592-P118</f>
        <v>1168.7600000000002</v>
      </c>
      <c r="O118" s="341"/>
      <c r="P118" s="468">
        <v>2423.2399999999998</v>
      </c>
      <c r="Q118" s="467">
        <f>R118+S118+T118</f>
        <v>3592</v>
      </c>
      <c r="R118" s="341">
        <f>3592-T118</f>
        <v>1168.7600000000002</v>
      </c>
      <c r="S118" s="341"/>
      <c r="T118" s="468">
        <v>2423.2399999999998</v>
      </c>
      <c r="U118" s="467">
        <f>V118+W118+X118</f>
        <v>3592</v>
      </c>
      <c r="V118" s="341">
        <f>3592-X118</f>
        <v>1168.7600000000002</v>
      </c>
      <c r="W118" s="341"/>
      <c r="X118" s="468">
        <v>2423.2399999999998</v>
      </c>
      <c r="Y118" s="467">
        <f>Z118+AA118+AB118</f>
        <v>3592</v>
      </c>
      <c r="Z118" s="341">
        <f>3592-AB118</f>
        <v>1168.7600000000002</v>
      </c>
      <c r="AA118" s="341"/>
      <c r="AB118" s="468">
        <v>2423.2399999999998</v>
      </c>
      <c r="AC118" s="633">
        <f t="shared" si="196"/>
        <v>1</v>
      </c>
      <c r="AD118" s="615">
        <f t="shared" si="197"/>
        <v>1.1953490539038529</v>
      </c>
      <c r="AE118" s="615">
        <f t="shared" si="198"/>
        <v>1</v>
      </c>
      <c r="AF118" s="615">
        <f t="shared" si="199"/>
        <v>1</v>
      </c>
      <c r="AG118" s="615">
        <f t="shared" si="200"/>
        <v>1</v>
      </c>
      <c r="AH118" s="176">
        <f t="shared" si="201"/>
        <v>1</v>
      </c>
      <c r="AI118" s="1070"/>
    </row>
    <row r="119" spans="1:35" ht="18.75" outlineLevel="1">
      <c r="A119" s="81"/>
      <c r="B119" s="82" t="s">
        <v>54</v>
      </c>
      <c r="C119" s="661" t="s">
        <v>55</v>
      </c>
      <c r="D119" s="463">
        <v>39924.65</v>
      </c>
      <c r="E119" s="84"/>
      <c r="F119" s="84"/>
      <c r="G119" s="464"/>
      <c r="H119" s="490"/>
      <c r="I119" s="463">
        <v>65779.990000000005</v>
      </c>
      <c r="J119" s="84"/>
      <c r="K119" s="84"/>
      <c r="L119" s="464"/>
      <c r="M119" s="463">
        <v>65779.990000000005</v>
      </c>
      <c r="N119" s="84"/>
      <c r="O119" s="84"/>
      <c r="P119" s="464"/>
      <c r="Q119" s="463">
        <v>65779.990000000005</v>
      </c>
      <c r="R119" s="84"/>
      <c r="S119" s="84"/>
      <c r="T119" s="464"/>
      <c r="U119" s="463">
        <v>65779.990000000005</v>
      </c>
      <c r="V119" s="84"/>
      <c r="W119" s="84"/>
      <c r="X119" s="464"/>
      <c r="Y119" s="463">
        <v>65779.990000000005</v>
      </c>
      <c r="Z119" s="84"/>
      <c r="AA119" s="84"/>
      <c r="AB119" s="464"/>
      <c r="AC119" s="633" t="str">
        <f t="shared" si="196"/>
        <v xml:space="preserve"> </v>
      </c>
      <c r="AD119" s="615">
        <f t="shared" si="197"/>
        <v>1.6476034229479783</v>
      </c>
      <c r="AE119" s="615">
        <f t="shared" si="198"/>
        <v>1</v>
      </c>
      <c r="AF119" s="615">
        <f t="shared" si="199"/>
        <v>1</v>
      </c>
      <c r="AG119" s="615">
        <f t="shared" si="200"/>
        <v>1</v>
      </c>
      <c r="AH119" s="176">
        <f t="shared" si="201"/>
        <v>1</v>
      </c>
      <c r="AI119" s="1070"/>
    </row>
    <row r="120" spans="1:35" ht="18.75">
      <c r="A120" s="81"/>
      <c r="B120" s="82" t="s">
        <v>131</v>
      </c>
      <c r="C120" s="661" t="s">
        <v>0</v>
      </c>
      <c r="D120" s="463">
        <f>ROUND(D118*D122/1000,2)</f>
        <v>3964.59</v>
      </c>
      <c r="E120" s="84"/>
      <c r="F120" s="84"/>
      <c r="G120" s="464"/>
      <c r="H120" s="490"/>
      <c r="I120" s="463">
        <f>ROUND(I118*I122/1000,2)</f>
        <v>5417.06</v>
      </c>
      <c r="J120" s="84"/>
      <c r="K120" s="84"/>
      <c r="L120" s="464"/>
      <c r="M120" s="463">
        <f>ROUND(M118*M122/1000,2)</f>
        <v>6508.2</v>
      </c>
      <c r="N120" s="84"/>
      <c r="O120" s="84"/>
      <c r="P120" s="464"/>
      <c r="Q120" s="463">
        <f>ROUND(Q118*Q122/1000,2)</f>
        <v>6905.4</v>
      </c>
      <c r="R120" s="84"/>
      <c r="S120" s="84"/>
      <c r="T120" s="464"/>
      <c r="U120" s="463">
        <f>ROUND(U118*U122/1000,2)</f>
        <v>7206.49</v>
      </c>
      <c r="V120" s="84"/>
      <c r="W120" s="84"/>
      <c r="X120" s="464"/>
      <c r="Y120" s="463">
        <f>ROUND(Y118*Y122/1000,2)</f>
        <v>7534</v>
      </c>
      <c r="Z120" s="84"/>
      <c r="AA120" s="84"/>
      <c r="AB120" s="464"/>
      <c r="AC120" s="633" t="str">
        <f t="shared" si="196"/>
        <v xml:space="preserve"> </v>
      </c>
      <c r="AD120" s="615">
        <f t="shared" si="197"/>
        <v>1.3663607081690667</v>
      </c>
      <c r="AE120" s="615">
        <f t="shared" si="198"/>
        <v>1.2014266040989023</v>
      </c>
      <c r="AF120" s="615">
        <f t="shared" si="199"/>
        <v>1.0610306997326449</v>
      </c>
      <c r="AG120" s="615">
        <f t="shared" si="200"/>
        <v>1.0436021084948013</v>
      </c>
      <c r="AH120" s="176">
        <f t="shared" si="201"/>
        <v>1.045446534998314</v>
      </c>
      <c r="AI120" s="1070"/>
    </row>
    <row r="121" spans="1:35" ht="19.5" thickBot="1">
      <c r="A121" s="728"/>
      <c r="B121" s="729" t="s">
        <v>132</v>
      </c>
      <c r="C121" s="730" t="s">
        <v>0</v>
      </c>
      <c r="D121" s="731">
        <f>D120+E96</f>
        <v>17679.174999999999</v>
      </c>
      <c r="E121" s="732"/>
      <c r="F121" s="732"/>
      <c r="G121" s="733"/>
      <c r="H121" s="734"/>
      <c r="I121" s="731">
        <f>I120+J96</f>
        <v>20497.919999999998</v>
      </c>
      <c r="J121" s="732"/>
      <c r="K121" s="732"/>
      <c r="L121" s="733"/>
      <c r="M121" s="731">
        <f>M120+N96</f>
        <v>24626.773752027882</v>
      </c>
      <c r="N121" s="732"/>
      <c r="O121" s="732"/>
      <c r="P121" s="733"/>
      <c r="Q121" s="731">
        <f>Q120+R96</f>
        <v>26129.809999999998</v>
      </c>
      <c r="R121" s="732"/>
      <c r="S121" s="732"/>
      <c r="T121" s="733"/>
      <c r="U121" s="731">
        <f>U120+V96</f>
        <v>27269.07</v>
      </c>
      <c r="V121" s="732"/>
      <c r="W121" s="732"/>
      <c r="X121" s="733"/>
      <c r="Y121" s="731">
        <f>Y120+Z96</f>
        <v>28508.400000000001</v>
      </c>
      <c r="Z121" s="732"/>
      <c r="AA121" s="732"/>
      <c r="AB121" s="733"/>
      <c r="AC121" s="712" t="str">
        <f t="shared" si="196"/>
        <v xml:space="preserve"> </v>
      </c>
      <c r="AD121" s="713">
        <f t="shared" si="197"/>
        <v>1.1594387181528549</v>
      </c>
      <c r="AE121" s="713">
        <f t="shared" si="198"/>
        <v>1.2014279376652794</v>
      </c>
      <c r="AF121" s="713">
        <f t="shared" si="199"/>
        <v>1.0610326087820718</v>
      </c>
      <c r="AG121" s="713">
        <f t="shared" si="200"/>
        <v>1.0436000108688124</v>
      </c>
      <c r="AH121" s="714">
        <f t="shared" si="201"/>
        <v>1.0454481946028964</v>
      </c>
      <c r="AI121" s="1070"/>
    </row>
    <row r="122" spans="1:35" s="90" customFormat="1" ht="19.5">
      <c r="A122" s="735"/>
      <c r="B122" s="736" t="s">
        <v>431</v>
      </c>
      <c r="C122" s="737" t="s">
        <v>9</v>
      </c>
      <c r="D122" s="738">
        <f>E122</f>
        <v>1319.34</v>
      </c>
      <c r="E122" s="739">
        <f>ROUND(E96*1000/D114,2)</f>
        <v>1319.34</v>
      </c>
      <c r="F122" s="740"/>
      <c r="G122" s="741"/>
      <c r="H122" s="742">
        <f>ROUND(H96/H114*1000,2)</f>
        <v>3121.52</v>
      </c>
      <c r="I122" s="738">
        <f>J122</f>
        <v>1508.09</v>
      </c>
      <c r="J122" s="739">
        <f>ROUND(J96*1000/I114,2)</f>
        <v>1508.09</v>
      </c>
      <c r="K122" s="740"/>
      <c r="L122" s="741"/>
      <c r="M122" s="738">
        <f>N122</f>
        <v>1811.86</v>
      </c>
      <c r="N122" s="739">
        <f>ROUND(N96*1000/M114,2)</f>
        <v>1811.86</v>
      </c>
      <c r="O122" s="740"/>
      <c r="P122" s="741"/>
      <c r="Q122" s="738">
        <f>R122</f>
        <v>1922.44</v>
      </c>
      <c r="R122" s="739">
        <f>ROUND(R96*1000/Q114,2)</f>
        <v>1922.44</v>
      </c>
      <c r="S122" s="740"/>
      <c r="T122" s="741"/>
      <c r="U122" s="738">
        <f>V122</f>
        <v>2006.26</v>
      </c>
      <c r="V122" s="739">
        <f>ROUND(V96*1000/U114,2)</f>
        <v>2006.26</v>
      </c>
      <c r="W122" s="740"/>
      <c r="X122" s="741"/>
      <c r="Y122" s="738">
        <f>Z122</f>
        <v>2097.44</v>
      </c>
      <c r="Z122" s="739">
        <f>ROUND(Z96*1000/Y114,2)</f>
        <v>2097.44</v>
      </c>
      <c r="AA122" s="740"/>
      <c r="AB122" s="741"/>
      <c r="AC122" s="700">
        <f t="shared" si="196"/>
        <v>0.4831268100156334</v>
      </c>
      <c r="AD122" s="685">
        <f t="shared" si="197"/>
        <v>1.1430639562205345</v>
      </c>
      <c r="AE122" s="685">
        <f t="shared" si="198"/>
        <v>1.2014269705388936</v>
      </c>
      <c r="AF122" s="685">
        <f t="shared" si="199"/>
        <v>1.061031205501529</v>
      </c>
      <c r="AG122" s="685">
        <f t="shared" si="200"/>
        <v>1.0436008405984061</v>
      </c>
      <c r="AH122" s="686">
        <f t="shared" si="201"/>
        <v>1.0454477485470477</v>
      </c>
      <c r="AI122" s="1077"/>
    </row>
    <row r="123" spans="1:35" s="90" customFormat="1" ht="58.5">
      <c r="A123" s="88"/>
      <c r="B123" s="89" t="s">
        <v>405</v>
      </c>
      <c r="C123" s="665" t="s">
        <v>406</v>
      </c>
      <c r="D123" s="469">
        <f>ROUND(G96/D117/12*1000,2)</f>
        <v>33518.379999999997</v>
      </c>
      <c r="E123" s="426"/>
      <c r="F123" s="349"/>
      <c r="G123" s="470"/>
      <c r="H123" s="605">
        <v>37133.349000000002</v>
      </c>
      <c r="I123" s="469">
        <f>ROUND(L96/I117/12*1000,2)</f>
        <v>30701.72</v>
      </c>
      <c r="J123" s="426"/>
      <c r="K123" s="349"/>
      <c r="L123" s="470"/>
      <c r="M123" s="469">
        <f>ROUND(P96/M117/12*1000,2)</f>
        <v>31466.84</v>
      </c>
      <c r="N123" s="426"/>
      <c r="O123" s="349"/>
      <c r="P123" s="470"/>
      <c r="Q123" s="469">
        <f>ROUND(T96/Q117/12*1000,2)</f>
        <v>32650.99</v>
      </c>
      <c r="R123" s="426"/>
      <c r="S123" s="349"/>
      <c r="T123" s="470"/>
      <c r="U123" s="469">
        <f>ROUND(X96/U117/12*1000,2)</f>
        <v>33665.82</v>
      </c>
      <c r="V123" s="426"/>
      <c r="W123" s="349"/>
      <c r="X123" s="470"/>
      <c r="Y123" s="469">
        <f>ROUND(AB96/Y117/12*1000,2)</f>
        <v>34246.36</v>
      </c>
      <c r="Z123" s="426"/>
      <c r="AA123" s="349"/>
      <c r="AB123" s="470"/>
      <c r="AC123" s="633">
        <f t="shared" si="196"/>
        <v>0.82679641957422156</v>
      </c>
      <c r="AD123" s="615">
        <f t="shared" si="197"/>
        <v>0.91596670244803013</v>
      </c>
      <c r="AE123" s="615">
        <f t="shared" si="198"/>
        <v>1.0249210793401802</v>
      </c>
      <c r="AF123" s="615">
        <f t="shared" si="199"/>
        <v>1.0376316783000772</v>
      </c>
      <c r="AG123" s="615">
        <f t="shared" si="200"/>
        <v>1.0310811402655784</v>
      </c>
      <c r="AH123" s="176">
        <f t="shared" si="201"/>
        <v>1.0172441960421579</v>
      </c>
      <c r="AI123" s="1077"/>
    </row>
    <row r="124" spans="1:35" s="90" customFormat="1" ht="20.25" outlineLevel="1" thickBot="1">
      <c r="A124" s="628"/>
      <c r="B124" s="629" t="s">
        <v>217</v>
      </c>
      <c r="C124" s="666" t="s">
        <v>39</v>
      </c>
      <c r="D124" s="471">
        <f>ROUND(F96/D119*1000,2)</f>
        <v>25.83</v>
      </c>
      <c r="E124" s="472"/>
      <c r="F124" s="472"/>
      <c r="G124" s="473"/>
      <c r="H124" s="653">
        <v>36.479999999999997</v>
      </c>
      <c r="I124" s="471">
        <f>ROUND(K96/I119*1000,2)</f>
        <v>27.54</v>
      </c>
      <c r="J124" s="472"/>
      <c r="K124" s="472"/>
      <c r="L124" s="473"/>
      <c r="M124" s="471">
        <f>ROUND(O96/M119*1000,2)</f>
        <v>29.29</v>
      </c>
      <c r="N124" s="472"/>
      <c r="O124" s="472"/>
      <c r="P124" s="473"/>
      <c r="Q124" s="471">
        <f>ROUND(S96/Q119*1000,2)</f>
        <v>30.83</v>
      </c>
      <c r="R124" s="472"/>
      <c r="S124" s="472"/>
      <c r="T124" s="473"/>
      <c r="U124" s="471">
        <f>ROUND(W96/U119*1000,2)</f>
        <v>32.04</v>
      </c>
      <c r="V124" s="472"/>
      <c r="W124" s="472"/>
      <c r="X124" s="473"/>
      <c r="Y124" s="471">
        <f>ROUND(AA96/Y119*1000,2)</f>
        <v>33.26</v>
      </c>
      <c r="Z124" s="472"/>
      <c r="AA124" s="472"/>
      <c r="AB124" s="473"/>
      <c r="AC124" s="634">
        <f t="shared" si="196"/>
        <v>0.75493421052631582</v>
      </c>
      <c r="AD124" s="631">
        <f t="shared" si="197"/>
        <v>1.0662020905923346</v>
      </c>
      <c r="AE124" s="631">
        <f t="shared" si="198"/>
        <v>1.0635439360929557</v>
      </c>
      <c r="AF124" s="631">
        <f t="shared" si="199"/>
        <v>1.0525776715602595</v>
      </c>
      <c r="AG124" s="631">
        <f t="shared" si="200"/>
        <v>1.0392474862147258</v>
      </c>
      <c r="AH124" s="632">
        <f t="shared" si="201"/>
        <v>1.0380774032459426</v>
      </c>
      <c r="AI124" s="1077"/>
    </row>
    <row r="125" spans="1:35" ht="16.5" hidden="1" thickBot="1">
      <c r="A125" s="606"/>
      <c r="B125" s="607" t="s">
        <v>101</v>
      </c>
      <c r="C125" s="608"/>
      <c r="D125" s="429"/>
      <c r="E125" s="429"/>
      <c r="F125" s="429"/>
      <c r="G125" s="429"/>
      <c r="H125" s="429"/>
      <c r="I125" s="429"/>
      <c r="J125" s="429"/>
      <c r="K125" s="429"/>
      <c r="L125" s="609"/>
      <c r="M125" s="429"/>
      <c r="N125" s="429"/>
      <c r="O125" s="429"/>
      <c r="P125" s="609"/>
      <c r="Q125" s="429"/>
      <c r="R125" s="429"/>
      <c r="S125" s="429"/>
      <c r="T125" s="429"/>
      <c r="U125" s="429"/>
      <c r="V125" s="610"/>
      <c r="W125" s="610"/>
      <c r="X125" s="610"/>
      <c r="Y125" s="610"/>
      <c r="Z125" s="611"/>
      <c r="AA125" s="611"/>
      <c r="AB125" s="611"/>
      <c r="AC125" s="612" t="str">
        <f>IFERROR(I125/#REF!, " ")</f>
        <v xml:space="preserve"> </v>
      </c>
      <c r="AD125" s="613" t="str">
        <f>IFERROR(I125/D125, " ")</f>
        <v xml:space="preserve"> </v>
      </c>
      <c r="AE125" s="614" t="str">
        <f>IFERROR(M125/I125, " ")</f>
        <v xml:space="preserve"> </v>
      </c>
      <c r="AF125" s="614" t="str">
        <f>IFERROR(Q125/M125, " ")</f>
        <v xml:space="preserve"> </v>
      </c>
      <c r="AG125" s="614" t="str">
        <f>IFERROR(U125/Q125, " ")</f>
        <v xml:space="preserve"> </v>
      </c>
      <c r="AH125" s="614" t="str">
        <f>IFERROR(Y125/U125, " ")</f>
        <v xml:space="preserve"> </v>
      </c>
      <c r="AI125" s="1070"/>
    </row>
    <row r="127" spans="1:35">
      <c r="B127" s="21" t="s">
        <v>564</v>
      </c>
      <c r="D127" s="888">
        <f>D96-D14</f>
        <v>12616.464999999997</v>
      </c>
      <c r="E127" s="888">
        <f t="shared" ref="E127:G127" si="324">E96-E14</f>
        <v>3560.7649999999994</v>
      </c>
      <c r="F127" s="888">
        <f t="shared" si="324"/>
        <v>0</v>
      </c>
      <c r="G127" s="888">
        <f t="shared" si="324"/>
        <v>9055.7000000000007</v>
      </c>
      <c r="H127" s="888">
        <f>H96-H14</f>
        <v>15761.338999999998</v>
      </c>
      <c r="I127" s="888">
        <f>I96-I14</f>
        <v>6765.1700000000019</v>
      </c>
      <c r="J127" s="888">
        <f t="shared" ref="J127:AB127" si="325">J96-J14</f>
        <v>-694.73000000000138</v>
      </c>
      <c r="K127" s="888">
        <f t="shared" si="325"/>
        <v>0</v>
      </c>
      <c r="L127" s="888">
        <f t="shared" si="325"/>
        <v>7459.8999999999978</v>
      </c>
      <c r="M127" s="888">
        <f>M96-M14</f>
        <v>9777.4084411354524</v>
      </c>
      <c r="N127" s="888">
        <f t="shared" si="325"/>
        <v>2192.5737520278817</v>
      </c>
      <c r="O127" s="888">
        <f t="shared" si="325"/>
        <v>0</v>
      </c>
      <c r="P127" s="888">
        <f t="shared" si="325"/>
        <v>7606.7000000000007</v>
      </c>
      <c r="Q127" s="888">
        <f>Q96-Q14</f>
        <v>10124.107536561125</v>
      </c>
      <c r="R127" s="888">
        <f>R96-R14</f>
        <v>2351.9300000000003</v>
      </c>
      <c r="S127" s="888">
        <f t="shared" si="325"/>
        <v>0</v>
      </c>
      <c r="T127" s="888">
        <f t="shared" si="325"/>
        <v>7794.69</v>
      </c>
      <c r="U127" s="888">
        <f>U96-U14</f>
        <v>10350.841254054765</v>
      </c>
      <c r="V127" s="888">
        <f t="shared" si="325"/>
        <v>2385.760000000002</v>
      </c>
      <c r="W127" s="888">
        <f t="shared" si="325"/>
        <v>0</v>
      </c>
      <c r="X127" s="888">
        <f t="shared" si="325"/>
        <v>7988.26</v>
      </c>
      <c r="Y127" s="888">
        <f>Y96-Y14</f>
        <v>10489.935141711907</v>
      </c>
      <c r="Z127" s="888">
        <f t="shared" si="325"/>
        <v>2326.25</v>
      </c>
      <c r="AA127" s="888">
        <f t="shared" si="325"/>
        <v>0</v>
      </c>
      <c r="AB127" s="888">
        <f t="shared" si="325"/>
        <v>8187.55</v>
      </c>
    </row>
    <row r="128" spans="1:35">
      <c r="B128" s="21" t="s">
        <v>565</v>
      </c>
      <c r="D128" s="343">
        <f>D96-D90-D14</f>
        <v>12827.344999999998</v>
      </c>
      <c r="E128" s="343">
        <f t="shared" ref="E128:G128" si="326">E96-E90-E14</f>
        <v>3771.6449999999986</v>
      </c>
      <c r="F128" s="343">
        <f t="shared" si="326"/>
        <v>0</v>
      </c>
      <c r="G128" s="343">
        <f t="shared" si="326"/>
        <v>9055.7000000000007</v>
      </c>
      <c r="H128" s="343">
        <f>H96-H91-H14</f>
        <v>15761.338999999998</v>
      </c>
      <c r="I128" s="343">
        <f>I96-I91-I14</f>
        <v>9753.3300000000017</v>
      </c>
      <c r="J128" s="343">
        <f t="shared" ref="J128:AB128" si="327">J96-J91-J14</f>
        <v>2293.4299999999985</v>
      </c>
      <c r="K128" s="343">
        <f t="shared" si="327"/>
        <v>0</v>
      </c>
      <c r="L128" s="343">
        <f t="shared" si="327"/>
        <v>7459.8999999999978</v>
      </c>
      <c r="M128" s="343">
        <f>M96-M91-M14</f>
        <v>9903.9246891075709</v>
      </c>
      <c r="N128" s="343">
        <f t="shared" si="327"/>
        <v>2319.09</v>
      </c>
      <c r="O128" s="343">
        <f t="shared" si="327"/>
        <v>0</v>
      </c>
      <c r="P128" s="343">
        <f t="shared" si="327"/>
        <v>7606.7000000000007</v>
      </c>
      <c r="Q128" s="343">
        <f>Q96-Q91-Q14</f>
        <v>10124.107536561125</v>
      </c>
      <c r="R128" s="343">
        <f t="shared" si="327"/>
        <v>2351.9300000000003</v>
      </c>
      <c r="S128" s="343">
        <f t="shared" si="327"/>
        <v>0</v>
      </c>
      <c r="T128" s="343">
        <f t="shared" si="327"/>
        <v>7794.69</v>
      </c>
      <c r="U128" s="343">
        <f>U96-U91-U14</f>
        <v>10350.841254054765</v>
      </c>
      <c r="V128" s="343">
        <f t="shared" si="327"/>
        <v>2385.760000000002</v>
      </c>
      <c r="W128" s="343">
        <f t="shared" si="327"/>
        <v>0</v>
      </c>
      <c r="X128" s="343">
        <f t="shared" si="327"/>
        <v>7988.26</v>
      </c>
      <c r="Y128" s="343">
        <f>Y96-Y91-Y14</f>
        <v>10489.935141711907</v>
      </c>
      <c r="Z128" s="343">
        <f t="shared" si="327"/>
        <v>2326.25</v>
      </c>
      <c r="AA128" s="343">
        <f t="shared" si="327"/>
        <v>0</v>
      </c>
      <c r="AB128" s="343">
        <f t="shared" si="327"/>
        <v>8187.55</v>
      </c>
      <c r="AC128" s="91"/>
      <c r="AD128" s="91"/>
    </row>
    <row r="129" spans="4:30">
      <c r="D129" s="343"/>
      <c r="E129" s="343"/>
      <c r="F129" s="343"/>
      <c r="G129" s="343"/>
      <c r="I129" s="889">
        <f>I128/D128</f>
        <v>0.76035453946237541</v>
      </c>
      <c r="J129" s="343"/>
      <c r="K129" s="343"/>
      <c r="L129" s="343"/>
      <c r="M129" s="91"/>
      <c r="N129" s="91"/>
      <c r="O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</row>
    <row r="130" spans="4:30">
      <c r="H130" s="21">
        <v>3121.52</v>
      </c>
      <c r="I130" s="24" t="s">
        <v>514</v>
      </c>
      <c r="J130" s="1078">
        <f>J96-J17+I120</f>
        <v>5599.0499999999984</v>
      </c>
      <c r="N130" s="1079">
        <f>N96-N17+M120</f>
        <v>9501.0537520278813</v>
      </c>
      <c r="R130" s="1079">
        <f>R96-R17+Q120</f>
        <v>10053.429999999998</v>
      </c>
      <c r="V130" s="1079">
        <f>V96-V17+U120</f>
        <v>10403.280000000001</v>
      </c>
      <c r="Z130" s="1079">
        <f>Z96-Z17+Y120</f>
        <v>10661.380000000001</v>
      </c>
    </row>
    <row r="131" spans="4:30">
      <c r="D131" s="343">
        <f>D96-D14</f>
        <v>12616.464999999997</v>
      </c>
      <c r="I131" s="343">
        <f>I96-I14</f>
        <v>6765.1700000000019</v>
      </c>
    </row>
    <row r="132" spans="4:30">
      <c r="J132" s="24">
        <f>(J96+K96)/I114*1000</f>
        <v>1689.2359999999996</v>
      </c>
      <c r="N132" s="421">
        <f>(N96+O96)/M114*1000</f>
        <v>2004.5063752027886</v>
      </c>
      <c r="R132" s="24">
        <f>(R96+S96)/Q114*1000</f>
        <v>2125.2200000000003</v>
      </c>
      <c r="V132" s="24">
        <f>(V96+W96)/U114*1000</f>
        <v>2216.9920000000002</v>
      </c>
      <c r="Z132" s="24">
        <f>(Z96+AA96)/Y114*1000</f>
        <v>2316.2100000000005</v>
      </c>
    </row>
    <row r="133" spans="4:30">
      <c r="I133" s="24">
        <f>I131/D131</f>
        <v>0.53621755380766356</v>
      </c>
      <c r="J133" s="421">
        <f>J40+N40+R40+V40+Z40</f>
        <v>0</v>
      </c>
    </row>
    <row r="136" spans="4:30">
      <c r="H136" s="343"/>
      <c r="I136" s="24">
        <v>64130</v>
      </c>
      <c r="J136" s="24">
        <v>10000</v>
      </c>
      <c r="L136" s="24">
        <v>54130</v>
      </c>
    </row>
    <row r="137" spans="4:30">
      <c r="J137" s="24">
        <f>ROUND(J136/I136,4)</f>
        <v>0.15590000000000001</v>
      </c>
      <c r="L137" s="21">
        <f>ROUND(L136/I136,4)</f>
        <v>0.84409999999999996</v>
      </c>
    </row>
    <row r="142" spans="4:30">
      <c r="E142" s="343"/>
    </row>
  </sheetData>
  <mergeCells count="25">
    <mergeCell ref="A91:B91"/>
    <mergeCell ref="A96:B96"/>
    <mergeCell ref="A7:B7"/>
    <mergeCell ref="A14:B14"/>
    <mergeCell ref="A20:B20"/>
    <mergeCell ref="A59:B59"/>
    <mergeCell ref="A83:B83"/>
    <mergeCell ref="A90:B90"/>
    <mergeCell ref="A89:B89"/>
    <mergeCell ref="AH5:AH6"/>
    <mergeCell ref="AF5:AF6"/>
    <mergeCell ref="AE5:AE6"/>
    <mergeCell ref="AD5:AD6"/>
    <mergeCell ref="A5:A6"/>
    <mergeCell ref="B5:B6"/>
    <mergeCell ref="C5:C6"/>
    <mergeCell ref="M5:P5"/>
    <mergeCell ref="Q5:T5"/>
    <mergeCell ref="U5:X5"/>
    <mergeCell ref="Y5:AB5"/>
    <mergeCell ref="D5:G5"/>
    <mergeCell ref="H5:H6"/>
    <mergeCell ref="I5:L5"/>
    <mergeCell ref="AC5:AC6"/>
    <mergeCell ref="AG5:AG6"/>
  </mergeCells>
  <pageMargins left="0.23622047244094491" right="0.23622047244094491" top="0.74803149606299213" bottom="0.74803149606299213" header="0.31496062992125984" footer="0.31496062992125984"/>
  <pageSetup paperSize="8" scale="33" fitToHeight="2" orientation="landscape" blackAndWhite="1" horizontalDpi="300" verticalDpi="300" r:id="rId1"/>
  <colBreaks count="1" manualBreakCount="1">
    <brk id="20" min="1" max="12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M142"/>
  <sheetViews>
    <sheetView view="pageBreakPreview" zoomScale="70" zoomScaleNormal="60" zoomScaleSheetLayoutView="70" workbookViewId="0">
      <pane xSplit="3" ySplit="6" topLeftCell="F115" activePane="bottomRight" state="frozen"/>
      <selection activeCell="A3" sqref="A3:T50"/>
      <selection pane="topRight" activeCell="A3" sqref="A3:T50"/>
      <selection pane="bottomLeft" activeCell="A3" sqref="A3:T50"/>
      <selection pane="bottomRight" activeCell="B147" sqref="B147"/>
    </sheetView>
  </sheetViews>
  <sheetFormatPr defaultColWidth="9" defaultRowHeight="15.75" outlineLevelRow="1" outlineLevelCol="1"/>
  <cols>
    <col min="1" max="1" width="9" style="21"/>
    <col min="2" max="2" width="72.25" style="21" customWidth="1"/>
    <col min="3" max="3" width="11.5" style="21" customWidth="1"/>
    <col min="4" max="4" width="18.625" style="21" customWidth="1"/>
    <col min="5" max="5" width="23.375" style="21" customWidth="1"/>
    <col min="6" max="6" width="16.75" style="21" customWidth="1"/>
    <col min="7" max="7" width="23" style="21" customWidth="1"/>
    <col min="8" max="8" width="21.625" style="21" customWidth="1" outlineLevel="1"/>
    <col min="9" max="9" width="19" style="24" customWidth="1"/>
    <col min="10" max="10" width="22.375" style="24" customWidth="1"/>
    <col min="11" max="11" width="17.875" style="24" customWidth="1"/>
    <col min="12" max="12" width="23.75" style="21" customWidth="1" outlineLevel="1"/>
    <col min="13" max="13" width="16.75" style="24" customWidth="1"/>
    <col min="14" max="14" width="17.625" style="24" customWidth="1"/>
    <col min="15" max="15" width="17.375" style="24" customWidth="1"/>
    <col min="16" max="16" width="21.875" style="21" customWidth="1" outlineLevel="1"/>
    <col min="17" max="17" width="16.375" style="24" customWidth="1"/>
    <col min="18" max="18" width="15.5" style="24" customWidth="1"/>
    <col min="19" max="19" width="15.75" style="24" customWidth="1"/>
    <col min="20" max="20" width="15.25" style="24" customWidth="1"/>
    <col min="21" max="21" width="16.625" style="24" customWidth="1"/>
    <col min="22" max="22" width="18.125" style="24" customWidth="1"/>
    <col min="23" max="23" width="15.625" style="24" customWidth="1"/>
    <col min="24" max="24" width="17.25" style="24" customWidth="1"/>
    <col min="25" max="25" width="18.125" style="24" customWidth="1"/>
    <col min="26" max="26" width="22" style="24" customWidth="1"/>
    <col min="27" max="27" width="19" style="24" customWidth="1"/>
    <col min="28" max="28" width="16.5" style="24" customWidth="1"/>
    <col min="29" max="29" width="12.875" style="24" customWidth="1" outlineLevel="1"/>
    <col min="30" max="30" width="11.125" style="24" hidden="1" customWidth="1" outlineLevel="1"/>
    <col min="31" max="31" width="11.125" style="94" hidden="1" customWidth="1"/>
    <col min="32" max="34" width="11" style="94" hidden="1" customWidth="1"/>
    <col min="35" max="35" width="36.75" style="1080" hidden="1" customWidth="1"/>
    <col min="36" max="36" width="10.875" style="21" customWidth="1"/>
    <col min="37" max="37" width="12.75" style="21" bestFit="1" customWidth="1"/>
    <col min="38" max="38" width="11.375" style="21" customWidth="1"/>
    <col min="39" max="39" width="11.375" style="21" bestFit="1" customWidth="1"/>
    <col min="40" max="16384" width="9" style="21"/>
  </cols>
  <sheetData>
    <row r="1" spans="1:38" ht="16.5" customHeight="1">
      <c r="D1" s="22"/>
      <c r="E1" s="22"/>
      <c r="F1" s="22"/>
      <c r="G1" s="22"/>
      <c r="H1" s="22"/>
      <c r="I1" s="418"/>
      <c r="J1" s="418"/>
      <c r="K1" s="418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</row>
    <row r="2" spans="1:38">
      <c r="I2" s="23"/>
      <c r="J2" s="23"/>
      <c r="K2" s="23"/>
      <c r="M2" s="23"/>
      <c r="N2" s="23"/>
      <c r="O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</row>
    <row r="3" spans="1:38" s="28" customFormat="1" ht="20.25">
      <c r="A3" s="25" t="s">
        <v>423</v>
      </c>
      <c r="B3" s="26"/>
      <c r="C3" s="27"/>
      <c r="D3" s="27"/>
      <c r="E3" s="27"/>
      <c r="F3" s="27"/>
      <c r="G3" s="27"/>
      <c r="H3" s="27"/>
      <c r="I3" s="878"/>
      <c r="J3" s="493"/>
      <c r="K3" s="361"/>
      <c r="L3" s="361"/>
      <c r="M3" s="420"/>
      <c r="N3" s="420"/>
      <c r="O3" s="420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95"/>
      <c r="AF3" s="95"/>
      <c r="AG3" s="95"/>
      <c r="AH3" s="95"/>
      <c r="AI3" s="1159"/>
    </row>
    <row r="4" spans="1:38" s="6" customFormat="1" ht="16.5" thickBot="1">
      <c r="B4" s="29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96"/>
      <c r="AF4" s="96"/>
      <c r="AG4" s="96"/>
      <c r="AH4" s="96"/>
      <c r="AI4" s="1158"/>
    </row>
    <row r="5" spans="1:38" s="31" customFormat="1" ht="66.75" customHeight="1">
      <c r="A5" s="1215" t="s">
        <v>76</v>
      </c>
      <c r="B5" s="1217" t="s">
        <v>77</v>
      </c>
      <c r="C5" s="1219" t="s">
        <v>78</v>
      </c>
      <c r="D5" s="1224" t="s">
        <v>211</v>
      </c>
      <c r="E5" s="1225"/>
      <c r="F5" s="1225"/>
      <c r="G5" s="1226"/>
      <c r="H5" s="1227" t="s">
        <v>428</v>
      </c>
      <c r="I5" s="1221" t="s">
        <v>148</v>
      </c>
      <c r="J5" s="1222"/>
      <c r="K5" s="1222"/>
      <c r="L5" s="1223"/>
      <c r="M5" s="1221" t="s">
        <v>149</v>
      </c>
      <c r="N5" s="1222"/>
      <c r="O5" s="1222"/>
      <c r="P5" s="1223"/>
      <c r="Q5" s="1221" t="s">
        <v>150</v>
      </c>
      <c r="R5" s="1222"/>
      <c r="S5" s="1222"/>
      <c r="T5" s="1223"/>
      <c r="U5" s="1221" t="s">
        <v>195</v>
      </c>
      <c r="V5" s="1222"/>
      <c r="W5" s="1222"/>
      <c r="X5" s="1223"/>
      <c r="Y5" s="1221" t="s">
        <v>212</v>
      </c>
      <c r="Z5" s="1222"/>
      <c r="AA5" s="1222"/>
      <c r="AB5" s="1223"/>
      <c r="AC5" s="1229" t="s">
        <v>46</v>
      </c>
      <c r="AD5" s="1213" t="s">
        <v>151</v>
      </c>
      <c r="AE5" s="1213" t="s">
        <v>152</v>
      </c>
      <c r="AF5" s="1213" t="s">
        <v>153</v>
      </c>
      <c r="AG5" s="1213" t="s">
        <v>196</v>
      </c>
      <c r="AH5" s="1211" t="s">
        <v>213</v>
      </c>
      <c r="AI5" s="1157"/>
    </row>
    <row r="6" spans="1:38" s="31" customFormat="1" ht="95.25" customHeight="1" thickBot="1">
      <c r="A6" s="1216"/>
      <c r="B6" s="1218"/>
      <c r="C6" s="1220"/>
      <c r="D6" s="669" t="s">
        <v>427</v>
      </c>
      <c r="E6" s="670" t="s">
        <v>424</v>
      </c>
      <c r="F6" s="670" t="s">
        <v>425</v>
      </c>
      <c r="G6" s="671" t="s">
        <v>426</v>
      </c>
      <c r="H6" s="1228"/>
      <c r="I6" s="672" t="s">
        <v>427</v>
      </c>
      <c r="J6" s="673" t="s">
        <v>424</v>
      </c>
      <c r="K6" s="673" t="s">
        <v>425</v>
      </c>
      <c r="L6" s="674" t="s">
        <v>426</v>
      </c>
      <c r="M6" s="672" t="s">
        <v>427</v>
      </c>
      <c r="N6" s="673" t="s">
        <v>424</v>
      </c>
      <c r="O6" s="673" t="s">
        <v>425</v>
      </c>
      <c r="P6" s="674" t="s">
        <v>426</v>
      </c>
      <c r="Q6" s="672" t="s">
        <v>427</v>
      </c>
      <c r="R6" s="673" t="s">
        <v>424</v>
      </c>
      <c r="S6" s="673" t="s">
        <v>425</v>
      </c>
      <c r="T6" s="674" t="s">
        <v>426</v>
      </c>
      <c r="U6" s="672" t="s">
        <v>427</v>
      </c>
      <c r="V6" s="673" t="s">
        <v>424</v>
      </c>
      <c r="W6" s="673" t="s">
        <v>425</v>
      </c>
      <c r="X6" s="674" t="s">
        <v>426</v>
      </c>
      <c r="Y6" s="672" t="s">
        <v>427</v>
      </c>
      <c r="Z6" s="673" t="s">
        <v>424</v>
      </c>
      <c r="AA6" s="673" t="s">
        <v>425</v>
      </c>
      <c r="AB6" s="674" t="s">
        <v>426</v>
      </c>
      <c r="AC6" s="1230"/>
      <c r="AD6" s="1214"/>
      <c r="AE6" s="1214"/>
      <c r="AF6" s="1214"/>
      <c r="AG6" s="1214"/>
      <c r="AH6" s="1212"/>
      <c r="AI6" s="1157"/>
    </row>
    <row r="7" spans="1:38" s="33" customFormat="1" ht="18.75">
      <c r="A7" s="1233" t="s">
        <v>80</v>
      </c>
      <c r="B7" s="1234"/>
      <c r="C7" s="676"/>
      <c r="D7" s="677"/>
      <c r="E7" s="678"/>
      <c r="F7" s="678"/>
      <c r="G7" s="679"/>
      <c r="H7" s="680"/>
      <c r="I7" s="681"/>
      <c r="J7" s="682"/>
      <c r="K7" s="682"/>
      <c r="L7" s="683"/>
      <c r="M7" s="681">
        <f>(1-M9)*(1+M8)*(1+M10*M13)</f>
        <v>1.02366</v>
      </c>
      <c r="N7" s="682">
        <f>M7</f>
        <v>1.02366</v>
      </c>
      <c r="O7" s="682">
        <f>M7</f>
        <v>1.02366</v>
      </c>
      <c r="P7" s="683">
        <f>M7</f>
        <v>1.02366</v>
      </c>
      <c r="Q7" s="681">
        <f>(1-Q9)*(1+Q8)*(1+Q10*Q13)</f>
        <v>1.0296000000000001</v>
      </c>
      <c r="R7" s="682">
        <f>Q7</f>
        <v>1.0296000000000001</v>
      </c>
      <c r="S7" s="682">
        <f>Q7</f>
        <v>1.0296000000000001</v>
      </c>
      <c r="T7" s="683">
        <f>Q7</f>
        <v>1.0296000000000001</v>
      </c>
      <c r="U7" s="681">
        <f>(1-U9)*(1+U8)*(1+U10*U13)</f>
        <v>1.0296000000000001</v>
      </c>
      <c r="V7" s="682">
        <f>U7</f>
        <v>1.0296000000000001</v>
      </c>
      <c r="W7" s="682">
        <f>U7</f>
        <v>1.0296000000000001</v>
      </c>
      <c r="X7" s="683">
        <f>U7</f>
        <v>1.0296000000000001</v>
      </c>
      <c r="Y7" s="681">
        <f>(1-Y9)*(1+Y8)*(1+Y10*Y13)</f>
        <v>1.0296000000000001</v>
      </c>
      <c r="Z7" s="682">
        <f>Y7</f>
        <v>1.0296000000000001</v>
      </c>
      <c r="AA7" s="682">
        <f>Y7</f>
        <v>1.0296000000000001</v>
      </c>
      <c r="AB7" s="683">
        <f>Y7</f>
        <v>1.0296000000000001</v>
      </c>
      <c r="AC7" s="684" t="str">
        <f>IFERROR(I7/#REF!, " ")</f>
        <v xml:space="preserve"> </v>
      </c>
      <c r="AD7" s="685" t="str">
        <f>IFERROR(I7/D7, " ")</f>
        <v xml:space="preserve"> </v>
      </c>
      <c r="AE7" s="685"/>
      <c r="AF7" s="685"/>
      <c r="AG7" s="685"/>
      <c r="AH7" s="686"/>
      <c r="AI7" s="1105"/>
    </row>
    <row r="8" spans="1:38" s="31" customFormat="1">
      <c r="A8" s="626"/>
      <c r="B8" s="1151" t="s">
        <v>81</v>
      </c>
      <c r="C8" s="646" t="s">
        <v>1</v>
      </c>
      <c r="D8" s="648"/>
      <c r="E8" s="1150"/>
      <c r="F8" s="1150"/>
      <c r="G8" s="430"/>
      <c r="H8" s="474"/>
      <c r="I8" s="648"/>
      <c r="J8" s="1150"/>
      <c r="K8" s="1150"/>
      <c r="L8" s="430"/>
      <c r="M8" s="1155">
        <f>[175]индексы!I8-1</f>
        <v>3.400000000000003E-2</v>
      </c>
      <c r="N8" s="1154"/>
      <c r="O8" s="1154"/>
      <c r="P8" s="1153"/>
      <c r="Q8" s="1155">
        <f>[175]индексы!J8-1</f>
        <v>4.0000000000000036E-2</v>
      </c>
      <c r="R8" s="1154"/>
      <c r="S8" s="1154"/>
      <c r="T8" s="1153"/>
      <c r="U8" s="1155">
        <f>[175]индексы!K8-1</f>
        <v>4.0000000000000036E-2</v>
      </c>
      <c r="V8" s="1154"/>
      <c r="W8" s="1154"/>
      <c r="X8" s="1153"/>
      <c r="Y8" s="1155">
        <f>[175]индексы!L8-1</f>
        <v>4.0000000000000036E-2</v>
      </c>
      <c r="Z8" s="1154"/>
      <c r="AA8" s="1154"/>
      <c r="AB8" s="1153"/>
      <c r="AC8" s="633" t="str">
        <f>IFERROR(I8/#REF!, " ")</f>
        <v xml:space="preserve"> </v>
      </c>
      <c r="AD8" s="1147"/>
      <c r="AE8" s="1147"/>
      <c r="AF8" s="1147"/>
      <c r="AG8" s="1147"/>
      <c r="AH8" s="98"/>
      <c r="AI8" s="1081"/>
    </row>
    <row r="9" spans="1:38" s="31" customFormat="1">
      <c r="A9" s="626"/>
      <c r="B9" s="1151" t="s">
        <v>82</v>
      </c>
      <c r="C9" s="646" t="s">
        <v>1</v>
      </c>
      <c r="D9" s="1155">
        <v>0.01</v>
      </c>
      <c r="E9" s="1154"/>
      <c r="F9" s="1154"/>
      <c r="G9" s="1153"/>
      <c r="H9" s="1156"/>
      <c r="I9" s="1155">
        <v>0.01</v>
      </c>
      <c r="J9" s="1154"/>
      <c r="K9" s="1154"/>
      <c r="L9" s="1153"/>
      <c r="M9" s="1155">
        <v>0.01</v>
      </c>
      <c r="N9" s="1154"/>
      <c r="O9" s="1154"/>
      <c r="P9" s="1153"/>
      <c r="Q9" s="1155">
        <v>0.01</v>
      </c>
      <c r="R9" s="1154"/>
      <c r="S9" s="1154"/>
      <c r="T9" s="1153"/>
      <c r="U9" s="1155">
        <v>0.01</v>
      </c>
      <c r="V9" s="1154"/>
      <c r="W9" s="1154"/>
      <c r="X9" s="1153"/>
      <c r="Y9" s="1155">
        <v>0.01</v>
      </c>
      <c r="Z9" s="1154"/>
      <c r="AA9" s="1154"/>
      <c r="AB9" s="1153"/>
      <c r="AC9" s="633" t="str">
        <f>IFERROR(I9/#REF!, " ")</f>
        <v xml:space="preserve"> </v>
      </c>
      <c r="AD9" s="1147"/>
      <c r="AE9" s="1147"/>
      <c r="AF9" s="1147"/>
      <c r="AG9" s="1147"/>
      <c r="AH9" s="98"/>
      <c r="AI9" s="1081"/>
      <c r="AL9" s="35"/>
    </row>
    <row r="10" spans="1:38" s="31" customFormat="1">
      <c r="A10" s="626"/>
      <c r="B10" s="1151" t="s">
        <v>83</v>
      </c>
      <c r="C10" s="646" t="s">
        <v>1</v>
      </c>
      <c r="D10" s="648"/>
      <c r="E10" s="1150"/>
      <c r="F10" s="1150"/>
      <c r="G10" s="430"/>
      <c r="H10" s="474"/>
      <c r="I10" s="648"/>
      <c r="J10" s="1150"/>
      <c r="K10" s="1150"/>
      <c r="L10" s="430"/>
      <c r="M10" s="637">
        <f>IF(AND(ISNUMBER(I12),I12&gt;0),(M12-I12)/I12,0)</f>
        <v>0</v>
      </c>
      <c r="N10" s="1148"/>
      <c r="O10" s="1148"/>
      <c r="P10" s="638"/>
      <c r="Q10" s="637">
        <f>IF(AND(ISNUMBER(M12),M12&gt;0),(Q12-M12)/M12,0)</f>
        <v>0</v>
      </c>
      <c r="R10" s="1148"/>
      <c r="S10" s="1148"/>
      <c r="T10" s="638"/>
      <c r="U10" s="637">
        <f>IF(AND(ISNUMBER(Q12),Q12&gt;0),(U12-Q12)/Q12,0)</f>
        <v>0</v>
      </c>
      <c r="V10" s="1148"/>
      <c r="W10" s="1148"/>
      <c r="X10" s="638"/>
      <c r="Y10" s="637">
        <f>IF(AND(ISNUMBER(U12),U12&gt;0),(Y12-U12)/U12,0)</f>
        <v>0</v>
      </c>
      <c r="Z10" s="1148"/>
      <c r="AA10" s="1148"/>
      <c r="AB10" s="638"/>
      <c r="AC10" s="633" t="str">
        <f>IFERROR(I10/#REF!, " ")</f>
        <v xml:space="preserve"> </v>
      </c>
      <c r="AD10" s="1147"/>
      <c r="AE10" s="1147"/>
      <c r="AF10" s="1147"/>
      <c r="AG10" s="1147"/>
      <c r="AH10" s="98"/>
      <c r="AI10" s="1081"/>
    </row>
    <row r="11" spans="1:38" s="31" customFormat="1">
      <c r="A11" s="626"/>
      <c r="B11" s="1151" t="s">
        <v>84</v>
      </c>
      <c r="C11" s="646" t="s">
        <v>75</v>
      </c>
      <c r="D11" s="431"/>
      <c r="E11" s="1152"/>
      <c r="F11" s="1152"/>
      <c r="G11" s="432"/>
      <c r="H11" s="475"/>
      <c r="I11" s="431"/>
      <c r="J11" s="1152"/>
      <c r="K11" s="1152"/>
      <c r="L11" s="432"/>
      <c r="M11" s="431"/>
      <c r="N11" s="1152"/>
      <c r="O11" s="1152"/>
      <c r="P11" s="432"/>
      <c r="Q11" s="431"/>
      <c r="R11" s="1152"/>
      <c r="S11" s="1152"/>
      <c r="T11" s="432"/>
      <c r="U11" s="431"/>
      <c r="V11" s="1152"/>
      <c r="W11" s="1152"/>
      <c r="X11" s="432"/>
      <c r="Y11" s="431"/>
      <c r="Z11" s="1152"/>
      <c r="AA11" s="1152"/>
      <c r="AB11" s="432"/>
      <c r="AC11" s="633" t="str">
        <f>IFERROR(I11/#REF!, " ")</f>
        <v xml:space="preserve"> </v>
      </c>
      <c r="AD11" s="1147"/>
      <c r="AE11" s="1147"/>
      <c r="AF11" s="1147"/>
      <c r="AG11" s="1147"/>
      <c r="AH11" s="98"/>
      <c r="AI11" s="1081"/>
    </row>
    <row r="12" spans="1:38" s="31" customFormat="1" ht="31.5">
      <c r="A12" s="626"/>
      <c r="B12" s="1151" t="s">
        <v>85</v>
      </c>
      <c r="C12" s="646" t="s">
        <v>86</v>
      </c>
      <c r="D12" s="648">
        <v>111.355</v>
      </c>
      <c r="E12" s="1150"/>
      <c r="F12" s="1150"/>
      <c r="G12" s="430"/>
      <c r="H12" s="474"/>
      <c r="I12" s="648">
        <v>111.355</v>
      </c>
      <c r="J12" s="1150"/>
      <c r="K12" s="1150"/>
      <c r="L12" s="430"/>
      <c r="M12" s="637">
        <f>I12</f>
        <v>111.355</v>
      </c>
      <c r="N12" s="1148"/>
      <c r="O12" s="1148"/>
      <c r="P12" s="1149"/>
      <c r="Q12" s="637">
        <f>M12</f>
        <v>111.355</v>
      </c>
      <c r="R12" s="1148"/>
      <c r="S12" s="1148"/>
      <c r="T12" s="638"/>
      <c r="U12" s="637">
        <f>Q12</f>
        <v>111.355</v>
      </c>
      <c r="V12" s="1148"/>
      <c r="W12" s="1148"/>
      <c r="X12" s="638"/>
      <c r="Y12" s="637">
        <f>U12</f>
        <v>111.355</v>
      </c>
      <c r="Z12" s="1148"/>
      <c r="AA12" s="1148"/>
      <c r="AB12" s="638"/>
      <c r="AC12" s="633" t="str">
        <f>IFERROR(I12/#REF!, " ")</f>
        <v xml:space="preserve"> </v>
      </c>
      <c r="AD12" s="1147"/>
      <c r="AE12" s="1147"/>
      <c r="AF12" s="1147"/>
      <c r="AG12" s="1147"/>
      <c r="AH12" s="98"/>
      <c r="AI12" s="1081"/>
    </row>
    <row r="13" spans="1:38" s="31" customFormat="1" ht="19.5" thickBot="1">
      <c r="A13" s="687"/>
      <c r="B13" s="688" t="s">
        <v>87</v>
      </c>
      <c r="C13" s="689"/>
      <c r="D13" s="1145">
        <v>0.75</v>
      </c>
      <c r="E13" s="1144"/>
      <c r="F13" s="1144"/>
      <c r="G13" s="1143"/>
      <c r="H13" s="1146"/>
      <c r="I13" s="1145">
        <v>0.75</v>
      </c>
      <c r="J13" s="1144"/>
      <c r="K13" s="1144"/>
      <c r="L13" s="1143"/>
      <c r="M13" s="1145">
        <v>0.75</v>
      </c>
      <c r="N13" s="1144"/>
      <c r="O13" s="1144"/>
      <c r="P13" s="1143"/>
      <c r="Q13" s="1145">
        <v>0.75</v>
      </c>
      <c r="R13" s="1144"/>
      <c r="S13" s="1144"/>
      <c r="T13" s="1143"/>
      <c r="U13" s="1145">
        <v>0.75</v>
      </c>
      <c r="V13" s="1144"/>
      <c r="W13" s="1144"/>
      <c r="X13" s="1143"/>
      <c r="Y13" s="1145">
        <v>0.75</v>
      </c>
      <c r="Z13" s="1144"/>
      <c r="AA13" s="1144"/>
      <c r="AB13" s="1143"/>
      <c r="AC13" s="634" t="str">
        <f>IFERROR(I13/#REF!, " ")</f>
        <v xml:space="preserve"> </v>
      </c>
      <c r="AD13" s="630"/>
      <c r="AE13" s="630"/>
      <c r="AF13" s="630"/>
      <c r="AG13" s="630"/>
      <c r="AH13" s="99"/>
      <c r="AI13" s="1081"/>
    </row>
    <row r="14" spans="1:38" s="33" customFormat="1" ht="36.75" customHeight="1">
      <c r="A14" s="1233" t="s">
        <v>88</v>
      </c>
      <c r="B14" s="1234"/>
      <c r="C14" s="676" t="s">
        <v>0</v>
      </c>
      <c r="D14" s="696">
        <f t="shared" ref="D14:D19" si="0">E14+F14+G14</f>
        <v>12993.57</v>
      </c>
      <c r="E14" s="697">
        <f>SUM(E15:E19)</f>
        <v>10153.82</v>
      </c>
      <c r="F14" s="697">
        <f>SUM(F15:F19)</f>
        <v>1031.07</v>
      </c>
      <c r="G14" s="698">
        <f>SUM(G15:G19)</f>
        <v>1808.68</v>
      </c>
      <c r="H14" s="699">
        <f>SUM(H15:H19)</f>
        <v>15453.854000000001</v>
      </c>
      <c r="I14" s="696">
        <f t="shared" ref="I14:I19" si="1">J14+K14+L14</f>
        <v>20078.599999999995</v>
      </c>
      <c r="J14" s="697">
        <f>SUM(J15:J19)</f>
        <v>15775.589999999998</v>
      </c>
      <c r="K14" s="697">
        <f>SUM(K15:K19)</f>
        <v>1811.5</v>
      </c>
      <c r="L14" s="698">
        <f>SUM(L15:L19)</f>
        <v>2491.5099999999998</v>
      </c>
      <c r="M14" s="696">
        <f t="shared" ref="M14:M19" si="2">N14+O14+P14</f>
        <v>20445.199999999997</v>
      </c>
      <c r="N14" s="697">
        <f>SUM(N15:N19)</f>
        <v>15926</v>
      </c>
      <c r="O14" s="697">
        <f>SUM(O15:O19)</f>
        <v>1926.4899999999998</v>
      </c>
      <c r="P14" s="698">
        <f>SUM(P15:P19)</f>
        <v>2592.7100000000005</v>
      </c>
      <c r="Q14" s="696">
        <f t="shared" ref="Q14:Q19" si="3">R14+S14+T14</f>
        <v>21688.81</v>
      </c>
      <c r="R14" s="697">
        <f>SUM(R15:R19)</f>
        <v>16872.48</v>
      </c>
      <c r="S14" s="697">
        <f>SUM(S15:S19)</f>
        <v>2027.7899999999997</v>
      </c>
      <c r="T14" s="698">
        <f>SUM(T15:T19)</f>
        <v>2788.54</v>
      </c>
      <c r="U14" s="696">
        <f t="shared" ref="U14:U19" si="4">V14+W14+X14</f>
        <v>22708.07</v>
      </c>
      <c r="V14" s="697">
        <f>SUM(V15:V19)</f>
        <v>17676.82</v>
      </c>
      <c r="W14" s="697">
        <f>SUM(W15:W19)</f>
        <v>2107.34</v>
      </c>
      <c r="X14" s="698">
        <f>SUM(X15:X19)</f>
        <v>2923.9100000000003</v>
      </c>
      <c r="Y14" s="696">
        <f t="shared" ref="Y14:Y19" si="5">Z14+AA14+AB14</f>
        <v>23748.640000000003</v>
      </c>
      <c r="Z14" s="697">
        <f>SUM(Z15:Z19)</f>
        <v>18648.150000000001</v>
      </c>
      <c r="AA14" s="697">
        <f>SUM(AA15:AA19)</f>
        <v>2187.7000000000003</v>
      </c>
      <c r="AB14" s="698">
        <f>SUM(AB15:AB19)</f>
        <v>2912.79</v>
      </c>
      <c r="AC14" s="700">
        <f t="shared" ref="AC14:AC45" si="6">IFERROR(I14/H14, " ")</f>
        <v>1.2992616599069717</v>
      </c>
      <c r="AD14" s="685">
        <f t="shared" ref="AD14:AD45" si="7">IFERROR(I14/D14, " ")</f>
        <v>1.5452720076160744</v>
      </c>
      <c r="AE14" s="685">
        <f t="shared" ref="AE14:AE45" si="8">IFERROR(M14/I14, " ")</f>
        <v>1.0182582450967699</v>
      </c>
      <c r="AF14" s="685">
        <f t="shared" ref="AF14:AF45" si="9">IFERROR(Q14/M14, " ")</f>
        <v>1.0608265020640544</v>
      </c>
      <c r="AG14" s="686">
        <f t="shared" ref="AG14:AG45" si="10">IFERROR(U14/Q14, " ")</f>
        <v>1.0469947406058699</v>
      </c>
      <c r="AH14" s="694">
        <f t="shared" ref="AH14:AH45" si="11">IFERROR(Y14/U14, " ")</f>
        <v>1.0458237974429356</v>
      </c>
      <c r="AI14" s="1105"/>
    </row>
    <row r="15" spans="1:38" s="36" customFormat="1" ht="18.75">
      <c r="A15" s="37"/>
      <c r="B15" s="1142" t="s">
        <v>35</v>
      </c>
      <c r="C15" s="654" t="s">
        <v>0</v>
      </c>
      <c r="D15" s="445">
        <f t="shared" si="0"/>
        <v>0</v>
      </c>
      <c r="E15" s="1111"/>
      <c r="F15" s="1111"/>
      <c r="G15" s="435"/>
      <c r="H15" s="477"/>
      <c r="I15" s="445">
        <f t="shared" si="1"/>
        <v>0</v>
      </c>
      <c r="J15" s="1111"/>
      <c r="K15" s="1111"/>
      <c r="L15" s="435"/>
      <c r="M15" s="445">
        <f t="shared" si="2"/>
        <v>0</v>
      </c>
      <c r="N15" s="1111"/>
      <c r="O15" s="1111"/>
      <c r="P15" s="435"/>
      <c r="Q15" s="445">
        <f t="shared" si="3"/>
        <v>0</v>
      </c>
      <c r="R15" s="1111"/>
      <c r="S15" s="1111"/>
      <c r="T15" s="435"/>
      <c r="U15" s="445">
        <f t="shared" si="4"/>
        <v>0</v>
      </c>
      <c r="V15" s="1111"/>
      <c r="W15" s="1111"/>
      <c r="X15" s="435"/>
      <c r="Y15" s="445">
        <f t="shared" si="5"/>
        <v>0</v>
      </c>
      <c r="Z15" s="1111"/>
      <c r="AA15" s="1111"/>
      <c r="AB15" s="435"/>
      <c r="AC15" s="633" t="str">
        <f t="shared" si="6"/>
        <v xml:space="preserve"> </v>
      </c>
      <c r="AD15" s="1083" t="str">
        <f t="shared" si="7"/>
        <v xml:space="preserve"> </v>
      </c>
      <c r="AE15" s="1083" t="str">
        <f t="shared" si="8"/>
        <v xml:space="preserve"> </v>
      </c>
      <c r="AF15" s="1083" t="str">
        <f t="shared" si="9"/>
        <v xml:space="preserve"> </v>
      </c>
      <c r="AG15" s="176" t="str">
        <f t="shared" si="10"/>
        <v xml:space="preserve"> </v>
      </c>
      <c r="AH15" s="695" t="str">
        <f t="shared" si="11"/>
        <v xml:space="preserve"> </v>
      </c>
      <c r="AI15" s="1081"/>
    </row>
    <row r="16" spans="1:38" s="36" customFormat="1" ht="18.75">
      <c r="A16" s="37"/>
      <c r="B16" s="1142" t="s">
        <v>89</v>
      </c>
      <c r="C16" s="654" t="s">
        <v>0</v>
      </c>
      <c r="D16" s="445">
        <f t="shared" si="0"/>
        <v>0</v>
      </c>
      <c r="E16" s="1111"/>
      <c r="F16" s="1111"/>
      <c r="G16" s="435"/>
      <c r="H16" s="477"/>
      <c r="I16" s="445">
        <f t="shared" si="1"/>
        <v>0</v>
      </c>
      <c r="J16" s="1111"/>
      <c r="K16" s="1111"/>
      <c r="L16" s="435"/>
      <c r="M16" s="445">
        <f t="shared" si="2"/>
        <v>0</v>
      </c>
      <c r="N16" s="1111"/>
      <c r="O16" s="1111"/>
      <c r="P16" s="435"/>
      <c r="Q16" s="445">
        <f t="shared" si="3"/>
        <v>0</v>
      </c>
      <c r="R16" s="1111"/>
      <c r="S16" s="1111"/>
      <c r="T16" s="435"/>
      <c r="U16" s="445">
        <f t="shared" si="4"/>
        <v>0</v>
      </c>
      <c r="V16" s="1111"/>
      <c r="W16" s="1111"/>
      <c r="X16" s="435"/>
      <c r="Y16" s="445">
        <f t="shared" si="5"/>
        <v>0</v>
      </c>
      <c r="Z16" s="1111"/>
      <c r="AA16" s="1111"/>
      <c r="AB16" s="435"/>
      <c r="AC16" s="633" t="str">
        <f t="shared" si="6"/>
        <v xml:space="preserve"> </v>
      </c>
      <c r="AD16" s="1083" t="str">
        <f t="shared" si="7"/>
        <v xml:space="preserve"> </v>
      </c>
      <c r="AE16" s="1083" t="str">
        <f t="shared" si="8"/>
        <v xml:space="preserve"> </v>
      </c>
      <c r="AF16" s="1083" t="str">
        <f t="shared" si="9"/>
        <v xml:space="preserve"> </v>
      </c>
      <c r="AG16" s="176" t="str">
        <f t="shared" si="10"/>
        <v xml:space="preserve"> </v>
      </c>
      <c r="AH16" s="695" t="str">
        <f t="shared" si="11"/>
        <v xml:space="preserve"> </v>
      </c>
      <c r="AI16" s="1081"/>
    </row>
    <row r="17" spans="1:37" s="36" customFormat="1" ht="18.75">
      <c r="A17" s="37"/>
      <c r="B17" s="1142" t="s">
        <v>90</v>
      </c>
      <c r="C17" s="654" t="s">
        <v>0</v>
      </c>
      <c r="D17" s="445">
        <f t="shared" si="0"/>
        <v>11630.71</v>
      </c>
      <c r="E17" s="1111">
        <v>9826.9599999999991</v>
      </c>
      <c r="F17" s="1111"/>
      <c r="G17" s="435">
        <v>1803.75</v>
      </c>
      <c r="H17" s="477">
        <v>13783.299000000001</v>
      </c>
      <c r="I17" s="445">
        <f t="shared" si="1"/>
        <v>17384.439999999999</v>
      </c>
      <c r="J17" s="1111">
        <f>'[175]переменные на 5 лет'!J16</f>
        <v>14898.869999999999</v>
      </c>
      <c r="K17" s="1111"/>
      <c r="L17" s="435">
        <f>'[175]переменные на 5 лет'!J25</f>
        <v>2485.5699999999997</v>
      </c>
      <c r="M17" s="445">
        <f t="shared" si="2"/>
        <v>17712.400000000001</v>
      </c>
      <c r="N17" s="1111">
        <f>'[175]переменные на 5 лет'!M16</f>
        <v>15125.72</v>
      </c>
      <c r="O17" s="1111"/>
      <c r="P17" s="435">
        <f>'[175]переменные на 5 лет'!M25</f>
        <v>2586.6800000000003</v>
      </c>
      <c r="Q17" s="445">
        <f t="shared" si="3"/>
        <v>18858.690000000002</v>
      </c>
      <c r="R17" s="1111">
        <f>'[175]переменные на 5 лет'!P16</f>
        <v>16076.380000000001</v>
      </c>
      <c r="S17" s="1111"/>
      <c r="T17" s="435">
        <f>'[175]переменные на 5 лет'!P25</f>
        <v>2782.31</v>
      </c>
      <c r="U17" s="445">
        <f t="shared" si="4"/>
        <v>19783.260000000002</v>
      </c>
      <c r="V17" s="1111">
        <f>'[175]переменные на 5 лет'!S16</f>
        <v>16865.79</v>
      </c>
      <c r="W17" s="1111"/>
      <c r="X17" s="435">
        <f>'[175]переменные на 5 лет'!S25</f>
        <v>2917.4700000000003</v>
      </c>
      <c r="Y17" s="445">
        <f t="shared" si="5"/>
        <v>20753.21</v>
      </c>
      <c r="Z17" s="1111">
        <f>'[175]переменные на 5 лет'!V16</f>
        <v>17847.02</v>
      </c>
      <c r="AA17" s="1111"/>
      <c r="AB17" s="435">
        <f>'[175]переменные на 5 лет'!V25</f>
        <v>2906.19</v>
      </c>
      <c r="AC17" s="633">
        <f t="shared" si="6"/>
        <v>1.2612684379842589</v>
      </c>
      <c r="AD17" s="1083">
        <f t="shared" si="7"/>
        <v>1.4947015272498412</v>
      </c>
      <c r="AE17" s="1083">
        <f t="shared" si="8"/>
        <v>1.0188651460731553</v>
      </c>
      <c r="AF17" s="1083">
        <f t="shared" si="9"/>
        <v>1.0647168085634924</v>
      </c>
      <c r="AG17" s="176">
        <f t="shared" si="10"/>
        <v>1.0490262048954619</v>
      </c>
      <c r="AH17" s="695">
        <f t="shared" si="11"/>
        <v>1.0490288253806499</v>
      </c>
      <c r="AI17" s="1081"/>
    </row>
    <row r="18" spans="1:37" s="36" customFormat="1" ht="18.75">
      <c r="A18" s="39"/>
      <c r="B18" s="1131" t="s">
        <v>36</v>
      </c>
      <c r="C18" s="654" t="s">
        <v>0</v>
      </c>
      <c r="D18" s="445">
        <f t="shared" si="0"/>
        <v>0</v>
      </c>
      <c r="E18" s="1111"/>
      <c r="F18" s="1111"/>
      <c r="G18" s="435"/>
      <c r="H18" s="477"/>
      <c r="I18" s="445">
        <f t="shared" si="1"/>
        <v>0</v>
      </c>
      <c r="J18" s="1111"/>
      <c r="K18" s="1111"/>
      <c r="L18" s="435"/>
      <c r="M18" s="445">
        <f t="shared" si="2"/>
        <v>0</v>
      </c>
      <c r="N18" s="1111"/>
      <c r="O18" s="1111"/>
      <c r="P18" s="435"/>
      <c r="Q18" s="445">
        <f t="shared" si="3"/>
        <v>0</v>
      </c>
      <c r="R18" s="1111"/>
      <c r="S18" s="1111"/>
      <c r="T18" s="435"/>
      <c r="U18" s="445">
        <f t="shared" si="4"/>
        <v>0</v>
      </c>
      <c r="V18" s="1111"/>
      <c r="W18" s="1111"/>
      <c r="X18" s="435"/>
      <c r="Y18" s="445">
        <f t="shared" si="5"/>
        <v>0</v>
      </c>
      <c r="Z18" s="1111"/>
      <c r="AA18" s="1111"/>
      <c r="AB18" s="435"/>
      <c r="AC18" s="633" t="str">
        <f t="shared" si="6"/>
        <v xml:space="preserve"> </v>
      </c>
      <c r="AD18" s="1083" t="str">
        <f t="shared" si="7"/>
        <v xml:space="preserve"> </v>
      </c>
      <c r="AE18" s="1083" t="str">
        <f t="shared" si="8"/>
        <v xml:space="preserve"> </v>
      </c>
      <c r="AF18" s="1083" t="str">
        <f t="shared" si="9"/>
        <v xml:space="preserve"> </v>
      </c>
      <c r="AG18" s="176" t="str">
        <f t="shared" si="10"/>
        <v xml:space="preserve"> </v>
      </c>
      <c r="AH18" s="695" t="str">
        <f t="shared" si="11"/>
        <v xml:space="preserve"> </v>
      </c>
      <c r="AI18" s="1081"/>
    </row>
    <row r="19" spans="1:37" s="36" customFormat="1" ht="19.5" thickBot="1">
      <c r="A19" s="706"/>
      <c r="B19" s="707" t="s">
        <v>37</v>
      </c>
      <c r="C19" s="708" t="s">
        <v>0</v>
      </c>
      <c r="D19" s="709">
        <f t="shared" si="0"/>
        <v>1362.8600000000001</v>
      </c>
      <c r="E19" s="600">
        <v>326.86000000000007</v>
      </c>
      <c r="F19" s="600">
        <v>1031.07</v>
      </c>
      <c r="G19" s="710">
        <v>4.93</v>
      </c>
      <c r="H19" s="711">
        <v>1670.5550000000001</v>
      </c>
      <c r="I19" s="709">
        <f t="shared" si="1"/>
        <v>2694.16</v>
      </c>
      <c r="J19" s="600">
        <f>'[175]переменные на 5 лет'!J44+'[175]переменные на 5 лет'!J53</f>
        <v>876.7199999999998</v>
      </c>
      <c r="K19" s="600">
        <f>'[175]переменные на 5 лет'!J45+'[175]переменные на 5 лет'!J46-'[175]переменные на 5 лет'!J53</f>
        <v>1811.5</v>
      </c>
      <c r="L19" s="710">
        <f>'[175]переменные на 5 лет'!J47</f>
        <v>5.9399999999999995</v>
      </c>
      <c r="M19" s="709">
        <f t="shared" si="2"/>
        <v>2732.8</v>
      </c>
      <c r="N19" s="600">
        <f>'[175]переменные на 5 лет'!M44+'[175]переменные на 5 лет'!M53</f>
        <v>800.2800000000002</v>
      </c>
      <c r="O19" s="600">
        <f>'[175]переменные на 5 лет'!M45+'[175]переменные на 5 лет'!M46-'[175]переменные на 5 лет'!M53</f>
        <v>1926.4899999999998</v>
      </c>
      <c r="P19" s="710">
        <f>'[175]переменные на 5 лет'!M47</f>
        <v>6.0299999999999994</v>
      </c>
      <c r="Q19" s="709">
        <f t="shared" si="3"/>
        <v>2830.12</v>
      </c>
      <c r="R19" s="600">
        <f>'[175]переменные на 5 лет'!P44+'[175]переменные на 5 лет'!P53</f>
        <v>796.10000000000025</v>
      </c>
      <c r="S19" s="600">
        <f>'[175]переменные на 5 лет'!P45+'[175]переменные на 5 лет'!P46-'[175]переменные на 5 лет'!P53</f>
        <v>2027.7899999999997</v>
      </c>
      <c r="T19" s="710">
        <f>'[175]переменные на 5 лет'!P47</f>
        <v>6.23</v>
      </c>
      <c r="U19" s="709">
        <f t="shared" si="4"/>
        <v>2924.8100000000004</v>
      </c>
      <c r="V19" s="600">
        <f>'[175]переменные на 5 лет'!S44+'[175]переменные на 5 лет'!S53</f>
        <v>811.03000000000009</v>
      </c>
      <c r="W19" s="600">
        <f>'[175]переменные на 5 лет'!S45+'[175]переменные на 5 лет'!S46-'[175]переменные на 5 лет'!S53</f>
        <v>2107.34</v>
      </c>
      <c r="X19" s="710">
        <f>'[175]переменные на 5 лет'!S47</f>
        <v>6.4399999999999995</v>
      </c>
      <c r="Y19" s="709">
        <f t="shared" si="5"/>
        <v>2995.43</v>
      </c>
      <c r="Z19" s="600">
        <f>'[175]переменные на 5 лет'!V44+'[175]переменные на 5 лет'!V53</f>
        <v>801.12999999999988</v>
      </c>
      <c r="AA19" s="600">
        <f>'[175]переменные на 5 лет'!V45+'[175]переменные на 5 лет'!V46-'[175]переменные на 5 лет'!V53</f>
        <v>2187.7000000000003</v>
      </c>
      <c r="AB19" s="710">
        <f>'[175]переменные на 5 лет'!V47</f>
        <v>6.6</v>
      </c>
      <c r="AC19" s="712">
        <f t="shared" si="6"/>
        <v>1.6127334927613874</v>
      </c>
      <c r="AD19" s="713">
        <f t="shared" si="7"/>
        <v>1.976842815843153</v>
      </c>
      <c r="AE19" s="713">
        <f t="shared" si="8"/>
        <v>1.0143421326127626</v>
      </c>
      <c r="AF19" s="713">
        <f t="shared" si="9"/>
        <v>1.0356118266978922</v>
      </c>
      <c r="AG19" s="714">
        <f t="shared" si="10"/>
        <v>1.0334579452461381</v>
      </c>
      <c r="AH19" s="715">
        <f t="shared" si="11"/>
        <v>1.0241451581470247</v>
      </c>
      <c r="AI19" s="1081"/>
    </row>
    <row r="20" spans="1:37" s="33" customFormat="1" ht="43.5" customHeight="1">
      <c r="A20" s="1233" t="s">
        <v>246</v>
      </c>
      <c r="B20" s="1234"/>
      <c r="C20" s="676" t="s">
        <v>0</v>
      </c>
      <c r="D20" s="716">
        <f t="shared" ref="D20:M20" si="12">SUM(D21,D25,D28,D38,D41,D50:D54)</f>
        <v>5477.0599999999995</v>
      </c>
      <c r="E20" s="717">
        <f t="shared" si="12"/>
        <v>1389.9299999999998</v>
      </c>
      <c r="F20" s="717">
        <f t="shared" si="12"/>
        <v>0</v>
      </c>
      <c r="G20" s="718">
        <f t="shared" si="12"/>
        <v>4087.13</v>
      </c>
      <c r="H20" s="719">
        <f t="shared" si="12"/>
        <v>8989.1849999999995</v>
      </c>
      <c r="I20" s="716">
        <f t="shared" si="12"/>
        <v>6191.32</v>
      </c>
      <c r="J20" s="717">
        <f t="shared" si="12"/>
        <v>915.59</v>
      </c>
      <c r="K20" s="717">
        <f t="shared" si="12"/>
        <v>0</v>
      </c>
      <c r="L20" s="718">
        <f t="shared" si="12"/>
        <v>5275.73</v>
      </c>
      <c r="M20" s="716">
        <f t="shared" si="12"/>
        <v>6315.9346891075711</v>
      </c>
      <c r="N20" s="717">
        <f>ROUND(J20*N7,2)</f>
        <v>937.25</v>
      </c>
      <c r="O20" s="717">
        <f>ROUND(K20*O7,2)</f>
        <v>0</v>
      </c>
      <c r="P20" s="718">
        <f>ROUND(L20*P7,2)</f>
        <v>5400.55</v>
      </c>
      <c r="Q20" s="716">
        <f>SUM(Q21,Q25,Q28,Q38,Q41,Q50:Q54)</f>
        <v>6502.8875365611248</v>
      </c>
      <c r="R20" s="717">
        <f>ROUND(N20*R7,2)</f>
        <v>964.99</v>
      </c>
      <c r="S20" s="717">
        <f>ROUND(O20*S7,2)</f>
        <v>0</v>
      </c>
      <c r="T20" s="718">
        <f>ROUND(P20*T7,2)</f>
        <v>5560.41</v>
      </c>
      <c r="U20" s="716">
        <f>SUM(U21,U25,U28,U38,U41,U50:U54)</f>
        <v>6695.3712540547622</v>
      </c>
      <c r="V20" s="717">
        <f>ROUND(R20*V7,2)</f>
        <v>993.55</v>
      </c>
      <c r="W20" s="717">
        <f>ROUND(S20*W7,2)</f>
        <v>0</v>
      </c>
      <c r="X20" s="718">
        <f>ROUND(T20*X7,2)</f>
        <v>5725</v>
      </c>
      <c r="Y20" s="716">
        <f>SUM(Y21,Y25,Y28,Y38,Y41,Y50:Y54)</f>
        <v>6893.5551417119023</v>
      </c>
      <c r="Z20" s="717">
        <f>ROUND(V20*Z7,2)</f>
        <v>1022.96</v>
      </c>
      <c r="AA20" s="717">
        <f>ROUND(W20*AA7,2)</f>
        <v>0</v>
      </c>
      <c r="AB20" s="718">
        <f>ROUND(X20*AB7,2)</f>
        <v>5894.46</v>
      </c>
      <c r="AC20" s="685">
        <f t="shared" si="6"/>
        <v>0.68875209487845668</v>
      </c>
      <c r="AD20" s="685">
        <f t="shared" si="7"/>
        <v>1.1304093802149329</v>
      </c>
      <c r="AE20" s="685">
        <f t="shared" si="8"/>
        <v>1.0201273216547637</v>
      </c>
      <c r="AF20" s="685">
        <f t="shared" si="9"/>
        <v>1.0296001869328972</v>
      </c>
      <c r="AG20" s="685">
        <f t="shared" si="10"/>
        <v>1.0295997303369369</v>
      </c>
      <c r="AH20" s="686">
        <f t="shared" si="11"/>
        <v>1.0296001342027328</v>
      </c>
      <c r="AI20" s="1105"/>
      <c r="AJ20" s="41"/>
      <c r="AK20" s="42"/>
    </row>
    <row r="21" spans="1:37" s="36" customFormat="1" ht="18.75">
      <c r="A21" s="43">
        <v>1</v>
      </c>
      <c r="B21" s="1136" t="s">
        <v>237</v>
      </c>
      <c r="C21" s="655" t="s">
        <v>0</v>
      </c>
      <c r="D21" s="436"/>
      <c r="E21" s="1109"/>
      <c r="F21" s="1109"/>
      <c r="G21" s="437"/>
      <c r="H21" s="478"/>
      <c r="I21" s="436"/>
      <c r="J21" s="1109"/>
      <c r="K21" s="1109"/>
      <c r="L21" s="437"/>
      <c r="M21" s="436"/>
      <c r="N21" s="1109"/>
      <c r="O21" s="1109"/>
      <c r="P21" s="437"/>
      <c r="Q21" s="436"/>
      <c r="R21" s="1109"/>
      <c r="S21" s="1109"/>
      <c r="T21" s="437"/>
      <c r="U21" s="436"/>
      <c r="V21" s="1109"/>
      <c r="W21" s="1109"/>
      <c r="X21" s="437"/>
      <c r="Y21" s="436"/>
      <c r="Z21" s="1109"/>
      <c r="AA21" s="1109"/>
      <c r="AB21" s="437"/>
      <c r="AC21" s="633" t="str">
        <f t="shared" si="6"/>
        <v xml:space="preserve"> </v>
      </c>
      <c r="AD21" s="1083" t="str">
        <f t="shared" si="7"/>
        <v xml:space="preserve"> </v>
      </c>
      <c r="AE21" s="1083" t="str">
        <f t="shared" si="8"/>
        <v xml:space="preserve"> </v>
      </c>
      <c r="AF21" s="1083" t="str">
        <f t="shared" si="9"/>
        <v xml:space="preserve"> </v>
      </c>
      <c r="AG21" s="1083" t="str">
        <f t="shared" si="10"/>
        <v xml:space="preserve"> </v>
      </c>
      <c r="AH21" s="176" t="str">
        <f t="shared" si="11"/>
        <v xml:space="preserve"> </v>
      </c>
      <c r="AI21" s="1081"/>
      <c r="AJ21" s="45"/>
      <c r="AK21" s="46"/>
    </row>
    <row r="22" spans="1:37" s="31" customFormat="1" ht="18.75">
      <c r="A22" s="56"/>
      <c r="B22" s="1141" t="s">
        <v>226</v>
      </c>
      <c r="C22" s="656" t="s">
        <v>0</v>
      </c>
      <c r="D22" s="438">
        <f>E22+F22+G22</f>
        <v>0</v>
      </c>
      <c r="E22" s="1108"/>
      <c r="F22" s="1108"/>
      <c r="G22" s="439"/>
      <c r="H22" s="479"/>
      <c r="I22" s="438">
        <f>J22+K22+L22</f>
        <v>0</v>
      </c>
      <c r="J22" s="1108"/>
      <c r="K22" s="1108"/>
      <c r="L22" s="439"/>
      <c r="M22" s="438">
        <f>N22+O22+P22</f>
        <v>0</v>
      </c>
      <c r="N22" s="1108"/>
      <c r="O22" s="1108"/>
      <c r="P22" s="439"/>
      <c r="Q22" s="438">
        <f>R22+S22+T22</f>
        <v>0</v>
      </c>
      <c r="R22" s="1108"/>
      <c r="S22" s="1108"/>
      <c r="T22" s="439"/>
      <c r="U22" s="438">
        <f>V22+W22+X22</f>
        <v>0</v>
      </c>
      <c r="V22" s="1108"/>
      <c r="W22" s="1108"/>
      <c r="X22" s="439"/>
      <c r="Y22" s="438">
        <f>Z22+AA22+AB22</f>
        <v>0</v>
      </c>
      <c r="Z22" s="1108"/>
      <c r="AA22" s="1108"/>
      <c r="AB22" s="439"/>
      <c r="AC22" s="633" t="str">
        <f t="shared" si="6"/>
        <v xml:space="preserve"> </v>
      </c>
      <c r="AD22" s="1083" t="str">
        <f t="shared" si="7"/>
        <v xml:space="preserve"> </v>
      </c>
      <c r="AE22" s="1083" t="str">
        <f t="shared" si="8"/>
        <v xml:space="preserve"> </v>
      </c>
      <c r="AF22" s="1083" t="str">
        <f t="shared" si="9"/>
        <v xml:space="preserve"> </v>
      </c>
      <c r="AG22" s="1083" t="str">
        <f t="shared" si="10"/>
        <v xml:space="preserve"> </v>
      </c>
      <c r="AH22" s="176" t="str">
        <f t="shared" si="11"/>
        <v xml:space="preserve"> </v>
      </c>
      <c r="AI22" s="1081"/>
      <c r="AJ22" s="173"/>
      <c r="AK22" s="58"/>
    </row>
    <row r="23" spans="1:37" s="31" customFormat="1" ht="18.75">
      <c r="A23" s="56"/>
      <c r="B23" s="1141" t="s">
        <v>227</v>
      </c>
      <c r="C23" s="656" t="s">
        <v>0</v>
      </c>
      <c r="D23" s="438">
        <f>E23+F23+G23</f>
        <v>0</v>
      </c>
      <c r="E23" s="1108"/>
      <c r="F23" s="1108"/>
      <c r="G23" s="439"/>
      <c r="H23" s="479"/>
      <c r="I23" s="438">
        <f>J23+K23+L23</f>
        <v>0</v>
      </c>
      <c r="J23" s="1108"/>
      <c r="K23" s="1108"/>
      <c r="L23" s="439"/>
      <c r="M23" s="438">
        <f>N23+O23+P23</f>
        <v>0</v>
      </c>
      <c r="N23" s="1108"/>
      <c r="O23" s="1108"/>
      <c r="P23" s="439"/>
      <c r="Q23" s="438">
        <f>R23+S23+T23</f>
        <v>0</v>
      </c>
      <c r="R23" s="1108"/>
      <c r="S23" s="1108"/>
      <c r="T23" s="439"/>
      <c r="U23" s="438">
        <f>V23+W23+X23</f>
        <v>0</v>
      </c>
      <c r="V23" s="1108"/>
      <c r="W23" s="1108"/>
      <c r="X23" s="439"/>
      <c r="Y23" s="438">
        <f>Z23+AA23+AB23</f>
        <v>0</v>
      </c>
      <c r="Z23" s="1108"/>
      <c r="AA23" s="1108"/>
      <c r="AB23" s="439"/>
      <c r="AC23" s="633" t="str">
        <f t="shared" si="6"/>
        <v xml:space="preserve"> </v>
      </c>
      <c r="AD23" s="1083" t="str">
        <f t="shared" si="7"/>
        <v xml:space="preserve"> </v>
      </c>
      <c r="AE23" s="1083" t="str">
        <f t="shared" si="8"/>
        <v xml:space="preserve"> </v>
      </c>
      <c r="AF23" s="1083" t="str">
        <f t="shared" si="9"/>
        <v xml:space="preserve"> </v>
      </c>
      <c r="AG23" s="1083" t="str">
        <f t="shared" si="10"/>
        <v xml:space="preserve"> </v>
      </c>
      <c r="AH23" s="176" t="str">
        <f t="shared" si="11"/>
        <v xml:space="preserve"> </v>
      </c>
      <c r="AI23" s="1081"/>
      <c r="AJ23" s="173"/>
      <c r="AK23" s="58"/>
    </row>
    <row r="24" spans="1:37" s="31" customFormat="1" ht="18.75">
      <c r="A24" s="56"/>
      <c r="B24" s="1141" t="s">
        <v>228</v>
      </c>
      <c r="C24" s="656" t="s">
        <v>0</v>
      </c>
      <c r="D24" s="438">
        <f>E24+F24+G24</f>
        <v>0</v>
      </c>
      <c r="E24" s="1108"/>
      <c r="F24" s="1108"/>
      <c r="G24" s="439"/>
      <c r="H24" s="479"/>
      <c r="I24" s="438">
        <f>J24+K24+L24</f>
        <v>0</v>
      </c>
      <c r="J24" s="1108"/>
      <c r="K24" s="1108"/>
      <c r="L24" s="439"/>
      <c r="M24" s="438">
        <f>N24+O24+P24</f>
        <v>0</v>
      </c>
      <c r="N24" s="1108"/>
      <c r="O24" s="1108"/>
      <c r="P24" s="439"/>
      <c r="Q24" s="438">
        <f>R24+S24+T24</f>
        <v>0</v>
      </c>
      <c r="R24" s="1108"/>
      <c r="S24" s="1108"/>
      <c r="T24" s="439"/>
      <c r="U24" s="438">
        <f>V24+W24+X24</f>
        <v>0</v>
      </c>
      <c r="V24" s="1108"/>
      <c r="W24" s="1108"/>
      <c r="X24" s="439"/>
      <c r="Y24" s="438">
        <f>Z24+AA24+AB24</f>
        <v>0</v>
      </c>
      <c r="Z24" s="1108"/>
      <c r="AA24" s="1108"/>
      <c r="AB24" s="439"/>
      <c r="AC24" s="633" t="str">
        <f t="shared" si="6"/>
        <v xml:space="preserve"> </v>
      </c>
      <c r="AD24" s="1083" t="str">
        <f t="shared" si="7"/>
        <v xml:space="preserve"> </v>
      </c>
      <c r="AE24" s="1083" t="str">
        <f t="shared" si="8"/>
        <v xml:space="preserve"> </v>
      </c>
      <c r="AF24" s="1083" t="str">
        <f t="shared" si="9"/>
        <v xml:space="preserve"> </v>
      </c>
      <c r="AG24" s="1083" t="str">
        <f t="shared" si="10"/>
        <v xml:space="preserve"> </v>
      </c>
      <c r="AH24" s="176" t="str">
        <f t="shared" si="11"/>
        <v xml:space="preserve"> </v>
      </c>
      <c r="AI24" s="1081"/>
      <c r="AJ24" s="173"/>
      <c r="AK24" s="58"/>
    </row>
    <row r="25" spans="1:37" s="36" customFormat="1" ht="18.75">
      <c r="A25" s="43">
        <v>2</v>
      </c>
      <c r="B25" s="1136" t="s">
        <v>238</v>
      </c>
      <c r="C25" s="655" t="s">
        <v>0</v>
      </c>
      <c r="D25" s="436">
        <f t="shared" ref="D25:AB25" si="13">D26+D27</f>
        <v>2337.14</v>
      </c>
      <c r="E25" s="1109">
        <f t="shared" si="13"/>
        <v>573.79</v>
      </c>
      <c r="F25" s="1109">
        <f t="shared" si="13"/>
        <v>0</v>
      </c>
      <c r="G25" s="437">
        <f t="shared" si="13"/>
        <v>1763.35</v>
      </c>
      <c r="H25" s="478">
        <f t="shared" si="13"/>
        <v>2720.45</v>
      </c>
      <c r="I25" s="436">
        <f t="shared" si="13"/>
        <v>2720.45</v>
      </c>
      <c r="J25" s="1109">
        <f t="shared" si="13"/>
        <v>424.12</v>
      </c>
      <c r="K25" s="1109">
        <f t="shared" si="13"/>
        <v>0</v>
      </c>
      <c r="L25" s="437">
        <f t="shared" si="13"/>
        <v>2296.33</v>
      </c>
      <c r="M25" s="436">
        <f t="shared" si="13"/>
        <v>2784.8128807425473</v>
      </c>
      <c r="N25" s="1109">
        <f t="shared" si="13"/>
        <v>434.15335466748218</v>
      </c>
      <c r="O25" s="1109">
        <f t="shared" si="13"/>
        <v>0</v>
      </c>
      <c r="P25" s="437">
        <f t="shared" si="13"/>
        <v>2350.6595260750651</v>
      </c>
      <c r="Q25" s="436">
        <f t="shared" si="13"/>
        <v>2867.2437568177029</v>
      </c>
      <c r="R25" s="1109">
        <f t="shared" si="13"/>
        <v>447.00308959250322</v>
      </c>
      <c r="S25" s="1109">
        <f t="shared" si="13"/>
        <v>0</v>
      </c>
      <c r="T25" s="437">
        <f t="shared" si="13"/>
        <v>2420.2406672251996</v>
      </c>
      <c r="U25" s="436">
        <f t="shared" si="13"/>
        <v>2952.113267581216</v>
      </c>
      <c r="V25" s="1109">
        <f t="shared" si="13"/>
        <v>460.23266527594222</v>
      </c>
      <c r="W25" s="1109">
        <f t="shared" si="13"/>
        <v>0</v>
      </c>
      <c r="X25" s="437">
        <f t="shared" si="13"/>
        <v>2491.8806023052739</v>
      </c>
      <c r="Y25" s="436">
        <f t="shared" si="13"/>
        <v>3039.4962464644218</v>
      </c>
      <c r="Z25" s="1109">
        <f t="shared" si="13"/>
        <v>473.85597833091231</v>
      </c>
      <c r="AA25" s="1109">
        <f t="shared" si="13"/>
        <v>0</v>
      </c>
      <c r="AB25" s="437">
        <f t="shared" si="13"/>
        <v>2565.6402681335098</v>
      </c>
      <c r="AC25" s="633">
        <f t="shared" si="6"/>
        <v>1</v>
      </c>
      <c r="AD25" s="1083">
        <f t="shared" si="7"/>
        <v>1.1640081467092258</v>
      </c>
      <c r="AE25" s="1083">
        <f t="shared" si="8"/>
        <v>1.0236589096445616</v>
      </c>
      <c r="AF25" s="1083">
        <f t="shared" si="9"/>
        <v>1.0296001489526205</v>
      </c>
      <c r="AG25" s="1083">
        <f t="shared" si="10"/>
        <v>1.0295996845617716</v>
      </c>
      <c r="AH25" s="176">
        <f t="shared" si="11"/>
        <v>1.0296001443585538</v>
      </c>
      <c r="AI25" s="1081" t="s">
        <v>512</v>
      </c>
      <c r="AJ25" s="47"/>
      <c r="AK25" s="46"/>
    </row>
    <row r="26" spans="1:37" s="31" customFormat="1" ht="18.75">
      <c r="A26" s="56"/>
      <c r="B26" s="1141" t="s">
        <v>225</v>
      </c>
      <c r="C26" s="656" t="s">
        <v>0</v>
      </c>
      <c r="D26" s="438">
        <f>E26+F26+G26</f>
        <v>0</v>
      </c>
      <c r="E26" s="1108"/>
      <c r="F26" s="1108"/>
      <c r="G26" s="439"/>
      <c r="H26" s="479">
        <v>1903.71</v>
      </c>
      <c r="I26" s="438">
        <f>J26+K26+L26</f>
        <v>1903.71</v>
      </c>
      <c r="J26" s="1108">
        <f>ROUND($J$137*1903.71,2)</f>
        <v>296.79000000000002</v>
      </c>
      <c r="K26" s="1108"/>
      <c r="L26" s="439">
        <f>1903.71-J26</f>
        <v>1606.92</v>
      </c>
      <c r="M26" s="438">
        <f>N26+O26+P26</f>
        <v>1948.7497028786777</v>
      </c>
      <c r="N26" s="1129">
        <f>IF($N$20&gt;0,J26/$J$20*$N$20,0)</f>
        <v>303.81112452080083</v>
      </c>
      <c r="O26" s="1108"/>
      <c r="P26" s="642">
        <f>IF($P$20&gt;0,L26/$L$20*$P$20,0)</f>
        <v>1644.9385783578768</v>
      </c>
      <c r="Q26" s="438">
        <f>R26+S26+T26</f>
        <v>2006.4329843541275</v>
      </c>
      <c r="R26" s="1129">
        <f>IF($R$20&gt;0,N26/$N$20*$R$20,0)</f>
        <v>312.8030910123527</v>
      </c>
      <c r="S26" s="1108"/>
      <c r="T26" s="642">
        <f>IF($T$20&gt;0,P26/$P$20*$T$20,0)</f>
        <v>1693.6298933417747</v>
      </c>
      <c r="U26" s="438">
        <f>V26+W26+X26</f>
        <v>2065.8227677839368</v>
      </c>
      <c r="V26" s="1129">
        <f>IF($V$20&gt;0,R26/$R$20*$V$20,0)</f>
        <v>322.06086184864398</v>
      </c>
      <c r="W26" s="1108"/>
      <c r="X26" s="642">
        <f>IF($X$20&gt;0,T26/$T$20*$X$20,0)</f>
        <v>1743.7619059352926</v>
      </c>
      <c r="Y26" s="438">
        <f>Z26+AA26+AB26</f>
        <v>2126.9714199298496</v>
      </c>
      <c r="Z26" s="1129">
        <f>IF($Z$20&gt;0,V26/$V$20*$Z$20,0)</f>
        <v>331.59416157887262</v>
      </c>
      <c r="AA26" s="1108"/>
      <c r="AB26" s="642">
        <f>IF($AB$20&gt;0,X26/$X$20*$AB$20,0)</f>
        <v>1795.3772583509772</v>
      </c>
      <c r="AC26" s="633">
        <f t="shared" si="6"/>
        <v>1</v>
      </c>
      <c r="AD26" s="1083" t="str">
        <f t="shared" si="7"/>
        <v xml:space="preserve"> </v>
      </c>
      <c r="AE26" s="1083">
        <f t="shared" si="8"/>
        <v>1.0236589096441568</v>
      </c>
      <c r="AF26" s="1083">
        <f t="shared" si="9"/>
        <v>1.0296001489520386</v>
      </c>
      <c r="AG26" s="1083">
        <f t="shared" si="10"/>
        <v>1.0295996845610704</v>
      </c>
      <c r="AH26" s="176">
        <f t="shared" si="11"/>
        <v>1.0296001443587093</v>
      </c>
      <c r="AI26" s="1081"/>
      <c r="AJ26" s="61"/>
      <c r="AK26" s="58"/>
    </row>
    <row r="27" spans="1:37" s="31" customFormat="1" ht="18.75">
      <c r="A27" s="56"/>
      <c r="B27" s="1141" t="s">
        <v>177</v>
      </c>
      <c r="C27" s="656" t="s">
        <v>0</v>
      </c>
      <c r="D27" s="438">
        <f>E27+F27+G27</f>
        <v>2337.14</v>
      </c>
      <c r="E27" s="1108">
        <v>573.79</v>
      </c>
      <c r="F27" s="1108"/>
      <c r="G27" s="439">
        <v>1763.35</v>
      </c>
      <c r="H27" s="479">
        <v>816.74</v>
      </c>
      <c r="I27" s="438">
        <f>J27+K27+L27</f>
        <v>816.74</v>
      </c>
      <c r="J27" s="1108">
        <f>ROUND(J137*816.74,2)</f>
        <v>127.33</v>
      </c>
      <c r="K27" s="1108"/>
      <c r="L27" s="439">
        <f>816.74-J27</f>
        <v>689.41</v>
      </c>
      <c r="M27" s="438">
        <f>N27+O27+P27</f>
        <v>836.06317786386944</v>
      </c>
      <c r="N27" s="1129">
        <f>IF($N$20&gt;0,J27/$J$20*$N$20,0)</f>
        <v>130.34223014668137</v>
      </c>
      <c r="O27" s="1108"/>
      <c r="P27" s="642">
        <f>IF($P$20&gt;0,L27/$L$20*$P$20,0)</f>
        <v>705.7209477171881</v>
      </c>
      <c r="Q27" s="438">
        <f>R27+S27+T27</f>
        <v>860.81077246357518</v>
      </c>
      <c r="R27" s="1129">
        <f>IF($R$20&gt;0,N27/$N$20*$R$20,0)</f>
        <v>134.19999858015052</v>
      </c>
      <c r="S27" s="1108"/>
      <c r="T27" s="642">
        <f>IF($T$20&gt;0,P27/$P$20*$T$20,0)</f>
        <v>726.61077388342471</v>
      </c>
      <c r="U27" s="438">
        <f>V27+W27+X27</f>
        <v>886.29049979727938</v>
      </c>
      <c r="V27" s="1129">
        <f>IF($V$20&gt;0,R27/$R$20*$V$20,0)</f>
        <v>138.17180342729824</v>
      </c>
      <c r="W27" s="1108"/>
      <c r="X27" s="642">
        <f>IF($X$20&gt;0,T27/$T$20*$X$20,0)</f>
        <v>748.11869636998108</v>
      </c>
      <c r="Y27" s="438">
        <f>Z27+AA27+AB27</f>
        <v>912.52482653457218</v>
      </c>
      <c r="Z27" s="1129">
        <f>IF($Z$20&gt;0,V27/$V$20*$Z$20,0)</f>
        <v>142.26181675203969</v>
      </c>
      <c r="AA27" s="1108"/>
      <c r="AB27" s="642">
        <f>IF($AB$20&gt;0,X27/$X$20*$AB$20,0)</f>
        <v>770.26300978253255</v>
      </c>
      <c r="AC27" s="633">
        <f t="shared" si="6"/>
        <v>1</v>
      </c>
      <c r="AD27" s="1083">
        <f t="shared" si="7"/>
        <v>0.34946130740991127</v>
      </c>
      <c r="AE27" s="1083">
        <f t="shared" si="8"/>
        <v>1.0236589096455047</v>
      </c>
      <c r="AF27" s="1083">
        <f t="shared" si="9"/>
        <v>1.0296001489539768</v>
      </c>
      <c r="AG27" s="1083">
        <f t="shared" si="10"/>
        <v>1.0295996845634066</v>
      </c>
      <c r="AH27" s="176">
        <f t="shared" si="11"/>
        <v>1.029600144358191</v>
      </c>
      <c r="AI27" s="1081"/>
      <c r="AJ27" s="61"/>
      <c r="AK27" s="58"/>
    </row>
    <row r="28" spans="1:37" s="36" customFormat="1" ht="18.75">
      <c r="A28" s="43">
        <v>3</v>
      </c>
      <c r="B28" s="1136" t="s">
        <v>239</v>
      </c>
      <c r="C28" s="655" t="s">
        <v>0</v>
      </c>
      <c r="D28" s="436">
        <f t="shared" ref="D28:AB28" si="14">D30+D31+D32</f>
        <v>2382.9299999999998</v>
      </c>
      <c r="E28" s="1109">
        <f t="shared" si="14"/>
        <v>585.03</v>
      </c>
      <c r="F28" s="1109">
        <f t="shared" si="14"/>
        <v>0</v>
      </c>
      <c r="G28" s="437">
        <f t="shared" si="14"/>
        <v>1797.9</v>
      </c>
      <c r="H28" s="478">
        <f t="shared" si="14"/>
        <v>2599.65</v>
      </c>
      <c r="I28" s="436">
        <f t="shared" si="14"/>
        <v>2492.54</v>
      </c>
      <c r="J28" s="1109">
        <f t="shared" si="14"/>
        <v>388.59000000000003</v>
      </c>
      <c r="K28" s="1109">
        <f t="shared" si="14"/>
        <v>0</v>
      </c>
      <c r="L28" s="437">
        <f t="shared" si="14"/>
        <v>2103.9499999999998</v>
      </c>
      <c r="M28" s="436">
        <f t="shared" si="14"/>
        <v>2551.5107786422677</v>
      </c>
      <c r="N28" s="1109">
        <f t="shared" si="14"/>
        <v>397.7828258281545</v>
      </c>
      <c r="O28" s="1109">
        <f t="shared" si="14"/>
        <v>0</v>
      </c>
      <c r="P28" s="437">
        <f t="shared" si="14"/>
        <v>2153.727952814113</v>
      </c>
      <c r="Q28" s="436">
        <f t="shared" si="14"/>
        <v>2627.0358777396036</v>
      </c>
      <c r="R28" s="1109">
        <f t="shared" si="14"/>
        <v>409.55609399403664</v>
      </c>
      <c r="S28" s="1109">
        <f t="shared" si="14"/>
        <v>0</v>
      </c>
      <c r="T28" s="437">
        <f t="shared" si="14"/>
        <v>2217.4797837455671</v>
      </c>
      <c r="U28" s="436">
        <f t="shared" si="14"/>
        <v>2704.7953110473309</v>
      </c>
      <c r="V28" s="1109">
        <f t="shared" si="14"/>
        <v>421.67738234362542</v>
      </c>
      <c r="W28" s="1109">
        <f t="shared" si="14"/>
        <v>0</v>
      </c>
      <c r="X28" s="437">
        <f t="shared" si="14"/>
        <v>2283.1179287037053</v>
      </c>
      <c r="Y28" s="436">
        <f t="shared" si="14"/>
        <v>2784.857642716001</v>
      </c>
      <c r="Z28" s="1109">
        <f t="shared" si="14"/>
        <v>434.15942332266627</v>
      </c>
      <c r="AA28" s="1109">
        <f t="shared" si="14"/>
        <v>0</v>
      </c>
      <c r="AB28" s="437">
        <f t="shared" si="14"/>
        <v>2350.698219393335</v>
      </c>
      <c r="AC28" s="633">
        <f t="shared" si="6"/>
        <v>0.95879829977112296</v>
      </c>
      <c r="AD28" s="1083">
        <f t="shared" si="7"/>
        <v>1.0459979940661288</v>
      </c>
      <c r="AE28" s="1083">
        <f t="shared" si="8"/>
        <v>1.0236589096432827</v>
      </c>
      <c r="AF28" s="1083">
        <f t="shared" si="9"/>
        <v>1.0296001489507816</v>
      </c>
      <c r="AG28" s="1083">
        <f t="shared" si="10"/>
        <v>1.0295996845595554</v>
      </c>
      <c r="AH28" s="176">
        <f t="shared" si="11"/>
        <v>1.0296001443590455</v>
      </c>
      <c r="AI28" s="1081"/>
      <c r="AJ28" s="47"/>
      <c r="AK28" s="46"/>
    </row>
    <row r="29" spans="1:37" s="52" customFormat="1" ht="18.75" outlineLevel="1">
      <c r="A29" s="48"/>
      <c r="B29" s="1139" t="s">
        <v>19</v>
      </c>
      <c r="C29" s="657"/>
      <c r="D29" s="440"/>
      <c r="E29" s="1138"/>
      <c r="F29" s="1138"/>
      <c r="G29" s="441"/>
      <c r="H29" s="480"/>
      <c r="I29" s="440"/>
      <c r="J29" s="1138"/>
      <c r="K29" s="1138"/>
      <c r="L29" s="441"/>
      <c r="M29" s="440"/>
      <c r="N29" s="1138"/>
      <c r="O29" s="1138"/>
      <c r="P29" s="441"/>
      <c r="Q29" s="440"/>
      <c r="R29" s="1138"/>
      <c r="S29" s="1138"/>
      <c r="T29" s="441"/>
      <c r="U29" s="440"/>
      <c r="V29" s="1138"/>
      <c r="W29" s="1138"/>
      <c r="X29" s="441"/>
      <c r="Y29" s="440"/>
      <c r="Z29" s="1138"/>
      <c r="AA29" s="1138"/>
      <c r="AB29" s="441"/>
      <c r="AC29" s="633" t="str">
        <f t="shared" si="6"/>
        <v xml:space="preserve"> </v>
      </c>
      <c r="AD29" s="1083" t="str">
        <f t="shared" si="7"/>
        <v xml:space="preserve"> </v>
      </c>
      <c r="AE29" s="1083" t="str">
        <f t="shared" si="8"/>
        <v xml:space="preserve"> </v>
      </c>
      <c r="AF29" s="1083" t="str">
        <f t="shared" si="9"/>
        <v xml:space="preserve"> </v>
      </c>
      <c r="AG29" s="1083" t="str">
        <f t="shared" si="10"/>
        <v xml:space="preserve"> </v>
      </c>
      <c r="AH29" s="176" t="str">
        <f t="shared" si="11"/>
        <v xml:space="preserve"> </v>
      </c>
      <c r="AI29" s="1081"/>
      <c r="AJ29" s="50"/>
      <c r="AK29" s="51"/>
    </row>
    <row r="30" spans="1:37" s="52" customFormat="1" ht="18.75" outlineLevel="1">
      <c r="A30" s="48"/>
      <c r="B30" s="1119" t="s">
        <v>94</v>
      </c>
      <c r="C30" s="657" t="s">
        <v>0</v>
      </c>
      <c r="D30" s="438">
        <f>E30+F30+G30</f>
        <v>1793.52</v>
      </c>
      <c r="E30" s="1118">
        <v>440.33</v>
      </c>
      <c r="F30" s="1118"/>
      <c r="G30" s="442">
        <v>1353.19</v>
      </c>
      <c r="H30" s="481">
        <v>1692</v>
      </c>
      <c r="I30" s="438">
        <f>J30+K30+L30</f>
        <v>1876.02</v>
      </c>
      <c r="J30" s="1118">
        <f>ROUND(D30*[175]индексы!$H$8*J137,2)</f>
        <v>292.47000000000003</v>
      </c>
      <c r="K30" s="1118"/>
      <c r="L30" s="442">
        <f>ROUND(D30*[175]индексы!$H$8-J30,2)</f>
        <v>1583.55</v>
      </c>
      <c r="M30" s="601">
        <f>N30+O30+P30</f>
        <v>1920.4045876781092</v>
      </c>
      <c r="N30" s="1140">
        <f>IF($N$20&gt;0,J30/$J$20*$N$20,0)</f>
        <v>299.38892681221944</v>
      </c>
      <c r="O30" s="1118"/>
      <c r="P30" s="642">
        <f>IF($P$20&gt;0,L30/$L$20*$P$20,0)</f>
        <v>1621.0156608658897</v>
      </c>
      <c r="Q30" s="601">
        <f>R30+S30+T30</f>
        <v>1977.2488495325681</v>
      </c>
      <c r="R30" s="1129">
        <f>IF($R$20&gt;0,N30/$N$20*$R$20,0)</f>
        <v>308.25000851909698</v>
      </c>
      <c r="S30" s="1108"/>
      <c r="T30" s="642">
        <f>IF($T$20&gt;0,P30/$P$20*$T$20,0)</f>
        <v>1668.9988410134711</v>
      </c>
      <c r="U30" s="601">
        <f>V30+W30+X30</f>
        <v>2035.774791791132</v>
      </c>
      <c r="V30" s="1129">
        <f>IF($V$20&gt;0,R30/$R$20*$V$20,0)</f>
        <v>317.37302559005667</v>
      </c>
      <c r="W30" s="1108"/>
      <c r="X30" s="642">
        <f>IF($X$20&gt;0,T30/$T$20*$X$20,0)</f>
        <v>1718.4017662010754</v>
      </c>
      <c r="Y30" s="601">
        <f>Z30+AA30+AB30</f>
        <v>2096.0340195068507</v>
      </c>
      <c r="Z30" s="1129">
        <f>IF($Z$20&gt;0,V30/$V$20*$Z$20,0)</f>
        <v>326.76756102622352</v>
      </c>
      <c r="AA30" s="1108"/>
      <c r="AB30" s="642">
        <f>IF($AB$20&gt;0,X30/$X$20*$AB$20,0)</f>
        <v>1769.2664584806273</v>
      </c>
      <c r="AC30" s="633">
        <f t="shared" si="6"/>
        <v>1.108758865248227</v>
      </c>
      <c r="AD30" s="1083">
        <f t="shared" si="7"/>
        <v>1.0459989294794594</v>
      </c>
      <c r="AE30" s="1083">
        <f t="shared" si="8"/>
        <v>1.023658909648143</v>
      </c>
      <c r="AF30" s="1083">
        <f t="shared" si="9"/>
        <v>1.0296001489577711</v>
      </c>
      <c r="AG30" s="1083">
        <f t="shared" si="10"/>
        <v>1.0295996845679793</v>
      </c>
      <c r="AH30" s="176">
        <f t="shared" si="11"/>
        <v>1.0296001443571767</v>
      </c>
      <c r="AI30" s="1117"/>
      <c r="AJ30" s="50"/>
      <c r="AK30" s="54"/>
    </row>
    <row r="31" spans="1:37" s="52" customFormat="1" ht="18.75" outlineLevel="1">
      <c r="A31" s="48"/>
      <c r="B31" s="1119" t="s">
        <v>95</v>
      </c>
      <c r="C31" s="657" t="s">
        <v>0</v>
      </c>
      <c r="D31" s="438">
        <f>E31+F31+G31</f>
        <v>0</v>
      </c>
      <c r="E31" s="1118"/>
      <c r="F31" s="1118"/>
      <c r="G31" s="442"/>
      <c r="H31" s="481"/>
      <c r="I31" s="438">
        <f>J31+K31+L31</f>
        <v>0</v>
      </c>
      <c r="J31" s="1118"/>
      <c r="K31" s="1118"/>
      <c r="L31" s="442"/>
      <c r="M31" s="601">
        <f>N31+O31+P31</f>
        <v>0</v>
      </c>
      <c r="N31" s="1118"/>
      <c r="O31" s="1118"/>
      <c r="P31" s="642"/>
      <c r="Q31" s="601">
        <f>R31+S31+T31</f>
        <v>0</v>
      </c>
      <c r="R31" s="1118"/>
      <c r="S31" s="1118"/>
      <c r="T31" s="642"/>
      <c r="U31" s="601">
        <f>V31+W31+X31</f>
        <v>0</v>
      </c>
      <c r="V31" s="1118"/>
      <c r="W31" s="1118"/>
      <c r="X31" s="642"/>
      <c r="Y31" s="601">
        <f>Z31+AA31+AB31</f>
        <v>0</v>
      </c>
      <c r="Z31" s="1118"/>
      <c r="AA31" s="1118"/>
      <c r="AB31" s="642"/>
      <c r="AC31" s="633" t="str">
        <f t="shared" si="6"/>
        <v xml:space="preserve"> </v>
      </c>
      <c r="AD31" s="1083" t="str">
        <f t="shared" si="7"/>
        <v xml:space="preserve"> </v>
      </c>
      <c r="AE31" s="1083" t="str">
        <f t="shared" si="8"/>
        <v xml:space="preserve"> </v>
      </c>
      <c r="AF31" s="1083" t="str">
        <f t="shared" si="9"/>
        <v xml:space="preserve"> </v>
      </c>
      <c r="AG31" s="1083" t="str">
        <f t="shared" si="10"/>
        <v xml:space="preserve"> </v>
      </c>
      <c r="AH31" s="176" t="str">
        <f t="shared" si="11"/>
        <v xml:space="preserve"> </v>
      </c>
      <c r="AI31" s="1117"/>
      <c r="AJ31" s="50"/>
      <c r="AK31" s="54"/>
    </row>
    <row r="32" spans="1:37" s="52" customFormat="1" ht="18.75" outlineLevel="1">
      <c r="A32" s="48"/>
      <c r="B32" s="1119" t="s">
        <v>247</v>
      </c>
      <c r="C32" s="657" t="s">
        <v>0</v>
      </c>
      <c r="D32" s="438">
        <f>E32+F32+G32</f>
        <v>589.41</v>
      </c>
      <c r="E32" s="1118">
        <v>144.69999999999999</v>
      </c>
      <c r="F32" s="1118"/>
      <c r="G32" s="442">
        <v>444.71</v>
      </c>
      <c r="H32" s="481">
        <v>907.65</v>
      </c>
      <c r="I32" s="438">
        <f>J32+K32+L32</f>
        <v>616.52</v>
      </c>
      <c r="J32" s="1118">
        <f>ROUND(D32*[175]индексы!$H$8*J137,2)</f>
        <v>96.12</v>
      </c>
      <c r="K32" s="1118"/>
      <c r="L32" s="442">
        <f>ROUND(D32*[175]индексы!$H$8-J32,2)</f>
        <v>520.4</v>
      </c>
      <c r="M32" s="601">
        <f>N32+O32+P32</f>
        <v>631.10619096415837</v>
      </c>
      <c r="N32" s="1140">
        <f>IF($N$20&gt;0,J32/$J$20*$N$20,0)</f>
        <v>98.393899015935091</v>
      </c>
      <c r="O32" s="1118"/>
      <c r="P32" s="642">
        <f>IF($P$20&gt;0,L32/$L$20*$P$20,0)</f>
        <v>532.71229194822331</v>
      </c>
      <c r="Q32" s="601">
        <f>R32+S32+T32</f>
        <v>649.78702820703552</v>
      </c>
      <c r="R32" s="1129">
        <f>IF($R$20&gt;0,N32/$N$20*$R$20,0)</f>
        <v>101.30608547493966</v>
      </c>
      <c r="S32" s="1108"/>
      <c r="T32" s="642">
        <f>IF($T$20&gt;0,P32/$P$20*$T$20,0)</f>
        <v>548.48094273209585</v>
      </c>
      <c r="U32" s="601">
        <f>V32+W32+X32</f>
        <v>669.02051925619867</v>
      </c>
      <c r="V32" s="1129">
        <f>IF($V$20&gt;0,R32/$R$20*$V$20,0)</f>
        <v>104.30435675356874</v>
      </c>
      <c r="W32" s="1108"/>
      <c r="X32" s="642">
        <f>IF($X$20&gt;0,T32/$T$20*$X$20,0)</f>
        <v>564.71616250262991</v>
      </c>
      <c r="Y32" s="601">
        <f>Z32+AA32+AB32</f>
        <v>688.82362320915047</v>
      </c>
      <c r="Z32" s="1129">
        <f>IF($Z$20&gt;0,V32/$V$20*$Z$20,0)</f>
        <v>107.39186229644274</v>
      </c>
      <c r="AA32" s="1108"/>
      <c r="AB32" s="642">
        <f>IF($AB$20&gt;0,X32/$X$20*$AB$20,0)</f>
        <v>581.43176091270777</v>
      </c>
      <c r="AC32" s="633">
        <f t="shared" si="6"/>
        <v>0.6792486090453369</v>
      </c>
      <c r="AD32" s="1083">
        <f t="shared" si="7"/>
        <v>1.0459951476900631</v>
      </c>
      <c r="AE32" s="1083">
        <f t="shared" si="8"/>
        <v>1.0236589096284927</v>
      </c>
      <c r="AF32" s="1083">
        <f t="shared" si="9"/>
        <v>1.0296001489295137</v>
      </c>
      <c r="AG32" s="1083">
        <f t="shared" si="10"/>
        <v>1.0295996845339224</v>
      </c>
      <c r="AH32" s="176">
        <f t="shared" si="11"/>
        <v>1.0296001443647325</v>
      </c>
      <c r="AI32" s="1117"/>
      <c r="AJ32" s="50"/>
      <c r="AK32" s="54"/>
    </row>
    <row r="33" spans="1:38" s="52" customFormat="1" ht="18.75" outlineLevel="1">
      <c r="A33" s="48"/>
      <c r="B33" s="1139" t="s">
        <v>96</v>
      </c>
      <c r="C33" s="657" t="s">
        <v>74</v>
      </c>
      <c r="D33" s="440">
        <f t="shared" ref="D33:AB33" si="15">D34+D35+D36</f>
        <v>11</v>
      </c>
      <c r="E33" s="1138">
        <f t="shared" si="15"/>
        <v>2.7</v>
      </c>
      <c r="F33" s="1138">
        <f t="shared" si="15"/>
        <v>0</v>
      </c>
      <c r="G33" s="441">
        <f t="shared" si="15"/>
        <v>8.3000000000000007</v>
      </c>
      <c r="H33" s="480">
        <f t="shared" si="15"/>
        <v>11</v>
      </c>
      <c r="I33" s="440">
        <f t="shared" si="15"/>
        <v>11</v>
      </c>
      <c r="J33" s="1138">
        <f t="shared" si="15"/>
        <v>1.72</v>
      </c>
      <c r="K33" s="1138">
        <f t="shared" si="15"/>
        <v>0</v>
      </c>
      <c r="L33" s="441">
        <f t="shared" si="15"/>
        <v>9.2800000000000011</v>
      </c>
      <c r="M33" s="440">
        <f t="shared" si="15"/>
        <v>11</v>
      </c>
      <c r="N33" s="1138">
        <f t="shared" si="15"/>
        <v>2.7</v>
      </c>
      <c r="O33" s="1138">
        <f t="shared" si="15"/>
        <v>0</v>
      </c>
      <c r="P33" s="441">
        <f t="shared" si="15"/>
        <v>8.3000000000000007</v>
      </c>
      <c r="Q33" s="440">
        <f t="shared" si="15"/>
        <v>11</v>
      </c>
      <c r="R33" s="1138">
        <f t="shared" si="15"/>
        <v>2.7</v>
      </c>
      <c r="S33" s="1138">
        <f t="shared" si="15"/>
        <v>0</v>
      </c>
      <c r="T33" s="441">
        <f t="shared" si="15"/>
        <v>8.3000000000000007</v>
      </c>
      <c r="U33" s="440">
        <f t="shared" si="15"/>
        <v>11</v>
      </c>
      <c r="V33" s="1138">
        <f t="shared" si="15"/>
        <v>2.7</v>
      </c>
      <c r="W33" s="1138">
        <f t="shared" si="15"/>
        <v>0</v>
      </c>
      <c r="X33" s="441">
        <f t="shared" si="15"/>
        <v>8.3000000000000007</v>
      </c>
      <c r="Y33" s="440">
        <f t="shared" si="15"/>
        <v>11</v>
      </c>
      <c r="Z33" s="1138">
        <f t="shared" si="15"/>
        <v>2.7</v>
      </c>
      <c r="AA33" s="1138">
        <f t="shared" si="15"/>
        <v>0</v>
      </c>
      <c r="AB33" s="441">
        <f t="shared" si="15"/>
        <v>8.3000000000000007</v>
      </c>
      <c r="AC33" s="633">
        <f t="shared" si="6"/>
        <v>1</v>
      </c>
      <c r="AD33" s="1083">
        <f t="shared" si="7"/>
        <v>1</v>
      </c>
      <c r="AE33" s="1083">
        <f t="shared" si="8"/>
        <v>1</v>
      </c>
      <c r="AF33" s="1083">
        <f t="shared" si="9"/>
        <v>1</v>
      </c>
      <c r="AG33" s="1083">
        <f t="shared" si="10"/>
        <v>1</v>
      </c>
      <c r="AH33" s="176">
        <f t="shared" si="11"/>
        <v>1</v>
      </c>
      <c r="AI33" s="1117"/>
      <c r="AJ33" s="50"/>
      <c r="AK33" s="51"/>
    </row>
    <row r="34" spans="1:38" s="52" customFormat="1" ht="18.75" outlineLevel="1">
      <c r="A34" s="48"/>
      <c r="B34" s="1119" t="s">
        <v>97</v>
      </c>
      <c r="C34" s="657" t="s">
        <v>74</v>
      </c>
      <c r="D34" s="438">
        <f>E34+F34+G34</f>
        <v>6</v>
      </c>
      <c r="E34" s="1118">
        <v>1.5</v>
      </c>
      <c r="F34" s="1118"/>
      <c r="G34" s="442">
        <v>4.5</v>
      </c>
      <c r="H34" s="481">
        <v>6</v>
      </c>
      <c r="I34" s="438">
        <f>J34+K34+L34</f>
        <v>6</v>
      </c>
      <c r="J34" s="1118">
        <f>ROUND(D34*J137,2)</f>
        <v>0.94</v>
      </c>
      <c r="K34" s="1118"/>
      <c r="L34" s="442">
        <f>D34-J34</f>
        <v>5.0600000000000005</v>
      </c>
      <c r="M34" s="601">
        <f>N34+O34+P34</f>
        <v>6</v>
      </c>
      <c r="N34" s="1118">
        <v>1.5</v>
      </c>
      <c r="O34" s="1118"/>
      <c r="P34" s="442">
        <v>4.5</v>
      </c>
      <c r="Q34" s="601">
        <f>R34+S34+T34</f>
        <v>6</v>
      </c>
      <c r="R34" s="1118">
        <v>1.5</v>
      </c>
      <c r="S34" s="1118"/>
      <c r="T34" s="442">
        <v>4.5</v>
      </c>
      <c r="U34" s="601">
        <f>V34+W34+X34</f>
        <v>6</v>
      </c>
      <c r="V34" s="1118">
        <v>1.5</v>
      </c>
      <c r="W34" s="1118"/>
      <c r="X34" s="442">
        <v>4.5</v>
      </c>
      <c r="Y34" s="601">
        <f>Z34+AA34+AB34</f>
        <v>6</v>
      </c>
      <c r="Z34" s="1118">
        <v>1.5</v>
      </c>
      <c r="AA34" s="1118"/>
      <c r="AB34" s="442">
        <v>4.5</v>
      </c>
      <c r="AC34" s="633">
        <f t="shared" si="6"/>
        <v>1</v>
      </c>
      <c r="AD34" s="1083">
        <f t="shared" si="7"/>
        <v>1</v>
      </c>
      <c r="AE34" s="1083">
        <f t="shared" si="8"/>
        <v>1</v>
      </c>
      <c r="AF34" s="1083">
        <f t="shared" si="9"/>
        <v>1</v>
      </c>
      <c r="AG34" s="1083">
        <f t="shared" si="10"/>
        <v>1</v>
      </c>
      <c r="AH34" s="176">
        <f t="shared" si="11"/>
        <v>1</v>
      </c>
      <c r="AI34" s="1117"/>
      <c r="AJ34" s="50"/>
      <c r="AK34" s="54"/>
    </row>
    <row r="35" spans="1:38" s="52" customFormat="1" ht="18.75" outlineLevel="1">
      <c r="A35" s="48"/>
      <c r="B35" s="1119" t="s">
        <v>98</v>
      </c>
      <c r="C35" s="657" t="s">
        <v>74</v>
      </c>
      <c r="D35" s="438">
        <f>E35+F35+G35</f>
        <v>0</v>
      </c>
      <c r="E35" s="1118"/>
      <c r="F35" s="1118"/>
      <c r="G35" s="442"/>
      <c r="H35" s="481"/>
      <c r="I35" s="438">
        <f>J35+K35+L35</f>
        <v>0</v>
      </c>
      <c r="J35" s="1118"/>
      <c r="K35" s="1118"/>
      <c r="L35" s="442"/>
      <c r="M35" s="601">
        <f>N35+O35+P35</f>
        <v>0</v>
      </c>
      <c r="N35" s="1118"/>
      <c r="O35" s="1118"/>
      <c r="P35" s="442"/>
      <c r="Q35" s="601">
        <f>R35+S35+T35</f>
        <v>0</v>
      </c>
      <c r="R35" s="1118"/>
      <c r="S35" s="1118"/>
      <c r="T35" s="442"/>
      <c r="U35" s="601">
        <f>V35+W35+X35</f>
        <v>0</v>
      </c>
      <c r="V35" s="1118"/>
      <c r="W35" s="1118"/>
      <c r="X35" s="442"/>
      <c r="Y35" s="601">
        <f>Z35+AA35+AB35</f>
        <v>0</v>
      </c>
      <c r="Z35" s="1118"/>
      <c r="AA35" s="1118"/>
      <c r="AB35" s="442"/>
      <c r="AC35" s="633" t="str">
        <f t="shared" si="6"/>
        <v xml:space="preserve"> </v>
      </c>
      <c r="AD35" s="1083" t="str">
        <f t="shared" si="7"/>
        <v xml:space="preserve"> </v>
      </c>
      <c r="AE35" s="1083" t="str">
        <f t="shared" si="8"/>
        <v xml:space="preserve"> </v>
      </c>
      <c r="AF35" s="1083" t="str">
        <f t="shared" si="9"/>
        <v xml:space="preserve"> </v>
      </c>
      <c r="AG35" s="1083" t="str">
        <f t="shared" si="10"/>
        <v xml:space="preserve"> </v>
      </c>
      <c r="AH35" s="176" t="str">
        <f t="shared" si="11"/>
        <v xml:space="preserve"> </v>
      </c>
      <c r="AI35" s="1117"/>
      <c r="AJ35" s="50"/>
      <c r="AK35" s="54"/>
    </row>
    <row r="36" spans="1:38" s="52" customFormat="1" ht="18.75" outlineLevel="1">
      <c r="A36" s="48"/>
      <c r="B36" s="1119" t="s">
        <v>99</v>
      </c>
      <c r="C36" s="657" t="s">
        <v>74</v>
      </c>
      <c r="D36" s="438">
        <f>E36+F36+G36</f>
        <v>5</v>
      </c>
      <c r="E36" s="1118">
        <v>1.2</v>
      </c>
      <c r="F36" s="1118"/>
      <c r="G36" s="442">
        <v>3.8</v>
      </c>
      <c r="H36" s="481">
        <v>5</v>
      </c>
      <c r="I36" s="438">
        <f>J36+K36+L36</f>
        <v>5</v>
      </c>
      <c r="J36" s="1118">
        <f>ROUND(D36*J137,2)</f>
        <v>0.78</v>
      </c>
      <c r="K36" s="1118"/>
      <c r="L36" s="442">
        <f>D36-J36</f>
        <v>4.22</v>
      </c>
      <c r="M36" s="601">
        <f>N36+O36+P36</f>
        <v>5</v>
      </c>
      <c r="N36" s="1118">
        <v>1.2</v>
      </c>
      <c r="O36" s="1118"/>
      <c r="P36" s="442">
        <v>3.8</v>
      </c>
      <c r="Q36" s="601">
        <f>R36+S36+T36</f>
        <v>5</v>
      </c>
      <c r="R36" s="1118">
        <v>1.2</v>
      </c>
      <c r="S36" s="1118"/>
      <c r="T36" s="442">
        <v>3.8</v>
      </c>
      <c r="U36" s="601">
        <f>V36+W36+X36</f>
        <v>5</v>
      </c>
      <c r="V36" s="1118">
        <v>1.2</v>
      </c>
      <c r="W36" s="1118"/>
      <c r="X36" s="442">
        <v>3.8</v>
      </c>
      <c r="Y36" s="601">
        <f>Z36+AA36+AB36</f>
        <v>5</v>
      </c>
      <c r="Z36" s="1118">
        <v>1.2</v>
      </c>
      <c r="AA36" s="1118"/>
      <c r="AB36" s="442">
        <v>3.8</v>
      </c>
      <c r="AC36" s="633">
        <f t="shared" si="6"/>
        <v>1</v>
      </c>
      <c r="AD36" s="1083">
        <f t="shared" si="7"/>
        <v>1</v>
      </c>
      <c r="AE36" s="1083">
        <f t="shared" si="8"/>
        <v>1</v>
      </c>
      <c r="AF36" s="1083">
        <f t="shared" si="9"/>
        <v>1</v>
      </c>
      <c r="AG36" s="1083">
        <f t="shared" si="10"/>
        <v>1</v>
      </c>
      <c r="AH36" s="176">
        <f t="shared" si="11"/>
        <v>1</v>
      </c>
      <c r="AI36" s="1117"/>
      <c r="AJ36" s="50"/>
      <c r="AK36" s="54"/>
    </row>
    <row r="37" spans="1:38" s="52" customFormat="1" ht="30" outlineLevel="1">
      <c r="A37" s="48"/>
      <c r="B37" s="1139" t="s">
        <v>5</v>
      </c>
      <c r="C37" s="657" t="s">
        <v>6</v>
      </c>
      <c r="D37" s="440">
        <f>D28/D33/12*1000</f>
        <v>18052.5</v>
      </c>
      <c r="E37" s="1138">
        <f>E28/E33/12*1000</f>
        <v>18056.481481481482</v>
      </c>
      <c r="F37" s="1138"/>
      <c r="G37" s="441">
        <f>G28/G33/12*1000</f>
        <v>18051.204819277107</v>
      </c>
      <c r="H37" s="480">
        <f>H28/H33/12*1000</f>
        <v>19694.318181818184</v>
      </c>
      <c r="I37" s="597">
        <f>I28/I33/12*1000</f>
        <v>18882.878787878788</v>
      </c>
      <c r="J37" s="1137">
        <f>J28/J33/12*1000</f>
        <v>18827.034883720931</v>
      </c>
      <c r="K37" s="1137"/>
      <c r="L37" s="599">
        <f>L28/L33/12*1000</f>
        <v>18893.229166666661</v>
      </c>
      <c r="M37" s="597">
        <f>M28/M33/12*1000</f>
        <v>19329.627110926271</v>
      </c>
      <c r="N37" s="1137">
        <f>N28/N33/12*1000</f>
        <v>12277.247710745507</v>
      </c>
      <c r="O37" s="1137"/>
      <c r="P37" s="599">
        <f>P28/P33/12*1000</f>
        <v>21623.774626647719</v>
      </c>
      <c r="Q37" s="597">
        <f>Q28/Q33/12*1000</f>
        <v>19901.786952572751</v>
      </c>
      <c r="R37" s="1137">
        <f>R28/R33/12*1000</f>
        <v>12640.620185001131</v>
      </c>
      <c r="S37" s="1137"/>
      <c r="T37" s="599">
        <f>T28/T33/12*1000</f>
        <v>22263.853250457501</v>
      </c>
      <c r="U37" s="597">
        <f>U28/U33/12*1000</f>
        <v>20490.873568540384</v>
      </c>
      <c r="V37" s="1137">
        <f>V28/V33/12*1000</f>
        <v>13014.734022951401</v>
      </c>
      <c r="W37" s="1137"/>
      <c r="X37" s="599">
        <f>X28/X33/12*1000</f>
        <v>22922.870770117523</v>
      </c>
      <c r="Y37" s="597">
        <f>Y28/Y33/12*1000</f>
        <v>21097.406384212129</v>
      </c>
      <c r="Z37" s="1137">
        <f>Z28/Z33/12*1000</f>
        <v>13399.98220131686</v>
      </c>
      <c r="AA37" s="1137"/>
      <c r="AB37" s="599">
        <f>AB28/AB33/12*1000</f>
        <v>23601.387744912998</v>
      </c>
      <c r="AC37" s="633">
        <f t="shared" si="6"/>
        <v>0.95879829977112296</v>
      </c>
      <c r="AD37" s="1083">
        <f t="shared" si="7"/>
        <v>1.0459979940661286</v>
      </c>
      <c r="AE37" s="1083">
        <f t="shared" si="8"/>
        <v>1.0236589096432827</v>
      </c>
      <c r="AF37" s="1083">
        <f t="shared" si="9"/>
        <v>1.0296001489507813</v>
      </c>
      <c r="AG37" s="1083">
        <f t="shared" si="10"/>
        <v>1.0295996845595556</v>
      </c>
      <c r="AH37" s="176">
        <f t="shared" si="11"/>
        <v>1.0296001443590455</v>
      </c>
      <c r="AI37" s="1117"/>
      <c r="AJ37" s="50"/>
      <c r="AK37" s="51"/>
    </row>
    <row r="38" spans="1:38" s="36" customFormat="1" ht="31.5">
      <c r="A38" s="43">
        <v>4</v>
      </c>
      <c r="B38" s="1136" t="s">
        <v>240</v>
      </c>
      <c r="C38" s="655" t="s">
        <v>0</v>
      </c>
      <c r="D38" s="443">
        <f t="shared" ref="D38:AB38" si="16">D39+D40</f>
        <v>60</v>
      </c>
      <c r="E38" s="1123">
        <f t="shared" si="16"/>
        <v>60</v>
      </c>
      <c r="F38" s="1123">
        <f t="shared" si="16"/>
        <v>0</v>
      </c>
      <c r="G38" s="444">
        <f t="shared" si="16"/>
        <v>0</v>
      </c>
      <c r="H38" s="482">
        <f t="shared" si="16"/>
        <v>1135</v>
      </c>
      <c r="I38" s="443">
        <f t="shared" si="16"/>
        <v>0</v>
      </c>
      <c r="J38" s="1123">
        <f t="shared" si="16"/>
        <v>0</v>
      </c>
      <c r="K38" s="1123">
        <f t="shared" si="16"/>
        <v>0</v>
      </c>
      <c r="L38" s="444">
        <f t="shared" si="16"/>
        <v>0</v>
      </c>
      <c r="M38" s="443">
        <f t="shared" si="16"/>
        <v>0</v>
      </c>
      <c r="N38" s="1123">
        <f t="shared" si="16"/>
        <v>0</v>
      </c>
      <c r="O38" s="1123">
        <f t="shared" si="16"/>
        <v>0</v>
      </c>
      <c r="P38" s="444">
        <f t="shared" si="16"/>
        <v>0</v>
      </c>
      <c r="Q38" s="443">
        <f t="shared" si="16"/>
        <v>0</v>
      </c>
      <c r="R38" s="1123">
        <f t="shared" si="16"/>
        <v>0</v>
      </c>
      <c r="S38" s="1123">
        <f t="shared" si="16"/>
        <v>0</v>
      </c>
      <c r="T38" s="444">
        <f t="shared" si="16"/>
        <v>0</v>
      </c>
      <c r="U38" s="443">
        <f t="shared" si="16"/>
        <v>0</v>
      </c>
      <c r="V38" s="1123">
        <f t="shared" si="16"/>
        <v>0</v>
      </c>
      <c r="W38" s="1123">
        <f t="shared" si="16"/>
        <v>0</v>
      </c>
      <c r="X38" s="444">
        <f t="shared" si="16"/>
        <v>0</v>
      </c>
      <c r="Y38" s="443">
        <f t="shared" si="16"/>
        <v>0</v>
      </c>
      <c r="Z38" s="1123">
        <f t="shared" si="16"/>
        <v>0</v>
      </c>
      <c r="AA38" s="1123">
        <f t="shared" si="16"/>
        <v>0</v>
      </c>
      <c r="AB38" s="444">
        <f t="shared" si="16"/>
        <v>0</v>
      </c>
      <c r="AC38" s="633">
        <f t="shared" si="6"/>
        <v>0</v>
      </c>
      <c r="AD38" s="1083">
        <f t="shared" si="7"/>
        <v>0</v>
      </c>
      <c r="AE38" s="1083" t="str">
        <f t="shared" si="8"/>
        <v xml:space="preserve"> </v>
      </c>
      <c r="AF38" s="1083" t="str">
        <f t="shared" si="9"/>
        <v xml:space="preserve"> </v>
      </c>
      <c r="AG38" s="1083" t="str">
        <f t="shared" si="10"/>
        <v xml:space="preserve"> </v>
      </c>
      <c r="AH38" s="176" t="str">
        <f t="shared" si="11"/>
        <v xml:space="preserve"> </v>
      </c>
      <c r="AI38" s="1081"/>
      <c r="AK38" s="46"/>
      <c r="AL38" s="55"/>
    </row>
    <row r="39" spans="1:38" s="31" customFormat="1" ht="18.75" outlineLevel="1">
      <c r="A39" s="56"/>
      <c r="B39" s="1130" t="s">
        <v>175</v>
      </c>
      <c r="C39" s="656" t="s">
        <v>0</v>
      </c>
      <c r="D39" s="438">
        <f>E39+F39+G39</f>
        <v>0</v>
      </c>
      <c r="E39" s="1108"/>
      <c r="F39" s="1108"/>
      <c r="G39" s="439"/>
      <c r="H39" s="479"/>
      <c r="I39" s="438">
        <f>J39+K39+L39</f>
        <v>0</v>
      </c>
      <c r="J39" s="1108"/>
      <c r="K39" s="1108"/>
      <c r="L39" s="439"/>
      <c r="M39" s="438">
        <f>N39+O39+P39</f>
        <v>0</v>
      </c>
      <c r="N39" s="1108"/>
      <c r="O39" s="1108"/>
      <c r="P39" s="439"/>
      <c r="Q39" s="438">
        <f>R39+S39+T39</f>
        <v>0</v>
      </c>
      <c r="R39" s="1108"/>
      <c r="S39" s="1108"/>
      <c r="T39" s="439"/>
      <c r="U39" s="438">
        <f>V39+W39+X39</f>
        <v>0</v>
      </c>
      <c r="V39" s="1108"/>
      <c r="W39" s="1108"/>
      <c r="X39" s="439"/>
      <c r="Y39" s="438">
        <f>Z39+AA39+AB39</f>
        <v>0</v>
      </c>
      <c r="Z39" s="1108"/>
      <c r="AA39" s="1108"/>
      <c r="AB39" s="439"/>
      <c r="AC39" s="633" t="str">
        <f t="shared" si="6"/>
        <v xml:space="preserve"> </v>
      </c>
      <c r="AD39" s="1083" t="str">
        <f t="shared" si="7"/>
        <v xml:space="preserve"> </v>
      </c>
      <c r="AE39" s="1083" t="str">
        <f t="shared" si="8"/>
        <v xml:space="preserve"> </v>
      </c>
      <c r="AF39" s="1083" t="str">
        <f t="shared" si="9"/>
        <v xml:space="preserve"> </v>
      </c>
      <c r="AG39" s="1083" t="str">
        <f t="shared" si="10"/>
        <v xml:space="preserve"> </v>
      </c>
      <c r="AH39" s="176" t="str">
        <f t="shared" si="11"/>
        <v xml:space="preserve"> </v>
      </c>
      <c r="AI39" s="1081"/>
      <c r="AK39" s="58"/>
      <c r="AL39" s="59"/>
    </row>
    <row r="40" spans="1:38" s="31" customFormat="1" ht="32.25" customHeight="1" outlineLevel="1">
      <c r="A40" s="56"/>
      <c r="B40" s="1130" t="s">
        <v>49</v>
      </c>
      <c r="C40" s="656" t="s">
        <v>0</v>
      </c>
      <c r="D40" s="438">
        <f>E40+F40+G40</f>
        <v>60</v>
      </c>
      <c r="E40" s="1108">
        <v>60</v>
      </c>
      <c r="F40" s="1108"/>
      <c r="G40" s="439"/>
      <c r="H40" s="479">
        <v>1135</v>
      </c>
      <c r="I40" s="438">
        <f>J40+K40+L40</f>
        <v>0</v>
      </c>
      <c r="J40" s="1122"/>
      <c r="K40" s="1108"/>
      <c r="L40" s="439"/>
      <c r="M40" s="438">
        <f>N40+O40+P40</f>
        <v>0</v>
      </c>
      <c r="N40" s="1129"/>
      <c r="O40" s="1108"/>
      <c r="P40" s="439"/>
      <c r="Q40" s="438">
        <f>R40+S40+T40</f>
        <v>0</v>
      </c>
      <c r="R40" s="1129"/>
      <c r="S40" s="1108"/>
      <c r="T40" s="439"/>
      <c r="U40" s="438">
        <f>V40+W40+X40</f>
        <v>0</v>
      </c>
      <c r="V40" s="1129"/>
      <c r="W40" s="1108"/>
      <c r="X40" s="439"/>
      <c r="Y40" s="438">
        <f>Z40+AA40+AB40</f>
        <v>0</v>
      </c>
      <c r="Z40" s="1129"/>
      <c r="AA40" s="1108"/>
      <c r="AB40" s="439"/>
      <c r="AC40" s="633">
        <f t="shared" si="6"/>
        <v>0</v>
      </c>
      <c r="AD40" s="1083">
        <f t="shared" si="7"/>
        <v>0</v>
      </c>
      <c r="AE40" s="1083" t="str">
        <f t="shared" si="8"/>
        <v xml:space="preserve"> </v>
      </c>
      <c r="AF40" s="1083" t="str">
        <f t="shared" si="9"/>
        <v xml:space="preserve"> </v>
      </c>
      <c r="AG40" s="1083" t="str">
        <f t="shared" si="10"/>
        <v xml:space="preserve"> </v>
      </c>
      <c r="AH40" s="176" t="str">
        <f t="shared" si="11"/>
        <v xml:space="preserve"> </v>
      </c>
      <c r="AI40" s="1081" t="s">
        <v>513</v>
      </c>
      <c r="AK40" s="58"/>
      <c r="AL40" s="59"/>
    </row>
    <row r="41" spans="1:38" s="36" customFormat="1" ht="31.5">
      <c r="A41" s="43">
        <v>5</v>
      </c>
      <c r="B41" s="1136" t="s">
        <v>241</v>
      </c>
      <c r="C41" s="655" t="s">
        <v>0</v>
      </c>
      <c r="D41" s="436">
        <f t="shared" ref="D41:AB41" si="17">SUM(D42:D49)</f>
        <v>351.79</v>
      </c>
      <c r="E41" s="1109">
        <f t="shared" si="17"/>
        <v>86.36</v>
      </c>
      <c r="F41" s="1109">
        <f t="shared" si="17"/>
        <v>0</v>
      </c>
      <c r="G41" s="437">
        <f t="shared" si="17"/>
        <v>265.43</v>
      </c>
      <c r="H41" s="478">
        <f t="shared" si="17"/>
        <v>2025.8</v>
      </c>
      <c r="I41" s="436">
        <f t="shared" si="17"/>
        <v>561.21</v>
      </c>
      <c r="J41" s="1109">
        <f t="shared" si="17"/>
        <v>87.5</v>
      </c>
      <c r="K41" s="1109">
        <f t="shared" si="17"/>
        <v>0</v>
      </c>
      <c r="L41" s="437">
        <f t="shared" si="17"/>
        <v>473.71</v>
      </c>
      <c r="M41" s="436">
        <f t="shared" si="17"/>
        <v>552.62230577238495</v>
      </c>
      <c r="N41" s="1109">
        <f t="shared" si="17"/>
        <v>67.704665843882083</v>
      </c>
      <c r="O41" s="1109">
        <f t="shared" si="17"/>
        <v>0</v>
      </c>
      <c r="P41" s="437">
        <f t="shared" si="17"/>
        <v>484.91763992850287</v>
      </c>
      <c r="Q41" s="436">
        <f t="shared" si="17"/>
        <v>568.98007222590979</v>
      </c>
      <c r="R41" s="1109">
        <f t="shared" si="17"/>
        <v>69.708536135169666</v>
      </c>
      <c r="S41" s="1109">
        <f t="shared" si="17"/>
        <v>0</v>
      </c>
      <c r="T41" s="437">
        <f t="shared" si="17"/>
        <v>499.27153609074014</v>
      </c>
      <c r="U41" s="436">
        <f t="shared" si="17"/>
        <v>585.82178216516274</v>
      </c>
      <c r="V41" s="1109">
        <f t="shared" si="17"/>
        <v>71.771641236798118</v>
      </c>
      <c r="W41" s="1109">
        <f t="shared" si="17"/>
        <v>0</v>
      </c>
      <c r="X41" s="437">
        <f t="shared" si="17"/>
        <v>514.0501409283645</v>
      </c>
      <c r="Y41" s="436">
        <f t="shared" si="17"/>
        <v>603.16217337581907</v>
      </c>
      <c r="Z41" s="1109">
        <f t="shared" si="17"/>
        <v>73.896148275975051</v>
      </c>
      <c r="AA41" s="1109">
        <f t="shared" si="17"/>
        <v>0</v>
      </c>
      <c r="AB41" s="437">
        <f t="shared" si="17"/>
        <v>529.266025099844</v>
      </c>
      <c r="AC41" s="633">
        <f t="shared" si="6"/>
        <v>0.27703129627801365</v>
      </c>
      <c r="AD41" s="1083">
        <f t="shared" si="7"/>
        <v>1.5952983313908866</v>
      </c>
      <c r="AE41" s="1083">
        <f t="shared" si="8"/>
        <v>0.98469789521281681</v>
      </c>
      <c r="AF41" s="1083">
        <f t="shared" si="9"/>
        <v>1.0296002645616378</v>
      </c>
      <c r="AG41" s="1083">
        <f t="shared" si="10"/>
        <v>1.029599823897815</v>
      </c>
      <c r="AH41" s="176">
        <f t="shared" si="11"/>
        <v>1.0296001134450263</v>
      </c>
      <c r="AI41" s="1081"/>
      <c r="AJ41" s="47"/>
    </row>
    <row r="42" spans="1:38" s="31" customFormat="1" ht="18.75">
      <c r="A42" s="60"/>
      <c r="B42" s="1130" t="s">
        <v>229</v>
      </c>
      <c r="C42" s="658" t="s">
        <v>0</v>
      </c>
      <c r="D42" s="438">
        <f t="shared" ref="D42:D53" si="18">E42+F42+G42</f>
        <v>0</v>
      </c>
      <c r="E42" s="1108"/>
      <c r="F42" s="1108"/>
      <c r="G42" s="439"/>
      <c r="H42" s="479"/>
      <c r="I42" s="438">
        <f t="shared" ref="I42:I53" si="19">J42+K42+L42</f>
        <v>0</v>
      </c>
      <c r="J42" s="1108"/>
      <c r="K42" s="1108"/>
      <c r="L42" s="439"/>
      <c r="M42" s="438">
        <f t="shared" ref="M42:M53" si="20">N42+O42+P42</f>
        <v>0</v>
      </c>
      <c r="N42" s="1108"/>
      <c r="O42" s="1108"/>
      <c r="P42" s="439"/>
      <c r="Q42" s="438">
        <f t="shared" ref="Q42:Q53" si="21">R42+S42+T42</f>
        <v>0</v>
      </c>
      <c r="R42" s="1108"/>
      <c r="S42" s="1108"/>
      <c r="T42" s="642">
        <f t="shared" ref="T42:T53" si="22">IF($T$20&gt;0,P42/$P$20*$T$20,0)</f>
        <v>0</v>
      </c>
      <c r="U42" s="438">
        <f t="shared" ref="U42:U53" si="23">V42+W42+X42</f>
        <v>0</v>
      </c>
      <c r="V42" s="1129">
        <f t="shared" ref="V42:V53" si="24">IF($V$20&gt;0,R42/$R$20*$V$20,0)</f>
        <v>0</v>
      </c>
      <c r="W42" s="1108"/>
      <c r="X42" s="642">
        <f t="shared" ref="X42:X53" si="25">IF($X$20&gt;0,T42/$T$20*$X$20,0)</f>
        <v>0</v>
      </c>
      <c r="Y42" s="438">
        <f t="shared" ref="Y42:Y53" si="26">Z42+AA42+AB42</f>
        <v>0</v>
      </c>
      <c r="Z42" s="1129">
        <f t="shared" ref="Z42:Z53" si="27">IF($Z$20&gt;0,V42/$V$20*$Z$20,0)</f>
        <v>0</v>
      </c>
      <c r="AA42" s="1108"/>
      <c r="AB42" s="642">
        <f t="shared" ref="AB42:AB53" si="28">IF($AB$20&gt;0,X42/$X$20*$AB$20,0)</f>
        <v>0</v>
      </c>
      <c r="AC42" s="633" t="str">
        <f t="shared" si="6"/>
        <v xml:space="preserve"> </v>
      </c>
      <c r="AD42" s="1083" t="str">
        <f t="shared" si="7"/>
        <v xml:space="preserve"> </v>
      </c>
      <c r="AE42" s="1083" t="str">
        <f t="shared" si="8"/>
        <v xml:space="preserve"> </v>
      </c>
      <c r="AF42" s="1083" t="str">
        <f t="shared" si="9"/>
        <v xml:space="preserve"> </v>
      </c>
      <c r="AG42" s="1083" t="str">
        <f t="shared" si="10"/>
        <v xml:space="preserve"> </v>
      </c>
      <c r="AH42" s="176" t="str">
        <f t="shared" si="11"/>
        <v xml:space="preserve"> </v>
      </c>
      <c r="AI42" s="1081"/>
      <c r="AJ42" s="61"/>
      <c r="AK42" s="58"/>
    </row>
    <row r="43" spans="1:38" s="31" customFormat="1" ht="18.75">
      <c r="A43" s="60"/>
      <c r="B43" s="1130" t="s">
        <v>230</v>
      </c>
      <c r="C43" s="658" t="s">
        <v>0</v>
      </c>
      <c r="D43" s="438">
        <f t="shared" si="18"/>
        <v>104.28</v>
      </c>
      <c r="E43" s="1108">
        <v>25.6</v>
      </c>
      <c r="F43" s="1108"/>
      <c r="G43" s="439">
        <v>78.680000000000007</v>
      </c>
      <c r="H43" s="479">
        <v>173</v>
      </c>
      <c r="I43" s="438">
        <f t="shared" si="19"/>
        <v>109.08</v>
      </c>
      <c r="J43" s="1118">
        <f>ROUND(D43*[175]индексы!$H$8*$J$137,2)</f>
        <v>17.010000000000002</v>
      </c>
      <c r="K43" s="1108"/>
      <c r="L43" s="442">
        <f>ROUND(D43*[175]индексы!$H$8-J43,2)</f>
        <v>92.07</v>
      </c>
      <c r="M43" s="438">
        <f t="shared" si="20"/>
        <v>111.66071385354392</v>
      </c>
      <c r="N43" s="1129">
        <f t="shared" ref="N43:N48" si="29">IF($N$20&gt;0,J43/$J$20*$N$20,0)</f>
        <v>17.412403477539073</v>
      </c>
      <c r="O43" s="1108"/>
      <c r="P43" s="642">
        <f t="shared" ref="P43:P51" si="30">IF($P$20&gt;0,L43/$L$20*$P$20,0)</f>
        <v>94.248310376004852</v>
      </c>
      <c r="Q43" s="438">
        <f t="shared" si="21"/>
        <v>114.96588760033056</v>
      </c>
      <c r="R43" s="1129">
        <f t="shared" ref="R43:R53" si="31">IF($R$20&gt;0,N43/$N$20*$R$20,0)</f>
        <v>17.927762317194379</v>
      </c>
      <c r="S43" s="1108"/>
      <c r="T43" s="642">
        <f t="shared" si="22"/>
        <v>97.038125283136182</v>
      </c>
      <c r="U43" s="438">
        <f t="shared" si="23"/>
        <v>118.36884158951199</v>
      </c>
      <c r="V43" s="1129">
        <f t="shared" si="24"/>
        <v>18.458355268187727</v>
      </c>
      <c r="W43" s="1108"/>
      <c r="X43" s="642">
        <f t="shared" si="25"/>
        <v>99.910486321324257</v>
      </c>
      <c r="Y43" s="438">
        <f t="shared" si="26"/>
        <v>121.87257639249134</v>
      </c>
      <c r="Z43" s="1129">
        <f t="shared" si="27"/>
        <v>19.004739676055877</v>
      </c>
      <c r="AA43" s="1108"/>
      <c r="AB43" s="642">
        <f t="shared" si="28"/>
        <v>102.86783671643546</v>
      </c>
      <c r="AC43" s="633">
        <f t="shared" si="6"/>
        <v>0.63052023121387279</v>
      </c>
      <c r="AD43" s="1083">
        <f t="shared" si="7"/>
        <v>1.046029919447641</v>
      </c>
      <c r="AE43" s="1083">
        <f t="shared" si="8"/>
        <v>1.0236589095484407</v>
      </c>
      <c r="AF43" s="1083">
        <f t="shared" si="9"/>
        <v>1.0296001488143964</v>
      </c>
      <c r="AG43" s="1083">
        <f t="shared" si="10"/>
        <v>1.0295996843951791</v>
      </c>
      <c r="AH43" s="176">
        <f t="shared" si="11"/>
        <v>1.0296001443955147</v>
      </c>
      <c r="AI43" s="1081"/>
      <c r="AJ43" s="61"/>
    </row>
    <row r="44" spans="1:38" s="31" customFormat="1" ht="18.75">
      <c r="A44" s="60"/>
      <c r="B44" s="1130" t="s">
        <v>231</v>
      </c>
      <c r="C44" s="658" t="s">
        <v>0</v>
      </c>
      <c r="D44" s="438">
        <f t="shared" si="18"/>
        <v>178.22</v>
      </c>
      <c r="E44" s="1108">
        <v>43.75</v>
      </c>
      <c r="F44" s="1108"/>
      <c r="G44" s="439">
        <v>134.47</v>
      </c>
      <c r="H44" s="479">
        <v>611</v>
      </c>
      <c r="I44" s="602">
        <f t="shared" si="19"/>
        <v>186.42000000000002</v>
      </c>
      <c r="J44" s="1118">
        <f>ROUND(D44*[175]индексы!$H$8*$J$137,2)</f>
        <v>29.06</v>
      </c>
      <c r="K44" s="1108"/>
      <c r="L44" s="442">
        <f>ROUND(D44*[175]индексы!$H$8-J44,2)</f>
        <v>157.36000000000001</v>
      </c>
      <c r="M44" s="602">
        <f t="shared" si="20"/>
        <v>190.83049394317405</v>
      </c>
      <c r="N44" s="1129">
        <f t="shared" si="29"/>
        <v>29.74746884522548</v>
      </c>
      <c r="O44" s="1122"/>
      <c r="P44" s="642">
        <f t="shared" si="30"/>
        <v>161.08302509794856</v>
      </c>
      <c r="Q44" s="602">
        <f t="shared" si="21"/>
        <v>196.4791049992443</v>
      </c>
      <c r="R44" s="1129">
        <f t="shared" si="31"/>
        <v>30.627911401391447</v>
      </c>
      <c r="S44" s="1122"/>
      <c r="T44" s="642">
        <f t="shared" si="22"/>
        <v>165.85119359785284</v>
      </c>
      <c r="U44" s="602">
        <f t="shared" si="23"/>
        <v>202.29482454341704</v>
      </c>
      <c r="V44" s="1129">
        <f t="shared" si="24"/>
        <v>31.534380017256627</v>
      </c>
      <c r="W44" s="1122"/>
      <c r="X44" s="642">
        <f t="shared" si="25"/>
        <v>170.7604445261604</v>
      </c>
      <c r="Y44" s="602">
        <f t="shared" si="26"/>
        <v>208.28278054987157</v>
      </c>
      <c r="Z44" s="1129">
        <f t="shared" si="27"/>
        <v>32.467826865736846</v>
      </c>
      <c r="AA44" s="1122"/>
      <c r="AB44" s="642">
        <f t="shared" si="28"/>
        <v>175.81495368413474</v>
      </c>
      <c r="AC44" s="633">
        <f t="shared" si="6"/>
        <v>0.30510638297872344</v>
      </c>
      <c r="AD44" s="1083">
        <f t="shared" si="7"/>
        <v>1.0460105487599598</v>
      </c>
      <c r="AE44" s="1083">
        <f t="shared" si="8"/>
        <v>1.023658909683371</v>
      </c>
      <c r="AF44" s="1083">
        <f t="shared" si="9"/>
        <v>1.0296001490084301</v>
      </c>
      <c r="AG44" s="1083">
        <f t="shared" si="10"/>
        <v>1.0295996846290352</v>
      </c>
      <c r="AH44" s="176">
        <f t="shared" si="11"/>
        <v>1.0296001443436305</v>
      </c>
      <c r="AI44" s="1081"/>
      <c r="AJ44" s="61"/>
    </row>
    <row r="45" spans="1:38" s="31" customFormat="1" ht="31.5">
      <c r="A45" s="60"/>
      <c r="B45" s="1130" t="s">
        <v>232</v>
      </c>
      <c r="C45" s="658" t="s">
        <v>0</v>
      </c>
      <c r="D45" s="438">
        <f t="shared" si="18"/>
        <v>31.29</v>
      </c>
      <c r="E45" s="1108">
        <v>7.68</v>
      </c>
      <c r="F45" s="1108"/>
      <c r="G45" s="439">
        <v>23.61</v>
      </c>
      <c r="H45" s="479">
        <f>587+6</f>
        <v>593</v>
      </c>
      <c r="I45" s="438">
        <f t="shared" si="19"/>
        <v>32.729999999999997</v>
      </c>
      <c r="J45" s="1118">
        <f>ROUND(D45*[175]индексы!$H$8*$J$137,2)</f>
        <v>5.0999999999999996</v>
      </c>
      <c r="K45" s="1108"/>
      <c r="L45" s="442">
        <f>ROUND(D45*[175]индексы!$H$8-J45,2)</f>
        <v>27.63</v>
      </c>
      <c r="M45" s="438">
        <f t="shared" si="20"/>
        <v>33.504356118997812</v>
      </c>
      <c r="N45" s="1129">
        <f t="shared" si="29"/>
        <v>5.2206500726307628</v>
      </c>
      <c r="O45" s="1108"/>
      <c r="P45" s="642">
        <f t="shared" si="30"/>
        <v>28.283706046367048</v>
      </c>
      <c r="Q45" s="438">
        <f t="shared" si="21"/>
        <v>34.496090060001805</v>
      </c>
      <c r="R45" s="1129">
        <f t="shared" si="31"/>
        <v>5.3751668323157746</v>
      </c>
      <c r="S45" s="1108"/>
      <c r="T45" s="642">
        <f t="shared" si="22"/>
        <v>29.120923227686028</v>
      </c>
      <c r="U45" s="438">
        <f t="shared" si="23"/>
        <v>35.517163455957629</v>
      </c>
      <c r="V45" s="1129">
        <f t="shared" si="24"/>
        <v>5.5342511386100757</v>
      </c>
      <c r="W45" s="1108"/>
      <c r="X45" s="642">
        <f t="shared" si="25"/>
        <v>29.982912317347555</v>
      </c>
      <c r="Y45" s="438">
        <f t="shared" si="26"/>
        <v>36.568476618818465</v>
      </c>
      <c r="Z45" s="1129">
        <f t="shared" si="27"/>
        <v>5.6980700968774229</v>
      </c>
      <c r="AA45" s="1108"/>
      <c r="AB45" s="642">
        <f t="shared" si="28"/>
        <v>30.870406521941042</v>
      </c>
      <c r="AC45" s="633">
        <f t="shared" si="6"/>
        <v>5.5193929173693083E-2</v>
      </c>
      <c r="AD45" s="1083">
        <f t="shared" si="7"/>
        <v>1.0460210930009588</v>
      </c>
      <c r="AE45" s="1083">
        <f t="shared" si="8"/>
        <v>1.0236589098380022</v>
      </c>
      <c r="AF45" s="1083">
        <f t="shared" si="9"/>
        <v>1.0296001492307938</v>
      </c>
      <c r="AG45" s="1083">
        <f t="shared" si="10"/>
        <v>1.0295996848970359</v>
      </c>
      <c r="AH45" s="176">
        <f t="shared" si="11"/>
        <v>1.0296001442841711</v>
      </c>
      <c r="AI45" s="1081"/>
      <c r="AJ45" s="61"/>
      <c r="AK45" s="347"/>
    </row>
    <row r="46" spans="1:38" s="31" customFormat="1" ht="18.75" outlineLevel="1">
      <c r="A46" s="60"/>
      <c r="B46" s="1130" t="s">
        <v>234</v>
      </c>
      <c r="C46" s="658" t="s">
        <v>0</v>
      </c>
      <c r="D46" s="438">
        <f t="shared" si="18"/>
        <v>3.26</v>
      </c>
      <c r="E46" s="1108">
        <v>0.8</v>
      </c>
      <c r="F46" s="1108"/>
      <c r="G46" s="439">
        <v>2.46</v>
      </c>
      <c r="H46" s="479">
        <v>3</v>
      </c>
      <c r="I46" s="438">
        <f t="shared" si="19"/>
        <v>3</v>
      </c>
      <c r="J46" s="1118">
        <f>ROUND(H46*$J$137,2)</f>
        <v>0.47</v>
      </c>
      <c r="K46" s="1108"/>
      <c r="L46" s="442">
        <f>ROUND(H46-J46,2)</f>
        <v>2.5299999999999998</v>
      </c>
      <c r="M46" s="438">
        <f t="shared" si="20"/>
        <v>3.0709767234000012</v>
      </c>
      <c r="N46" s="1129">
        <f t="shared" si="29"/>
        <v>0.48111873218361928</v>
      </c>
      <c r="O46" s="1108"/>
      <c r="P46" s="642">
        <f t="shared" si="30"/>
        <v>2.5898579912163817</v>
      </c>
      <c r="Q46" s="438">
        <f t="shared" si="21"/>
        <v>3.161878083696811</v>
      </c>
      <c r="R46" s="1129">
        <f t="shared" si="31"/>
        <v>0.49535851199772823</v>
      </c>
      <c r="S46" s="1108"/>
      <c r="T46" s="642">
        <f t="shared" si="22"/>
        <v>2.6665195716990828</v>
      </c>
      <c r="U46" s="438">
        <f t="shared" si="23"/>
        <v>3.2554686674887332</v>
      </c>
      <c r="V46" s="1129">
        <f t="shared" si="24"/>
        <v>0.51001922257779131</v>
      </c>
      <c r="W46" s="1108"/>
      <c r="X46" s="642">
        <f t="shared" si="25"/>
        <v>2.7454494449109417</v>
      </c>
      <c r="Y46" s="438">
        <f t="shared" si="26"/>
        <v>3.3518310123101855</v>
      </c>
      <c r="Z46" s="1129">
        <f t="shared" si="27"/>
        <v>0.52511626382988019</v>
      </c>
      <c r="AA46" s="1108"/>
      <c r="AB46" s="642">
        <f t="shared" si="28"/>
        <v>2.8267147484803052</v>
      </c>
      <c r="AC46" s="633">
        <f t="shared" ref="AC46:AC77" si="32">IFERROR(I46/H46, " ")</f>
        <v>1</v>
      </c>
      <c r="AD46" s="1083">
        <f t="shared" ref="AD46:AD77" si="33">IFERROR(I46/D46, " ")</f>
        <v>0.92024539877300615</v>
      </c>
      <c r="AE46" s="1083">
        <f t="shared" ref="AE46:AE77" si="34">IFERROR(M46/I46, " ")</f>
        <v>1.0236589078000005</v>
      </c>
      <c r="AF46" s="1083">
        <f t="shared" ref="AF46:AF77" si="35">IFERROR(Q46/M46, " ")</f>
        <v>1.0296001463000897</v>
      </c>
      <c r="AG46" s="1083">
        <f t="shared" ref="AG46:AG77" si="36">IFERROR(U46/Q46, " ")</f>
        <v>1.029599681364848</v>
      </c>
      <c r="AH46" s="176">
        <f t="shared" ref="AH46:AH77" si="37">IFERROR(Y46/U46, " ")</f>
        <v>1.0296001450678332</v>
      </c>
      <c r="AI46" s="1081"/>
      <c r="AJ46" s="61"/>
    </row>
    <row r="47" spans="1:38" s="31" customFormat="1" ht="47.25" outlineLevel="1">
      <c r="A47" s="60"/>
      <c r="B47" s="1130" t="s">
        <v>50</v>
      </c>
      <c r="C47" s="658" t="s">
        <v>0</v>
      </c>
      <c r="D47" s="438">
        <f t="shared" si="18"/>
        <v>0</v>
      </c>
      <c r="E47" s="1108"/>
      <c r="F47" s="1108"/>
      <c r="G47" s="439"/>
      <c r="H47" s="479">
        <v>15</v>
      </c>
      <c r="I47" s="438">
        <f t="shared" si="19"/>
        <v>15</v>
      </c>
      <c r="J47" s="1118">
        <f>ROUND(H47*$J$137,2)</f>
        <v>2.34</v>
      </c>
      <c r="K47" s="1108"/>
      <c r="L47" s="442">
        <f>ROUND(H47-J47,2)</f>
        <v>12.66</v>
      </c>
      <c r="M47" s="438">
        <f t="shared" si="20"/>
        <v>15.354883641080798</v>
      </c>
      <c r="N47" s="1129">
        <f t="shared" si="29"/>
        <v>2.3953570921482323</v>
      </c>
      <c r="O47" s="1108"/>
      <c r="P47" s="642">
        <f t="shared" si="30"/>
        <v>12.959526548932566</v>
      </c>
      <c r="Q47" s="438">
        <f t="shared" si="21"/>
        <v>15.809390478725785</v>
      </c>
      <c r="R47" s="1129">
        <f t="shared" si="31"/>
        <v>2.4662530171801791</v>
      </c>
      <c r="S47" s="1108"/>
      <c r="T47" s="642">
        <f t="shared" si="22"/>
        <v>13.343137461545606</v>
      </c>
      <c r="U47" s="438">
        <f t="shared" si="23"/>
        <v>16.277343443456498</v>
      </c>
      <c r="V47" s="1129">
        <f t="shared" si="24"/>
        <v>2.5392446400681528</v>
      </c>
      <c r="W47" s="1108"/>
      <c r="X47" s="642">
        <f t="shared" si="25"/>
        <v>13.738098803388347</v>
      </c>
      <c r="Y47" s="438">
        <f t="shared" si="26"/>
        <v>16.759155160653577</v>
      </c>
      <c r="Z47" s="1129">
        <f t="shared" si="27"/>
        <v>2.6144086326849356</v>
      </c>
      <c r="AA47" s="1108"/>
      <c r="AB47" s="642">
        <f t="shared" si="28"/>
        <v>14.144746527968643</v>
      </c>
      <c r="AC47" s="633">
        <f t="shared" si="32"/>
        <v>1</v>
      </c>
      <c r="AD47" s="1083" t="str">
        <f t="shared" si="33"/>
        <v xml:space="preserve"> </v>
      </c>
      <c r="AE47" s="1083">
        <f t="shared" si="34"/>
        <v>1.0236589094053865</v>
      </c>
      <c r="AF47" s="1083">
        <f t="shared" si="35"/>
        <v>1.0296001486086803</v>
      </c>
      <c r="AG47" s="1083">
        <f t="shared" si="36"/>
        <v>1.029599684147243</v>
      </c>
      <c r="AH47" s="176">
        <f t="shared" si="37"/>
        <v>1.0296001444505225</v>
      </c>
      <c r="AI47" s="1081"/>
      <c r="AJ47" s="61"/>
    </row>
    <row r="48" spans="1:38" s="31" customFormat="1" ht="47.25" outlineLevel="1">
      <c r="A48" s="60"/>
      <c r="B48" s="1130" t="s">
        <v>51</v>
      </c>
      <c r="C48" s="658" t="s">
        <v>0</v>
      </c>
      <c r="D48" s="438">
        <f t="shared" si="18"/>
        <v>34.74</v>
      </c>
      <c r="E48" s="1108">
        <v>8.5299999999999994</v>
      </c>
      <c r="F48" s="1108"/>
      <c r="G48" s="439">
        <v>26.21</v>
      </c>
      <c r="H48" s="479">
        <v>115</v>
      </c>
      <c r="I48" s="438">
        <f t="shared" si="19"/>
        <v>77.97999999999999</v>
      </c>
      <c r="J48" s="1118">
        <f>ROUND(72.59*[175]индексы!G8*[175]индексы!$H$8*$J$137,2)</f>
        <v>12.16</v>
      </c>
      <c r="K48" s="1108"/>
      <c r="L48" s="442">
        <f>ROUND(72.59*[175]индексы!G8*[175]индексы!$H$8-J48,2)</f>
        <v>65.819999999999993</v>
      </c>
      <c r="M48" s="438">
        <f t="shared" si="20"/>
        <v>79.824921767183469</v>
      </c>
      <c r="N48" s="1129">
        <f t="shared" si="29"/>
        <v>12.447667624154915</v>
      </c>
      <c r="O48" s="1108"/>
      <c r="P48" s="642">
        <f t="shared" si="30"/>
        <v>67.377254143028551</v>
      </c>
      <c r="Q48" s="438">
        <f t="shared" si="21"/>
        <v>82.187751331467084</v>
      </c>
      <c r="R48" s="1129">
        <f t="shared" si="31"/>
        <v>12.81608405509016</v>
      </c>
      <c r="S48" s="1108"/>
      <c r="T48" s="642">
        <f t="shared" si="22"/>
        <v>69.371667276376925</v>
      </c>
      <c r="U48" s="438">
        <f t="shared" si="23"/>
        <v>84.620482833116782</v>
      </c>
      <c r="V48" s="1129">
        <f t="shared" si="24"/>
        <v>13.19539095009775</v>
      </c>
      <c r="W48" s="1108"/>
      <c r="X48" s="642">
        <f t="shared" si="25"/>
        <v>71.425091883019036</v>
      </c>
      <c r="Y48" s="438">
        <f t="shared" si="26"/>
        <v>87.125261343546498</v>
      </c>
      <c r="Z48" s="1129">
        <f t="shared" si="27"/>
        <v>13.585986740790091</v>
      </c>
      <c r="AA48" s="1108"/>
      <c r="AB48" s="642">
        <f t="shared" si="28"/>
        <v>73.539274602756407</v>
      </c>
      <c r="AC48" s="633">
        <f t="shared" si="32"/>
        <v>0.678086956521739</v>
      </c>
      <c r="AD48" s="1083">
        <f t="shared" si="33"/>
        <v>2.2446747265400111</v>
      </c>
      <c r="AE48" s="1083">
        <f t="shared" si="34"/>
        <v>1.0236589095560846</v>
      </c>
      <c r="AF48" s="1083">
        <f t="shared" si="35"/>
        <v>1.0296001488253883</v>
      </c>
      <c r="AG48" s="1083">
        <f t="shared" si="36"/>
        <v>1.029599684408427</v>
      </c>
      <c r="AH48" s="176">
        <f t="shared" si="37"/>
        <v>1.0296001443925755</v>
      </c>
      <c r="AI48" s="1081" t="s">
        <v>558</v>
      </c>
      <c r="AJ48" s="61"/>
    </row>
    <row r="49" spans="1:37" s="31" customFormat="1" ht="18.75" outlineLevel="1">
      <c r="A49" s="60"/>
      <c r="B49" s="1130" t="s">
        <v>233</v>
      </c>
      <c r="C49" s="658" t="s">
        <v>0</v>
      </c>
      <c r="D49" s="438">
        <f t="shared" si="18"/>
        <v>0</v>
      </c>
      <c r="E49" s="1108"/>
      <c r="F49" s="1108"/>
      <c r="G49" s="439"/>
      <c r="H49" s="479">
        <f>378.8+137</f>
        <v>515.79999999999995</v>
      </c>
      <c r="I49" s="438">
        <f t="shared" si="19"/>
        <v>137</v>
      </c>
      <c r="J49" s="1118">
        <f>ROUND(137*$J$137,2)</f>
        <v>21.36</v>
      </c>
      <c r="K49" s="1108"/>
      <c r="L49" s="442">
        <f>ROUND(137-J49,2)</f>
        <v>115.64</v>
      </c>
      <c r="M49" s="438">
        <f t="shared" si="20"/>
        <v>118.3759597250049</v>
      </c>
      <c r="N49" s="1108"/>
      <c r="O49" s="1108"/>
      <c r="P49" s="642">
        <f t="shared" si="30"/>
        <v>118.3759597250049</v>
      </c>
      <c r="Q49" s="438">
        <f t="shared" si="21"/>
        <v>121.87996967244345</v>
      </c>
      <c r="R49" s="1129">
        <f t="shared" si="31"/>
        <v>0</v>
      </c>
      <c r="S49" s="1108"/>
      <c r="T49" s="642">
        <f t="shared" si="22"/>
        <v>121.87996967244345</v>
      </c>
      <c r="U49" s="438">
        <f t="shared" si="23"/>
        <v>125.48765763221395</v>
      </c>
      <c r="V49" s="1129">
        <f t="shared" si="24"/>
        <v>0</v>
      </c>
      <c r="W49" s="1108"/>
      <c r="X49" s="642">
        <f t="shared" si="25"/>
        <v>125.48765763221395</v>
      </c>
      <c r="Y49" s="438">
        <f t="shared" si="26"/>
        <v>129.20209229812747</v>
      </c>
      <c r="Z49" s="1129">
        <f t="shared" si="27"/>
        <v>0</v>
      </c>
      <c r="AA49" s="1108"/>
      <c r="AB49" s="642">
        <f t="shared" si="28"/>
        <v>129.20209229812747</v>
      </c>
      <c r="AC49" s="633">
        <f t="shared" si="32"/>
        <v>0.26560682435052346</v>
      </c>
      <c r="AD49" s="1083" t="str">
        <f t="shared" si="33"/>
        <v xml:space="preserve"> </v>
      </c>
      <c r="AE49" s="1083">
        <f t="shared" si="34"/>
        <v>0.8640581001825175</v>
      </c>
      <c r="AF49" s="1083">
        <f t="shared" si="35"/>
        <v>1.0296006888187315</v>
      </c>
      <c r="AG49" s="1083">
        <f t="shared" si="36"/>
        <v>1.0296003352270786</v>
      </c>
      <c r="AH49" s="176">
        <f t="shared" si="37"/>
        <v>1.0295999999999998</v>
      </c>
      <c r="AI49" s="1081"/>
      <c r="AJ49" s="61"/>
    </row>
    <row r="50" spans="1:37" s="36" customFormat="1" ht="18.75">
      <c r="A50" s="39">
        <v>6</v>
      </c>
      <c r="B50" s="1131" t="s">
        <v>57</v>
      </c>
      <c r="C50" s="654" t="s">
        <v>0</v>
      </c>
      <c r="D50" s="438">
        <f t="shared" si="18"/>
        <v>0</v>
      </c>
      <c r="E50" s="1111"/>
      <c r="F50" s="1111"/>
      <c r="G50" s="435"/>
      <c r="H50" s="477"/>
      <c r="I50" s="438">
        <f t="shared" si="19"/>
        <v>0</v>
      </c>
      <c r="J50" s="1111"/>
      <c r="K50" s="1111"/>
      <c r="L50" s="435"/>
      <c r="M50" s="438">
        <f t="shared" si="20"/>
        <v>0</v>
      </c>
      <c r="N50" s="1111"/>
      <c r="O50" s="1111"/>
      <c r="P50" s="642">
        <f t="shared" si="30"/>
        <v>0</v>
      </c>
      <c r="Q50" s="438">
        <f t="shared" si="21"/>
        <v>0</v>
      </c>
      <c r="R50" s="1129">
        <f t="shared" si="31"/>
        <v>0</v>
      </c>
      <c r="S50" s="1111"/>
      <c r="T50" s="642">
        <f t="shared" si="22"/>
        <v>0</v>
      </c>
      <c r="U50" s="438">
        <f t="shared" si="23"/>
        <v>0</v>
      </c>
      <c r="V50" s="1129">
        <f t="shared" si="24"/>
        <v>0</v>
      </c>
      <c r="W50" s="1111"/>
      <c r="X50" s="642">
        <f t="shared" si="25"/>
        <v>0</v>
      </c>
      <c r="Y50" s="438">
        <f t="shared" si="26"/>
        <v>0</v>
      </c>
      <c r="Z50" s="1129">
        <f t="shared" si="27"/>
        <v>0</v>
      </c>
      <c r="AA50" s="1111"/>
      <c r="AB50" s="642">
        <f t="shared" si="28"/>
        <v>0</v>
      </c>
      <c r="AC50" s="633" t="str">
        <f t="shared" si="32"/>
        <v xml:space="preserve"> </v>
      </c>
      <c r="AD50" s="1083" t="str">
        <f t="shared" si="33"/>
        <v xml:space="preserve"> </v>
      </c>
      <c r="AE50" s="1083" t="str">
        <f t="shared" si="34"/>
        <v xml:space="preserve"> </v>
      </c>
      <c r="AF50" s="1083" t="str">
        <f t="shared" si="35"/>
        <v xml:space="preserve"> </v>
      </c>
      <c r="AG50" s="1083" t="str">
        <f t="shared" si="36"/>
        <v xml:space="preserve"> </v>
      </c>
      <c r="AH50" s="176" t="str">
        <f t="shared" si="37"/>
        <v xml:space="preserve"> </v>
      </c>
      <c r="AI50" s="1081"/>
      <c r="AJ50" s="47"/>
    </row>
    <row r="51" spans="1:37" s="36" customFormat="1" ht="18.75">
      <c r="A51" s="39" t="s">
        <v>23</v>
      </c>
      <c r="B51" s="1131" t="s">
        <v>58</v>
      </c>
      <c r="C51" s="654" t="s">
        <v>0</v>
      </c>
      <c r="D51" s="445">
        <f t="shared" si="18"/>
        <v>18.48</v>
      </c>
      <c r="E51" s="1111">
        <v>4.54</v>
      </c>
      <c r="F51" s="1111"/>
      <c r="G51" s="435">
        <v>13.94</v>
      </c>
      <c r="H51" s="477">
        <v>25</v>
      </c>
      <c r="I51" s="445">
        <f t="shared" si="19"/>
        <v>19.329999999999998</v>
      </c>
      <c r="J51" s="1135">
        <f>ROUND(D51*[175]индексы!$H$8*$J$137,2)</f>
        <v>3.01</v>
      </c>
      <c r="K51" s="1111"/>
      <c r="L51" s="649">
        <f>ROUND(D51*[175]индексы!$H$8-J51,2)</f>
        <v>16.32</v>
      </c>
      <c r="M51" s="445">
        <f t="shared" si="20"/>
        <v>19.787326732002395</v>
      </c>
      <c r="N51" s="1132">
        <f>IF($N$20&gt;0,J51/$J$20*$N$20,0)</f>
        <v>3.0812071997291359</v>
      </c>
      <c r="O51" s="1111"/>
      <c r="P51" s="643">
        <f t="shared" si="30"/>
        <v>16.706119532273259</v>
      </c>
      <c r="Q51" s="445">
        <f t="shared" si="21"/>
        <v>20.373034563263761</v>
      </c>
      <c r="R51" s="1132">
        <f t="shared" si="31"/>
        <v>3.1724023853471528</v>
      </c>
      <c r="S51" s="1111"/>
      <c r="T51" s="643">
        <f t="shared" si="22"/>
        <v>17.20063217791661</v>
      </c>
      <c r="U51" s="445">
        <f t="shared" si="23"/>
        <v>20.976069975562645</v>
      </c>
      <c r="V51" s="1132">
        <f t="shared" si="24"/>
        <v>3.2662933190620249</v>
      </c>
      <c r="W51" s="1111"/>
      <c r="X51" s="643">
        <f t="shared" si="25"/>
        <v>17.709776656500619</v>
      </c>
      <c r="Y51" s="445">
        <f t="shared" si="26"/>
        <v>21.596964671337165</v>
      </c>
      <c r="Z51" s="1132">
        <f t="shared" si="27"/>
        <v>3.3629786258041259</v>
      </c>
      <c r="AA51" s="1111"/>
      <c r="AB51" s="643">
        <f t="shared" si="28"/>
        <v>18.23398604553304</v>
      </c>
      <c r="AC51" s="633">
        <f t="shared" si="32"/>
        <v>0.77319999999999989</v>
      </c>
      <c r="AD51" s="1083">
        <f t="shared" si="33"/>
        <v>1.0459956709956708</v>
      </c>
      <c r="AE51" s="1083">
        <f t="shared" si="34"/>
        <v>1.0236589100880702</v>
      </c>
      <c r="AF51" s="1083">
        <f t="shared" si="35"/>
        <v>1.0296001495903988</v>
      </c>
      <c r="AG51" s="1083">
        <f t="shared" si="36"/>
        <v>1.0295996853304448</v>
      </c>
      <c r="AH51" s="176">
        <f t="shared" si="37"/>
        <v>1.0296001441880138</v>
      </c>
      <c r="AI51" s="1081"/>
      <c r="AJ51" s="47"/>
    </row>
    <row r="52" spans="1:37" s="36" customFormat="1" ht="18.75">
      <c r="A52" s="39" t="s">
        <v>45</v>
      </c>
      <c r="B52" s="1131" t="s">
        <v>242</v>
      </c>
      <c r="C52" s="654" t="s">
        <v>0</v>
      </c>
      <c r="D52" s="438">
        <f t="shared" si="18"/>
        <v>0</v>
      </c>
      <c r="E52" s="1111"/>
      <c r="F52" s="1111"/>
      <c r="G52" s="435"/>
      <c r="H52" s="477"/>
      <c r="I52" s="438">
        <f t="shared" si="19"/>
        <v>0</v>
      </c>
      <c r="J52" s="1111"/>
      <c r="K52" s="1111"/>
      <c r="L52" s="435"/>
      <c r="M52" s="438">
        <f t="shared" si="20"/>
        <v>0</v>
      </c>
      <c r="N52" s="1111"/>
      <c r="O52" s="1111"/>
      <c r="P52" s="642"/>
      <c r="Q52" s="438">
        <f t="shared" si="21"/>
        <v>0</v>
      </c>
      <c r="R52" s="1129">
        <f t="shared" si="31"/>
        <v>0</v>
      </c>
      <c r="S52" s="1111"/>
      <c r="T52" s="642">
        <f t="shared" si="22"/>
        <v>0</v>
      </c>
      <c r="U52" s="438">
        <f t="shared" si="23"/>
        <v>0</v>
      </c>
      <c r="V52" s="1129">
        <f t="shared" si="24"/>
        <v>0</v>
      </c>
      <c r="W52" s="1111"/>
      <c r="X52" s="642">
        <f t="shared" si="25"/>
        <v>0</v>
      </c>
      <c r="Y52" s="438">
        <f t="shared" si="26"/>
        <v>0</v>
      </c>
      <c r="Z52" s="1129">
        <f t="shared" si="27"/>
        <v>0</v>
      </c>
      <c r="AA52" s="1111"/>
      <c r="AB52" s="642">
        <f t="shared" si="28"/>
        <v>0</v>
      </c>
      <c r="AC52" s="633" t="str">
        <f t="shared" si="32"/>
        <v xml:space="preserve"> </v>
      </c>
      <c r="AD52" s="1083" t="str">
        <f t="shared" si="33"/>
        <v xml:space="preserve"> </v>
      </c>
      <c r="AE52" s="1083" t="str">
        <f t="shared" si="34"/>
        <v xml:space="preserve"> </v>
      </c>
      <c r="AF52" s="1083" t="str">
        <f t="shared" si="35"/>
        <v xml:space="preserve"> </v>
      </c>
      <c r="AG52" s="1083" t="str">
        <f t="shared" si="36"/>
        <v xml:space="preserve"> </v>
      </c>
      <c r="AH52" s="176" t="str">
        <f t="shared" si="37"/>
        <v xml:space="preserve"> </v>
      </c>
      <c r="AI52" s="1081"/>
      <c r="AJ52" s="47"/>
    </row>
    <row r="53" spans="1:37" s="36" customFormat="1" ht="18.75">
      <c r="A53" s="39" t="s">
        <v>52</v>
      </c>
      <c r="B53" s="1131" t="s">
        <v>105</v>
      </c>
      <c r="C53" s="654" t="s">
        <v>0</v>
      </c>
      <c r="D53" s="438">
        <f t="shared" si="18"/>
        <v>297.18</v>
      </c>
      <c r="E53" s="1111">
        <v>72.95</v>
      </c>
      <c r="F53" s="1111"/>
      <c r="G53" s="435">
        <v>224.23</v>
      </c>
      <c r="H53" s="477">
        <v>318.39999999999998</v>
      </c>
      <c r="I53" s="603">
        <f t="shared" si="19"/>
        <v>318.39999999999998</v>
      </c>
      <c r="J53" s="1134"/>
      <c r="K53" s="1115"/>
      <c r="L53" s="881">
        <f>H53</f>
        <v>318.39999999999998</v>
      </c>
      <c r="M53" s="603">
        <f t="shared" si="20"/>
        <v>325.93311636493905</v>
      </c>
      <c r="N53" s="1133">
        <f>IF($N$20&gt;0,J53/$J$20*$N$20,0)</f>
        <v>0</v>
      </c>
      <c r="O53" s="1115"/>
      <c r="P53" s="643">
        <f>IF($P$20&gt;0,L53/$L$20*$P$20,0)</f>
        <v>325.93311636493905</v>
      </c>
      <c r="Q53" s="603">
        <f t="shared" si="21"/>
        <v>335.58096111817702</v>
      </c>
      <c r="R53" s="1132">
        <f t="shared" si="31"/>
        <v>0</v>
      </c>
      <c r="S53" s="1115"/>
      <c r="T53" s="643">
        <f t="shared" si="22"/>
        <v>335.58096111817702</v>
      </c>
      <c r="U53" s="603">
        <f t="shared" si="23"/>
        <v>345.5142700631003</v>
      </c>
      <c r="V53" s="1132">
        <f t="shared" si="24"/>
        <v>0</v>
      </c>
      <c r="W53" s="1115"/>
      <c r="X53" s="643">
        <f t="shared" si="25"/>
        <v>345.5142700631003</v>
      </c>
      <c r="Y53" s="603">
        <f t="shared" si="26"/>
        <v>355.74149245696805</v>
      </c>
      <c r="Z53" s="1132">
        <f t="shared" si="27"/>
        <v>0</v>
      </c>
      <c r="AA53" s="1115"/>
      <c r="AB53" s="643">
        <f t="shared" si="28"/>
        <v>355.74149245696805</v>
      </c>
      <c r="AC53" s="633">
        <f t="shared" si="32"/>
        <v>1</v>
      </c>
      <c r="AD53" s="1083">
        <f t="shared" si="33"/>
        <v>1.071404535971465</v>
      </c>
      <c r="AE53" s="1083">
        <f t="shared" si="34"/>
        <v>1.0236592850657635</v>
      </c>
      <c r="AF53" s="1083">
        <f t="shared" si="35"/>
        <v>1.0296006888187315</v>
      </c>
      <c r="AG53" s="1083">
        <f t="shared" si="36"/>
        <v>1.0296003352270786</v>
      </c>
      <c r="AH53" s="176">
        <f t="shared" si="37"/>
        <v>1.0295999999999998</v>
      </c>
      <c r="AI53" s="1081"/>
      <c r="AJ53" s="47"/>
      <c r="AK53" s="46"/>
    </row>
    <row r="54" spans="1:37" s="36" customFormat="1" ht="31.5">
      <c r="A54" s="39" t="s">
        <v>53</v>
      </c>
      <c r="B54" s="1131" t="s">
        <v>139</v>
      </c>
      <c r="C54" s="654" t="s">
        <v>0</v>
      </c>
      <c r="D54" s="443">
        <f t="shared" ref="D54:AB54" si="38">SUM(D55:D58)</f>
        <v>29.54</v>
      </c>
      <c r="E54" s="1123">
        <f t="shared" si="38"/>
        <v>7.26</v>
      </c>
      <c r="F54" s="1123">
        <f t="shared" si="38"/>
        <v>0</v>
      </c>
      <c r="G54" s="444">
        <f t="shared" si="38"/>
        <v>22.28</v>
      </c>
      <c r="H54" s="482">
        <f t="shared" si="38"/>
        <v>164.88499999999999</v>
      </c>
      <c r="I54" s="443">
        <f t="shared" si="38"/>
        <v>79.39</v>
      </c>
      <c r="J54" s="1123">
        <f t="shared" si="38"/>
        <v>12.37</v>
      </c>
      <c r="K54" s="1123">
        <f t="shared" si="38"/>
        <v>0</v>
      </c>
      <c r="L54" s="444">
        <f t="shared" si="38"/>
        <v>67.02</v>
      </c>
      <c r="M54" s="443">
        <f t="shared" si="38"/>
        <v>81.26828085342953</v>
      </c>
      <c r="N54" s="1123">
        <f t="shared" si="38"/>
        <v>12.662635568322065</v>
      </c>
      <c r="O54" s="1123">
        <f t="shared" si="38"/>
        <v>0</v>
      </c>
      <c r="P54" s="444">
        <f t="shared" si="38"/>
        <v>68.605645285107471</v>
      </c>
      <c r="Q54" s="443">
        <f t="shared" si="38"/>
        <v>83.673834096468084</v>
      </c>
      <c r="R54" s="1123">
        <f t="shared" si="38"/>
        <v>13.037414454067868</v>
      </c>
      <c r="S54" s="1123">
        <f t="shared" si="38"/>
        <v>0</v>
      </c>
      <c r="T54" s="444">
        <f t="shared" si="38"/>
        <v>70.636419642400199</v>
      </c>
      <c r="U54" s="443">
        <f t="shared" si="38"/>
        <v>86.150553222390485</v>
      </c>
      <c r="V54" s="1123">
        <f t="shared" si="38"/>
        <v>13.423271879334635</v>
      </c>
      <c r="W54" s="1123">
        <f t="shared" si="38"/>
        <v>0</v>
      </c>
      <c r="X54" s="444">
        <f t="shared" si="38"/>
        <v>72.72728134305585</v>
      </c>
      <c r="Y54" s="443">
        <f t="shared" si="38"/>
        <v>88.700622027354171</v>
      </c>
      <c r="Z54" s="1123">
        <f t="shared" si="38"/>
        <v>13.820613156543867</v>
      </c>
      <c r="AA54" s="1123">
        <f t="shared" si="38"/>
        <v>0</v>
      </c>
      <c r="AB54" s="444">
        <f t="shared" si="38"/>
        <v>74.8800088708103</v>
      </c>
      <c r="AC54" s="633">
        <f t="shared" si="32"/>
        <v>0.48148709706765325</v>
      </c>
      <c r="AD54" s="1083">
        <f t="shared" si="33"/>
        <v>2.6875423155044009</v>
      </c>
      <c r="AE54" s="1083">
        <f t="shared" si="34"/>
        <v>1.0236589098555176</v>
      </c>
      <c r="AF54" s="1083">
        <f t="shared" si="35"/>
        <v>1.0296001492559816</v>
      </c>
      <c r="AG54" s="1083">
        <f t="shared" si="36"/>
        <v>1.029599684927393</v>
      </c>
      <c r="AH54" s="176">
        <f t="shared" si="37"/>
        <v>1.0296001442774361</v>
      </c>
      <c r="AI54" s="1081"/>
      <c r="AJ54" s="47"/>
    </row>
    <row r="55" spans="1:37" s="31" customFormat="1" ht="18.75" outlineLevel="1">
      <c r="A55" s="60"/>
      <c r="B55" s="1130" t="s">
        <v>235</v>
      </c>
      <c r="C55" s="658" t="s">
        <v>0</v>
      </c>
      <c r="D55" s="438">
        <f>E55+F55+G55</f>
        <v>0</v>
      </c>
      <c r="E55" s="1108"/>
      <c r="F55" s="1108"/>
      <c r="G55" s="439"/>
      <c r="H55" s="479">
        <f>47.165</f>
        <v>47.164999999999999</v>
      </c>
      <c r="I55" s="438">
        <f>J55+K55+L55</f>
        <v>47.17</v>
      </c>
      <c r="J55" s="1118">
        <f>ROUND(H55*$J$137,2)</f>
        <v>7.35</v>
      </c>
      <c r="K55" s="1108"/>
      <c r="L55" s="442">
        <f>ROUND(H55-J55,2)</f>
        <v>39.82</v>
      </c>
      <c r="M55" s="602">
        <f>N55+O55+P55</f>
        <v>48.285990777168919</v>
      </c>
      <c r="N55" s="1129">
        <f>IF($N$20&gt;0,J55/$J$20*$N$20,0)</f>
        <v>7.5238780458502159</v>
      </c>
      <c r="O55" s="1108"/>
      <c r="P55" s="642">
        <f>IF($P$20&gt;0,L55/$L$20*$P$20,0)</f>
        <v>40.762112731318702</v>
      </c>
      <c r="Q55" s="438">
        <f>R55+S55+T55</f>
        <v>49.715263310092311</v>
      </c>
      <c r="R55" s="1129">
        <f>IF($R$20&gt;0,N55/$N$20*$R$20,0)</f>
        <v>7.7465639642197921</v>
      </c>
      <c r="S55" s="1108"/>
      <c r="T55" s="642">
        <f>IF($T$20&gt;0,P55/$P$20*$T$20,0)</f>
        <v>41.968699345872515</v>
      </c>
      <c r="U55" s="438">
        <f>V55+W55+X55</f>
        <v>51.186819438845809</v>
      </c>
      <c r="V55" s="1129">
        <f>IF($V$20&gt;0,R55/$R$20*$V$20,0)</f>
        <v>7.9758325232909915</v>
      </c>
      <c r="W55" s="1108"/>
      <c r="X55" s="642">
        <f>IF($X$20&gt;0,T55/$T$20*$X$20,0)</f>
        <v>43.21098691555482</v>
      </c>
      <c r="Y55" s="438">
        <f>Z55+AA55+AB55</f>
        <v>52.701956679637412</v>
      </c>
      <c r="Z55" s="1129">
        <f>IF($Z$20&gt;0,V55/$V$20*$Z$20,0)</f>
        <v>8.2119245513821681</v>
      </c>
      <c r="AA55" s="1108"/>
      <c r="AB55" s="642">
        <f>IF($AB$20&gt;0,X55/$X$20*$AB$20,0)</f>
        <v>44.490032128255244</v>
      </c>
      <c r="AC55" s="633">
        <f t="shared" si="32"/>
        <v>1.000106010813103</v>
      </c>
      <c r="AD55" s="1083" t="str">
        <f t="shared" si="33"/>
        <v xml:space="preserve"> </v>
      </c>
      <c r="AE55" s="1083">
        <f t="shared" si="34"/>
        <v>1.0236589098403417</v>
      </c>
      <c r="AF55" s="1083">
        <f t="shared" si="35"/>
        <v>1.0296001492341582</v>
      </c>
      <c r="AG55" s="1083">
        <f t="shared" si="36"/>
        <v>1.0295996849010909</v>
      </c>
      <c r="AH55" s="176">
        <f t="shared" si="37"/>
        <v>1.0296001442832714</v>
      </c>
      <c r="AI55" s="1081"/>
      <c r="AJ55" s="61"/>
    </row>
    <row r="56" spans="1:37" s="31" customFormat="1" ht="18.75" outlineLevel="1">
      <c r="A56" s="60"/>
      <c r="B56" s="1130" t="s">
        <v>236</v>
      </c>
      <c r="C56" s="658" t="s">
        <v>0</v>
      </c>
      <c r="D56" s="438">
        <f>E56+F56+G56</f>
        <v>0</v>
      </c>
      <c r="E56" s="1108"/>
      <c r="F56" s="1108"/>
      <c r="G56" s="439"/>
      <c r="H56" s="479">
        <v>85.5</v>
      </c>
      <c r="I56" s="494">
        <f>J56+K56+L56</f>
        <v>0</v>
      </c>
      <c r="J56" s="1108"/>
      <c r="K56" s="1108"/>
      <c r="L56" s="439"/>
      <c r="M56" s="494">
        <f>N56+O56+P56</f>
        <v>0</v>
      </c>
      <c r="N56" s="1108"/>
      <c r="O56" s="1108"/>
      <c r="P56" s="439"/>
      <c r="Q56" s="494">
        <f>R56+S56+T56</f>
        <v>0</v>
      </c>
      <c r="R56" s="1108"/>
      <c r="S56" s="1108"/>
      <c r="T56" s="439"/>
      <c r="U56" s="494">
        <f>V56+W56+X56</f>
        <v>0</v>
      </c>
      <c r="V56" s="1108"/>
      <c r="W56" s="1108"/>
      <c r="X56" s="439"/>
      <c r="Y56" s="494">
        <f>Z56+AA56+AB56</f>
        <v>0</v>
      </c>
      <c r="Z56" s="1108"/>
      <c r="AA56" s="1108"/>
      <c r="AB56" s="439"/>
      <c r="AC56" s="633">
        <f t="shared" si="32"/>
        <v>0</v>
      </c>
      <c r="AD56" s="1083" t="str">
        <f t="shared" si="33"/>
        <v xml:space="preserve"> </v>
      </c>
      <c r="AE56" s="1083" t="str">
        <f t="shared" si="34"/>
        <v xml:space="preserve"> </v>
      </c>
      <c r="AF56" s="1083" t="str">
        <f t="shared" si="35"/>
        <v xml:space="preserve"> </v>
      </c>
      <c r="AG56" s="1083" t="str">
        <f t="shared" si="36"/>
        <v xml:space="preserve"> </v>
      </c>
      <c r="AH56" s="176" t="str">
        <f t="shared" si="37"/>
        <v xml:space="preserve"> </v>
      </c>
      <c r="AI56" s="1081"/>
      <c r="AJ56" s="61"/>
    </row>
    <row r="57" spans="1:37" s="31" customFormat="1" ht="18.75" outlineLevel="1">
      <c r="A57" s="60"/>
      <c r="B57" s="1130" t="s">
        <v>404</v>
      </c>
      <c r="C57" s="658" t="s">
        <v>0</v>
      </c>
      <c r="D57" s="438">
        <f>E57+F57+G57</f>
        <v>0</v>
      </c>
      <c r="E57" s="1108"/>
      <c r="F57" s="1108"/>
      <c r="G57" s="439"/>
      <c r="H57" s="479"/>
      <c r="I57" s="438">
        <f>J57+K57+L57</f>
        <v>0</v>
      </c>
      <c r="J57" s="1108"/>
      <c r="K57" s="1108"/>
      <c r="L57" s="439"/>
      <c r="M57" s="438">
        <f>N57+O57+P57</f>
        <v>0</v>
      </c>
      <c r="N57" s="1108"/>
      <c r="O57" s="1108"/>
      <c r="P57" s="439"/>
      <c r="Q57" s="438">
        <f>R57+S57+T57</f>
        <v>0</v>
      </c>
      <c r="R57" s="1108"/>
      <c r="S57" s="1108"/>
      <c r="T57" s="439"/>
      <c r="U57" s="438">
        <f>V57+W57+X57</f>
        <v>0</v>
      </c>
      <c r="V57" s="1108"/>
      <c r="W57" s="1108"/>
      <c r="X57" s="439"/>
      <c r="Y57" s="438">
        <f>Z57+AA57+AB57</f>
        <v>0</v>
      </c>
      <c r="Z57" s="1108"/>
      <c r="AA57" s="1108"/>
      <c r="AB57" s="439"/>
      <c r="AC57" s="633" t="str">
        <f t="shared" si="32"/>
        <v xml:space="preserve"> </v>
      </c>
      <c r="AD57" s="1083" t="str">
        <f t="shared" si="33"/>
        <v xml:space="preserve"> </v>
      </c>
      <c r="AE57" s="1083" t="str">
        <f t="shared" si="34"/>
        <v xml:space="preserve"> </v>
      </c>
      <c r="AF57" s="1083" t="str">
        <f t="shared" si="35"/>
        <v xml:space="preserve"> </v>
      </c>
      <c r="AG57" s="1083" t="str">
        <f t="shared" si="36"/>
        <v xml:space="preserve"> </v>
      </c>
      <c r="AH57" s="176" t="str">
        <f t="shared" si="37"/>
        <v xml:space="preserve"> </v>
      </c>
      <c r="AI57" s="1081"/>
      <c r="AJ57" s="348"/>
    </row>
    <row r="58" spans="1:37" s="1126" customFormat="1" ht="18.75" outlineLevel="1">
      <c r="A58" s="60"/>
      <c r="B58" s="1130" t="s">
        <v>250</v>
      </c>
      <c r="C58" s="658" t="s">
        <v>0</v>
      </c>
      <c r="D58" s="438">
        <f>E58+F58+G58</f>
        <v>29.54</v>
      </c>
      <c r="E58" s="1108">
        <v>7.26</v>
      </c>
      <c r="F58" s="1108"/>
      <c r="G58" s="439">
        <v>22.28</v>
      </c>
      <c r="H58" s="479">
        <v>32.22</v>
      </c>
      <c r="I58" s="438">
        <f>J58+K58+L58</f>
        <v>32.22</v>
      </c>
      <c r="J58" s="1118">
        <f>ROUND(H58*$J$137,2)</f>
        <v>5.0199999999999996</v>
      </c>
      <c r="K58" s="1108"/>
      <c r="L58" s="442">
        <f>ROUND(H58-J58,2)</f>
        <v>27.2</v>
      </c>
      <c r="M58" s="438">
        <f>N58+O58+P58</f>
        <v>32.982290076260618</v>
      </c>
      <c r="N58" s="1129">
        <f>IF($N$20&gt;0,J58/$J$20*$N$20,0)</f>
        <v>5.1387575224718489</v>
      </c>
      <c r="O58" s="1108"/>
      <c r="P58" s="642">
        <f>IF($P$20&gt;0,L58/$L$20*$P$20,0)</f>
        <v>27.843532553788769</v>
      </c>
      <c r="Q58" s="438">
        <f>R58+S58+T58</f>
        <v>33.958570786375766</v>
      </c>
      <c r="R58" s="1129">
        <f>IF($R$20&gt;0,N58/$N$20*$R$20,0)</f>
        <v>5.2908504898480766</v>
      </c>
      <c r="S58" s="1108"/>
      <c r="T58" s="642">
        <f>IF($T$20&gt;0,P58/$P$20*$T$20,0)</f>
        <v>28.667720296527687</v>
      </c>
      <c r="U58" s="438">
        <f>V58+W58+X58</f>
        <v>34.963733783544676</v>
      </c>
      <c r="V58" s="1129">
        <f>IF($V$20&gt;0,R58/$R$20*$V$20,0)</f>
        <v>5.4474393560436445</v>
      </c>
      <c r="W58" s="1108"/>
      <c r="X58" s="642">
        <f>IF($X$20&gt;0,T58/$T$20*$X$20,0)</f>
        <v>29.51629442750103</v>
      </c>
      <c r="Y58" s="438">
        <f>Z58+AA58+AB58</f>
        <v>35.998665347716759</v>
      </c>
      <c r="Z58" s="1129">
        <f>IF($Z$20&gt;0,V58/$V$20*$Z$20,0)</f>
        <v>5.6086886051617002</v>
      </c>
      <c r="AA58" s="1108"/>
      <c r="AB58" s="642">
        <f>IF($AB$20&gt;0,X58/$X$20*$AB$20,0)</f>
        <v>30.38997674255506</v>
      </c>
      <c r="AC58" s="633">
        <f t="shared" si="32"/>
        <v>1</v>
      </c>
      <c r="AD58" s="1083">
        <f t="shared" si="33"/>
        <v>1.0907244414353419</v>
      </c>
      <c r="AE58" s="1083">
        <f t="shared" si="34"/>
        <v>1.0236589098777349</v>
      </c>
      <c r="AF58" s="1083">
        <f t="shared" si="35"/>
        <v>1.0296001492879308</v>
      </c>
      <c r="AG58" s="1083">
        <f t="shared" si="36"/>
        <v>1.0295996849658993</v>
      </c>
      <c r="AH58" s="176">
        <f t="shared" si="37"/>
        <v>1.0296001442688929</v>
      </c>
      <c r="AI58" s="1128"/>
      <c r="AJ58" s="1127"/>
    </row>
    <row r="59" spans="1:37" s="33" customFormat="1" ht="18.75">
      <c r="A59" s="1235" t="s">
        <v>106</v>
      </c>
      <c r="B59" s="1239"/>
      <c r="C59" s="647" t="s">
        <v>0</v>
      </c>
      <c r="D59" s="640">
        <f t="shared" ref="D59:AB59" si="39">SUM(D60,D63,D72:D75,D79,D80:D82)</f>
        <v>3609.1349999999998</v>
      </c>
      <c r="E59" s="1125">
        <f t="shared" si="39"/>
        <v>2237.0749999999998</v>
      </c>
      <c r="F59" s="1125">
        <f t="shared" si="39"/>
        <v>0</v>
      </c>
      <c r="G59" s="641">
        <f t="shared" si="39"/>
        <v>1372.06</v>
      </c>
      <c r="H59" s="651">
        <f t="shared" si="39"/>
        <v>4218.0540000000001</v>
      </c>
      <c r="I59" s="640">
        <f t="shared" si="39"/>
        <v>2075.02</v>
      </c>
      <c r="J59" s="1125">
        <f t="shared" si="39"/>
        <v>1193.1300000000001</v>
      </c>
      <c r="K59" s="1125">
        <f t="shared" si="39"/>
        <v>0</v>
      </c>
      <c r="L59" s="641">
        <f t="shared" si="39"/>
        <v>881.89</v>
      </c>
      <c r="M59" s="640">
        <f t="shared" si="39"/>
        <v>2092.79</v>
      </c>
      <c r="N59" s="1125">
        <f t="shared" si="39"/>
        <v>1195.9100000000001</v>
      </c>
      <c r="O59" s="1125">
        <f t="shared" si="39"/>
        <v>0</v>
      </c>
      <c r="P59" s="641">
        <f t="shared" si="39"/>
        <v>896.88</v>
      </c>
      <c r="Q59" s="640">
        <f t="shared" si="39"/>
        <v>2115.5</v>
      </c>
      <c r="R59" s="1125">
        <f t="shared" si="39"/>
        <v>1199.44</v>
      </c>
      <c r="S59" s="1125">
        <f t="shared" si="39"/>
        <v>0</v>
      </c>
      <c r="T59" s="641">
        <f t="shared" si="39"/>
        <v>916.06000000000006</v>
      </c>
      <c r="U59" s="640">
        <f t="shared" si="39"/>
        <v>2138.92</v>
      </c>
      <c r="V59" s="1125">
        <f t="shared" si="39"/>
        <v>1203.0999999999999</v>
      </c>
      <c r="W59" s="1125">
        <f t="shared" si="39"/>
        <v>0</v>
      </c>
      <c r="X59" s="641">
        <f t="shared" si="39"/>
        <v>935.82</v>
      </c>
      <c r="Y59" s="640">
        <f t="shared" si="39"/>
        <v>2148.6800000000003</v>
      </c>
      <c r="Z59" s="1125">
        <f t="shared" si="39"/>
        <v>1192.52</v>
      </c>
      <c r="AA59" s="1125">
        <f t="shared" si="39"/>
        <v>0</v>
      </c>
      <c r="AB59" s="641">
        <f t="shared" si="39"/>
        <v>956.16</v>
      </c>
      <c r="AC59" s="633">
        <f t="shared" si="32"/>
        <v>0.49193775138962181</v>
      </c>
      <c r="AD59" s="1083">
        <f t="shared" si="33"/>
        <v>0.57493554549774395</v>
      </c>
      <c r="AE59" s="1083">
        <f t="shared" si="34"/>
        <v>1.0085637728792975</v>
      </c>
      <c r="AF59" s="1083">
        <f t="shared" si="35"/>
        <v>1.0108515426774785</v>
      </c>
      <c r="AG59" s="1083">
        <f t="shared" si="36"/>
        <v>1.011070668872607</v>
      </c>
      <c r="AH59" s="176">
        <f t="shared" si="37"/>
        <v>1.0045630505114731</v>
      </c>
      <c r="AI59" s="1105"/>
    </row>
    <row r="60" spans="1:37" s="36" customFormat="1" ht="31.5">
      <c r="A60" s="39" t="s">
        <v>28</v>
      </c>
      <c r="B60" s="1116" t="s">
        <v>107</v>
      </c>
      <c r="C60" s="659" t="s">
        <v>0</v>
      </c>
      <c r="D60" s="443">
        <f t="shared" ref="D60:AB60" si="40">SUM(D61:D62)</f>
        <v>0</v>
      </c>
      <c r="E60" s="1123">
        <f t="shared" si="40"/>
        <v>0</v>
      </c>
      <c r="F60" s="1123">
        <f t="shared" si="40"/>
        <v>0</v>
      </c>
      <c r="G60" s="444">
        <f t="shared" si="40"/>
        <v>0</v>
      </c>
      <c r="H60" s="482">
        <f t="shared" si="40"/>
        <v>0</v>
      </c>
      <c r="I60" s="443">
        <f t="shared" si="40"/>
        <v>0</v>
      </c>
      <c r="J60" s="1123">
        <f t="shared" si="40"/>
        <v>0</v>
      </c>
      <c r="K60" s="1123">
        <f t="shared" si="40"/>
        <v>0</v>
      </c>
      <c r="L60" s="444">
        <f t="shared" si="40"/>
        <v>0</v>
      </c>
      <c r="M60" s="443">
        <f t="shared" si="40"/>
        <v>0</v>
      </c>
      <c r="N60" s="1123">
        <f t="shared" si="40"/>
        <v>0</v>
      </c>
      <c r="O60" s="1123">
        <f t="shared" si="40"/>
        <v>0</v>
      </c>
      <c r="P60" s="444">
        <f t="shared" si="40"/>
        <v>0</v>
      </c>
      <c r="Q60" s="443">
        <f t="shared" si="40"/>
        <v>0</v>
      </c>
      <c r="R60" s="1123">
        <f t="shared" si="40"/>
        <v>0</v>
      </c>
      <c r="S60" s="1123">
        <f t="shared" si="40"/>
        <v>0</v>
      </c>
      <c r="T60" s="444">
        <f t="shared" si="40"/>
        <v>0</v>
      </c>
      <c r="U60" s="443">
        <f t="shared" si="40"/>
        <v>0</v>
      </c>
      <c r="V60" s="1123">
        <f t="shared" si="40"/>
        <v>0</v>
      </c>
      <c r="W60" s="1123">
        <f t="shared" si="40"/>
        <v>0</v>
      </c>
      <c r="X60" s="444">
        <f t="shared" si="40"/>
        <v>0</v>
      </c>
      <c r="Y60" s="443">
        <f t="shared" si="40"/>
        <v>0</v>
      </c>
      <c r="Z60" s="1123">
        <f t="shared" si="40"/>
        <v>0</v>
      </c>
      <c r="AA60" s="1123">
        <f t="shared" si="40"/>
        <v>0</v>
      </c>
      <c r="AB60" s="444">
        <f t="shared" si="40"/>
        <v>0</v>
      </c>
      <c r="AC60" s="633" t="str">
        <f t="shared" si="32"/>
        <v xml:space="preserve"> </v>
      </c>
      <c r="AD60" s="1083" t="str">
        <f t="shared" si="33"/>
        <v xml:space="preserve"> </v>
      </c>
      <c r="AE60" s="1083" t="str">
        <f t="shared" si="34"/>
        <v xml:space="preserve"> </v>
      </c>
      <c r="AF60" s="1083" t="str">
        <f t="shared" si="35"/>
        <v xml:space="preserve"> </v>
      </c>
      <c r="AG60" s="1083" t="str">
        <f t="shared" si="36"/>
        <v xml:space="preserve"> </v>
      </c>
      <c r="AH60" s="176" t="str">
        <f t="shared" si="37"/>
        <v xml:space="preserve"> </v>
      </c>
      <c r="AI60" s="1081"/>
    </row>
    <row r="61" spans="1:37" s="31" customFormat="1" ht="18.75">
      <c r="A61" s="60" t="s">
        <v>29</v>
      </c>
      <c r="B61" s="1124" t="s">
        <v>108</v>
      </c>
      <c r="C61" s="660" t="s">
        <v>0</v>
      </c>
      <c r="D61" s="438">
        <f>E61+F61+G61</f>
        <v>0</v>
      </c>
      <c r="E61" s="1108"/>
      <c r="F61" s="1108"/>
      <c r="G61" s="439"/>
      <c r="H61" s="479"/>
      <c r="I61" s="438">
        <f>J61+K61+L61</f>
        <v>0</v>
      </c>
      <c r="J61" s="1108"/>
      <c r="K61" s="1108"/>
      <c r="L61" s="439"/>
      <c r="M61" s="438">
        <f>N61+O61+P61</f>
        <v>0</v>
      </c>
      <c r="N61" s="1108"/>
      <c r="O61" s="1108"/>
      <c r="P61" s="439"/>
      <c r="Q61" s="438">
        <f>R61+S61+T61</f>
        <v>0</v>
      </c>
      <c r="R61" s="1108"/>
      <c r="S61" s="1108"/>
      <c r="T61" s="439"/>
      <c r="U61" s="438">
        <f>V61+W61+X61</f>
        <v>0</v>
      </c>
      <c r="V61" s="1108"/>
      <c r="W61" s="1108"/>
      <c r="X61" s="439"/>
      <c r="Y61" s="438">
        <f>Z61+AA61+AB61</f>
        <v>0</v>
      </c>
      <c r="Z61" s="1108"/>
      <c r="AA61" s="1108"/>
      <c r="AB61" s="439"/>
      <c r="AC61" s="633" t="str">
        <f t="shared" si="32"/>
        <v xml:space="preserve"> </v>
      </c>
      <c r="AD61" s="1083" t="str">
        <f t="shared" si="33"/>
        <v xml:space="preserve"> </v>
      </c>
      <c r="AE61" s="1083" t="str">
        <f t="shared" si="34"/>
        <v xml:space="preserve"> </v>
      </c>
      <c r="AF61" s="1083" t="str">
        <f t="shared" si="35"/>
        <v xml:space="preserve"> </v>
      </c>
      <c r="AG61" s="1083" t="str">
        <f t="shared" si="36"/>
        <v xml:space="preserve"> </v>
      </c>
      <c r="AH61" s="176" t="str">
        <f t="shared" si="37"/>
        <v xml:space="preserve"> </v>
      </c>
      <c r="AI61" s="1081"/>
    </row>
    <row r="62" spans="1:37" s="31" customFormat="1" ht="18.75">
      <c r="A62" s="60" t="s">
        <v>30</v>
      </c>
      <c r="B62" s="1124" t="s">
        <v>47</v>
      </c>
      <c r="C62" s="660" t="s">
        <v>0</v>
      </c>
      <c r="D62" s="438">
        <f>E62+F62+G62</f>
        <v>0</v>
      </c>
      <c r="E62" s="1108"/>
      <c r="F62" s="1108"/>
      <c r="G62" s="439"/>
      <c r="H62" s="479"/>
      <c r="I62" s="438">
        <f>J62+K62+L62</f>
        <v>0</v>
      </c>
      <c r="J62" s="1108"/>
      <c r="K62" s="1108"/>
      <c r="L62" s="439"/>
      <c r="M62" s="438">
        <f>N62+O62+P62</f>
        <v>0</v>
      </c>
      <c r="N62" s="1108"/>
      <c r="O62" s="1108"/>
      <c r="P62" s="439"/>
      <c r="Q62" s="438">
        <f>R62+S62+T62</f>
        <v>0</v>
      </c>
      <c r="R62" s="1108"/>
      <c r="S62" s="1108"/>
      <c r="T62" s="439"/>
      <c r="U62" s="438">
        <f>V62+W62+X62</f>
        <v>0</v>
      </c>
      <c r="V62" s="1108"/>
      <c r="W62" s="1108"/>
      <c r="X62" s="439"/>
      <c r="Y62" s="438">
        <f>Z62+AA62+AB62</f>
        <v>0</v>
      </c>
      <c r="Z62" s="1108"/>
      <c r="AA62" s="1108"/>
      <c r="AB62" s="439"/>
      <c r="AC62" s="633" t="str">
        <f t="shared" si="32"/>
        <v xml:space="preserve"> </v>
      </c>
      <c r="AD62" s="1083" t="str">
        <f t="shared" si="33"/>
        <v xml:space="preserve"> </v>
      </c>
      <c r="AE62" s="1083" t="str">
        <f t="shared" si="34"/>
        <v xml:space="preserve"> </v>
      </c>
      <c r="AF62" s="1083" t="str">
        <f t="shared" si="35"/>
        <v xml:space="preserve"> </v>
      </c>
      <c r="AG62" s="1083" t="str">
        <f t="shared" si="36"/>
        <v xml:space="preserve"> </v>
      </c>
      <c r="AH62" s="176" t="str">
        <f t="shared" si="37"/>
        <v xml:space="preserve"> </v>
      </c>
      <c r="AI62" s="1081"/>
    </row>
    <row r="63" spans="1:37" s="36" customFormat="1" ht="31.5">
      <c r="A63" s="39" t="s">
        <v>31</v>
      </c>
      <c r="B63" s="1116" t="s">
        <v>109</v>
      </c>
      <c r="C63" s="659" t="s">
        <v>0</v>
      </c>
      <c r="D63" s="443">
        <f t="shared" ref="D63:AB63" si="41">SUM(D64:D71)</f>
        <v>858.54</v>
      </c>
      <c r="E63" s="1123">
        <f t="shared" si="41"/>
        <v>27.65</v>
      </c>
      <c r="F63" s="1123">
        <f t="shared" si="41"/>
        <v>0</v>
      </c>
      <c r="G63" s="444">
        <f t="shared" si="41"/>
        <v>830.89</v>
      </c>
      <c r="H63" s="482">
        <f t="shared" si="41"/>
        <v>987.14</v>
      </c>
      <c r="I63" s="443">
        <f t="shared" si="41"/>
        <v>266.77</v>
      </c>
      <c r="J63" s="1123">
        <f t="shared" si="41"/>
        <v>18.170000000000002</v>
      </c>
      <c r="K63" s="1123">
        <f t="shared" si="41"/>
        <v>0</v>
      </c>
      <c r="L63" s="444">
        <f t="shared" si="41"/>
        <v>248.6</v>
      </c>
      <c r="M63" s="443">
        <f t="shared" si="41"/>
        <v>266.77</v>
      </c>
      <c r="N63" s="1123">
        <f t="shared" si="41"/>
        <v>18.170000000000002</v>
      </c>
      <c r="O63" s="1123">
        <f t="shared" si="41"/>
        <v>0</v>
      </c>
      <c r="P63" s="444">
        <f t="shared" si="41"/>
        <v>248.6</v>
      </c>
      <c r="Q63" s="443">
        <f t="shared" si="41"/>
        <v>266.77</v>
      </c>
      <c r="R63" s="1123">
        <f t="shared" si="41"/>
        <v>18.170000000000002</v>
      </c>
      <c r="S63" s="1123">
        <f t="shared" si="41"/>
        <v>0</v>
      </c>
      <c r="T63" s="444">
        <f t="shared" si="41"/>
        <v>248.6</v>
      </c>
      <c r="U63" s="443">
        <f t="shared" si="41"/>
        <v>266.77</v>
      </c>
      <c r="V63" s="1123">
        <f t="shared" si="41"/>
        <v>18.170000000000002</v>
      </c>
      <c r="W63" s="1123">
        <f t="shared" si="41"/>
        <v>0</v>
      </c>
      <c r="X63" s="444">
        <f t="shared" si="41"/>
        <v>248.6</v>
      </c>
      <c r="Y63" s="443">
        <f t="shared" si="41"/>
        <v>266.77</v>
      </c>
      <c r="Z63" s="1123">
        <f t="shared" si="41"/>
        <v>18.170000000000002</v>
      </c>
      <c r="AA63" s="1123">
        <f t="shared" si="41"/>
        <v>0</v>
      </c>
      <c r="AB63" s="444">
        <f t="shared" si="41"/>
        <v>248.6</v>
      </c>
      <c r="AC63" s="633">
        <f t="shared" si="32"/>
        <v>0.2702453552687562</v>
      </c>
      <c r="AD63" s="1083">
        <f t="shared" si="33"/>
        <v>0.310725184615743</v>
      </c>
      <c r="AE63" s="1083">
        <f t="shared" si="34"/>
        <v>1</v>
      </c>
      <c r="AF63" s="1083">
        <f t="shared" si="35"/>
        <v>1</v>
      </c>
      <c r="AG63" s="1083">
        <f t="shared" si="36"/>
        <v>1</v>
      </c>
      <c r="AH63" s="176">
        <f t="shared" si="37"/>
        <v>1</v>
      </c>
      <c r="AI63" s="1081"/>
    </row>
    <row r="64" spans="1:37" s="31" customFormat="1" ht="47.25" outlineLevel="1">
      <c r="A64" s="60"/>
      <c r="B64" s="1120" t="s">
        <v>248</v>
      </c>
      <c r="C64" s="658" t="s">
        <v>0</v>
      </c>
      <c r="D64" s="438">
        <f t="shared" ref="D64:D74" si="42">E64+F64+G64</f>
        <v>0</v>
      </c>
      <c r="E64" s="1108"/>
      <c r="F64" s="1108"/>
      <c r="G64" s="439"/>
      <c r="H64" s="479"/>
      <c r="I64" s="438">
        <f t="shared" ref="I64:I74" si="43">J64+K64+L64</f>
        <v>0</v>
      </c>
      <c r="J64" s="1108"/>
      <c r="K64" s="1108"/>
      <c r="L64" s="439"/>
      <c r="M64" s="438">
        <f t="shared" ref="M64:M74" si="44">N64+O64+P64</f>
        <v>0</v>
      </c>
      <c r="N64" s="1108"/>
      <c r="O64" s="1108"/>
      <c r="P64" s="439"/>
      <c r="Q64" s="438">
        <f t="shared" ref="Q64:Q74" si="45">R64+S64+T64</f>
        <v>0</v>
      </c>
      <c r="R64" s="1108"/>
      <c r="S64" s="1108"/>
      <c r="T64" s="439"/>
      <c r="U64" s="438">
        <f t="shared" ref="U64:U74" si="46">V64+W64+X64</f>
        <v>0</v>
      </c>
      <c r="V64" s="1108"/>
      <c r="W64" s="1108"/>
      <c r="X64" s="439"/>
      <c r="Y64" s="438">
        <f t="shared" ref="Y64:Y74" si="47">Z64+AA64+AB64</f>
        <v>0</v>
      </c>
      <c r="Z64" s="1108"/>
      <c r="AA64" s="1108"/>
      <c r="AB64" s="439"/>
      <c r="AC64" s="633" t="str">
        <f t="shared" si="32"/>
        <v xml:space="preserve"> </v>
      </c>
      <c r="AD64" s="1083" t="str">
        <f t="shared" si="33"/>
        <v xml:space="preserve"> </v>
      </c>
      <c r="AE64" s="1083" t="str">
        <f t="shared" si="34"/>
        <v xml:space="preserve"> </v>
      </c>
      <c r="AF64" s="1083" t="str">
        <f t="shared" si="35"/>
        <v xml:space="preserve"> </v>
      </c>
      <c r="AG64" s="1083" t="str">
        <f t="shared" si="36"/>
        <v xml:space="preserve"> </v>
      </c>
      <c r="AH64" s="176" t="str">
        <f t="shared" si="37"/>
        <v xml:space="preserve"> </v>
      </c>
      <c r="AI64" s="1081"/>
    </row>
    <row r="65" spans="1:37" s="31" customFormat="1" ht="31.5">
      <c r="A65" s="60"/>
      <c r="B65" s="1120" t="s">
        <v>110</v>
      </c>
      <c r="C65" s="658" t="s">
        <v>0</v>
      </c>
      <c r="D65" s="438">
        <f t="shared" si="42"/>
        <v>10</v>
      </c>
      <c r="E65" s="1108">
        <v>10</v>
      </c>
      <c r="F65" s="1108"/>
      <c r="G65" s="439"/>
      <c r="H65" s="479">
        <v>26.96</v>
      </c>
      <c r="I65" s="438">
        <f t="shared" si="43"/>
        <v>18.170000000000002</v>
      </c>
      <c r="J65" s="1121">
        <f>ROUND(9+9.17017,2)</f>
        <v>18.170000000000002</v>
      </c>
      <c r="K65" s="1108"/>
      <c r="L65" s="439"/>
      <c r="M65" s="438">
        <f t="shared" si="44"/>
        <v>18.170000000000002</v>
      </c>
      <c r="N65" s="1121">
        <f>J65</f>
        <v>18.170000000000002</v>
      </c>
      <c r="O65" s="1121"/>
      <c r="P65" s="883"/>
      <c r="Q65" s="602">
        <f t="shared" si="45"/>
        <v>18.170000000000002</v>
      </c>
      <c r="R65" s="1121">
        <f>N65</f>
        <v>18.170000000000002</v>
      </c>
      <c r="S65" s="1121"/>
      <c r="T65" s="883"/>
      <c r="U65" s="602">
        <f t="shared" si="46"/>
        <v>18.170000000000002</v>
      </c>
      <c r="V65" s="1121">
        <f>R65</f>
        <v>18.170000000000002</v>
      </c>
      <c r="W65" s="1121"/>
      <c r="X65" s="883"/>
      <c r="Y65" s="602">
        <f t="shared" si="47"/>
        <v>18.170000000000002</v>
      </c>
      <c r="Z65" s="1121">
        <f>V65</f>
        <v>18.170000000000002</v>
      </c>
      <c r="AA65" s="1121"/>
      <c r="AB65" s="883"/>
      <c r="AC65" s="633">
        <f t="shared" si="32"/>
        <v>0.67396142433234429</v>
      </c>
      <c r="AD65" s="1083">
        <f t="shared" si="33"/>
        <v>1.8170000000000002</v>
      </c>
      <c r="AE65" s="1083">
        <f t="shared" si="34"/>
        <v>1</v>
      </c>
      <c r="AF65" s="1083">
        <f t="shared" si="35"/>
        <v>1</v>
      </c>
      <c r="AG65" s="1083">
        <f t="shared" si="36"/>
        <v>1</v>
      </c>
      <c r="AH65" s="176">
        <f t="shared" si="37"/>
        <v>1</v>
      </c>
      <c r="AI65" s="1081" t="s">
        <v>563</v>
      </c>
    </row>
    <row r="66" spans="1:37" s="31" customFormat="1" ht="21.75" customHeight="1">
      <c r="A66" s="60"/>
      <c r="B66" s="1120" t="s">
        <v>111</v>
      </c>
      <c r="C66" s="658" t="s">
        <v>0</v>
      </c>
      <c r="D66" s="438">
        <f t="shared" si="42"/>
        <v>17.649999999999999</v>
      </c>
      <c r="E66" s="1108">
        <v>17.649999999999999</v>
      </c>
      <c r="F66" s="1108"/>
      <c r="G66" s="439"/>
      <c r="H66" s="479">
        <v>17.899999999999999</v>
      </c>
      <c r="I66" s="438">
        <f t="shared" si="43"/>
        <v>0</v>
      </c>
      <c r="J66" s="1122">
        <v>0</v>
      </c>
      <c r="K66" s="1108"/>
      <c r="L66" s="439"/>
      <c r="M66" s="438">
        <f t="shared" si="44"/>
        <v>0</v>
      </c>
      <c r="N66" s="1121">
        <v>0</v>
      </c>
      <c r="O66" s="1121"/>
      <c r="P66" s="883"/>
      <c r="Q66" s="602">
        <f t="shared" si="45"/>
        <v>0</v>
      </c>
      <c r="R66" s="1121">
        <v>0</v>
      </c>
      <c r="S66" s="1121"/>
      <c r="T66" s="883"/>
      <c r="U66" s="602">
        <f t="shared" si="46"/>
        <v>0</v>
      </c>
      <c r="V66" s="1121">
        <v>0</v>
      </c>
      <c r="W66" s="1121"/>
      <c r="X66" s="883"/>
      <c r="Y66" s="602">
        <f t="shared" si="47"/>
        <v>0</v>
      </c>
      <c r="Z66" s="1121">
        <v>0</v>
      </c>
      <c r="AA66" s="1121"/>
      <c r="AB66" s="883"/>
      <c r="AC66" s="633">
        <f t="shared" si="32"/>
        <v>0</v>
      </c>
      <c r="AD66" s="1083">
        <f t="shared" si="33"/>
        <v>0</v>
      </c>
      <c r="AE66" s="1083" t="str">
        <f t="shared" si="34"/>
        <v xml:space="preserve"> </v>
      </c>
      <c r="AF66" s="1083" t="str">
        <f t="shared" si="35"/>
        <v xml:space="preserve"> </v>
      </c>
      <c r="AG66" s="1083" t="str">
        <f t="shared" si="36"/>
        <v xml:space="preserve"> </v>
      </c>
      <c r="AH66" s="176" t="str">
        <f t="shared" si="37"/>
        <v xml:space="preserve"> </v>
      </c>
      <c r="AI66" s="1114" t="s">
        <v>511</v>
      </c>
    </row>
    <row r="67" spans="1:37" s="31" customFormat="1" ht="18.75">
      <c r="A67" s="60"/>
      <c r="B67" s="1120" t="s">
        <v>115</v>
      </c>
      <c r="C67" s="658" t="s">
        <v>0</v>
      </c>
      <c r="D67" s="438">
        <f t="shared" si="42"/>
        <v>0</v>
      </c>
      <c r="E67" s="1108"/>
      <c r="F67" s="1108"/>
      <c r="G67" s="439"/>
      <c r="H67" s="479"/>
      <c r="I67" s="438">
        <f t="shared" si="43"/>
        <v>0</v>
      </c>
      <c r="J67" s="1108"/>
      <c r="K67" s="1108"/>
      <c r="L67" s="439"/>
      <c r="M67" s="438">
        <f t="shared" si="44"/>
        <v>0</v>
      </c>
      <c r="N67" s="1108"/>
      <c r="O67" s="1108"/>
      <c r="P67" s="439"/>
      <c r="Q67" s="438">
        <f t="shared" si="45"/>
        <v>0</v>
      </c>
      <c r="R67" s="1108"/>
      <c r="S67" s="1108"/>
      <c r="T67" s="439"/>
      <c r="U67" s="438">
        <f t="shared" si="46"/>
        <v>0</v>
      </c>
      <c r="V67" s="1108"/>
      <c r="W67" s="1108"/>
      <c r="X67" s="439"/>
      <c r="Y67" s="438">
        <f t="shared" si="47"/>
        <v>0</v>
      </c>
      <c r="Z67" s="1108"/>
      <c r="AA67" s="1108"/>
      <c r="AB67" s="439"/>
      <c r="AC67" s="633" t="str">
        <f t="shared" si="32"/>
        <v xml:space="preserve"> </v>
      </c>
      <c r="AD67" s="1083" t="str">
        <f t="shared" si="33"/>
        <v xml:space="preserve"> </v>
      </c>
      <c r="AE67" s="1083" t="str">
        <f t="shared" si="34"/>
        <v xml:space="preserve"> </v>
      </c>
      <c r="AF67" s="1083" t="str">
        <f t="shared" si="35"/>
        <v xml:space="preserve"> </v>
      </c>
      <c r="AG67" s="1083" t="str">
        <f t="shared" si="36"/>
        <v xml:space="preserve"> </v>
      </c>
      <c r="AH67" s="176" t="str">
        <f t="shared" si="37"/>
        <v xml:space="preserve"> </v>
      </c>
      <c r="AI67" s="1081"/>
    </row>
    <row r="68" spans="1:37" s="31" customFormat="1" ht="18.75">
      <c r="A68" s="60"/>
      <c r="B68" s="1120" t="s">
        <v>114</v>
      </c>
      <c r="C68" s="658" t="s">
        <v>0</v>
      </c>
      <c r="D68" s="438">
        <f t="shared" si="42"/>
        <v>0</v>
      </c>
      <c r="E68" s="1108"/>
      <c r="F68" s="1108"/>
      <c r="G68" s="439"/>
      <c r="H68" s="479"/>
      <c r="I68" s="438">
        <f t="shared" si="43"/>
        <v>0</v>
      </c>
      <c r="J68" s="1108"/>
      <c r="K68" s="1108"/>
      <c r="L68" s="439"/>
      <c r="M68" s="438">
        <f t="shared" si="44"/>
        <v>0</v>
      </c>
      <c r="N68" s="1108"/>
      <c r="O68" s="1108"/>
      <c r="P68" s="439"/>
      <c r="Q68" s="438">
        <f t="shared" si="45"/>
        <v>0</v>
      </c>
      <c r="R68" s="1108"/>
      <c r="S68" s="1108"/>
      <c r="T68" s="439"/>
      <c r="U68" s="438">
        <f t="shared" si="46"/>
        <v>0</v>
      </c>
      <c r="V68" s="1108"/>
      <c r="W68" s="1108"/>
      <c r="X68" s="439"/>
      <c r="Y68" s="438">
        <f t="shared" si="47"/>
        <v>0</v>
      </c>
      <c r="Z68" s="1108"/>
      <c r="AA68" s="1108"/>
      <c r="AB68" s="439"/>
      <c r="AC68" s="633" t="str">
        <f t="shared" si="32"/>
        <v xml:space="preserve"> </v>
      </c>
      <c r="AD68" s="1083" t="str">
        <f t="shared" si="33"/>
        <v xml:space="preserve"> </v>
      </c>
      <c r="AE68" s="1083" t="str">
        <f t="shared" si="34"/>
        <v xml:space="preserve"> </v>
      </c>
      <c r="AF68" s="1083" t="str">
        <f t="shared" si="35"/>
        <v xml:space="preserve"> </v>
      </c>
      <c r="AG68" s="1083" t="str">
        <f t="shared" si="36"/>
        <v xml:space="preserve"> </v>
      </c>
      <c r="AH68" s="176" t="str">
        <f t="shared" si="37"/>
        <v xml:space="preserve"> </v>
      </c>
      <c r="AI68" s="1081"/>
    </row>
    <row r="69" spans="1:37" s="31" customFormat="1" ht="15.75" customHeight="1" outlineLevel="1">
      <c r="A69" s="60"/>
      <c r="B69" s="1120" t="s">
        <v>112</v>
      </c>
      <c r="C69" s="658" t="s">
        <v>0</v>
      </c>
      <c r="D69" s="438">
        <f t="shared" si="42"/>
        <v>0</v>
      </c>
      <c r="E69" s="1108"/>
      <c r="F69" s="1108"/>
      <c r="G69" s="439"/>
      <c r="H69" s="479"/>
      <c r="I69" s="438">
        <f t="shared" si="43"/>
        <v>0</v>
      </c>
      <c r="J69" s="1108"/>
      <c r="K69" s="1108"/>
      <c r="L69" s="439"/>
      <c r="M69" s="438">
        <f t="shared" si="44"/>
        <v>0</v>
      </c>
      <c r="N69" s="1108"/>
      <c r="O69" s="1108"/>
      <c r="P69" s="439"/>
      <c r="Q69" s="438">
        <f t="shared" si="45"/>
        <v>0</v>
      </c>
      <c r="R69" s="1108"/>
      <c r="S69" s="1108"/>
      <c r="T69" s="439"/>
      <c r="U69" s="438">
        <f t="shared" si="46"/>
        <v>0</v>
      </c>
      <c r="V69" s="1108"/>
      <c r="W69" s="1108"/>
      <c r="X69" s="439"/>
      <c r="Y69" s="438">
        <f t="shared" si="47"/>
        <v>0</v>
      </c>
      <c r="Z69" s="1108"/>
      <c r="AA69" s="1108"/>
      <c r="AB69" s="439"/>
      <c r="AC69" s="633" t="str">
        <f t="shared" si="32"/>
        <v xml:space="preserve"> </v>
      </c>
      <c r="AD69" s="1083" t="str">
        <f t="shared" si="33"/>
        <v xml:space="preserve"> </v>
      </c>
      <c r="AE69" s="1083" t="str">
        <f t="shared" si="34"/>
        <v xml:space="preserve"> </v>
      </c>
      <c r="AF69" s="1083" t="str">
        <f t="shared" si="35"/>
        <v xml:space="preserve"> </v>
      </c>
      <c r="AG69" s="1083" t="str">
        <f t="shared" si="36"/>
        <v xml:space="preserve"> </v>
      </c>
      <c r="AH69" s="176" t="str">
        <f t="shared" si="37"/>
        <v xml:space="preserve"> </v>
      </c>
      <c r="AI69" s="1081"/>
    </row>
    <row r="70" spans="1:37" s="31" customFormat="1" ht="18.75">
      <c r="A70" s="60"/>
      <c r="B70" s="1120" t="s">
        <v>113</v>
      </c>
      <c r="C70" s="658" t="s">
        <v>0</v>
      </c>
      <c r="D70" s="438">
        <f t="shared" si="42"/>
        <v>830.89</v>
      </c>
      <c r="E70" s="1108"/>
      <c r="F70" s="1108"/>
      <c r="G70" s="439">
        <v>830.89</v>
      </c>
      <c r="H70" s="479">
        <v>942.28</v>
      </c>
      <c r="I70" s="438">
        <f t="shared" si="43"/>
        <v>248.6</v>
      </c>
      <c r="J70" s="1108"/>
      <c r="K70" s="1108"/>
      <c r="L70" s="439">
        <f>ROUND(L83*20/80,2)</f>
        <v>248.6</v>
      </c>
      <c r="M70" s="438">
        <f t="shared" si="44"/>
        <v>248.6</v>
      </c>
      <c r="N70" s="1108"/>
      <c r="O70" s="1108"/>
      <c r="P70" s="439">
        <f>ROUND(P83*20/80,2)</f>
        <v>248.6</v>
      </c>
      <c r="Q70" s="438">
        <f t="shared" si="45"/>
        <v>248.6</v>
      </c>
      <c r="R70" s="1108"/>
      <c r="S70" s="1108"/>
      <c r="T70" s="439">
        <f>ROUND(T83*20/80,2)</f>
        <v>248.6</v>
      </c>
      <c r="U70" s="438">
        <f t="shared" si="46"/>
        <v>248.6</v>
      </c>
      <c r="V70" s="1108"/>
      <c r="W70" s="1108"/>
      <c r="X70" s="439">
        <f>ROUND(X83*20/80,2)</f>
        <v>248.6</v>
      </c>
      <c r="Y70" s="438">
        <f t="shared" si="47"/>
        <v>248.6</v>
      </c>
      <c r="Z70" s="1108"/>
      <c r="AA70" s="1108"/>
      <c r="AB70" s="439">
        <f>ROUND(AB83*20/80,2)</f>
        <v>248.6</v>
      </c>
      <c r="AC70" s="633">
        <f t="shared" si="32"/>
        <v>0.2638281614806639</v>
      </c>
      <c r="AD70" s="1083">
        <f t="shared" si="33"/>
        <v>0.29919724632622852</v>
      </c>
      <c r="AE70" s="1083">
        <f t="shared" si="34"/>
        <v>1</v>
      </c>
      <c r="AF70" s="1083">
        <f t="shared" si="35"/>
        <v>1</v>
      </c>
      <c r="AG70" s="1083">
        <f t="shared" si="36"/>
        <v>1</v>
      </c>
      <c r="AH70" s="176">
        <f t="shared" si="37"/>
        <v>1</v>
      </c>
      <c r="AI70" s="1081"/>
    </row>
    <row r="71" spans="1:37" s="31" customFormat="1" ht="18.75">
      <c r="A71" s="60"/>
      <c r="B71" s="1120" t="s">
        <v>116</v>
      </c>
      <c r="C71" s="658" t="s">
        <v>0</v>
      </c>
      <c r="D71" s="438">
        <f t="shared" si="42"/>
        <v>0</v>
      </c>
      <c r="E71" s="1108"/>
      <c r="F71" s="1108"/>
      <c r="G71" s="439"/>
      <c r="H71" s="479"/>
      <c r="I71" s="438">
        <f t="shared" si="43"/>
        <v>0</v>
      </c>
      <c r="J71" s="1108"/>
      <c r="K71" s="1108"/>
      <c r="L71" s="439"/>
      <c r="M71" s="438">
        <f t="shared" si="44"/>
        <v>0</v>
      </c>
      <c r="N71" s="1108"/>
      <c r="O71" s="1108"/>
      <c r="P71" s="439"/>
      <c r="Q71" s="438">
        <f t="shared" si="45"/>
        <v>0</v>
      </c>
      <c r="R71" s="1108"/>
      <c r="S71" s="1108"/>
      <c r="T71" s="439"/>
      <c r="U71" s="438">
        <f t="shared" si="46"/>
        <v>0</v>
      </c>
      <c r="V71" s="1108"/>
      <c r="W71" s="1108"/>
      <c r="X71" s="439"/>
      <c r="Y71" s="438">
        <f t="shared" si="47"/>
        <v>0</v>
      </c>
      <c r="Z71" s="1108"/>
      <c r="AA71" s="1108"/>
      <c r="AB71" s="439"/>
      <c r="AC71" s="633" t="str">
        <f t="shared" si="32"/>
        <v xml:space="preserve"> </v>
      </c>
      <c r="AD71" s="1083" t="str">
        <f t="shared" si="33"/>
        <v xml:space="preserve"> </v>
      </c>
      <c r="AE71" s="1083" t="str">
        <f t="shared" si="34"/>
        <v xml:space="preserve"> </v>
      </c>
      <c r="AF71" s="1083" t="str">
        <f t="shared" si="35"/>
        <v xml:space="preserve"> </v>
      </c>
      <c r="AG71" s="1083" t="str">
        <f t="shared" si="36"/>
        <v xml:space="preserve"> </v>
      </c>
      <c r="AH71" s="176" t="str">
        <f t="shared" si="37"/>
        <v xml:space="preserve"> </v>
      </c>
      <c r="AI71" s="1081"/>
    </row>
    <row r="72" spans="1:37" s="36" customFormat="1" ht="18.75">
      <c r="A72" s="39" t="s">
        <v>32</v>
      </c>
      <c r="B72" s="1116" t="s">
        <v>117</v>
      </c>
      <c r="C72" s="654" t="s">
        <v>0</v>
      </c>
      <c r="D72" s="438">
        <f t="shared" si="42"/>
        <v>0</v>
      </c>
      <c r="E72" s="1111"/>
      <c r="F72" s="1111"/>
      <c r="G72" s="435"/>
      <c r="H72" s="477"/>
      <c r="I72" s="438">
        <f t="shared" si="43"/>
        <v>0</v>
      </c>
      <c r="J72" s="1111"/>
      <c r="K72" s="1111"/>
      <c r="L72" s="435"/>
      <c r="M72" s="438">
        <f t="shared" si="44"/>
        <v>0</v>
      </c>
      <c r="N72" s="1111"/>
      <c r="O72" s="1111"/>
      <c r="P72" s="435"/>
      <c r="Q72" s="438">
        <f t="shared" si="45"/>
        <v>0</v>
      </c>
      <c r="R72" s="1111"/>
      <c r="S72" s="1111"/>
      <c r="T72" s="435"/>
      <c r="U72" s="438">
        <f t="shared" si="46"/>
        <v>0</v>
      </c>
      <c r="V72" s="1111"/>
      <c r="W72" s="1111"/>
      <c r="X72" s="435"/>
      <c r="Y72" s="438">
        <f t="shared" si="47"/>
        <v>0</v>
      </c>
      <c r="Z72" s="1111"/>
      <c r="AA72" s="1111"/>
      <c r="AB72" s="435"/>
      <c r="AC72" s="633" t="str">
        <f t="shared" si="32"/>
        <v xml:space="preserve"> </v>
      </c>
      <c r="AD72" s="1083" t="str">
        <f t="shared" si="33"/>
        <v xml:space="preserve"> </v>
      </c>
      <c r="AE72" s="1083" t="str">
        <f t="shared" si="34"/>
        <v xml:space="preserve"> </v>
      </c>
      <c r="AF72" s="1083" t="str">
        <f t="shared" si="35"/>
        <v xml:space="preserve"> </v>
      </c>
      <c r="AG72" s="1083" t="str">
        <f t="shared" si="36"/>
        <v xml:space="preserve"> </v>
      </c>
      <c r="AH72" s="176" t="str">
        <f t="shared" si="37"/>
        <v xml:space="preserve"> </v>
      </c>
      <c r="AI72" s="1081"/>
    </row>
    <row r="73" spans="1:37" s="36" customFormat="1" ht="36.75" customHeight="1">
      <c r="A73" s="39" t="s">
        <v>34</v>
      </c>
      <c r="B73" s="1116" t="s">
        <v>249</v>
      </c>
      <c r="C73" s="654" t="s">
        <v>0</v>
      </c>
      <c r="D73" s="438">
        <f t="shared" si="42"/>
        <v>0</v>
      </c>
      <c r="E73" s="1111"/>
      <c r="F73" s="1111"/>
      <c r="G73" s="435"/>
      <c r="H73" s="477"/>
      <c r="I73" s="438">
        <f t="shared" si="43"/>
        <v>0</v>
      </c>
      <c r="J73" s="1111"/>
      <c r="K73" s="1111"/>
      <c r="L73" s="435"/>
      <c r="M73" s="438">
        <f t="shared" si="44"/>
        <v>0</v>
      </c>
      <c r="N73" s="1111"/>
      <c r="O73" s="1111"/>
      <c r="P73" s="435"/>
      <c r="Q73" s="438">
        <f t="shared" si="45"/>
        <v>0</v>
      </c>
      <c r="R73" s="1111"/>
      <c r="S73" s="1111"/>
      <c r="T73" s="435"/>
      <c r="U73" s="438">
        <f t="shared" si="46"/>
        <v>0</v>
      </c>
      <c r="V73" s="1111"/>
      <c r="W73" s="1111"/>
      <c r="X73" s="435"/>
      <c r="Y73" s="438">
        <f t="shared" si="47"/>
        <v>0</v>
      </c>
      <c r="Z73" s="1111"/>
      <c r="AA73" s="1111"/>
      <c r="AB73" s="435"/>
      <c r="AC73" s="633" t="str">
        <f t="shared" si="32"/>
        <v xml:space="preserve"> </v>
      </c>
      <c r="AD73" s="1083" t="str">
        <f t="shared" si="33"/>
        <v xml:space="preserve"> </v>
      </c>
      <c r="AE73" s="1083" t="str">
        <f t="shared" si="34"/>
        <v xml:space="preserve"> </v>
      </c>
      <c r="AF73" s="1083" t="str">
        <f t="shared" si="35"/>
        <v xml:space="preserve"> </v>
      </c>
      <c r="AG73" s="1083" t="str">
        <f t="shared" si="36"/>
        <v xml:space="preserve"> </v>
      </c>
      <c r="AH73" s="176" t="str">
        <f t="shared" si="37"/>
        <v xml:space="preserve"> </v>
      </c>
      <c r="AI73" s="1081"/>
    </row>
    <row r="74" spans="1:37" s="36" customFormat="1" ht="18.75">
      <c r="A74" s="39" t="s">
        <v>33</v>
      </c>
      <c r="B74" s="1116" t="s">
        <v>118</v>
      </c>
      <c r="C74" s="654" t="s">
        <v>0</v>
      </c>
      <c r="D74" s="438">
        <f t="shared" si="42"/>
        <v>145.44</v>
      </c>
      <c r="E74" s="1111">
        <v>145.44</v>
      </c>
      <c r="F74" s="1111"/>
      <c r="G74" s="435"/>
      <c r="H74" s="477">
        <v>1009.02</v>
      </c>
      <c r="I74" s="438">
        <f t="shared" si="43"/>
        <v>0</v>
      </c>
      <c r="J74" s="1113"/>
      <c r="K74" s="1111"/>
      <c r="L74" s="435"/>
      <c r="M74" s="438">
        <f t="shared" si="44"/>
        <v>0</v>
      </c>
      <c r="N74" s="1113">
        <f>J74</f>
        <v>0</v>
      </c>
      <c r="O74" s="1111"/>
      <c r="P74" s="435"/>
      <c r="Q74" s="438">
        <f t="shared" si="45"/>
        <v>0</v>
      </c>
      <c r="R74" s="1113">
        <f>N74</f>
        <v>0</v>
      </c>
      <c r="S74" s="1111"/>
      <c r="T74" s="435"/>
      <c r="U74" s="438">
        <f t="shared" si="46"/>
        <v>0</v>
      </c>
      <c r="V74" s="1113">
        <f>R74</f>
        <v>0</v>
      </c>
      <c r="W74" s="1111"/>
      <c r="X74" s="435"/>
      <c r="Y74" s="438">
        <f t="shared" si="47"/>
        <v>0</v>
      </c>
      <c r="Z74" s="1113">
        <f>V74</f>
        <v>0</v>
      </c>
      <c r="AA74" s="1111"/>
      <c r="AB74" s="435"/>
      <c r="AC74" s="633">
        <f t="shared" si="32"/>
        <v>0</v>
      </c>
      <c r="AD74" s="1083">
        <f t="shared" si="33"/>
        <v>0</v>
      </c>
      <c r="AE74" s="1083" t="str">
        <f t="shared" si="34"/>
        <v xml:space="preserve"> </v>
      </c>
      <c r="AF74" s="1083" t="str">
        <f t="shared" si="35"/>
        <v xml:space="preserve"> </v>
      </c>
      <c r="AG74" s="1083" t="str">
        <f t="shared" si="36"/>
        <v xml:space="preserve"> </v>
      </c>
      <c r="AH74" s="176" t="str">
        <f t="shared" si="37"/>
        <v xml:space="preserve"> </v>
      </c>
      <c r="AI74" s="1081"/>
      <c r="AJ74" s="65"/>
    </row>
    <row r="75" spans="1:37" s="36" customFormat="1" ht="18.75">
      <c r="A75" s="39" t="s">
        <v>25</v>
      </c>
      <c r="B75" s="1116" t="s">
        <v>119</v>
      </c>
      <c r="C75" s="654" t="s">
        <v>0</v>
      </c>
      <c r="D75" s="436">
        <f t="shared" ref="D75:AB75" si="48">SUM(D76:D78)</f>
        <v>717.26</v>
      </c>
      <c r="E75" s="1109">
        <f t="shared" si="48"/>
        <v>176.08999999999997</v>
      </c>
      <c r="F75" s="1109">
        <f t="shared" si="48"/>
        <v>0</v>
      </c>
      <c r="G75" s="437">
        <f t="shared" si="48"/>
        <v>541.17000000000007</v>
      </c>
      <c r="H75" s="478">
        <f t="shared" si="48"/>
        <v>785.09400000000005</v>
      </c>
      <c r="I75" s="436">
        <f t="shared" si="48"/>
        <v>750.25</v>
      </c>
      <c r="J75" s="1109">
        <f t="shared" si="48"/>
        <v>116.96000000000001</v>
      </c>
      <c r="K75" s="1109">
        <f t="shared" si="48"/>
        <v>0</v>
      </c>
      <c r="L75" s="437">
        <f t="shared" si="48"/>
        <v>633.29</v>
      </c>
      <c r="M75" s="436">
        <f t="shared" si="48"/>
        <v>768.02</v>
      </c>
      <c r="N75" s="1109">
        <f t="shared" si="48"/>
        <v>119.74000000000001</v>
      </c>
      <c r="O75" s="1109">
        <f t="shared" si="48"/>
        <v>0</v>
      </c>
      <c r="P75" s="437">
        <f t="shared" si="48"/>
        <v>648.28</v>
      </c>
      <c r="Q75" s="436">
        <f t="shared" si="48"/>
        <v>790.73</v>
      </c>
      <c r="R75" s="1109">
        <f t="shared" si="48"/>
        <v>123.27</v>
      </c>
      <c r="S75" s="1109">
        <f t="shared" si="48"/>
        <v>0</v>
      </c>
      <c r="T75" s="437">
        <f t="shared" si="48"/>
        <v>667.46</v>
      </c>
      <c r="U75" s="436">
        <f t="shared" si="48"/>
        <v>814.15</v>
      </c>
      <c r="V75" s="1109">
        <f t="shared" si="48"/>
        <v>126.93</v>
      </c>
      <c r="W75" s="1109">
        <f t="shared" si="48"/>
        <v>0</v>
      </c>
      <c r="X75" s="437">
        <f t="shared" si="48"/>
        <v>687.22</v>
      </c>
      <c r="Y75" s="436">
        <f t="shared" si="48"/>
        <v>838.24</v>
      </c>
      <c r="Z75" s="1109">
        <f t="shared" si="48"/>
        <v>130.68</v>
      </c>
      <c r="AA75" s="1109">
        <f t="shared" si="48"/>
        <v>0</v>
      </c>
      <c r="AB75" s="437">
        <f t="shared" si="48"/>
        <v>707.56</v>
      </c>
      <c r="AC75" s="633">
        <f t="shared" si="32"/>
        <v>0.95561805337959527</v>
      </c>
      <c r="AD75" s="1083">
        <f t="shared" si="33"/>
        <v>1.0459944789894877</v>
      </c>
      <c r="AE75" s="1083">
        <f t="shared" si="34"/>
        <v>1.0236854381872709</v>
      </c>
      <c r="AF75" s="1083">
        <f t="shared" si="35"/>
        <v>1.0295695424598319</v>
      </c>
      <c r="AG75" s="1083">
        <f t="shared" si="36"/>
        <v>1.0296182009029631</v>
      </c>
      <c r="AH75" s="176">
        <f t="shared" si="37"/>
        <v>1.0295891420499907</v>
      </c>
      <c r="AI75" s="1081"/>
      <c r="AJ75" s="65"/>
      <c r="AK75" s="66"/>
    </row>
    <row r="76" spans="1:37" s="52" customFormat="1" ht="18.75" outlineLevel="1">
      <c r="A76" s="67"/>
      <c r="B76" s="1119" t="s">
        <v>120</v>
      </c>
      <c r="C76" s="657" t="s">
        <v>0</v>
      </c>
      <c r="D76" s="438">
        <f t="shared" ref="D76:D82" si="49">E76+F76+G76</f>
        <v>539.85</v>
      </c>
      <c r="E76" s="1118">
        <v>132.54</v>
      </c>
      <c r="F76" s="1118">
        <v>0</v>
      </c>
      <c r="G76" s="442">
        <v>407.31</v>
      </c>
      <c r="H76" s="481">
        <v>510.98399999999998</v>
      </c>
      <c r="I76" s="438">
        <f t="shared" ref="I76:I82" si="50">J76+K76+L76</f>
        <v>564.67999999999995</v>
      </c>
      <c r="J76" s="1118">
        <f>ROUND(J30*0.301,2)</f>
        <v>88.03</v>
      </c>
      <c r="K76" s="1118">
        <v>0</v>
      </c>
      <c r="L76" s="442">
        <f>ROUND(L30*0.301,2)</f>
        <v>476.65</v>
      </c>
      <c r="M76" s="438">
        <f t="shared" ref="M76:M82" si="51">N76+O76+P76</f>
        <v>578.04999999999995</v>
      </c>
      <c r="N76" s="1118">
        <f>ROUND(N30*0.301,2)</f>
        <v>90.12</v>
      </c>
      <c r="O76" s="1118">
        <v>0</v>
      </c>
      <c r="P76" s="442">
        <f>ROUND(P30*0.301,2)</f>
        <v>487.93</v>
      </c>
      <c r="Q76" s="438">
        <f t="shared" ref="Q76:Q82" si="52">R76+S76+T76</f>
        <v>595.15</v>
      </c>
      <c r="R76" s="1118">
        <f>ROUND(R30*0.301,2)</f>
        <v>92.78</v>
      </c>
      <c r="S76" s="1118">
        <v>0</v>
      </c>
      <c r="T76" s="442">
        <f>ROUND(T30*0.301,2)</f>
        <v>502.37</v>
      </c>
      <c r="U76" s="438">
        <f t="shared" ref="U76:U82" si="53">V76+W76+X76</f>
        <v>612.77</v>
      </c>
      <c r="V76" s="1118">
        <f>ROUND(V30*0.301,2)</f>
        <v>95.53</v>
      </c>
      <c r="W76" s="1118">
        <v>0</v>
      </c>
      <c r="X76" s="442">
        <f>ROUND(X30*0.301,2)</f>
        <v>517.24</v>
      </c>
      <c r="Y76" s="438">
        <f t="shared" ref="Y76:Y82" si="54">Z76+AA76+AB76</f>
        <v>630.91</v>
      </c>
      <c r="Z76" s="1118">
        <f>ROUND(Z30*0.301,2)</f>
        <v>98.36</v>
      </c>
      <c r="AA76" s="1118">
        <v>0</v>
      </c>
      <c r="AB76" s="442">
        <f>ROUND(AB30*0.301,2)</f>
        <v>532.54999999999995</v>
      </c>
      <c r="AC76" s="633">
        <f t="shared" si="32"/>
        <v>1.1050835251201603</v>
      </c>
      <c r="AD76" s="1083">
        <f t="shared" si="33"/>
        <v>1.0459942576641659</v>
      </c>
      <c r="AE76" s="1083">
        <f t="shared" si="34"/>
        <v>1.0236771268683149</v>
      </c>
      <c r="AF76" s="1083">
        <f t="shared" si="35"/>
        <v>1.0295822160712742</v>
      </c>
      <c r="AG76" s="1083">
        <f t="shared" si="36"/>
        <v>1.0296059816852894</v>
      </c>
      <c r="AH76" s="176">
        <f t="shared" si="37"/>
        <v>1.0296032769228258</v>
      </c>
      <c r="AI76" s="1117"/>
      <c r="AJ76" s="68"/>
      <c r="AK76" s="69"/>
    </row>
    <row r="77" spans="1:37" s="52" customFormat="1" ht="18.75" outlineLevel="1">
      <c r="A77" s="67"/>
      <c r="B77" s="1119" t="s">
        <v>121</v>
      </c>
      <c r="C77" s="657" t="s">
        <v>0</v>
      </c>
      <c r="D77" s="438">
        <f t="shared" si="49"/>
        <v>0</v>
      </c>
      <c r="E77" s="1118"/>
      <c r="F77" s="1118"/>
      <c r="G77" s="442"/>
      <c r="H77" s="481"/>
      <c r="I77" s="438">
        <f t="shared" si="50"/>
        <v>0</v>
      </c>
      <c r="J77" s="1118"/>
      <c r="K77" s="1118"/>
      <c r="L77" s="442"/>
      <c r="M77" s="438">
        <f t="shared" si="51"/>
        <v>0</v>
      </c>
      <c r="N77" s="1118"/>
      <c r="O77" s="1118"/>
      <c r="P77" s="442"/>
      <c r="Q77" s="438">
        <f t="shared" si="52"/>
        <v>0</v>
      </c>
      <c r="R77" s="1118"/>
      <c r="S77" s="1118"/>
      <c r="T77" s="442"/>
      <c r="U77" s="438">
        <f t="shared" si="53"/>
        <v>0</v>
      </c>
      <c r="V77" s="1118"/>
      <c r="W77" s="1118"/>
      <c r="X77" s="442"/>
      <c r="Y77" s="438">
        <f t="shared" si="54"/>
        <v>0</v>
      </c>
      <c r="Z77" s="1118"/>
      <c r="AA77" s="1118"/>
      <c r="AB77" s="442"/>
      <c r="AC77" s="633" t="str">
        <f t="shared" si="32"/>
        <v xml:space="preserve"> </v>
      </c>
      <c r="AD77" s="1083" t="str">
        <f t="shared" si="33"/>
        <v xml:space="preserve"> </v>
      </c>
      <c r="AE77" s="1083" t="str">
        <f t="shared" si="34"/>
        <v xml:space="preserve"> </v>
      </c>
      <c r="AF77" s="1083" t="str">
        <f t="shared" si="35"/>
        <v xml:space="preserve"> </v>
      </c>
      <c r="AG77" s="1083" t="str">
        <f t="shared" si="36"/>
        <v xml:space="preserve"> </v>
      </c>
      <c r="AH77" s="176" t="str">
        <f t="shared" si="37"/>
        <v xml:space="preserve"> </v>
      </c>
      <c r="AI77" s="1117"/>
      <c r="AJ77" s="68"/>
      <c r="AK77" s="69"/>
    </row>
    <row r="78" spans="1:37" s="52" customFormat="1" ht="18.75" outlineLevel="1">
      <c r="A78" s="67"/>
      <c r="B78" s="1119" t="s">
        <v>48</v>
      </c>
      <c r="C78" s="657" t="s">
        <v>0</v>
      </c>
      <c r="D78" s="438">
        <f t="shared" si="49"/>
        <v>177.41000000000003</v>
      </c>
      <c r="E78" s="1118">
        <v>43.55</v>
      </c>
      <c r="F78" s="1118">
        <v>0</v>
      </c>
      <c r="G78" s="442">
        <v>133.86000000000001</v>
      </c>
      <c r="H78" s="481">
        <v>274.11</v>
      </c>
      <c r="I78" s="438">
        <f t="shared" si="50"/>
        <v>185.57</v>
      </c>
      <c r="J78" s="1118">
        <f>ROUND(J32*0.301,2)</f>
        <v>28.93</v>
      </c>
      <c r="K78" s="1118">
        <v>0</v>
      </c>
      <c r="L78" s="442">
        <f>ROUND(L32*0.301,2)</f>
        <v>156.63999999999999</v>
      </c>
      <c r="M78" s="438">
        <f t="shared" si="51"/>
        <v>189.97</v>
      </c>
      <c r="N78" s="1118">
        <f>ROUND(N32*0.301,2)</f>
        <v>29.62</v>
      </c>
      <c r="O78" s="1118">
        <v>0</v>
      </c>
      <c r="P78" s="442">
        <f>ROUND(P32*0.301,2)</f>
        <v>160.35</v>
      </c>
      <c r="Q78" s="438">
        <f t="shared" si="52"/>
        <v>195.58</v>
      </c>
      <c r="R78" s="1118">
        <f>ROUND(R32*0.301,2)</f>
        <v>30.49</v>
      </c>
      <c r="S78" s="1118">
        <v>0</v>
      </c>
      <c r="T78" s="442">
        <f>ROUND(T32*0.301,2)</f>
        <v>165.09</v>
      </c>
      <c r="U78" s="438">
        <f t="shared" si="53"/>
        <v>201.38</v>
      </c>
      <c r="V78" s="1118">
        <f>ROUND(V32*0.301,2)</f>
        <v>31.4</v>
      </c>
      <c r="W78" s="1118">
        <v>0</v>
      </c>
      <c r="X78" s="442">
        <f>ROUND(X32*0.301,2)</f>
        <v>169.98</v>
      </c>
      <c r="Y78" s="438">
        <f t="shared" si="54"/>
        <v>207.32999999999998</v>
      </c>
      <c r="Z78" s="1118">
        <f>ROUND(Z32*0.301,2)</f>
        <v>32.32</v>
      </c>
      <c r="AA78" s="1118">
        <v>0</v>
      </c>
      <c r="AB78" s="442">
        <f>ROUND(AB32*0.301,2)</f>
        <v>175.01</v>
      </c>
      <c r="AC78" s="633">
        <f t="shared" ref="AC78:AC109" si="55">IFERROR(I78/H78, " ")</f>
        <v>0.67699098901900689</v>
      </c>
      <c r="AD78" s="1083">
        <f t="shared" ref="AD78:AD109" si="56">IFERROR(I78/D78, " ")</f>
        <v>1.0459951524716755</v>
      </c>
      <c r="AE78" s="1083">
        <f t="shared" ref="AE78:AE109" si="57">IFERROR(M78/I78, " ")</f>
        <v>1.0237107291049201</v>
      </c>
      <c r="AF78" s="1083">
        <f t="shared" ref="AF78:AF109" si="58">IFERROR(Q78/M78, " ")</f>
        <v>1.0295309785755646</v>
      </c>
      <c r="AG78" s="1083">
        <f t="shared" ref="AG78:AG109" si="59">IFERROR(U78/Q78, " ")</f>
        <v>1.0296553839860925</v>
      </c>
      <c r="AH78" s="176">
        <f t="shared" ref="AH78:AH109" si="60">IFERROR(Y78/U78, " ")</f>
        <v>1.0295461316913297</v>
      </c>
      <c r="AI78" s="1117"/>
      <c r="AJ78" s="68"/>
      <c r="AK78" s="69"/>
    </row>
    <row r="79" spans="1:37" s="36" customFormat="1" ht="18.75">
      <c r="A79" s="39" t="s">
        <v>23</v>
      </c>
      <c r="B79" s="1116" t="s">
        <v>56</v>
      </c>
      <c r="C79" s="654" t="s">
        <v>0</v>
      </c>
      <c r="D79" s="445">
        <f t="shared" si="49"/>
        <v>1153.6300000000001</v>
      </c>
      <c r="E79" s="1111">
        <v>1153.6300000000001</v>
      </c>
      <c r="F79" s="1111"/>
      <c r="G79" s="435"/>
      <c r="H79" s="477">
        <v>1058</v>
      </c>
      <c r="I79" s="445">
        <f t="shared" si="50"/>
        <v>1058</v>
      </c>
      <c r="J79" s="1115">
        <f>H79</f>
        <v>1058</v>
      </c>
      <c r="K79" s="1111"/>
      <c r="L79" s="435"/>
      <c r="M79" s="445">
        <f t="shared" si="51"/>
        <v>1058</v>
      </c>
      <c r="N79" s="1115">
        <f>J79</f>
        <v>1058</v>
      </c>
      <c r="O79" s="1111"/>
      <c r="P79" s="435"/>
      <c r="Q79" s="445">
        <f t="shared" si="52"/>
        <v>1058</v>
      </c>
      <c r="R79" s="1115">
        <f>J79</f>
        <v>1058</v>
      </c>
      <c r="S79" s="1111"/>
      <c r="T79" s="435"/>
      <c r="U79" s="445">
        <f t="shared" si="53"/>
        <v>1058</v>
      </c>
      <c r="V79" s="1115">
        <f>R79</f>
        <v>1058</v>
      </c>
      <c r="W79" s="1111"/>
      <c r="X79" s="435"/>
      <c r="Y79" s="445">
        <f t="shared" si="54"/>
        <v>1043.67</v>
      </c>
      <c r="Z79" s="1115">
        <f>ROUND([175]амортизация!W28/1000,2)</f>
        <v>1043.67</v>
      </c>
      <c r="AA79" s="1111"/>
      <c r="AB79" s="435"/>
      <c r="AC79" s="633">
        <f t="shared" si="55"/>
        <v>1</v>
      </c>
      <c r="AD79" s="1083">
        <f t="shared" si="56"/>
        <v>0.91710513769579494</v>
      </c>
      <c r="AE79" s="1083">
        <f t="shared" si="57"/>
        <v>1</v>
      </c>
      <c r="AF79" s="1083">
        <f t="shared" si="58"/>
        <v>1</v>
      </c>
      <c r="AG79" s="1083">
        <f t="shared" si="59"/>
        <v>1</v>
      </c>
      <c r="AH79" s="176">
        <f t="shared" si="60"/>
        <v>0.98645557655954641</v>
      </c>
      <c r="AI79" s="1114"/>
    </row>
    <row r="80" spans="1:37" s="36" customFormat="1" ht="35.25" customHeight="1">
      <c r="A80" s="39" t="s">
        <v>45</v>
      </c>
      <c r="B80" s="1112" t="s">
        <v>122</v>
      </c>
      <c r="C80" s="654" t="s">
        <v>0</v>
      </c>
      <c r="D80" s="445">
        <f t="shared" si="49"/>
        <v>734.26499999999999</v>
      </c>
      <c r="E80" s="1111">
        <v>734.26499999999999</v>
      </c>
      <c r="F80" s="1111"/>
      <c r="G80" s="435"/>
      <c r="H80" s="477">
        <v>378.8</v>
      </c>
      <c r="I80" s="445">
        <f t="shared" si="50"/>
        <v>0</v>
      </c>
      <c r="J80" s="1113"/>
      <c r="K80" s="1111"/>
      <c r="L80" s="435"/>
      <c r="M80" s="445">
        <f t="shared" si="51"/>
        <v>0</v>
      </c>
      <c r="N80" s="1113">
        <f>J80</f>
        <v>0</v>
      </c>
      <c r="O80" s="1111"/>
      <c r="P80" s="435"/>
      <c r="Q80" s="445">
        <f t="shared" si="52"/>
        <v>0</v>
      </c>
      <c r="R80" s="1113">
        <f>N80</f>
        <v>0</v>
      </c>
      <c r="S80" s="1111"/>
      <c r="T80" s="435"/>
      <c r="U80" s="445">
        <f t="shared" si="53"/>
        <v>0</v>
      </c>
      <c r="V80" s="1113">
        <f>R80</f>
        <v>0</v>
      </c>
      <c r="W80" s="1111"/>
      <c r="X80" s="435"/>
      <c r="Y80" s="445">
        <f t="shared" si="54"/>
        <v>0</v>
      </c>
      <c r="Z80" s="1113">
        <f>V80</f>
        <v>0</v>
      </c>
      <c r="AA80" s="1111"/>
      <c r="AB80" s="435"/>
      <c r="AC80" s="633">
        <f t="shared" si="55"/>
        <v>0</v>
      </c>
      <c r="AD80" s="1083">
        <f t="shared" si="56"/>
        <v>0</v>
      </c>
      <c r="AE80" s="1083" t="str">
        <f t="shared" si="57"/>
        <v xml:space="preserve"> </v>
      </c>
      <c r="AF80" s="1083" t="str">
        <f t="shared" si="58"/>
        <v xml:space="preserve"> </v>
      </c>
      <c r="AG80" s="1083" t="str">
        <f t="shared" si="59"/>
        <v xml:space="preserve"> </v>
      </c>
      <c r="AH80" s="176" t="str">
        <f t="shared" si="60"/>
        <v xml:space="preserve"> </v>
      </c>
      <c r="AI80" s="1081"/>
    </row>
    <row r="81" spans="1:39" s="36" customFormat="1" ht="31.5">
      <c r="A81" s="39" t="s">
        <v>52</v>
      </c>
      <c r="B81" s="1112" t="s">
        <v>194</v>
      </c>
      <c r="C81" s="654" t="s">
        <v>0</v>
      </c>
      <c r="D81" s="438">
        <f t="shared" si="49"/>
        <v>0</v>
      </c>
      <c r="E81" s="1111"/>
      <c r="F81" s="1111"/>
      <c r="G81" s="435"/>
      <c r="H81" s="477"/>
      <c r="I81" s="438">
        <f t="shared" si="50"/>
        <v>0</v>
      </c>
      <c r="J81" s="1111"/>
      <c r="K81" s="1111"/>
      <c r="L81" s="435"/>
      <c r="M81" s="438">
        <f t="shared" si="51"/>
        <v>0</v>
      </c>
      <c r="N81" s="1111"/>
      <c r="O81" s="1111"/>
      <c r="P81" s="435"/>
      <c r="Q81" s="438">
        <f t="shared" si="52"/>
        <v>0</v>
      </c>
      <c r="R81" s="1111"/>
      <c r="S81" s="1111"/>
      <c r="T81" s="435"/>
      <c r="U81" s="438">
        <f t="shared" si="53"/>
        <v>0</v>
      </c>
      <c r="V81" s="1111"/>
      <c r="W81" s="1111"/>
      <c r="X81" s="435"/>
      <c r="Y81" s="438">
        <f t="shared" si="54"/>
        <v>0</v>
      </c>
      <c r="Z81" s="1111"/>
      <c r="AA81" s="1111"/>
      <c r="AB81" s="435"/>
      <c r="AC81" s="633" t="str">
        <f t="shared" si="55"/>
        <v xml:space="preserve"> </v>
      </c>
      <c r="AD81" s="1083" t="str">
        <f t="shared" si="56"/>
        <v xml:space="preserve"> </v>
      </c>
      <c r="AE81" s="1083" t="str">
        <f t="shared" si="57"/>
        <v xml:space="preserve"> </v>
      </c>
      <c r="AF81" s="1083" t="str">
        <f t="shared" si="58"/>
        <v xml:space="preserve"> </v>
      </c>
      <c r="AG81" s="1083" t="str">
        <f t="shared" si="59"/>
        <v xml:space="preserve"> </v>
      </c>
      <c r="AH81" s="176" t="str">
        <f t="shared" si="60"/>
        <v xml:space="preserve"> </v>
      </c>
      <c r="AI81" s="1081"/>
    </row>
    <row r="82" spans="1:39" s="36" customFormat="1" ht="69" customHeight="1" thickBot="1">
      <c r="A82" s="701" t="s">
        <v>53</v>
      </c>
      <c r="B82" s="720" t="s">
        <v>251</v>
      </c>
      <c r="C82" s="702" t="s">
        <v>0</v>
      </c>
      <c r="D82" s="721">
        <f t="shared" si="49"/>
        <v>0</v>
      </c>
      <c r="E82" s="703"/>
      <c r="F82" s="703"/>
      <c r="G82" s="704"/>
      <c r="H82" s="705"/>
      <c r="I82" s="721">
        <f t="shared" si="50"/>
        <v>0</v>
      </c>
      <c r="J82" s="703"/>
      <c r="K82" s="703"/>
      <c r="L82" s="704"/>
      <c r="M82" s="721">
        <f t="shared" si="51"/>
        <v>0</v>
      </c>
      <c r="N82" s="703"/>
      <c r="O82" s="703"/>
      <c r="P82" s="704"/>
      <c r="Q82" s="721">
        <f t="shared" si="52"/>
        <v>0</v>
      </c>
      <c r="R82" s="703"/>
      <c r="S82" s="703"/>
      <c r="T82" s="704"/>
      <c r="U82" s="721">
        <f t="shared" si="53"/>
        <v>0</v>
      </c>
      <c r="V82" s="703"/>
      <c r="W82" s="703"/>
      <c r="X82" s="704"/>
      <c r="Y82" s="721">
        <f t="shared" si="54"/>
        <v>0</v>
      </c>
      <c r="Z82" s="703"/>
      <c r="AA82" s="703"/>
      <c r="AB82" s="704"/>
      <c r="AC82" s="634" t="str">
        <f t="shared" si="55"/>
        <v xml:space="preserve"> </v>
      </c>
      <c r="AD82" s="631" t="str">
        <f t="shared" si="56"/>
        <v xml:space="preserve"> </v>
      </c>
      <c r="AE82" s="631" t="str">
        <f t="shared" si="57"/>
        <v xml:space="preserve"> </v>
      </c>
      <c r="AF82" s="631" t="str">
        <f t="shared" si="58"/>
        <v xml:space="preserve"> </v>
      </c>
      <c r="AG82" s="631" t="str">
        <f t="shared" si="59"/>
        <v xml:space="preserve"> </v>
      </c>
      <c r="AH82" s="632" t="str">
        <f t="shared" si="60"/>
        <v xml:space="preserve"> </v>
      </c>
      <c r="AI82" s="1081"/>
    </row>
    <row r="83" spans="1:39" s="33" customFormat="1" ht="18.75">
      <c r="A83" s="1233" t="s">
        <v>203</v>
      </c>
      <c r="B83" s="1234"/>
      <c r="C83" s="676" t="s">
        <v>0</v>
      </c>
      <c r="D83" s="696">
        <f t="shared" ref="D83:AB83" si="61">D84+D85</f>
        <v>3323.55</v>
      </c>
      <c r="E83" s="697">
        <f t="shared" si="61"/>
        <v>0</v>
      </c>
      <c r="F83" s="697">
        <f t="shared" si="61"/>
        <v>0</v>
      </c>
      <c r="G83" s="698">
        <f t="shared" si="61"/>
        <v>3323.55</v>
      </c>
      <c r="H83" s="699">
        <f t="shared" si="61"/>
        <v>1867.8</v>
      </c>
      <c r="I83" s="696">
        <f t="shared" si="61"/>
        <v>994.4</v>
      </c>
      <c r="J83" s="697">
        <f t="shared" si="61"/>
        <v>0</v>
      </c>
      <c r="K83" s="697">
        <f t="shared" si="61"/>
        <v>0</v>
      </c>
      <c r="L83" s="698">
        <f t="shared" si="61"/>
        <v>994.4</v>
      </c>
      <c r="M83" s="696">
        <f t="shared" si="61"/>
        <v>994.4</v>
      </c>
      <c r="N83" s="697">
        <f t="shared" si="61"/>
        <v>0</v>
      </c>
      <c r="O83" s="697">
        <f t="shared" si="61"/>
        <v>0</v>
      </c>
      <c r="P83" s="698">
        <f t="shared" si="61"/>
        <v>994.4</v>
      </c>
      <c r="Q83" s="696">
        <f t="shared" si="61"/>
        <v>994.4</v>
      </c>
      <c r="R83" s="697">
        <f t="shared" si="61"/>
        <v>0</v>
      </c>
      <c r="S83" s="697">
        <f t="shared" si="61"/>
        <v>0</v>
      </c>
      <c r="T83" s="698">
        <f t="shared" si="61"/>
        <v>994.4</v>
      </c>
      <c r="U83" s="696">
        <f t="shared" si="61"/>
        <v>994.4</v>
      </c>
      <c r="V83" s="697">
        <f t="shared" si="61"/>
        <v>0</v>
      </c>
      <c r="W83" s="697">
        <f t="shared" si="61"/>
        <v>0</v>
      </c>
      <c r="X83" s="698">
        <f t="shared" si="61"/>
        <v>994.4</v>
      </c>
      <c r="Y83" s="696">
        <f t="shared" si="61"/>
        <v>994.4</v>
      </c>
      <c r="Z83" s="697">
        <f t="shared" si="61"/>
        <v>0</v>
      </c>
      <c r="AA83" s="697">
        <f t="shared" si="61"/>
        <v>0</v>
      </c>
      <c r="AB83" s="698">
        <f t="shared" si="61"/>
        <v>994.4</v>
      </c>
      <c r="AC83" s="700">
        <f t="shared" si="55"/>
        <v>0.53239104829210837</v>
      </c>
      <c r="AD83" s="685">
        <f t="shared" si="56"/>
        <v>0.29919814656015403</v>
      </c>
      <c r="AE83" s="685">
        <f t="shared" si="57"/>
        <v>1</v>
      </c>
      <c r="AF83" s="685">
        <f t="shared" si="58"/>
        <v>1</v>
      </c>
      <c r="AG83" s="685">
        <f t="shared" si="59"/>
        <v>1</v>
      </c>
      <c r="AH83" s="686">
        <f t="shared" si="60"/>
        <v>1</v>
      </c>
      <c r="AI83" s="1105"/>
    </row>
    <row r="84" spans="1:39" s="174" customFormat="1" ht="78.75">
      <c r="A84" s="627" t="s">
        <v>210</v>
      </c>
      <c r="B84" s="1110" t="s">
        <v>243</v>
      </c>
      <c r="C84" s="654" t="s">
        <v>0</v>
      </c>
      <c r="D84" s="445"/>
      <c r="E84" s="1111"/>
      <c r="F84" s="1111"/>
      <c r="G84" s="435"/>
      <c r="H84" s="477"/>
      <c r="I84" s="445"/>
      <c r="J84" s="1111"/>
      <c r="K84" s="1111"/>
      <c r="L84" s="435"/>
      <c r="M84" s="445"/>
      <c r="N84" s="1111"/>
      <c r="O84" s="1111"/>
      <c r="P84" s="435"/>
      <c r="Q84" s="445"/>
      <c r="R84" s="1111"/>
      <c r="S84" s="1111"/>
      <c r="T84" s="435"/>
      <c r="U84" s="445"/>
      <c r="V84" s="1111"/>
      <c r="W84" s="1111"/>
      <c r="X84" s="435"/>
      <c r="Y84" s="445"/>
      <c r="Z84" s="1111"/>
      <c r="AA84" s="1111"/>
      <c r="AB84" s="435"/>
      <c r="AC84" s="633" t="str">
        <f t="shared" si="55"/>
        <v xml:space="preserve"> </v>
      </c>
      <c r="AD84" s="1083" t="str">
        <f t="shared" si="56"/>
        <v xml:space="preserve"> </v>
      </c>
      <c r="AE84" s="1083" t="str">
        <f t="shared" si="57"/>
        <v xml:space="preserve"> </v>
      </c>
      <c r="AF84" s="1083" t="str">
        <f t="shared" si="58"/>
        <v xml:space="preserve"> </v>
      </c>
      <c r="AG84" s="1083" t="str">
        <f t="shared" si="59"/>
        <v xml:space="preserve"> </v>
      </c>
      <c r="AH84" s="176" t="str">
        <f t="shared" si="60"/>
        <v xml:space="preserve"> </v>
      </c>
      <c r="AI84" s="1105"/>
    </row>
    <row r="85" spans="1:39" s="175" customFormat="1" ht="18.75">
      <c r="A85" s="627" t="s">
        <v>244</v>
      </c>
      <c r="B85" s="1110" t="s">
        <v>245</v>
      </c>
      <c r="C85" s="654" t="s">
        <v>0</v>
      </c>
      <c r="D85" s="436">
        <f t="shared" ref="D85:AB85" si="62">D86+D87+D88</f>
        <v>3323.55</v>
      </c>
      <c r="E85" s="1109">
        <f t="shared" si="62"/>
        <v>0</v>
      </c>
      <c r="F85" s="1109">
        <f t="shared" si="62"/>
        <v>0</v>
      </c>
      <c r="G85" s="437">
        <f t="shared" si="62"/>
        <v>3323.55</v>
      </c>
      <c r="H85" s="478">
        <f t="shared" si="62"/>
        <v>1867.8</v>
      </c>
      <c r="I85" s="436">
        <f t="shared" si="62"/>
        <v>994.4</v>
      </c>
      <c r="J85" s="1109">
        <f t="shared" si="62"/>
        <v>0</v>
      </c>
      <c r="K85" s="1109">
        <f t="shared" si="62"/>
        <v>0</v>
      </c>
      <c r="L85" s="437">
        <f t="shared" si="62"/>
        <v>994.4</v>
      </c>
      <c r="M85" s="436">
        <f t="shared" si="62"/>
        <v>994.4</v>
      </c>
      <c r="N85" s="1109">
        <f t="shared" si="62"/>
        <v>0</v>
      </c>
      <c r="O85" s="1109">
        <f t="shared" si="62"/>
        <v>0</v>
      </c>
      <c r="P85" s="437">
        <f t="shared" si="62"/>
        <v>994.4</v>
      </c>
      <c r="Q85" s="436">
        <f t="shared" si="62"/>
        <v>994.4</v>
      </c>
      <c r="R85" s="1109">
        <f t="shared" si="62"/>
        <v>0</v>
      </c>
      <c r="S85" s="1109">
        <f t="shared" si="62"/>
        <v>0</v>
      </c>
      <c r="T85" s="437">
        <f t="shared" si="62"/>
        <v>994.4</v>
      </c>
      <c r="U85" s="436">
        <f t="shared" si="62"/>
        <v>994.4</v>
      </c>
      <c r="V85" s="1109">
        <f t="shared" si="62"/>
        <v>0</v>
      </c>
      <c r="W85" s="1109">
        <f t="shared" si="62"/>
        <v>0</v>
      </c>
      <c r="X85" s="437">
        <f t="shared" si="62"/>
        <v>994.4</v>
      </c>
      <c r="Y85" s="436">
        <f t="shared" si="62"/>
        <v>994.4</v>
      </c>
      <c r="Z85" s="1109">
        <f t="shared" si="62"/>
        <v>0</v>
      </c>
      <c r="AA85" s="1109">
        <f t="shared" si="62"/>
        <v>0</v>
      </c>
      <c r="AB85" s="437">
        <f t="shared" si="62"/>
        <v>994.4</v>
      </c>
      <c r="AC85" s="633">
        <f t="shared" si="55"/>
        <v>0.53239104829210837</v>
      </c>
      <c r="AD85" s="1083">
        <f t="shared" si="56"/>
        <v>0.29919814656015403</v>
      </c>
      <c r="AE85" s="1083">
        <f t="shared" si="57"/>
        <v>1</v>
      </c>
      <c r="AF85" s="1083">
        <f t="shared" si="58"/>
        <v>1</v>
      </c>
      <c r="AG85" s="1083">
        <f t="shared" si="59"/>
        <v>1</v>
      </c>
      <c r="AH85" s="176">
        <f t="shared" si="60"/>
        <v>1</v>
      </c>
      <c r="AI85" s="1105"/>
    </row>
    <row r="86" spans="1:39" s="31" customFormat="1" ht="18.75">
      <c r="A86" s="60"/>
      <c r="B86" s="1107" t="s">
        <v>59</v>
      </c>
      <c r="C86" s="658" t="s">
        <v>0</v>
      </c>
      <c r="D86" s="438">
        <f>E86+F86+G86</f>
        <v>0</v>
      </c>
      <c r="E86" s="1108"/>
      <c r="F86" s="1108"/>
      <c r="G86" s="439"/>
      <c r="H86" s="479">
        <v>873.4</v>
      </c>
      <c r="I86" s="438">
        <f>J86+K86+L86</f>
        <v>0</v>
      </c>
      <c r="J86" s="1108"/>
      <c r="K86" s="1108"/>
      <c r="L86" s="439"/>
      <c r="M86" s="438">
        <f>N86+O86+P86</f>
        <v>0</v>
      </c>
      <c r="N86" s="1108"/>
      <c r="O86" s="1108"/>
      <c r="P86" s="439"/>
      <c r="Q86" s="438">
        <f>R86+S86+T86</f>
        <v>0</v>
      </c>
      <c r="R86" s="1108"/>
      <c r="S86" s="1108"/>
      <c r="T86" s="439"/>
      <c r="U86" s="438">
        <f>V86+W86+X86</f>
        <v>0</v>
      </c>
      <c r="V86" s="1108"/>
      <c r="W86" s="1108"/>
      <c r="X86" s="439"/>
      <c r="Y86" s="438">
        <f>Z86+AA86+AB86</f>
        <v>0</v>
      </c>
      <c r="Z86" s="1108"/>
      <c r="AA86" s="1108"/>
      <c r="AB86" s="439"/>
      <c r="AC86" s="633">
        <f t="shared" si="55"/>
        <v>0</v>
      </c>
      <c r="AD86" s="1083" t="str">
        <f t="shared" si="56"/>
        <v xml:space="preserve"> </v>
      </c>
      <c r="AE86" s="1083" t="str">
        <f t="shared" si="57"/>
        <v xml:space="preserve"> </v>
      </c>
      <c r="AF86" s="1083" t="str">
        <f t="shared" si="58"/>
        <v xml:space="preserve"> </v>
      </c>
      <c r="AG86" s="1083" t="str">
        <f t="shared" si="59"/>
        <v xml:space="preserve"> </v>
      </c>
      <c r="AH86" s="176" t="str">
        <f t="shared" si="60"/>
        <v xml:space="preserve"> </v>
      </c>
      <c r="AI86" s="1105"/>
    </row>
    <row r="87" spans="1:39" s="31" customFormat="1" ht="31.5">
      <c r="A87" s="60"/>
      <c r="B87" s="1107" t="s">
        <v>208</v>
      </c>
      <c r="C87" s="658" t="s">
        <v>0</v>
      </c>
      <c r="D87" s="438">
        <f>E87+F87+G87</f>
        <v>0</v>
      </c>
      <c r="E87" s="1108"/>
      <c r="F87" s="1108"/>
      <c r="G87" s="439"/>
      <c r="H87" s="479"/>
      <c r="I87" s="438">
        <f>J87+K87+L87</f>
        <v>0</v>
      </c>
      <c r="J87" s="1108"/>
      <c r="K87" s="1108"/>
      <c r="L87" s="439"/>
      <c r="M87" s="438">
        <f>N87+O87+P87</f>
        <v>0</v>
      </c>
      <c r="N87" s="1108"/>
      <c r="O87" s="1108"/>
      <c r="P87" s="439"/>
      <c r="Q87" s="438">
        <f>R87+S87+T87</f>
        <v>0</v>
      </c>
      <c r="R87" s="1108"/>
      <c r="S87" s="1108"/>
      <c r="T87" s="439"/>
      <c r="U87" s="438">
        <f>V87+W87+X87</f>
        <v>0</v>
      </c>
      <c r="V87" s="1108"/>
      <c r="W87" s="1108"/>
      <c r="X87" s="439"/>
      <c r="Y87" s="438">
        <f>Z87+AA87+AB87</f>
        <v>0</v>
      </c>
      <c r="Z87" s="1108"/>
      <c r="AA87" s="1108"/>
      <c r="AB87" s="439"/>
      <c r="AC87" s="633" t="str">
        <f t="shared" si="55"/>
        <v xml:space="preserve"> </v>
      </c>
      <c r="AD87" s="1083" t="str">
        <f t="shared" si="56"/>
        <v xml:space="preserve"> </v>
      </c>
      <c r="AE87" s="1083" t="str">
        <f t="shared" si="57"/>
        <v xml:space="preserve"> </v>
      </c>
      <c r="AF87" s="1083" t="str">
        <f t="shared" si="58"/>
        <v xml:space="preserve"> </v>
      </c>
      <c r="AG87" s="1083" t="str">
        <f t="shared" si="59"/>
        <v xml:space="preserve"> </v>
      </c>
      <c r="AH87" s="176" t="str">
        <f t="shared" si="60"/>
        <v xml:space="preserve"> </v>
      </c>
      <c r="AI87" s="1081"/>
      <c r="AK87" s="177"/>
    </row>
    <row r="88" spans="1:39" s="31" customFormat="1" ht="19.5" thickBot="1">
      <c r="A88" s="722"/>
      <c r="B88" s="723" t="s">
        <v>209</v>
      </c>
      <c r="C88" s="724" t="s">
        <v>0</v>
      </c>
      <c r="D88" s="885">
        <f>E88+F88+G88</f>
        <v>3323.55</v>
      </c>
      <c r="E88" s="886"/>
      <c r="F88" s="886"/>
      <c r="G88" s="884">
        <v>3323.55</v>
      </c>
      <c r="H88" s="887">
        <v>994.4</v>
      </c>
      <c r="I88" s="885">
        <f>J88+K88+L88</f>
        <v>994.4</v>
      </c>
      <c r="J88" s="886"/>
      <c r="K88" s="886"/>
      <c r="L88" s="884">
        <f>H88</f>
        <v>994.4</v>
      </c>
      <c r="M88" s="885">
        <f>N88+O88+P88</f>
        <v>994.4</v>
      </c>
      <c r="N88" s="886"/>
      <c r="O88" s="886"/>
      <c r="P88" s="884">
        <f>L88</f>
        <v>994.4</v>
      </c>
      <c r="Q88" s="885">
        <f>R88+S88+T88</f>
        <v>994.4</v>
      </c>
      <c r="R88" s="886"/>
      <c r="S88" s="886"/>
      <c r="T88" s="884">
        <f>P88</f>
        <v>994.4</v>
      </c>
      <c r="U88" s="885">
        <f>V88+W88+X88</f>
        <v>994.4</v>
      </c>
      <c r="V88" s="886"/>
      <c r="W88" s="886"/>
      <c r="X88" s="884">
        <f>T88</f>
        <v>994.4</v>
      </c>
      <c r="Y88" s="885">
        <f>Z88+AA88+AB88</f>
        <v>994.4</v>
      </c>
      <c r="Z88" s="886"/>
      <c r="AA88" s="886"/>
      <c r="AB88" s="884">
        <f>X88</f>
        <v>994.4</v>
      </c>
      <c r="AC88" s="634">
        <f t="shared" si="55"/>
        <v>1</v>
      </c>
      <c r="AD88" s="631">
        <f t="shared" si="56"/>
        <v>0.29919814656015403</v>
      </c>
      <c r="AE88" s="631">
        <f t="shared" si="57"/>
        <v>1</v>
      </c>
      <c r="AF88" s="631">
        <f t="shared" si="58"/>
        <v>1</v>
      </c>
      <c r="AG88" s="631">
        <f t="shared" si="59"/>
        <v>1</v>
      </c>
      <c r="AH88" s="632">
        <f t="shared" si="60"/>
        <v>1</v>
      </c>
      <c r="AI88" s="1081"/>
      <c r="AL88" s="345"/>
      <c r="AM88" s="346"/>
    </row>
    <row r="89" spans="1:39" s="33" customFormat="1" ht="24" customHeight="1" thickBot="1">
      <c r="A89" s="1237" t="s">
        <v>181</v>
      </c>
      <c r="B89" s="1238"/>
      <c r="C89" s="745" t="s">
        <v>0</v>
      </c>
      <c r="D89" s="746">
        <f>E89+F89+G89</f>
        <v>417.59999999999997</v>
      </c>
      <c r="E89" s="747">
        <v>144.63999999999999</v>
      </c>
      <c r="F89" s="747"/>
      <c r="G89" s="748">
        <v>272.95999999999998</v>
      </c>
      <c r="H89" s="749">
        <v>686.3</v>
      </c>
      <c r="I89" s="746">
        <f>J89+K89+L89</f>
        <v>413.32</v>
      </c>
      <c r="J89" s="747">
        <f>ROUND((J14-J15-J17-J19+J20+J59-J80)*0.05,2)</f>
        <v>105.44</v>
      </c>
      <c r="K89" s="747"/>
      <c r="L89" s="748">
        <f>ROUND((L14-L15-L17-L19+L20+L59-L80)*0.05,2)</f>
        <v>307.88</v>
      </c>
      <c r="M89" s="746">
        <f>N89+O89+P89</f>
        <v>421.53</v>
      </c>
      <c r="N89" s="747">
        <f>ROUND((N14-N15-N17-N19+N20+N59-N80)*0.05,2)</f>
        <v>106.66</v>
      </c>
      <c r="O89" s="747"/>
      <c r="P89" s="748">
        <f>ROUND((P14-P15-P17-P19+P20+P59-P80)*0.05,2)</f>
        <v>314.87</v>
      </c>
      <c r="Q89" s="746">
        <f>R89+S89+T89</f>
        <v>432.03999999999996</v>
      </c>
      <c r="R89" s="747">
        <f>ROUND((R14-R15-R17-R19+R20+R59-R80)*0.05,2)</f>
        <v>108.22</v>
      </c>
      <c r="S89" s="747"/>
      <c r="T89" s="748">
        <f>ROUND((T14-T15-T17-T19+T20+T59-T80)*0.05,2)</f>
        <v>323.82</v>
      </c>
      <c r="U89" s="746">
        <f>V89+W89+X89</f>
        <v>442.87</v>
      </c>
      <c r="V89" s="747">
        <f>ROUND((V14-V15-V17-V19+V20+V59-V80)*0.05,2)</f>
        <v>109.83</v>
      </c>
      <c r="W89" s="747"/>
      <c r="X89" s="748">
        <f>ROUND((X14-X15-X17-X19+X20+X59-X80)*0.05,2)</f>
        <v>333.04</v>
      </c>
      <c r="Y89" s="746">
        <f>Z89+AA89+AB89</f>
        <v>453.29999999999995</v>
      </c>
      <c r="Z89" s="747">
        <f>ROUND((Z14-Z15-Z17-Z19+Z20+Z59-Z80)*0.05,2)</f>
        <v>110.77</v>
      </c>
      <c r="AA89" s="747"/>
      <c r="AB89" s="748">
        <f>ROUND((AB14-AB15-AB17-AB19+AB20+AB59-AB80)*0.05,2)</f>
        <v>342.53</v>
      </c>
      <c r="AC89" s="750">
        <f t="shared" si="55"/>
        <v>0.60224391665452426</v>
      </c>
      <c r="AD89" s="751">
        <f t="shared" si="56"/>
        <v>0.98975095785440614</v>
      </c>
      <c r="AE89" s="751">
        <f t="shared" si="57"/>
        <v>1.0198635439852899</v>
      </c>
      <c r="AF89" s="751">
        <f t="shared" si="58"/>
        <v>1.0249329822313951</v>
      </c>
      <c r="AG89" s="751">
        <f t="shared" si="59"/>
        <v>1.0250671234144988</v>
      </c>
      <c r="AH89" s="337">
        <f t="shared" si="60"/>
        <v>1.0235509291665725</v>
      </c>
      <c r="AI89" s="1105"/>
    </row>
    <row r="90" spans="1:39" s="33" customFormat="1" ht="41.25" customHeight="1" thickBot="1">
      <c r="A90" s="1231" t="s">
        <v>182</v>
      </c>
      <c r="B90" s="1232"/>
      <c r="C90" s="32" t="s">
        <v>0</v>
      </c>
      <c r="D90" s="433">
        <f>E90+F90+G90</f>
        <v>-210.88</v>
      </c>
      <c r="E90" s="92">
        <v>-210.88</v>
      </c>
      <c r="F90" s="92"/>
      <c r="G90" s="434"/>
      <c r="H90" s="476"/>
      <c r="I90" s="433">
        <f>J90+K90+L90</f>
        <v>0</v>
      </c>
      <c r="J90" s="92"/>
      <c r="K90" s="92"/>
      <c r="L90" s="434"/>
      <c r="M90" s="433">
        <f>N90+O90+P90</f>
        <v>0</v>
      </c>
      <c r="N90" s="92"/>
      <c r="O90" s="92"/>
      <c r="P90" s="434"/>
      <c r="Q90" s="433">
        <f>R90+S90+T90</f>
        <v>0</v>
      </c>
      <c r="R90" s="92"/>
      <c r="S90" s="92"/>
      <c r="T90" s="434"/>
      <c r="U90" s="433">
        <f>V90+W90+X90</f>
        <v>0</v>
      </c>
      <c r="V90" s="92"/>
      <c r="W90" s="92"/>
      <c r="X90" s="434"/>
      <c r="Y90" s="433">
        <f>Z90+AA90+AB90</f>
        <v>0</v>
      </c>
      <c r="Z90" s="92"/>
      <c r="AA90" s="92"/>
      <c r="AB90" s="434"/>
      <c r="AC90" s="743" t="str">
        <f t="shared" si="55"/>
        <v xml:space="preserve"> </v>
      </c>
      <c r="AD90" s="744">
        <f t="shared" si="56"/>
        <v>0</v>
      </c>
      <c r="AE90" s="744" t="str">
        <f t="shared" si="57"/>
        <v xml:space="preserve"> </v>
      </c>
      <c r="AF90" s="744" t="str">
        <f t="shared" si="58"/>
        <v xml:space="preserve"> </v>
      </c>
      <c r="AG90" s="744" t="str">
        <f t="shared" si="59"/>
        <v xml:space="preserve"> </v>
      </c>
      <c r="AH90" s="97" t="str">
        <f t="shared" si="60"/>
        <v xml:space="preserve"> </v>
      </c>
      <c r="AI90" s="1105"/>
    </row>
    <row r="91" spans="1:39" s="33" customFormat="1" ht="26.25" customHeight="1" thickBot="1">
      <c r="A91" s="1231" t="s">
        <v>183</v>
      </c>
      <c r="B91" s="1232"/>
      <c r="C91" s="32" t="s">
        <v>0</v>
      </c>
      <c r="D91" s="433">
        <f>SUM(D92:D95)</f>
        <v>0</v>
      </c>
      <c r="E91" s="92"/>
      <c r="F91" s="92"/>
      <c r="G91" s="434"/>
      <c r="H91" s="476"/>
      <c r="I91" s="433">
        <f t="shared" ref="I91:AB91" si="63">SUM(I92:I95)</f>
        <v>-2779.6762479721156</v>
      </c>
      <c r="J91" s="92">
        <f t="shared" si="63"/>
        <v>-2779.6762479721156</v>
      </c>
      <c r="K91" s="92">
        <f t="shared" si="63"/>
        <v>0</v>
      </c>
      <c r="L91" s="92">
        <f t="shared" si="63"/>
        <v>0</v>
      </c>
      <c r="M91" s="433">
        <f t="shared" si="63"/>
        <v>0</v>
      </c>
      <c r="N91" s="92">
        <f t="shared" si="63"/>
        <v>0</v>
      </c>
      <c r="O91" s="92">
        <f t="shared" si="63"/>
        <v>0</v>
      </c>
      <c r="P91" s="92">
        <f t="shared" si="63"/>
        <v>0</v>
      </c>
      <c r="Q91" s="433">
        <f t="shared" si="63"/>
        <v>0</v>
      </c>
      <c r="R91" s="92">
        <f t="shared" si="63"/>
        <v>0</v>
      </c>
      <c r="S91" s="92">
        <f t="shared" si="63"/>
        <v>0</v>
      </c>
      <c r="T91" s="92">
        <f t="shared" si="63"/>
        <v>0</v>
      </c>
      <c r="U91" s="433">
        <f t="shared" si="63"/>
        <v>0</v>
      </c>
      <c r="V91" s="92">
        <f t="shared" si="63"/>
        <v>0</v>
      </c>
      <c r="W91" s="92">
        <f t="shared" si="63"/>
        <v>0</v>
      </c>
      <c r="X91" s="92">
        <f t="shared" si="63"/>
        <v>0</v>
      </c>
      <c r="Y91" s="433">
        <f t="shared" si="63"/>
        <v>0</v>
      </c>
      <c r="Z91" s="92">
        <f t="shared" si="63"/>
        <v>0</v>
      </c>
      <c r="AA91" s="92">
        <f t="shared" si="63"/>
        <v>0</v>
      </c>
      <c r="AB91" s="92">
        <f t="shared" si="63"/>
        <v>0</v>
      </c>
      <c r="AC91" s="743" t="str">
        <f t="shared" si="55"/>
        <v xml:space="preserve"> </v>
      </c>
      <c r="AD91" s="744" t="str">
        <f t="shared" si="56"/>
        <v xml:space="preserve"> </v>
      </c>
      <c r="AE91" s="744">
        <f t="shared" si="57"/>
        <v>0</v>
      </c>
      <c r="AF91" s="744" t="str">
        <f t="shared" si="58"/>
        <v xml:space="preserve"> </v>
      </c>
      <c r="AG91" s="744" t="str">
        <f t="shared" si="59"/>
        <v xml:space="preserve"> </v>
      </c>
      <c r="AH91" s="97" t="str">
        <f t="shared" si="60"/>
        <v xml:space="preserve"> </v>
      </c>
      <c r="AI91" s="1105"/>
    </row>
    <row r="92" spans="1:39" s="31" customFormat="1" ht="32.25" customHeight="1" outlineLevel="1">
      <c r="A92" s="71" t="s">
        <v>28</v>
      </c>
      <c r="B92" s="72" t="s">
        <v>204</v>
      </c>
      <c r="C92" s="427" t="s">
        <v>0</v>
      </c>
      <c r="D92" s="446"/>
      <c r="E92" s="103"/>
      <c r="F92" s="103"/>
      <c r="G92" s="447"/>
      <c r="H92" s="483"/>
      <c r="I92" s="446">
        <f>J92+K92+L92</f>
        <v>-2361.819999999997</v>
      </c>
      <c r="J92" s="103">
        <f>'[175]учет итогов'!I9+'[175]учет итогов'!I15+'[175]учет итогов'!I21</f>
        <v>-2361.819999999997</v>
      </c>
      <c r="K92" s="103"/>
      <c r="L92" s="447"/>
      <c r="M92" s="446">
        <f>N92+O92+P92</f>
        <v>0</v>
      </c>
      <c r="N92" s="103">
        <f>'[175]учет итогов'!J21</f>
        <v>0</v>
      </c>
      <c r="O92" s="103"/>
      <c r="P92" s="447"/>
      <c r="Q92" s="446">
        <f>R92+S92+T92</f>
        <v>0</v>
      </c>
      <c r="R92" s="103"/>
      <c r="S92" s="103"/>
      <c r="T92" s="447"/>
      <c r="U92" s="446">
        <f>V92+W92+X92</f>
        <v>0</v>
      </c>
      <c r="V92" s="103"/>
      <c r="W92" s="103"/>
      <c r="X92" s="447"/>
      <c r="Y92" s="446">
        <f>Z92+AA92+AB92</f>
        <v>0</v>
      </c>
      <c r="Z92" s="103"/>
      <c r="AA92" s="103"/>
      <c r="AB92" s="447"/>
      <c r="AC92" s="675" t="str">
        <f t="shared" si="55"/>
        <v xml:space="preserve"> </v>
      </c>
      <c r="AD92" s="667" t="str">
        <f t="shared" si="56"/>
        <v xml:space="preserve"> </v>
      </c>
      <c r="AE92" s="667">
        <f t="shared" si="57"/>
        <v>0</v>
      </c>
      <c r="AF92" s="667" t="str">
        <f t="shared" si="58"/>
        <v xml:space="preserve"> </v>
      </c>
      <c r="AG92" s="667" t="str">
        <f t="shared" si="59"/>
        <v xml:space="preserve"> </v>
      </c>
      <c r="AH92" s="668" t="str">
        <f t="shared" si="60"/>
        <v xml:space="preserve"> </v>
      </c>
      <c r="AI92" s="1081"/>
    </row>
    <row r="93" spans="1:39" s="31" customFormat="1" ht="78.75" outlineLevel="1">
      <c r="A93" s="60" t="s">
        <v>31</v>
      </c>
      <c r="B93" s="1107" t="s">
        <v>205</v>
      </c>
      <c r="C93" s="658" t="s">
        <v>0</v>
      </c>
      <c r="D93" s="448"/>
      <c r="E93" s="1106"/>
      <c r="F93" s="1106"/>
      <c r="G93" s="449"/>
      <c r="H93" s="484"/>
      <c r="I93" s="446">
        <f>J93+K93+L93</f>
        <v>0</v>
      </c>
      <c r="J93" s="1106"/>
      <c r="K93" s="1106"/>
      <c r="L93" s="449"/>
      <c r="M93" s="446">
        <f>N93+O93+P93</f>
        <v>0</v>
      </c>
      <c r="N93" s="1106"/>
      <c r="O93" s="1106"/>
      <c r="P93" s="449"/>
      <c r="Q93" s="446">
        <f>R93+S93+T93</f>
        <v>0</v>
      </c>
      <c r="R93" s="1106"/>
      <c r="S93" s="1106"/>
      <c r="T93" s="449"/>
      <c r="U93" s="446">
        <f>V93+W93+X93</f>
        <v>0</v>
      </c>
      <c r="V93" s="1106"/>
      <c r="W93" s="1106"/>
      <c r="X93" s="449"/>
      <c r="Y93" s="446">
        <f>Z93+AA93+AB93</f>
        <v>0</v>
      </c>
      <c r="Z93" s="1106"/>
      <c r="AA93" s="1106"/>
      <c r="AB93" s="449"/>
      <c r="AC93" s="633" t="str">
        <f t="shared" si="55"/>
        <v xml:space="preserve"> </v>
      </c>
      <c r="AD93" s="1083" t="str">
        <f t="shared" si="56"/>
        <v xml:space="preserve"> </v>
      </c>
      <c r="AE93" s="1083" t="str">
        <f t="shared" si="57"/>
        <v xml:space="preserve"> </v>
      </c>
      <c r="AF93" s="1083" t="str">
        <f t="shared" si="58"/>
        <v xml:space="preserve"> </v>
      </c>
      <c r="AG93" s="1083" t="str">
        <f t="shared" si="59"/>
        <v xml:space="preserve"> </v>
      </c>
      <c r="AH93" s="176" t="str">
        <f t="shared" si="60"/>
        <v xml:space="preserve"> </v>
      </c>
      <c r="AI93" s="1081"/>
    </row>
    <row r="94" spans="1:39" s="31" customFormat="1" ht="32.25" customHeight="1" outlineLevel="1">
      <c r="A94" s="60" t="s">
        <v>32</v>
      </c>
      <c r="B94" s="1107" t="s">
        <v>206</v>
      </c>
      <c r="C94" s="658" t="s">
        <v>0</v>
      </c>
      <c r="D94" s="448"/>
      <c r="E94" s="1106"/>
      <c r="F94" s="1106"/>
      <c r="G94" s="449"/>
      <c r="H94" s="484"/>
      <c r="I94" s="446">
        <f>J94+K94+L94</f>
        <v>0</v>
      </c>
      <c r="J94" s="1106"/>
      <c r="K94" s="1106"/>
      <c r="L94" s="449"/>
      <c r="M94" s="446">
        <f>N94+O94+P94</f>
        <v>0</v>
      </c>
      <c r="N94" s="1106"/>
      <c r="O94" s="1106"/>
      <c r="P94" s="449"/>
      <c r="Q94" s="446">
        <f>R94+S94+T94</f>
        <v>0</v>
      </c>
      <c r="R94" s="1106"/>
      <c r="S94" s="1106"/>
      <c r="T94" s="449"/>
      <c r="U94" s="446">
        <f>V94+W94+X94</f>
        <v>0</v>
      </c>
      <c r="V94" s="1106"/>
      <c r="W94" s="1106"/>
      <c r="X94" s="449"/>
      <c r="Y94" s="446">
        <f>Z94+AA94+AB94</f>
        <v>0</v>
      </c>
      <c r="Z94" s="1106"/>
      <c r="AA94" s="1106"/>
      <c r="AB94" s="449"/>
      <c r="AC94" s="633" t="str">
        <f t="shared" si="55"/>
        <v xml:space="preserve"> </v>
      </c>
      <c r="AD94" s="1083" t="str">
        <f t="shared" si="56"/>
        <v xml:space="preserve"> </v>
      </c>
      <c r="AE94" s="1083" t="str">
        <f t="shared" si="57"/>
        <v xml:space="preserve"> </v>
      </c>
      <c r="AF94" s="1083" t="str">
        <f t="shared" si="58"/>
        <v xml:space="preserve"> </v>
      </c>
      <c r="AG94" s="1083" t="str">
        <f t="shared" si="59"/>
        <v xml:space="preserve"> </v>
      </c>
      <c r="AH94" s="176" t="str">
        <f t="shared" si="60"/>
        <v xml:space="preserve"> </v>
      </c>
      <c r="AI94" s="1081"/>
    </row>
    <row r="95" spans="1:39" s="31" customFormat="1" ht="97.5" customHeight="1" outlineLevel="1" thickBot="1">
      <c r="A95" s="722" t="s">
        <v>34</v>
      </c>
      <c r="B95" s="723" t="s">
        <v>207</v>
      </c>
      <c r="C95" s="724" t="s">
        <v>0</v>
      </c>
      <c r="D95" s="450"/>
      <c r="E95" s="725"/>
      <c r="F95" s="725"/>
      <c r="G95" s="726"/>
      <c r="H95" s="727"/>
      <c r="I95" s="446">
        <f>J95+K95+L95</f>
        <v>-417.85624797211835</v>
      </c>
      <c r="J95" s="725">
        <f>'[175]учет итогов'!I18+'[175]учет итогов'!I24</f>
        <v>-417.85624797211835</v>
      </c>
      <c r="K95" s="725"/>
      <c r="L95" s="726"/>
      <c r="M95" s="446">
        <f>N95+O95+P95</f>
        <v>0</v>
      </c>
      <c r="N95" s="725">
        <f>'[175]учет итогов'!J24</f>
        <v>0</v>
      </c>
      <c r="O95" s="725"/>
      <c r="P95" s="726"/>
      <c r="Q95" s="446">
        <f>R95+S95+T95</f>
        <v>0</v>
      </c>
      <c r="R95" s="725"/>
      <c r="S95" s="725"/>
      <c r="T95" s="726"/>
      <c r="U95" s="446">
        <f>V95+W95+X95</f>
        <v>0</v>
      </c>
      <c r="V95" s="725"/>
      <c r="W95" s="725"/>
      <c r="X95" s="726"/>
      <c r="Y95" s="446">
        <f>Z95+AA95+AB95</f>
        <v>0</v>
      </c>
      <c r="Z95" s="725"/>
      <c r="AA95" s="725"/>
      <c r="AB95" s="726"/>
      <c r="AC95" s="634" t="str">
        <f t="shared" si="55"/>
        <v xml:space="preserve"> </v>
      </c>
      <c r="AD95" s="631" t="str">
        <f t="shared" si="56"/>
        <v xml:space="preserve"> </v>
      </c>
      <c r="AE95" s="631">
        <f t="shared" si="57"/>
        <v>0</v>
      </c>
      <c r="AF95" s="631" t="str">
        <f t="shared" si="58"/>
        <v xml:space="preserve"> </v>
      </c>
      <c r="AG95" s="631" t="str">
        <f t="shared" si="59"/>
        <v xml:space="preserve"> </v>
      </c>
      <c r="AH95" s="632" t="str">
        <f t="shared" si="60"/>
        <v xml:space="preserve"> </v>
      </c>
      <c r="AI95" s="1081"/>
    </row>
    <row r="96" spans="1:39" s="33" customFormat="1" ht="19.5" thickBot="1">
      <c r="A96" s="1231" t="s">
        <v>184</v>
      </c>
      <c r="B96" s="1232"/>
      <c r="C96" s="32" t="s">
        <v>0</v>
      </c>
      <c r="D96" s="433">
        <f t="shared" ref="D96:AB96" si="64">SUM(D98:D104)</f>
        <v>25610.034999999996</v>
      </c>
      <c r="E96" s="92">
        <f t="shared" si="64"/>
        <v>13714.584999999999</v>
      </c>
      <c r="F96" s="92">
        <f t="shared" si="64"/>
        <v>1031.07</v>
      </c>
      <c r="G96" s="434">
        <f t="shared" si="64"/>
        <v>10864.380000000001</v>
      </c>
      <c r="H96" s="476">
        <f t="shared" si="64"/>
        <v>31215.192999999999</v>
      </c>
      <c r="I96" s="433">
        <f t="shared" si="64"/>
        <v>26972.983752027882</v>
      </c>
      <c r="J96" s="92">
        <f t="shared" si="64"/>
        <v>15210.073752027882</v>
      </c>
      <c r="K96" s="92">
        <f t="shared" si="64"/>
        <v>1811.5</v>
      </c>
      <c r="L96" s="434">
        <f t="shared" si="64"/>
        <v>9951.409999999998</v>
      </c>
      <c r="M96" s="433">
        <f t="shared" si="64"/>
        <v>30269.854689107568</v>
      </c>
      <c r="N96" s="92">
        <f t="shared" si="64"/>
        <v>18165.82</v>
      </c>
      <c r="O96" s="92">
        <f t="shared" si="64"/>
        <v>1926.4899999999998</v>
      </c>
      <c r="P96" s="434">
        <f t="shared" si="64"/>
        <v>10199.410000000002</v>
      </c>
      <c r="Q96" s="433">
        <f t="shared" si="64"/>
        <v>31733.637536561127</v>
      </c>
      <c r="R96" s="92">
        <f t="shared" si="64"/>
        <v>19145.13</v>
      </c>
      <c r="S96" s="92">
        <f t="shared" si="64"/>
        <v>2027.7899999999997</v>
      </c>
      <c r="T96" s="434">
        <f t="shared" si="64"/>
        <v>10583.23</v>
      </c>
      <c r="U96" s="433">
        <f t="shared" si="64"/>
        <v>32979.631254054766</v>
      </c>
      <c r="V96" s="92">
        <f t="shared" si="64"/>
        <v>19983.300000000003</v>
      </c>
      <c r="W96" s="92">
        <f t="shared" si="64"/>
        <v>2107.34</v>
      </c>
      <c r="X96" s="434">
        <f t="shared" si="64"/>
        <v>10912.17</v>
      </c>
      <c r="Y96" s="433">
        <f t="shared" si="64"/>
        <v>34238.57514171191</v>
      </c>
      <c r="Z96" s="92">
        <f t="shared" si="64"/>
        <v>20974.400000000001</v>
      </c>
      <c r="AA96" s="92">
        <f t="shared" si="64"/>
        <v>2187.7000000000003</v>
      </c>
      <c r="AB96" s="434">
        <f t="shared" si="64"/>
        <v>11100.34</v>
      </c>
      <c r="AC96" s="743">
        <f t="shared" si="55"/>
        <v>0.86409793308110838</v>
      </c>
      <c r="AD96" s="744">
        <f t="shared" si="56"/>
        <v>1.0532193240668311</v>
      </c>
      <c r="AE96" s="744">
        <f t="shared" si="57"/>
        <v>1.1222286331904909</v>
      </c>
      <c r="AF96" s="744">
        <f t="shared" si="58"/>
        <v>1.0483577758297034</v>
      </c>
      <c r="AG96" s="744">
        <f t="shared" si="59"/>
        <v>1.0392641315089737</v>
      </c>
      <c r="AH96" s="97">
        <f t="shared" si="60"/>
        <v>1.0381733767111894</v>
      </c>
      <c r="AI96" s="1105"/>
      <c r="AK96" s="344"/>
    </row>
    <row r="97" spans="1:37" s="76" customFormat="1" ht="18.75" outlineLevel="1">
      <c r="A97" s="74"/>
      <c r="B97" s="75" t="s">
        <v>101</v>
      </c>
      <c r="C97" s="428"/>
      <c r="D97" s="451"/>
      <c r="E97" s="105"/>
      <c r="F97" s="105"/>
      <c r="G97" s="452"/>
      <c r="H97" s="485"/>
      <c r="I97" s="451"/>
      <c r="J97" s="105"/>
      <c r="K97" s="105"/>
      <c r="L97" s="452"/>
      <c r="M97" s="451"/>
      <c r="N97" s="105"/>
      <c r="O97" s="105"/>
      <c r="P97" s="452"/>
      <c r="Q97" s="451"/>
      <c r="R97" s="105"/>
      <c r="S97" s="105"/>
      <c r="T97" s="452"/>
      <c r="U97" s="451"/>
      <c r="V97" s="105"/>
      <c r="W97" s="105"/>
      <c r="X97" s="452"/>
      <c r="Y97" s="451"/>
      <c r="Z97" s="105"/>
      <c r="AA97" s="105"/>
      <c r="AB97" s="452"/>
      <c r="AC97" s="675" t="str">
        <f t="shared" si="55"/>
        <v xml:space="preserve"> </v>
      </c>
      <c r="AD97" s="667" t="str">
        <f t="shared" si="56"/>
        <v xml:space="preserve"> </v>
      </c>
      <c r="AE97" s="667" t="str">
        <f t="shared" si="57"/>
        <v xml:space="preserve"> </v>
      </c>
      <c r="AF97" s="667" t="str">
        <f t="shared" si="58"/>
        <v xml:space="preserve"> </v>
      </c>
      <c r="AG97" s="667" t="str">
        <f t="shared" si="59"/>
        <v xml:space="preserve"> </v>
      </c>
      <c r="AH97" s="668" t="str">
        <f t="shared" si="60"/>
        <v xml:space="preserve"> </v>
      </c>
      <c r="AI97" s="1104"/>
    </row>
    <row r="98" spans="1:37" s="31" customFormat="1" ht="18.75">
      <c r="A98" s="77"/>
      <c r="B98" s="1103" t="s">
        <v>123</v>
      </c>
      <c r="C98" s="661" t="s">
        <v>0</v>
      </c>
      <c r="D98" s="453">
        <f t="shared" ref="D98:AB98" si="65">D20</f>
        <v>5477.0599999999995</v>
      </c>
      <c r="E98" s="1101">
        <f t="shared" si="65"/>
        <v>1389.9299999999998</v>
      </c>
      <c r="F98" s="1101">
        <f t="shared" si="65"/>
        <v>0</v>
      </c>
      <c r="G98" s="454">
        <f t="shared" si="65"/>
        <v>4087.13</v>
      </c>
      <c r="H98" s="486">
        <f t="shared" si="65"/>
        <v>8989.1849999999995</v>
      </c>
      <c r="I98" s="453">
        <f t="shared" si="65"/>
        <v>6191.32</v>
      </c>
      <c r="J98" s="1101">
        <f t="shared" si="65"/>
        <v>915.59</v>
      </c>
      <c r="K98" s="1101">
        <f t="shared" si="65"/>
        <v>0</v>
      </c>
      <c r="L98" s="454">
        <f t="shared" si="65"/>
        <v>5275.73</v>
      </c>
      <c r="M98" s="453">
        <f t="shared" si="65"/>
        <v>6315.9346891075711</v>
      </c>
      <c r="N98" s="1101">
        <f t="shared" si="65"/>
        <v>937.25</v>
      </c>
      <c r="O98" s="1101">
        <f t="shared" si="65"/>
        <v>0</v>
      </c>
      <c r="P98" s="454">
        <f t="shared" si="65"/>
        <v>5400.55</v>
      </c>
      <c r="Q98" s="453">
        <f t="shared" si="65"/>
        <v>6502.8875365611248</v>
      </c>
      <c r="R98" s="1101">
        <f t="shared" si="65"/>
        <v>964.99</v>
      </c>
      <c r="S98" s="1101">
        <f t="shared" si="65"/>
        <v>0</v>
      </c>
      <c r="T98" s="454">
        <f t="shared" si="65"/>
        <v>5560.41</v>
      </c>
      <c r="U98" s="453">
        <f t="shared" si="65"/>
        <v>6695.3712540547622</v>
      </c>
      <c r="V98" s="1101">
        <f t="shared" si="65"/>
        <v>993.55</v>
      </c>
      <c r="W98" s="1101">
        <f t="shared" si="65"/>
        <v>0</v>
      </c>
      <c r="X98" s="454">
        <f t="shared" si="65"/>
        <v>5725</v>
      </c>
      <c r="Y98" s="453">
        <f t="shared" si="65"/>
        <v>6893.5551417119023</v>
      </c>
      <c r="Z98" s="1101">
        <f t="shared" si="65"/>
        <v>1022.96</v>
      </c>
      <c r="AA98" s="1101">
        <f t="shared" si="65"/>
        <v>0</v>
      </c>
      <c r="AB98" s="454">
        <f t="shared" si="65"/>
        <v>5894.46</v>
      </c>
      <c r="AC98" s="633">
        <f t="shared" si="55"/>
        <v>0.68875209487845668</v>
      </c>
      <c r="AD98" s="1083">
        <f t="shared" si="56"/>
        <v>1.1304093802149329</v>
      </c>
      <c r="AE98" s="1083">
        <f t="shared" si="57"/>
        <v>1.0201273216547637</v>
      </c>
      <c r="AF98" s="1083">
        <f t="shared" si="58"/>
        <v>1.0296001869328972</v>
      </c>
      <c r="AG98" s="1083">
        <f t="shared" si="59"/>
        <v>1.0295997303369369</v>
      </c>
      <c r="AH98" s="176">
        <f t="shared" si="60"/>
        <v>1.0296001342027328</v>
      </c>
      <c r="AI98" s="1081"/>
    </row>
    <row r="99" spans="1:37" s="31" customFormat="1" ht="18.75">
      <c r="A99" s="77"/>
      <c r="B99" s="1103" t="s">
        <v>124</v>
      </c>
      <c r="C99" s="661" t="s">
        <v>0</v>
      </c>
      <c r="D99" s="453">
        <f t="shared" ref="D99:AB99" si="66">D59</f>
        <v>3609.1349999999998</v>
      </c>
      <c r="E99" s="1101">
        <f t="shared" si="66"/>
        <v>2237.0749999999998</v>
      </c>
      <c r="F99" s="1101">
        <f t="shared" si="66"/>
        <v>0</v>
      </c>
      <c r="G99" s="454">
        <f t="shared" si="66"/>
        <v>1372.06</v>
      </c>
      <c r="H99" s="486">
        <f t="shared" si="66"/>
        <v>4218.0540000000001</v>
      </c>
      <c r="I99" s="453">
        <f t="shared" si="66"/>
        <v>2075.02</v>
      </c>
      <c r="J99" s="1101">
        <f t="shared" si="66"/>
        <v>1193.1300000000001</v>
      </c>
      <c r="K99" s="1101">
        <f t="shared" si="66"/>
        <v>0</v>
      </c>
      <c r="L99" s="454">
        <f t="shared" si="66"/>
        <v>881.89</v>
      </c>
      <c r="M99" s="453">
        <f t="shared" si="66"/>
        <v>2092.79</v>
      </c>
      <c r="N99" s="1101">
        <f t="shared" si="66"/>
        <v>1195.9100000000001</v>
      </c>
      <c r="O99" s="1101">
        <f t="shared" si="66"/>
        <v>0</v>
      </c>
      <c r="P99" s="454">
        <f t="shared" si="66"/>
        <v>896.88</v>
      </c>
      <c r="Q99" s="453">
        <f t="shared" si="66"/>
        <v>2115.5</v>
      </c>
      <c r="R99" s="1101">
        <f t="shared" si="66"/>
        <v>1199.44</v>
      </c>
      <c r="S99" s="1101">
        <f t="shared" si="66"/>
        <v>0</v>
      </c>
      <c r="T99" s="454">
        <f t="shared" si="66"/>
        <v>916.06000000000006</v>
      </c>
      <c r="U99" s="453">
        <f t="shared" si="66"/>
        <v>2138.92</v>
      </c>
      <c r="V99" s="1101">
        <f t="shared" si="66"/>
        <v>1203.0999999999999</v>
      </c>
      <c r="W99" s="1101">
        <f t="shared" si="66"/>
        <v>0</v>
      </c>
      <c r="X99" s="454">
        <f t="shared" si="66"/>
        <v>935.82</v>
      </c>
      <c r="Y99" s="453">
        <f t="shared" si="66"/>
        <v>2148.6800000000003</v>
      </c>
      <c r="Z99" s="1101">
        <f t="shared" si="66"/>
        <v>1192.52</v>
      </c>
      <c r="AA99" s="1101">
        <f t="shared" si="66"/>
        <v>0</v>
      </c>
      <c r="AB99" s="454">
        <f t="shared" si="66"/>
        <v>956.16</v>
      </c>
      <c r="AC99" s="633">
        <f t="shared" si="55"/>
        <v>0.49193775138962181</v>
      </c>
      <c r="AD99" s="1083">
        <f t="shared" si="56"/>
        <v>0.57493554549774395</v>
      </c>
      <c r="AE99" s="1083">
        <f t="shared" si="57"/>
        <v>1.0085637728792975</v>
      </c>
      <c r="AF99" s="1083">
        <f t="shared" si="58"/>
        <v>1.0108515426774785</v>
      </c>
      <c r="AG99" s="1083">
        <f t="shared" si="59"/>
        <v>1.011070668872607</v>
      </c>
      <c r="AH99" s="176">
        <f t="shared" si="60"/>
        <v>1.0045630505114731</v>
      </c>
      <c r="AI99" s="1081"/>
    </row>
    <row r="100" spans="1:37" s="31" customFormat="1" ht="18.75">
      <c r="A100" s="77"/>
      <c r="B100" s="1103" t="s">
        <v>125</v>
      </c>
      <c r="C100" s="661" t="s">
        <v>0</v>
      </c>
      <c r="D100" s="453">
        <f t="shared" ref="D100:AB100" si="67">D14</f>
        <v>12993.57</v>
      </c>
      <c r="E100" s="1101">
        <f t="shared" si="67"/>
        <v>10153.82</v>
      </c>
      <c r="F100" s="1101">
        <f t="shared" si="67"/>
        <v>1031.07</v>
      </c>
      <c r="G100" s="454">
        <f t="shared" si="67"/>
        <v>1808.68</v>
      </c>
      <c r="H100" s="486">
        <f t="shared" si="67"/>
        <v>15453.854000000001</v>
      </c>
      <c r="I100" s="453">
        <f t="shared" si="67"/>
        <v>20078.599999999995</v>
      </c>
      <c r="J100" s="1101">
        <f t="shared" si="67"/>
        <v>15775.589999999998</v>
      </c>
      <c r="K100" s="1101">
        <f t="shared" si="67"/>
        <v>1811.5</v>
      </c>
      <c r="L100" s="454">
        <f t="shared" si="67"/>
        <v>2491.5099999999998</v>
      </c>
      <c r="M100" s="453">
        <f t="shared" si="67"/>
        <v>20445.199999999997</v>
      </c>
      <c r="N100" s="1101">
        <f t="shared" si="67"/>
        <v>15926</v>
      </c>
      <c r="O100" s="1101">
        <f t="shared" si="67"/>
        <v>1926.4899999999998</v>
      </c>
      <c r="P100" s="454">
        <f t="shared" si="67"/>
        <v>2592.7100000000005</v>
      </c>
      <c r="Q100" s="453">
        <f t="shared" si="67"/>
        <v>21688.81</v>
      </c>
      <c r="R100" s="1101">
        <f t="shared" si="67"/>
        <v>16872.48</v>
      </c>
      <c r="S100" s="1101">
        <f t="shared" si="67"/>
        <v>2027.7899999999997</v>
      </c>
      <c r="T100" s="454">
        <f t="shared" si="67"/>
        <v>2788.54</v>
      </c>
      <c r="U100" s="453">
        <f t="shared" si="67"/>
        <v>22708.07</v>
      </c>
      <c r="V100" s="1101">
        <f t="shared" si="67"/>
        <v>17676.82</v>
      </c>
      <c r="W100" s="1101">
        <f t="shared" si="67"/>
        <v>2107.34</v>
      </c>
      <c r="X100" s="454">
        <f t="shared" si="67"/>
        <v>2923.9100000000003</v>
      </c>
      <c r="Y100" s="453">
        <f t="shared" si="67"/>
        <v>23748.640000000003</v>
      </c>
      <c r="Z100" s="1101">
        <f t="shared" si="67"/>
        <v>18648.150000000001</v>
      </c>
      <c r="AA100" s="1101">
        <f t="shared" si="67"/>
        <v>2187.7000000000003</v>
      </c>
      <c r="AB100" s="454">
        <f t="shared" si="67"/>
        <v>2912.79</v>
      </c>
      <c r="AC100" s="633">
        <f t="shared" si="55"/>
        <v>1.2992616599069717</v>
      </c>
      <c r="AD100" s="1083">
        <f t="shared" si="56"/>
        <v>1.5452720076160744</v>
      </c>
      <c r="AE100" s="1083">
        <f t="shared" si="57"/>
        <v>1.0182582450967699</v>
      </c>
      <c r="AF100" s="1083">
        <f t="shared" si="58"/>
        <v>1.0608265020640544</v>
      </c>
      <c r="AG100" s="1083">
        <f t="shared" si="59"/>
        <v>1.0469947406058699</v>
      </c>
      <c r="AH100" s="176">
        <f t="shared" si="60"/>
        <v>1.0458237974429356</v>
      </c>
      <c r="AI100" s="1081"/>
    </row>
    <row r="101" spans="1:37" s="31" customFormat="1" ht="18.75">
      <c r="A101" s="77"/>
      <c r="B101" s="1103" t="s">
        <v>126</v>
      </c>
      <c r="C101" s="661" t="s">
        <v>0</v>
      </c>
      <c r="D101" s="453">
        <f t="shared" ref="D101:AB101" si="68">D83</f>
        <v>3323.55</v>
      </c>
      <c r="E101" s="1101">
        <f t="shared" si="68"/>
        <v>0</v>
      </c>
      <c r="F101" s="1101">
        <f t="shared" si="68"/>
        <v>0</v>
      </c>
      <c r="G101" s="454">
        <f t="shared" si="68"/>
        <v>3323.55</v>
      </c>
      <c r="H101" s="486">
        <f t="shared" si="68"/>
        <v>1867.8</v>
      </c>
      <c r="I101" s="453">
        <f t="shared" si="68"/>
        <v>994.4</v>
      </c>
      <c r="J101" s="1101">
        <f t="shared" si="68"/>
        <v>0</v>
      </c>
      <c r="K101" s="1101">
        <f t="shared" si="68"/>
        <v>0</v>
      </c>
      <c r="L101" s="454">
        <f t="shared" si="68"/>
        <v>994.4</v>
      </c>
      <c r="M101" s="453">
        <f t="shared" si="68"/>
        <v>994.4</v>
      </c>
      <c r="N101" s="1101">
        <f t="shared" si="68"/>
        <v>0</v>
      </c>
      <c r="O101" s="1101">
        <f t="shared" si="68"/>
        <v>0</v>
      </c>
      <c r="P101" s="454">
        <f t="shared" si="68"/>
        <v>994.4</v>
      </c>
      <c r="Q101" s="453">
        <f t="shared" si="68"/>
        <v>994.4</v>
      </c>
      <c r="R101" s="1101">
        <f t="shared" si="68"/>
        <v>0</v>
      </c>
      <c r="S101" s="1101">
        <f t="shared" si="68"/>
        <v>0</v>
      </c>
      <c r="T101" s="454">
        <f t="shared" si="68"/>
        <v>994.4</v>
      </c>
      <c r="U101" s="453">
        <f t="shared" si="68"/>
        <v>994.4</v>
      </c>
      <c r="V101" s="1101">
        <f t="shared" si="68"/>
        <v>0</v>
      </c>
      <c r="W101" s="1101">
        <f t="shared" si="68"/>
        <v>0</v>
      </c>
      <c r="X101" s="454">
        <f t="shared" si="68"/>
        <v>994.4</v>
      </c>
      <c r="Y101" s="453">
        <f t="shared" si="68"/>
        <v>994.4</v>
      </c>
      <c r="Z101" s="1101">
        <f t="shared" si="68"/>
        <v>0</v>
      </c>
      <c r="AA101" s="1101">
        <f t="shared" si="68"/>
        <v>0</v>
      </c>
      <c r="AB101" s="454">
        <f t="shared" si="68"/>
        <v>994.4</v>
      </c>
      <c r="AC101" s="633">
        <f t="shared" si="55"/>
        <v>0.53239104829210837</v>
      </c>
      <c r="AD101" s="1083">
        <f t="shared" si="56"/>
        <v>0.29919814656015403</v>
      </c>
      <c r="AE101" s="1083">
        <f t="shared" si="57"/>
        <v>1</v>
      </c>
      <c r="AF101" s="1083">
        <f t="shared" si="58"/>
        <v>1</v>
      </c>
      <c r="AG101" s="1083">
        <f t="shared" si="59"/>
        <v>1</v>
      </c>
      <c r="AH101" s="176">
        <f t="shared" si="60"/>
        <v>1</v>
      </c>
      <c r="AI101" s="1081"/>
    </row>
    <row r="102" spans="1:37" s="31" customFormat="1" ht="18.75">
      <c r="A102" s="77"/>
      <c r="B102" s="1103" t="s">
        <v>176</v>
      </c>
      <c r="C102" s="661" t="s">
        <v>0</v>
      </c>
      <c r="D102" s="453">
        <f t="shared" ref="D102:AB102" si="69">D89</f>
        <v>417.59999999999997</v>
      </c>
      <c r="E102" s="1101">
        <f t="shared" si="69"/>
        <v>144.63999999999999</v>
      </c>
      <c r="F102" s="1101">
        <f t="shared" si="69"/>
        <v>0</v>
      </c>
      <c r="G102" s="454">
        <f t="shared" si="69"/>
        <v>272.95999999999998</v>
      </c>
      <c r="H102" s="486">
        <f t="shared" si="69"/>
        <v>686.3</v>
      </c>
      <c r="I102" s="453">
        <f t="shared" si="69"/>
        <v>413.32</v>
      </c>
      <c r="J102" s="1101">
        <f t="shared" si="69"/>
        <v>105.44</v>
      </c>
      <c r="K102" s="1101">
        <f t="shared" si="69"/>
        <v>0</v>
      </c>
      <c r="L102" s="454">
        <f t="shared" si="69"/>
        <v>307.88</v>
      </c>
      <c r="M102" s="453">
        <f t="shared" si="69"/>
        <v>421.53</v>
      </c>
      <c r="N102" s="1101">
        <f t="shared" si="69"/>
        <v>106.66</v>
      </c>
      <c r="O102" s="1101">
        <f t="shared" si="69"/>
        <v>0</v>
      </c>
      <c r="P102" s="454">
        <f t="shared" si="69"/>
        <v>314.87</v>
      </c>
      <c r="Q102" s="453">
        <f t="shared" si="69"/>
        <v>432.03999999999996</v>
      </c>
      <c r="R102" s="1101">
        <f t="shared" si="69"/>
        <v>108.22</v>
      </c>
      <c r="S102" s="1101">
        <f t="shared" si="69"/>
        <v>0</v>
      </c>
      <c r="T102" s="454">
        <f t="shared" si="69"/>
        <v>323.82</v>
      </c>
      <c r="U102" s="453">
        <f t="shared" si="69"/>
        <v>442.87</v>
      </c>
      <c r="V102" s="1101">
        <f t="shared" si="69"/>
        <v>109.83</v>
      </c>
      <c r="W102" s="1101">
        <f t="shared" si="69"/>
        <v>0</v>
      </c>
      <c r="X102" s="454">
        <f t="shared" si="69"/>
        <v>333.04</v>
      </c>
      <c r="Y102" s="453">
        <f t="shared" si="69"/>
        <v>453.29999999999995</v>
      </c>
      <c r="Z102" s="1101">
        <f t="shared" si="69"/>
        <v>110.77</v>
      </c>
      <c r="AA102" s="1101">
        <f t="shared" si="69"/>
        <v>0</v>
      </c>
      <c r="AB102" s="454">
        <f t="shared" si="69"/>
        <v>342.53</v>
      </c>
      <c r="AC102" s="633">
        <f t="shared" si="55"/>
        <v>0.60224391665452426</v>
      </c>
      <c r="AD102" s="1083">
        <f t="shared" si="56"/>
        <v>0.98975095785440614</v>
      </c>
      <c r="AE102" s="1083">
        <f t="shared" si="57"/>
        <v>1.0198635439852899</v>
      </c>
      <c r="AF102" s="1083">
        <f t="shared" si="58"/>
        <v>1.0249329822313951</v>
      </c>
      <c r="AG102" s="1083">
        <f t="shared" si="59"/>
        <v>1.0250671234144988</v>
      </c>
      <c r="AH102" s="176">
        <f t="shared" si="60"/>
        <v>1.0235509291665725</v>
      </c>
      <c r="AI102" s="1081"/>
    </row>
    <row r="103" spans="1:37" s="31" customFormat="1" ht="18.75">
      <c r="A103" s="77"/>
      <c r="B103" s="1103" t="s">
        <v>127</v>
      </c>
      <c r="C103" s="661" t="s">
        <v>0</v>
      </c>
      <c r="D103" s="453">
        <f t="shared" ref="D103:AB103" si="70">D90</f>
        <v>-210.88</v>
      </c>
      <c r="E103" s="1101">
        <f t="shared" si="70"/>
        <v>-210.88</v>
      </c>
      <c r="F103" s="1101">
        <f t="shared" si="70"/>
        <v>0</v>
      </c>
      <c r="G103" s="454">
        <f t="shared" si="70"/>
        <v>0</v>
      </c>
      <c r="H103" s="486">
        <f t="shared" si="70"/>
        <v>0</v>
      </c>
      <c r="I103" s="453">
        <f t="shared" si="70"/>
        <v>0</v>
      </c>
      <c r="J103" s="1101">
        <f t="shared" si="70"/>
        <v>0</v>
      </c>
      <c r="K103" s="1101">
        <f t="shared" si="70"/>
        <v>0</v>
      </c>
      <c r="L103" s="454">
        <f t="shared" si="70"/>
        <v>0</v>
      </c>
      <c r="M103" s="453">
        <f t="shared" si="70"/>
        <v>0</v>
      </c>
      <c r="N103" s="1101">
        <f t="shared" si="70"/>
        <v>0</v>
      </c>
      <c r="O103" s="1101">
        <f t="shared" si="70"/>
        <v>0</v>
      </c>
      <c r="P103" s="454">
        <f t="shared" si="70"/>
        <v>0</v>
      </c>
      <c r="Q103" s="453">
        <f t="shared" si="70"/>
        <v>0</v>
      </c>
      <c r="R103" s="1101">
        <f t="shared" si="70"/>
        <v>0</v>
      </c>
      <c r="S103" s="1101">
        <f t="shared" si="70"/>
        <v>0</v>
      </c>
      <c r="T103" s="454">
        <f t="shared" si="70"/>
        <v>0</v>
      </c>
      <c r="U103" s="453">
        <f t="shared" si="70"/>
        <v>0</v>
      </c>
      <c r="V103" s="1101">
        <f t="shared" si="70"/>
        <v>0</v>
      </c>
      <c r="W103" s="1101">
        <f t="shared" si="70"/>
        <v>0</v>
      </c>
      <c r="X103" s="454">
        <f t="shared" si="70"/>
        <v>0</v>
      </c>
      <c r="Y103" s="453">
        <f t="shared" si="70"/>
        <v>0</v>
      </c>
      <c r="Z103" s="1101">
        <f t="shared" si="70"/>
        <v>0</v>
      </c>
      <c r="AA103" s="1101">
        <f t="shared" si="70"/>
        <v>0</v>
      </c>
      <c r="AB103" s="454">
        <f t="shared" si="70"/>
        <v>0</v>
      </c>
      <c r="AC103" s="633" t="str">
        <f t="shared" si="55"/>
        <v xml:space="preserve"> </v>
      </c>
      <c r="AD103" s="1083">
        <f t="shared" si="56"/>
        <v>0</v>
      </c>
      <c r="AE103" s="1083" t="str">
        <f t="shared" si="57"/>
        <v xml:space="preserve"> </v>
      </c>
      <c r="AF103" s="1083" t="str">
        <f t="shared" si="58"/>
        <v xml:space="preserve"> </v>
      </c>
      <c r="AG103" s="1083" t="str">
        <f t="shared" si="59"/>
        <v xml:space="preserve"> </v>
      </c>
      <c r="AH103" s="176" t="str">
        <f t="shared" si="60"/>
        <v xml:space="preserve"> </v>
      </c>
      <c r="AI103" s="1081"/>
    </row>
    <row r="104" spans="1:37" s="31" customFormat="1" ht="18.75">
      <c r="A104" s="77"/>
      <c r="B104" s="1102" t="s">
        <v>128</v>
      </c>
      <c r="C104" s="661" t="s">
        <v>0</v>
      </c>
      <c r="D104" s="453">
        <f t="shared" ref="D104:AB104" si="71">D91</f>
        <v>0</v>
      </c>
      <c r="E104" s="1101">
        <f t="shared" si="71"/>
        <v>0</v>
      </c>
      <c r="F104" s="1101">
        <f t="shared" si="71"/>
        <v>0</v>
      </c>
      <c r="G104" s="454">
        <f t="shared" si="71"/>
        <v>0</v>
      </c>
      <c r="H104" s="486">
        <f t="shared" si="71"/>
        <v>0</v>
      </c>
      <c r="I104" s="453">
        <f t="shared" si="71"/>
        <v>-2779.6762479721156</v>
      </c>
      <c r="J104" s="1101">
        <f t="shared" si="71"/>
        <v>-2779.6762479721156</v>
      </c>
      <c r="K104" s="1101">
        <f t="shared" si="71"/>
        <v>0</v>
      </c>
      <c r="L104" s="454">
        <f t="shared" si="71"/>
        <v>0</v>
      </c>
      <c r="M104" s="453">
        <f t="shared" si="71"/>
        <v>0</v>
      </c>
      <c r="N104" s="1101">
        <f t="shared" si="71"/>
        <v>0</v>
      </c>
      <c r="O104" s="1101">
        <f t="shared" si="71"/>
        <v>0</v>
      </c>
      <c r="P104" s="454">
        <f t="shared" si="71"/>
        <v>0</v>
      </c>
      <c r="Q104" s="453">
        <f t="shared" si="71"/>
        <v>0</v>
      </c>
      <c r="R104" s="1101">
        <f t="shared" si="71"/>
        <v>0</v>
      </c>
      <c r="S104" s="1101">
        <f t="shared" si="71"/>
        <v>0</v>
      </c>
      <c r="T104" s="454">
        <f t="shared" si="71"/>
        <v>0</v>
      </c>
      <c r="U104" s="453">
        <f t="shared" si="71"/>
        <v>0</v>
      </c>
      <c r="V104" s="1101">
        <f t="shared" si="71"/>
        <v>0</v>
      </c>
      <c r="W104" s="1101">
        <f t="shared" si="71"/>
        <v>0</v>
      </c>
      <c r="X104" s="454">
        <f t="shared" si="71"/>
        <v>0</v>
      </c>
      <c r="Y104" s="453">
        <f t="shared" si="71"/>
        <v>0</v>
      </c>
      <c r="Z104" s="1101">
        <f t="shared" si="71"/>
        <v>0</v>
      </c>
      <c r="AA104" s="1101">
        <f t="shared" si="71"/>
        <v>0</v>
      </c>
      <c r="AB104" s="454">
        <f t="shared" si="71"/>
        <v>0</v>
      </c>
      <c r="AC104" s="633" t="str">
        <f t="shared" si="55"/>
        <v xml:space="preserve"> </v>
      </c>
      <c r="AD104" s="1083" t="str">
        <f t="shared" si="56"/>
        <v xml:space="preserve"> </v>
      </c>
      <c r="AE104" s="1083">
        <f t="shared" si="57"/>
        <v>0</v>
      </c>
      <c r="AF104" s="1083" t="str">
        <f t="shared" si="58"/>
        <v xml:space="preserve"> </v>
      </c>
      <c r="AG104" s="1083" t="str">
        <f t="shared" si="59"/>
        <v xml:space="preserve"> </v>
      </c>
      <c r="AH104" s="176" t="str">
        <f t="shared" si="60"/>
        <v xml:space="preserve"> </v>
      </c>
      <c r="AI104" s="1081"/>
    </row>
    <row r="105" spans="1:37" s="80" customFormat="1" ht="18.75">
      <c r="A105" s="81"/>
      <c r="B105" s="1097"/>
      <c r="C105" s="662"/>
      <c r="D105" s="644"/>
      <c r="E105" s="1100"/>
      <c r="F105" s="1100"/>
      <c r="G105" s="645"/>
      <c r="H105" s="652"/>
      <c r="I105" s="644"/>
      <c r="J105" s="1100"/>
      <c r="K105" s="1100"/>
      <c r="L105" s="645"/>
      <c r="M105" s="644"/>
      <c r="N105" s="1100"/>
      <c r="O105" s="1100"/>
      <c r="P105" s="645"/>
      <c r="Q105" s="644"/>
      <c r="R105" s="1100"/>
      <c r="S105" s="1100"/>
      <c r="T105" s="645"/>
      <c r="U105" s="644"/>
      <c r="V105" s="1100"/>
      <c r="W105" s="1100"/>
      <c r="X105" s="645"/>
      <c r="Y105" s="644"/>
      <c r="Z105" s="1100"/>
      <c r="AA105" s="1100"/>
      <c r="AB105" s="645"/>
      <c r="AC105" s="633" t="str">
        <f t="shared" si="55"/>
        <v xml:space="preserve"> </v>
      </c>
      <c r="AD105" s="1083" t="str">
        <f t="shared" si="56"/>
        <v xml:space="preserve"> </v>
      </c>
      <c r="AE105" s="1083" t="str">
        <f t="shared" si="57"/>
        <v xml:space="preserve"> </v>
      </c>
      <c r="AF105" s="1083" t="str">
        <f t="shared" si="58"/>
        <v xml:space="preserve"> </v>
      </c>
      <c r="AG105" s="1083" t="str">
        <f t="shared" si="59"/>
        <v xml:space="preserve"> </v>
      </c>
      <c r="AH105" s="176" t="str">
        <f t="shared" si="60"/>
        <v xml:space="preserve"> </v>
      </c>
      <c r="AI105" s="1099"/>
      <c r="AJ105" s="107"/>
      <c r="AK105" s="107"/>
    </row>
    <row r="106" spans="1:37" ht="18.75">
      <c r="A106" s="81" t="s">
        <v>70</v>
      </c>
      <c r="B106" s="1088" t="s">
        <v>187</v>
      </c>
      <c r="C106" s="661" t="s">
        <v>0</v>
      </c>
      <c r="D106" s="455">
        <f t="shared" ref="D106:AB106" si="72">D96-D101-D108</f>
        <v>21455.594999999998</v>
      </c>
      <c r="E106" s="1098">
        <f t="shared" si="72"/>
        <v>13714.584999999999</v>
      </c>
      <c r="F106" s="1098">
        <f t="shared" si="72"/>
        <v>1031.07</v>
      </c>
      <c r="G106" s="456">
        <f t="shared" si="72"/>
        <v>6709.9400000000005</v>
      </c>
      <c r="H106" s="487">
        <f t="shared" si="72"/>
        <v>28405.113000000001</v>
      </c>
      <c r="I106" s="455">
        <f t="shared" si="72"/>
        <v>25729.983752027882</v>
      </c>
      <c r="J106" s="1098">
        <f t="shared" si="72"/>
        <v>15210.073752027882</v>
      </c>
      <c r="K106" s="1098">
        <f t="shared" si="72"/>
        <v>1811.5</v>
      </c>
      <c r="L106" s="456">
        <f t="shared" si="72"/>
        <v>8708.409999999998</v>
      </c>
      <c r="M106" s="455">
        <f t="shared" si="72"/>
        <v>29026.854689107568</v>
      </c>
      <c r="N106" s="1098">
        <f t="shared" si="72"/>
        <v>18165.82</v>
      </c>
      <c r="O106" s="1098">
        <f t="shared" si="72"/>
        <v>1926.4899999999998</v>
      </c>
      <c r="P106" s="456">
        <f t="shared" si="72"/>
        <v>8956.4100000000017</v>
      </c>
      <c r="Q106" s="455">
        <f t="shared" si="72"/>
        <v>30490.637536561127</v>
      </c>
      <c r="R106" s="1098">
        <f t="shared" si="72"/>
        <v>19145.13</v>
      </c>
      <c r="S106" s="1098">
        <f t="shared" si="72"/>
        <v>2027.7899999999997</v>
      </c>
      <c r="T106" s="456">
        <f t="shared" si="72"/>
        <v>9340.23</v>
      </c>
      <c r="U106" s="455">
        <f t="shared" si="72"/>
        <v>31736.631254054766</v>
      </c>
      <c r="V106" s="1098">
        <f t="shared" si="72"/>
        <v>19983.300000000003</v>
      </c>
      <c r="W106" s="1098">
        <f t="shared" si="72"/>
        <v>2107.34</v>
      </c>
      <c r="X106" s="456">
        <f t="shared" si="72"/>
        <v>9669.17</v>
      </c>
      <c r="Y106" s="455">
        <f t="shared" si="72"/>
        <v>32995.57514171191</v>
      </c>
      <c r="Z106" s="1098">
        <f t="shared" si="72"/>
        <v>20974.400000000001</v>
      </c>
      <c r="AA106" s="1098">
        <f t="shared" si="72"/>
        <v>2187.7000000000003</v>
      </c>
      <c r="AB106" s="456">
        <f t="shared" si="72"/>
        <v>9857.34</v>
      </c>
      <c r="AC106" s="633">
        <f t="shared" si="55"/>
        <v>0.90582226347868711</v>
      </c>
      <c r="AD106" s="1083">
        <f t="shared" si="56"/>
        <v>1.1992202384519228</v>
      </c>
      <c r="AE106" s="1083">
        <f t="shared" si="57"/>
        <v>1.1281334247566264</v>
      </c>
      <c r="AF106" s="1083">
        <f t="shared" si="58"/>
        <v>1.0504285725453695</v>
      </c>
      <c r="AG106" s="1083">
        <f t="shared" si="59"/>
        <v>1.0408647971364842</v>
      </c>
      <c r="AH106" s="176">
        <f t="shared" si="60"/>
        <v>1.0396684789125594</v>
      </c>
      <c r="AI106" s="1081"/>
    </row>
    <row r="107" spans="1:37" ht="31.5">
      <c r="A107" s="81" t="s">
        <v>71</v>
      </c>
      <c r="B107" s="1088" t="s">
        <v>189</v>
      </c>
      <c r="C107" s="661" t="s">
        <v>0</v>
      </c>
      <c r="D107" s="457">
        <f t="shared" ref="D107:AB107" si="73">D83</f>
        <v>3323.55</v>
      </c>
      <c r="E107" s="1096">
        <f t="shared" si="73"/>
        <v>0</v>
      </c>
      <c r="F107" s="1096">
        <f t="shared" si="73"/>
        <v>0</v>
      </c>
      <c r="G107" s="458">
        <f t="shared" si="73"/>
        <v>3323.55</v>
      </c>
      <c r="H107" s="488">
        <f t="shared" si="73"/>
        <v>1867.8</v>
      </c>
      <c r="I107" s="457">
        <f t="shared" si="73"/>
        <v>994.4</v>
      </c>
      <c r="J107" s="1096">
        <f t="shared" si="73"/>
        <v>0</v>
      </c>
      <c r="K107" s="1096">
        <f t="shared" si="73"/>
        <v>0</v>
      </c>
      <c r="L107" s="458">
        <f t="shared" si="73"/>
        <v>994.4</v>
      </c>
      <c r="M107" s="457">
        <f t="shared" si="73"/>
        <v>994.4</v>
      </c>
      <c r="N107" s="1096">
        <f t="shared" si="73"/>
        <v>0</v>
      </c>
      <c r="O107" s="1096">
        <f t="shared" si="73"/>
        <v>0</v>
      </c>
      <c r="P107" s="458">
        <f t="shared" si="73"/>
        <v>994.4</v>
      </c>
      <c r="Q107" s="457">
        <f t="shared" si="73"/>
        <v>994.4</v>
      </c>
      <c r="R107" s="1096">
        <f t="shared" si="73"/>
        <v>0</v>
      </c>
      <c r="S107" s="1096">
        <f t="shared" si="73"/>
        <v>0</v>
      </c>
      <c r="T107" s="458">
        <f t="shared" si="73"/>
        <v>994.4</v>
      </c>
      <c r="U107" s="457">
        <f t="shared" si="73"/>
        <v>994.4</v>
      </c>
      <c r="V107" s="1096">
        <f t="shared" si="73"/>
        <v>0</v>
      </c>
      <c r="W107" s="1096">
        <f t="shared" si="73"/>
        <v>0</v>
      </c>
      <c r="X107" s="458">
        <f t="shared" si="73"/>
        <v>994.4</v>
      </c>
      <c r="Y107" s="457">
        <f t="shared" si="73"/>
        <v>994.4</v>
      </c>
      <c r="Z107" s="1096">
        <f t="shared" si="73"/>
        <v>0</v>
      </c>
      <c r="AA107" s="1096">
        <f t="shared" si="73"/>
        <v>0</v>
      </c>
      <c r="AB107" s="458">
        <f t="shared" si="73"/>
        <v>994.4</v>
      </c>
      <c r="AC107" s="633">
        <f t="shared" si="55"/>
        <v>0.53239104829210837</v>
      </c>
      <c r="AD107" s="1083">
        <f t="shared" si="56"/>
        <v>0.29919814656015403</v>
      </c>
      <c r="AE107" s="1083">
        <f t="shared" si="57"/>
        <v>1</v>
      </c>
      <c r="AF107" s="1083">
        <f t="shared" si="58"/>
        <v>1</v>
      </c>
      <c r="AG107" s="1083">
        <f t="shared" si="59"/>
        <v>1</v>
      </c>
      <c r="AH107" s="176">
        <f t="shared" si="60"/>
        <v>1</v>
      </c>
      <c r="AI107" s="1081"/>
    </row>
    <row r="108" spans="1:37" ht="18.75">
      <c r="A108" s="81" t="s">
        <v>72</v>
      </c>
      <c r="B108" s="1088" t="s">
        <v>188</v>
      </c>
      <c r="C108" s="661" t="s">
        <v>0</v>
      </c>
      <c r="D108" s="457">
        <f t="shared" ref="D108:AB108" si="74">D70</f>
        <v>830.89</v>
      </c>
      <c r="E108" s="1096">
        <f t="shared" si="74"/>
        <v>0</v>
      </c>
      <c r="F108" s="1096">
        <f t="shared" si="74"/>
        <v>0</v>
      </c>
      <c r="G108" s="458">
        <f t="shared" si="74"/>
        <v>830.89</v>
      </c>
      <c r="H108" s="488">
        <f t="shared" si="74"/>
        <v>942.28</v>
      </c>
      <c r="I108" s="457">
        <f t="shared" si="74"/>
        <v>248.6</v>
      </c>
      <c r="J108" s="1096">
        <f t="shared" si="74"/>
        <v>0</v>
      </c>
      <c r="K108" s="1096">
        <f t="shared" si="74"/>
        <v>0</v>
      </c>
      <c r="L108" s="458">
        <f t="shared" si="74"/>
        <v>248.6</v>
      </c>
      <c r="M108" s="457">
        <f t="shared" si="74"/>
        <v>248.6</v>
      </c>
      <c r="N108" s="1096">
        <f t="shared" si="74"/>
        <v>0</v>
      </c>
      <c r="O108" s="1096">
        <f t="shared" si="74"/>
        <v>0</v>
      </c>
      <c r="P108" s="458">
        <f t="shared" si="74"/>
        <v>248.6</v>
      </c>
      <c r="Q108" s="457">
        <f t="shared" si="74"/>
        <v>248.6</v>
      </c>
      <c r="R108" s="1096">
        <f t="shared" si="74"/>
        <v>0</v>
      </c>
      <c r="S108" s="1096">
        <f t="shared" si="74"/>
        <v>0</v>
      </c>
      <c r="T108" s="458">
        <f t="shared" si="74"/>
        <v>248.6</v>
      </c>
      <c r="U108" s="457">
        <f t="shared" si="74"/>
        <v>248.6</v>
      </c>
      <c r="V108" s="1096">
        <f t="shared" si="74"/>
        <v>0</v>
      </c>
      <c r="W108" s="1096">
        <f t="shared" si="74"/>
        <v>0</v>
      </c>
      <c r="X108" s="458">
        <f t="shared" si="74"/>
        <v>248.6</v>
      </c>
      <c r="Y108" s="457">
        <f t="shared" si="74"/>
        <v>248.6</v>
      </c>
      <c r="Z108" s="1096">
        <f t="shared" si="74"/>
        <v>0</v>
      </c>
      <c r="AA108" s="1096">
        <f t="shared" si="74"/>
        <v>0</v>
      </c>
      <c r="AB108" s="458">
        <f t="shared" si="74"/>
        <v>248.6</v>
      </c>
      <c r="AC108" s="633">
        <f t="shared" si="55"/>
        <v>0.2638281614806639</v>
      </c>
      <c r="AD108" s="1083">
        <f t="shared" si="56"/>
        <v>0.29919724632622852</v>
      </c>
      <c r="AE108" s="1083">
        <f t="shared" si="57"/>
        <v>1</v>
      </c>
      <c r="AF108" s="1083">
        <f t="shared" si="58"/>
        <v>1</v>
      </c>
      <c r="AG108" s="1083">
        <f t="shared" si="59"/>
        <v>1</v>
      </c>
      <c r="AH108" s="176">
        <f t="shared" si="60"/>
        <v>1</v>
      </c>
      <c r="AI108" s="1081"/>
    </row>
    <row r="109" spans="1:37" ht="18.75">
      <c r="A109" s="81" t="s">
        <v>73</v>
      </c>
      <c r="B109" s="1097" t="s">
        <v>129</v>
      </c>
      <c r="C109" s="661" t="s">
        <v>0</v>
      </c>
      <c r="D109" s="457">
        <f t="shared" ref="D109:AB109" si="75">D106+D107+D108</f>
        <v>25610.034999999996</v>
      </c>
      <c r="E109" s="1096">
        <f t="shared" si="75"/>
        <v>13714.584999999999</v>
      </c>
      <c r="F109" s="1096">
        <f t="shared" si="75"/>
        <v>1031.07</v>
      </c>
      <c r="G109" s="458">
        <f t="shared" si="75"/>
        <v>10864.380000000001</v>
      </c>
      <c r="H109" s="488">
        <f t="shared" si="75"/>
        <v>31215.192999999999</v>
      </c>
      <c r="I109" s="457">
        <f t="shared" si="75"/>
        <v>26972.983752027882</v>
      </c>
      <c r="J109" s="1096">
        <f t="shared" si="75"/>
        <v>15210.073752027882</v>
      </c>
      <c r="K109" s="1096">
        <f t="shared" si="75"/>
        <v>1811.5</v>
      </c>
      <c r="L109" s="458">
        <f t="shared" si="75"/>
        <v>9951.409999999998</v>
      </c>
      <c r="M109" s="457">
        <f t="shared" si="75"/>
        <v>30269.854689107568</v>
      </c>
      <c r="N109" s="1096">
        <f t="shared" si="75"/>
        <v>18165.82</v>
      </c>
      <c r="O109" s="1096">
        <f t="shared" si="75"/>
        <v>1926.4899999999998</v>
      </c>
      <c r="P109" s="458">
        <f t="shared" si="75"/>
        <v>10199.410000000002</v>
      </c>
      <c r="Q109" s="457">
        <f t="shared" si="75"/>
        <v>31733.637536561127</v>
      </c>
      <c r="R109" s="1096">
        <f t="shared" si="75"/>
        <v>19145.13</v>
      </c>
      <c r="S109" s="1096">
        <f t="shared" si="75"/>
        <v>2027.7899999999997</v>
      </c>
      <c r="T109" s="458">
        <f t="shared" si="75"/>
        <v>10583.23</v>
      </c>
      <c r="U109" s="457">
        <f t="shared" si="75"/>
        <v>32979.631254054766</v>
      </c>
      <c r="V109" s="1096">
        <f t="shared" si="75"/>
        <v>19983.300000000003</v>
      </c>
      <c r="W109" s="1096">
        <f t="shared" si="75"/>
        <v>2107.34</v>
      </c>
      <c r="X109" s="458">
        <f t="shared" si="75"/>
        <v>10912.17</v>
      </c>
      <c r="Y109" s="457">
        <f t="shared" si="75"/>
        <v>34238.57514171191</v>
      </c>
      <c r="Z109" s="1096">
        <f t="shared" si="75"/>
        <v>20974.400000000001</v>
      </c>
      <c r="AA109" s="1096">
        <f t="shared" si="75"/>
        <v>2187.7000000000003</v>
      </c>
      <c r="AB109" s="458">
        <f t="shared" si="75"/>
        <v>11100.34</v>
      </c>
      <c r="AC109" s="633">
        <f t="shared" si="55"/>
        <v>0.86409793308110838</v>
      </c>
      <c r="AD109" s="1083">
        <f t="shared" si="56"/>
        <v>1.0532193240668311</v>
      </c>
      <c r="AE109" s="1083">
        <f t="shared" si="57"/>
        <v>1.1222286331904909</v>
      </c>
      <c r="AF109" s="1083">
        <f t="shared" si="58"/>
        <v>1.0483577758297034</v>
      </c>
      <c r="AG109" s="1083">
        <f t="shared" si="59"/>
        <v>1.0392641315089737</v>
      </c>
      <c r="AH109" s="176">
        <f t="shared" si="60"/>
        <v>1.0381733767111894</v>
      </c>
      <c r="AI109" s="1081"/>
    </row>
    <row r="110" spans="1:37" ht="18.75">
      <c r="A110" s="81"/>
      <c r="B110" s="1090" t="s">
        <v>19</v>
      </c>
      <c r="C110" s="661"/>
      <c r="D110" s="457"/>
      <c r="E110" s="1096"/>
      <c r="F110" s="1096"/>
      <c r="G110" s="458"/>
      <c r="H110" s="488"/>
      <c r="I110" s="457"/>
      <c r="J110" s="1096"/>
      <c r="K110" s="1096"/>
      <c r="L110" s="458"/>
      <c r="M110" s="457"/>
      <c r="N110" s="1096"/>
      <c r="O110" s="1096"/>
      <c r="P110" s="458"/>
      <c r="Q110" s="457"/>
      <c r="R110" s="1096"/>
      <c r="S110" s="1096"/>
      <c r="T110" s="458"/>
      <c r="U110" s="457"/>
      <c r="V110" s="1096"/>
      <c r="W110" s="1096"/>
      <c r="X110" s="458"/>
      <c r="Y110" s="457"/>
      <c r="Z110" s="1096"/>
      <c r="AA110" s="1096"/>
      <c r="AB110" s="458"/>
      <c r="AC110" s="633" t="str">
        <f t="shared" ref="AC110:AC124" si="76">IFERROR(I110/H110, " ")</f>
        <v xml:space="preserve"> </v>
      </c>
      <c r="AD110" s="1083" t="str">
        <f t="shared" ref="AD110:AD125" si="77">IFERROR(I110/D110, " ")</f>
        <v xml:space="preserve"> </v>
      </c>
      <c r="AE110" s="1083" t="str">
        <f t="shared" ref="AE110:AE125" si="78">IFERROR(M110/I110, " ")</f>
        <v xml:space="preserve"> </v>
      </c>
      <c r="AF110" s="1083" t="str">
        <f t="shared" ref="AF110:AF125" si="79">IFERROR(Q110/M110, " ")</f>
        <v xml:space="preserve"> </v>
      </c>
      <c r="AG110" s="1083" t="str">
        <f t="shared" ref="AG110:AG125" si="80">IFERROR(U110/Q110, " ")</f>
        <v xml:space="preserve"> </v>
      </c>
      <c r="AH110" s="176" t="str">
        <f t="shared" ref="AH110:AH125" si="81">IFERROR(Y110/U110, " ")</f>
        <v xml:space="preserve"> </v>
      </c>
      <c r="AI110" s="1081"/>
    </row>
    <row r="111" spans="1:37" s="9" customFormat="1" ht="38.25" customHeight="1">
      <c r="A111" s="86"/>
      <c r="B111" s="1095" t="s">
        <v>190</v>
      </c>
      <c r="C111" s="663" t="s">
        <v>1</v>
      </c>
      <c r="D111" s="459"/>
      <c r="E111" s="1094"/>
      <c r="F111" s="1094"/>
      <c r="G111" s="460"/>
      <c r="H111" s="489"/>
      <c r="I111" s="459"/>
      <c r="J111" s="1094"/>
      <c r="K111" s="1094"/>
      <c r="L111" s="460"/>
      <c r="M111" s="459"/>
      <c r="N111" s="1094"/>
      <c r="O111" s="1094"/>
      <c r="P111" s="460"/>
      <c r="Q111" s="459"/>
      <c r="R111" s="1094"/>
      <c r="S111" s="1094"/>
      <c r="T111" s="460"/>
      <c r="U111" s="459"/>
      <c r="V111" s="1094"/>
      <c r="W111" s="1094"/>
      <c r="X111" s="460"/>
      <c r="Y111" s="459"/>
      <c r="Z111" s="1094"/>
      <c r="AA111" s="1094"/>
      <c r="AB111" s="460"/>
      <c r="AC111" s="633" t="str">
        <f t="shared" si="76"/>
        <v xml:space="preserve"> </v>
      </c>
      <c r="AD111" s="1083" t="str">
        <f t="shared" si="77"/>
        <v xml:space="preserve"> </v>
      </c>
      <c r="AE111" s="1083" t="str">
        <f t="shared" si="78"/>
        <v xml:space="preserve"> </v>
      </c>
      <c r="AF111" s="1083" t="str">
        <f t="shared" si="79"/>
        <v xml:space="preserve"> </v>
      </c>
      <c r="AG111" s="1083" t="str">
        <f t="shared" si="80"/>
        <v xml:space="preserve"> </v>
      </c>
      <c r="AH111" s="176" t="str">
        <f t="shared" si="81"/>
        <v xml:space="preserve"> </v>
      </c>
      <c r="AI111" s="1081"/>
    </row>
    <row r="112" spans="1:37" s="9" customFormat="1" ht="63.75">
      <c r="A112" s="86"/>
      <c r="B112" s="1095" t="s">
        <v>185</v>
      </c>
      <c r="C112" s="663" t="s">
        <v>1</v>
      </c>
      <c r="D112" s="459"/>
      <c r="E112" s="1094"/>
      <c r="F112" s="1094"/>
      <c r="G112" s="460"/>
      <c r="H112" s="489"/>
      <c r="I112" s="459"/>
      <c r="J112" s="1094"/>
      <c r="K112" s="1094"/>
      <c r="L112" s="460"/>
      <c r="M112" s="459"/>
      <c r="N112" s="1094"/>
      <c r="O112" s="1094"/>
      <c r="P112" s="460"/>
      <c r="Q112" s="459"/>
      <c r="R112" s="1094"/>
      <c r="S112" s="1094"/>
      <c r="T112" s="460"/>
      <c r="U112" s="459"/>
      <c r="V112" s="1094"/>
      <c r="W112" s="1094"/>
      <c r="X112" s="460"/>
      <c r="Y112" s="459"/>
      <c r="Z112" s="1094"/>
      <c r="AA112" s="1094"/>
      <c r="AB112" s="460"/>
      <c r="AC112" s="633" t="str">
        <f t="shared" si="76"/>
        <v xml:space="preserve"> </v>
      </c>
      <c r="AD112" s="1083" t="str">
        <f t="shared" si="77"/>
        <v xml:space="preserve"> </v>
      </c>
      <c r="AE112" s="1083" t="str">
        <f t="shared" si="78"/>
        <v xml:space="preserve"> </v>
      </c>
      <c r="AF112" s="1083" t="str">
        <f t="shared" si="79"/>
        <v xml:space="preserve"> </v>
      </c>
      <c r="AG112" s="1083" t="str">
        <f t="shared" si="80"/>
        <v xml:space="preserve"> </v>
      </c>
      <c r="AH112" s="176" t="str">
        <f t="shared" si="81"/>
        <v xml:space="preserve"> </v>
      </c>
      <c r="AI112" s="1081"/>
    </row>
    <row r="113" spans="1:35" s="80" customFormat="1" ht="18.75">
      <c r="A113" s="461" t="str">
        <f>IF(ISERROR(#REF!/#REF!)," ",#REF!/#REF!)</f>
        <v xml:space="preserve"> </v>
      </c>
      <c r="B113" s="1093"/>
      <c r="C113" s="604"/>
      <c r="D113" s="461"/>
      <c r="E113" s="1093"/>
      <c r="F113" s="1093"/>
      <c r="G113" s="462"/>
      <c r="H113" s="362"/>
      <c r="I113" s="461"/>
      <c r="J113" s="1093"/>
      <c r="K113" s="1093"/>
      <c r="L113" s="462"/>
      <c r="M113" s="461"/>
      <c r="N113" s="1093"/>
      <c r="O113" s="1093"/>
      <c r="P113" s="462"/>
      <c r="Q113" s="461"/>
      <c r="R113" s="1093"/>
      <c r="S113" s="1093"/>
      <c r="T113" s="462"/>
      <c r="U113" s="461"/>
      <c r="V113" s="1093"/>
      <c r="W113" s="1093"/>
      <c r="X113" s="462"/>
      <c r="Y113" s="461"/>
      <c r="Z113" s="1093"/>
      <c r="AA113" s="1093"/>
      <c r="AB113" s="462"/>
      <c r="AC113" s="633" t="str">
        <f t="shared" si="76"/>
        <v xml:space="preserve"> </v>
      </c>
      <c r="AD113" s="1083" t="str">
        <f t="shared" si="77"/>
        <v xml:space="preserve"> </v>
      </c>
      <c r="AE113" s="1083" t="str">
        <f t="shared" si="78"/>
        <v xml:space="preserve"> </v>
      </c>
      <c r="AF113" s="1083" t="str">
        <f t="shared" si="79"/>
        <v xml:space="preserve"> </v>
      </c>
      <c r="AG113" s="1083" t="str">
        <f t="shared" si="80"/>
        <v xml:space="preserve"> </v>
      </c>
      <c r="AH113" s="176" t="str">
        <f t="shared" si="81"/>
        <v xml:space="preserve"> </v>
      </c>
      <c r="AI113" s="1092"/>
    </row>
    <row r="114" spans="1:35" ht="18.75">
      <c r="A114" s="81"/>
      <c r="B114" s="1088" t="s">
        <v>429</v>
      </c>
      <c r="C114" s="661" t="s">
        <v>10</v>
      </c>
      <c r="D114" s="463">
        <f>D116</f>
        <v>10395</v>
      </c>
      <c r="E114" s="1087">
        <f>E116</f>
        <v>0</v>
      </c>
      <c r="F114" s="1087"/>
      <c r="G114" s="464"/>
      <c r="H114" s="490">
        <f>H116</f>
        <v>10000</v>
      </c>
      <c r="I114" s="463">
        <f>I116</f>
        <v>10000</v>
      </c>
      <c r="J114" s="1087"/>
      <c r="K114" s="1087"/>
      <c r="L114" s="464"/>
      <c r="M114" s="463">
        <f>M116</f>
        <v>10000</v>
      </c>
      <c r="N114" s="1087">
        <f>N116</f>
        <v>0</v>
      </c>
      <c r="O114" s="1087"/>
      <c r="P114" s="464"/>
      <c r="Q114" s="463">
        <f>Q116</f>
        <v>10000</v>
      </c>
      <c r="R114" s="1087">
        <f>R116</f>
        <v>0</v>
      </c>
      <c r="S114" s="1087"/>
      <c r="T114" s="464"/>
      <c r="U114" s="463">
        <f>U116</f>
        <v>10000</v>
      </c>
      <c r="V114" s="1087">
        <f>V116</f>
        <v>0</v>
      </c>
      <c r="W114" s="1087"/>
      <c r="X114" s="464"/>
      <c r="Y114" s="463">
        <f>Y116</f>
        <v>10000</v>
      </c>
      <c r="Z114" s="1087">
        <f>Z116</f>
        <v>0</v>
      </c>
      <c r="AA114" s="1087"/>
      <c r="AB114" s="464"/>
      <c r="AC114" s="633">
        <f t="shared" si="76"/>
        <v>1</v>
      </c>
      <c r="AD114" s="1083">
        <f t="shared" si="77"/>
        <v>0.96200096200096197</v>
      </c>
      <c r="AE114" s="1083">
        <f t="shared" si="78"/>
        <v>1</v>
      </c>
      <c r="AF114" s="1083">
        <f t="shared" si="79"/>
        <v>1</v>
      </c>
      <c r="AG114" s="1083">
        <f t="shared" si="80"/>
        <v>1</v>
      </c>
      <c r="AH114" s="176">
        <f t="shared" si="81"/>
        <v>1</v>
      </c>
      <c r="AI114" s="1081"/>
    </row>
    <row r="115" spans="1:35" ht="18.75">
      <c r="A115" s="81"/>
      <c r="B115" s="1088" t="s">
        <v>130</v>
      </c>
      <c r="C115" s="661" t="s">
        <v>10</v>
      </c>
      <c r="D115" s="465"/>
      <c r="E115" s="1091"/>
      <c r="F115" s="1091"/>
      <c r="G115" s="466"/>
      <c r="H115" s="491"/>
      <c r="I115" s="465"/>
      <c r="J115" s="1091"/>
      <c r="K115" s="1091"/>
      <c r="L115" s="466"/>
      <c r="M115" s="465"/>
      <c r="N115" s="1091"/>
      <c r="O115" s="1091"/>
      <c r="P115" s="466"/>
      <c r="Q115" s="465"/>
      <c r="R115" s="1091"/>
      <c r="S115" s="1091"/>
      <c r="T115" s="466"/>
      <c r="U115" s="465"/>
      <c r="V115" s="1091"/>
      <c r="W115" s="1091"/>
      <c r="X115" s="466"/>
      <c r="Y115" s="465"/>
      <c r="Z115" s="1091"/>
      <c r="AA115" s="1091"/>
      <c r="AB115" s="466"/>
      <c r="AC115" s="633" t="str">
        <f t="shared" si="76"/>
        <v xml:space="preserve"> </v>
      </c>
      <c r="AD115" s="1083" t="str">
        <f t="shared" si="77"/>
        <v xml:space="preserve"> </v>
      </c>
      <c r="AE115" s="1083" t="str">
        <f t="shared" si="78"/>
        <v xml:space="preserve"> </v>
      </c>
      <c r="AF115" s="1083" t="str">
        <f t="shared" si="79"/>
        <v xml:space="preserve"> </v>
      </c>
      <c r="AG115" s="1083" t="str">
        <f t="shared" si="80"/>
        <v xml:space="preserve"> </v>
      </c>
      <c r="AH115" s="176" t="str">
        <f t="shared" si="81"/>
        <v xml:space="preserve"> </v>
      </c>
      <c r="AI115" s="1081"/>
    </row>
    <row r="116" spans="1:35" ht="18.75">
      <c r="A116" s="81"/>
      <c r="B116" s="1088" t="s">
        <v>430</v>
      </c>
      <c r="C116" s="661" t="s">
        <v>10</v>
      </c>
      <c r="D116" s="465">
        <v>10395</v>
      </c>
      <c r="E116" s="1091"/>
      <c r="F116" s="1091"/>
      <c r="G116" s="466"/>
      <c r="H116" s="491">
        <v>10000</v>
      </c>
      <c r="I116" s="465">
        <v>10000</v>
      </c>
      <c r="J116" s="1091"/>
      <c r="K116" s="1091"/>
      <c r="L116" s="466"/>
      <c r="M116" s="465">
        <v>10000</v>
      </c>
      <c r="N116" s="1091"/>
      <c r="O116" s="1091"/>
      <c r="P116" s="466"/>
      <c r="Q116" s="465">
        <v>10000</v>
      </c>
      <c r="R116" s="1091"/>
      <c r="S116" s="1091"/>
      <c r="T116" s="466"/>
      <c r="U116" s="465">
        <v>10000</v>
      </c>
      <c r="V116" s="1091"/>
      <c r="W116" s="1091"/>
      <c r="X116" s="466"/>
      <c r="Y116" s="465">
        <v>10000</v>
      </c>
      <c r="Z116" s="1091"/>
      <c r="AA116" s="1091"/>
      <c r="AB116" s="466"/>
      <c r="AC116" s="633">
        <f t="shared" si="76"/>
        <v>1</v>
      </c>
      <c r="AD116" s="1083">
        <f t="shared" si="77"/>
        <v>0.96200096200096197</v>
      </c>
      <c r="AE116" s="1083">
        <f t="shared" si="78"/>
        <v>1</v>
      </c>
      <c r="AF116" s="1083">
        <f t="shared" si="79"/>
        <v>1</v>
      </c>
      <c r="AG116" s="1083">
        <f t="shared" si="80"/>
        <v>1</v>
      </c>
      <c r="AH116" s="176">
        <f t="shared" si="81"/>
        <v>1</v>
      </c>
      <c r="AI116" s="1081"/>
    </row>
    <row r="117" spans="1:35" ht="18.75">
      <c r="A117" s="81"/>
      <c r="B117" s="1088" t="s">
        <v>407</v>
      </c>
      <c r="C117" s="661" t="s">
        <v>75</v>
      </c>
      <c r="D117" s="463">
        <v>27.010999999999999</v>
      </c>
      <c r="E117" s="1087"/>
      <c r="F117" s="1087"/>
      <c r="G117" s="464"/>
      <c r="H117" s="490"/>
      <c r="I117" s="463">
        <v>27.010999999999999</v>
      </c>
      <c r="J117" s="1087"/>
      <c r="K117" s="1087"/>
      <c r="L117" s="464"/>
      <c r="M117" s="463">
        <v>27.010999999999999</v>
      </c>
      <c r="N117" s="1087"/>
      <c r="O117" s="1087"/>
      <c r="P117" s="464"/>
      <c r="Q117" s="463">
        <v>27.010999999999999</v>
      </c>
      <c r="R117" s="1087"/>
      <c r="S117" s="1087"/>
      <c r="T117" s="464"/>
      <c r="U117" s="463">
        <v>27.010999999999999</v>
      </c>
      <c r="V117" s="1087"/>
      <c r="W117" s="1087"/>
      <c r="X117" s="464"/>
      <c r="Y117" s="463">
        <v>27.010999999999999</v>
      </c>
      <c r="Z117" s="1087"/>
      <c r="AA117" s="1087"/>
      <c r="AB117" s="464"/>
      <c r="AC117" s="633" t="str">
        <f t="shared" si="76"/>
        <v xml:space="preserve"> </v>
      </c>
      <c r="AD117" s="1083">
        <f t="shared" si="77"/>
        <v>1</v>
      </c>
      <c r="AE117" s="1083">
        <f t="shared" si="78"/>
        <v>1</v>
      </c>
      <c r="AF117" s="1083">
        <f t="shared" si="79"/>
        <v>1</v>
      </c>
      <c r="AG117" s="1083">
        <f t="shared" si="80"/>
        <v>1</v>
      </c>
      <c r="AH117" s="176">
        <f t="shared" si="81"/>
        <v>1</v>
      </c>
      <c r="AI117" s="1081"/>
    </row>
    <row r="118" spans="1:35" s="342" customFormat="1" ht="18.75">
      <c r="A118" s="340"/>
      <c r="B118" s="1090" t="s">
        <v>403</v>
      </c>
      <c r="C118" s="664" t="s">
        <v>10</v>
      </c>
      <c r="D118" s="467">
        <f>E118+F118+G118</f>
        <v>3004.98</v>
      </c>
      <c r="E118" s="1089">
        <v>899.68</v>
      </c>
      <c r="F118" s="1089"/>
      <c r="G118" s="468">
        <v>2105.3000000000002</v>
      </c>
      <c r="H118" s="492">
        <v>3592</v>
      </c>
      <c r="I118" s="467">
        <f>J118+K118+L118</f>
        <v>3592</v>
      </c>
      <c r="J118" s="1089">
        <f>3592-L118</f>
        <v>1168.7600000000002</v>
      </c>
      <c r="K118" s="1089"/>
      <c r="L118" s="468">
        <v>2423.2399999999998</v>
      </c>
      <c r="M118" s="467">
        <f>N118+O118+P118</f>
        <v>3592</v>
      </c>
      <c r="N118" s="1089">
        <f>3592-P118</f>
        <v>1168.7600000000002</v>
      </c>
      <c r="O118" s="1089"/>
      <c r="P118" s="468">
        <v>2423.2399999999998</v>
      </c>
      <c r="Q118" s="467">
        <f>R118+S118+T118</f>
        <v>3592</v>
      </c>
      <c r="R118" s="1089">
        <f>3592-T118</f>
        <v>1168.7600000000002</v>
      </c>
      <c r="S118" s="1089"/>
      <c r="T118" s="468">
        <v>2423.2399999999998</v>
      </c>
      <c r="U118" s="467">
        <f>V118+W118+X118</f>
        <v>3592</v>
      </c>
      <c r="V118" s="1089">
        <f>3592-X118</f>
        <v>1168.7600000000002</v>
      </c>
      <c r="W118" s="1089"/>
      <c r="X118" s="468">
        <v>2423.2399999999998</v>
      </c>
      <c r="Y118" s="467">
        <f>Z118+AA118+AB118</f>
        <v>3592</v>
      </c>
      <c r="Z118" s="1089">
        <f>3592-AB118</f>
        <v>1168.7600000000002</v>
      </c>
      <c r="AA118" s="1089"/>
      <c r="AB118" s="468">
        <v>2423.2399999999998</v>
      </c>
      <c r="AC118" s="633">
        <f t="shared" si="76"/>
        <v>1</v>
      </c>
      <c r="AD118" s="1083">
        <f t="shared" si="77"/>
        <v>1.1953490539038529</v>
      </c>
      <c r="AE118" s="1083">
        <f t="shared" si="78"/>
        <v>1</v>
      </c>
      <c r="AF118" s="1083">
        <f t="shared" si="79"/>
        <v>1</v>
      </c>
      <c r="AG118" s="1083">
        <f t="shared" si="80"/>
        <v>1</v>
      </c>
      <c r="AH118" s="176">
        <f t="shared" si="81"/>
        <v>1</v>
      </c>
      <c r="AI118" s="1081"/>
    </row>
    <row r="119" spans="1:35" ht="18.75" outlineLevel="1">
      <c r="A119" s="81"/>
      <c r="B119" s="1088" t="s">
        <v>54</v>
      </c>
      <c r="C119" s="661" t="s">
        <v>55</v>
      </c>
      <c r="D119" s="463">
        <v>39924.65</v>
      </c>
      <c r="E119" s="1087"/>
      <c r="F119" s="1087"/>
      <c r="G119" s="464"/>
      <c r="H119" s="490"/>
      <c r="I119" s="463">
        <v>65779.990000000005</v>
      </c>
      <c r="J119" s="1087"/>
      <c r="K119" s="1087"/>
      <c r="L119" s="464"/>
      <c r="M119" s="463">
        <v>65779.990000000005</v>
      </c>
      <c r="N119" s="1087"/>
      <c r="O119" s="1087"/>
      <c r="P119" s="464"/>
      <c r="Q119" s="463">
        <v>65779.990000000005</v>
      </c>
      <c r="R119" s="1087"/>
      <c r="S119" s="1087"/>
      <c r="T119" s="464"/>
      <c r="U119" s="463">
        <v>65779.990000000005</v>
      </c>
      <c r="V119" s="1087"/>
      <c r="W119" s="1087"/>
      <c r="X119" s="464"/>
      <c r="Y119" s="463">
        <v>65779.990000000005</v>
      </c>
      <c r="Z119" s="1087"/>
      <c r="AA119" s="1087"/>
      <c r="AB119" s="464"/>
      <c r="AC119" s="633" t="str">
        <f t="shared" si="76"/>
        <v xml:space="preserve"> </v>
      </c>
      <c r="AD119" s="1083">
        <f t="shared" si="77"/>
        <v>1.6476034229479783</v>
      </c>
      <c r="AE119" s="1083">
        <f t="shared" si="78"/>
        <v>1</v>
      </c>
      <c r="AF119" s="1083">
        <f t="shared" si="79"/>
        <v>1</v>
      </c>
      <c r="AG119" s="1083">
        <f t="shared" si="80"/>
        <v>1</v>
      </c>
      <c r="AH119" s="176">
        <f t="shared" si="81"/>
        <v>1</v>
      </c>
      <c r="AI119" s="1081"/>
    </row>
    <row r="120" spans="1:35" ht="18.75">
      <c r="A120" s="81"/>
      <c r="B120" s="1088" t="s">
        <v>131</v>
      </c>
      <c r="C120" s="661" t="s">
        <v>0</v>
      </c>
      <c r="D120" s="463">
        <f>ROUND(D118*D122/1000,2)</f>
        <v>3964.59</v>
      </c>
      <c r="E120" s="1087"/>
      <c r="F120" s="1087"/>
      <c r="G120" s="464"/>
      <c r="H120" s="490"/>
      <c r="I120" s="463">
        <f>ROUND(I118*I122/1000,2)</f>
        <v>5463.47</v>
      </c>
      <c r="J120" s="1087"/>
      <c r="K120" s="1087"/>
      <c r="L120" s="464"/>
      <c r="M120" s="463">
        <f>ROUND(M118*M122/1000,2)</f>
        <v>6525.16</v>
      </c>
      <c r="N120" s="1087"/>
      <c r="O120" s="1087"/>
      <c r="P120" s="464"/>
      <c r="Q120" s="463">
        <f>ROUND(Q118*Q122/1000,2)</f>
        <v>6876.92</v>
      </c>
      <c r="R120" s="1087"/>
      <c r="S120" s="1087"/>
      <c r="T120" s="464"/>
      <c r="U120" s="463">
        <f>ROUND(U118*U122/1000,2)</f>
        <v>7178</v>
      </c>
      <c r="V120" s="1087"/>
      <c r="W120" s="1087"/>
      <c r="X120" s="464"/>
      <c r="Y120" s="463">
        <f>ROUND(Y118*Y122/1000,2)</f>
        <v>7534</v>
      </c>
      <c r="Z120" s="1087"/>
      <c r="AA120" s="1087"/>
      <c r="AB120" s="464"/>
      <c r="AC120" s="633" t="str">
        <f t="shared" si="76"/>
        <v xml:space="preserve"> </v>
      </c>
      <c r="AD120" s="1083">
        <f t="shared" si="77"/>
        <v>1.3780668366716358</v>
      </c>
      <c r="AE120" s="1083">
        <f t="shared" si="78"/>
        <v>1.1943252182221189</v>
      </c>
      <c r="AF120" s="1083">
        <f t="shared" si="79"/>
        <v>1.0539082566557756</v>
      </c>
      <c r="AG120" s="1083">
        <f t="shared" si="80"/>
        <v>1.0437812276426075</v>
      </c>
      <c r="AH120" s="176">
        <f t="shared" si="81"/>
        <v>1.0495959877403176</v>
      </c>
      <c r="AI120" s="1081"/>
    </row>
    <row r="121" spans="1:35" ht="19.5" thickBot="1">
      <c r="A121" s="728"/>
      <c r="B121" s="729" t="s">
        <v>132</v>
      </c>
      <c r="C121" s="730" t="s">
        <v>0</v>
      </c>
      <c r="D121" s="731">
        <f>D120+E96</f>
        <v>17679.174999999999</v>
      </c>
      <c r="E121" s="732"/>
      <c r="F121" s="732"/>
      <c r="G121" s="733"/>
      <c r="H121" s="734"/>
      <c r="I121" s="731">
        <f>I120+J96</f>
        <v>20673.543752027883</v>
      </c>
      <c r="J121" s="732"/>
      <c r="K121" s="732"/>
      <c r="L121" s="733"/>
      <c r="M121" s="731">
        <f>M120+N96</f>
        <v>24690.98</v>
      </c>
      <c r="N121" s="732"/>
      <c r="O121" s="732"/>
      <c r="P121" s="733"/>
      <c r="Q121" s="731">
        <f>Q120+R96</f>
        <v>26022.050000000003</v>
      </c>
      <c r="R121" s="732"/>
      <c r="S121" s="732"/>
      <c r="T121" s="733"/>
      <c r="U121" s="731">
        <f>U120+V96</f>
        <v>27161.300000000003</v>
      </c>
      <c r="V121" s="732"/>
      <c r="W121" s="732"/>
      <c r="X121" s="733"/>
      <c r="Y121" s="731">
        <f>Y120+Z96</f>
        <v>28508.400000000001</v>
      </c>
      <c r="Z121" s="732"/>
      <c r="AA121" s="732"/>
      <c r="AB121" s="733"/>
      <c r="AC121" s="712" t="str">
        <f t="shared" si="76"/>
        <v xml:space="preserve"> </v>
      </c>
      <c r="AD121" s="713">
        <f t="shared" si="77"/>
        <v>1.1693726518362924</v>
      </c>
      <c r="AE121" s="713">
        <f t="shared" si="78"/>
        <v>1.1943274116987341</v>
      </c>
      <c r="AF121" s="713">
        <f t="shared" si="79"/>
        <v>1.053909160349245</v>
      </c>
      <c r="AG121" s="713">
        <f t="shared" si="80"/>
        <v>1.0437801787330361</v>
      </c>
      <c r="AH121" s="714">
        <f t="shared" si="81"/>
        <v>1.0495963006188953</v>
      </c>
      <c r="AI121" s="1081"/>
    </row>
    <row r="122" spans="1:35" s="90" customFormat="1" ht="19.5">
      <c r="A122" s="735"/>
      <c r="B122" s="736" t="s">
        <v>431</v>
      </c>
      <c r="C122" s="737" t="s">
        <v>9</v>
      </c>
      <c r="D122" s="738">
        <f>E122</f>
        <v>1319.34</v>
      </c>
      <c r="E122" s="739">
        <f>ROUND(E96*1000/D114,2)</f>
        <v>1319.34</v>
      </c>
      <c r="F122" s="740"/>
      <c r="G122" s="741"/>
      <c r="H122" s="742">
        <f>ROUND(H96/H114*1000,2)</f>
        <v>3121.52</v>
      </c>
      <c r="I122" s="738">
        <f>J122</f>
        <v>1521.01</v>
      </c>
      <c r="J122" s="739">
        <f>ROUND(J96*1000/I114,2)</f>
        <v>1521.01</v>
      </c>
      <c r="K122" s="740"/>
      <c r="L122" s="741"/>
      <c r="M122" s="738">
        <f>N122</f>
        <v>1816.58</v>
      </c>
      <c r="N122" s="739">
        <f>ROUND(N96*1000/M114,2)</f>
        <v>1816.58</v>
      </c>
      <c r="O122" s="740"/>
      <c r="P122" s="741"/>
      <c r="Q122" s="738">
        <f>R122</f>
        <v>1914.51</v>
      </c>
      <c r="R122" s="739">
        <f>ROUND(R96*1000/Q114,2)</f>
        <v>1914.51</v>
      </c>
      <c r="S122" s="740"/>
      <c r="T122" s="741"/>
      <c r="U122" s="738">
        <f>V122</f>
        <v>1998.33</v>
      </c>
      <c r="V122" s="739">
        <f>ROUND(V96*1000/U114,2)</f>
        <v>1998.33</v>
      </c>
      <c r="W122" s="740"/>
      <c r="X122" s="741"/>
      <c r="Y122" s="738">
        <f>Z122</f>
        <v>2097.44</v>
      </c>
      <c r="Z122" s="739">
        <f>ROUND(Z96*1000/Y114,2)</f>
        <v>2097.44</v>
      </c>
      <c r="AA122" s="740"/>
      <c r="AB122" s="741"/>
      <c r="AC122" s="700">
        <f t="shared" si="76"/>
        <v>0.48726581921627926</v>
      </c>
      <c r="AD122" s="685">
        <f t="shared" si="77"/>
        <v>1.1528567313960012</v>
      </c>
      <c r="AE122" s="685">
        <f t="shared" si="78"/>
        <v>1.1943248236369255</v>
      </c>
      <c r="AF122" s="685">
        <f t="shared" si="79"/>
        <v>1.0539089938235586</v>
      </c>
      <c r="AG122" s="685">
        <f t="shared" si="80"/>
        <v>1.0437814375479888</v>
      </c>
      <c r="AH122" s="686">
        <f t="shared" si="81"/>
        <v>1.0495964130048592</v>
      </c>
      <c r="AI122" s="1082"/>
    </row>
    <row r="123" spans="1:35" s="90" customFormat="1" ht="58.5">
      <c r="A123" s="88"/>
      <c r="B123" s="1086" t="s">
        <v>405</v>
      </c>
      <c r="C123" s="665" t="s">
        <v>406</v>
      </c>
      <c r="D123" s="469">
        <f>ROUND(G96/D117/12*1000,2)</f>
        <v>33518.379999999997</v>
      </c>
      <c r="E123" s="1085"/>
      <c r="F123" s="1084"/>
      <c r="G123" s="470"/>
      <c r="H123" s="605">
        <v>37133.349000000002</v>
      </c>
      <c r="I123" s="469">
        <f>ROUND(L96/I117/12*1000,2)</f>
        <v>30701.72</v>
      </c>
      <c r="J123" s="1085"/>
      <c r="K123" s="1084"/>
      <c r="L123" s="470"/>
      <c r="M123" s="469">
        <f>ROUND(P96/M117/12*1000,2)</f>
        <v>31466.84</v>
      </c>
      <c r="N123" s="1085"/>
      <c r="O123" s="1084"/>
      <c r="P123" s="470"/>
      <c r="Q123" s="469">
        <f>ROUND(T96/Q117/12*1000,2)</f>
        <v>32650.99</v>
      </c>
      <c r="R123" s="1085"/>
      <c r="S123" s="1084"/>
      <c r="T123" s="470"/>
      <c r="U123" s="469">
        <f>ROUND(X96/U117/12*1000,2)</f>
        <v>33665.82</v>
      </c>
      <c r="V123" s="1085"/>
      <c r="W123" s="1084"/>
      <c r="X123" s="470"/>
      <c r="Y123" s="469">
        <f>ROUND(AB96/Y117/12*1000,2)</f>
        <v>34246.36</v>
      </c>
      <c r="Z123" s="1085"/>
      <c r="AA123" s="1084"/>
      <c r="AB123" s="470"/>
      <c r="AC123" s="633">
        <f t="shared" si="76"/>
        <v>0.82679641957422156</v>
      </c>
      <c r="AD123" s="1083">
        <f t="shared" si="77"/>
        <v>0.91596670244803013</v>
      </c>
      <c r="AE123" s="1083">
        <f t="shared" si="78"/>
        <v>1.0249210793401802</v>
      </c>
      <c r="AF123" s="1083">
        <f t="shared" si="79"/>
        <v>1.0376316783000772</v>
      </c>
      <c r="AG123" s="1083">
        <f t="shared" si="80"/>
        <v>1.0310811402655784</v>
      </c>
      <c r="AH123" s="176">
        <f t="shared" si="81"/>
        <v>1.0172441960421579</v>
      </c>
      <c r="AI123" s="1082"/>
    </row>
    <row r="124" spans="1:35" s="90" customFormat="1" ht="20.25" outlineLevel="1" thickBot="1">
      <c r="A124" s="628"/>
      <c r="B124" s="629" t="s">
        <v>217</v>
      </c>
      <c r="C124" s="666" t="s">
        <v>39</v>
      </c>
      <c r="D124" s="471">
        <f>ROUND(F96/D119*1000,2)</f>
        <v>25.83</v>
      </c>
      <c r="E124" s="472"/>
      <c r="F124" s="472"/>
      <c r="G124" s="473"/>
      <c r="H124" s="653">
        <v>36.479999999999997</v>
      </c>
      <c r="I124" s="471">
        <f>ROUND(K96/I119*1000,2)</f>
        <v>27.54</v>
      </c>
      <c r="J124" s="472"/>
      <c r="K124" s="472"/>
      <c r="L124" s="473"/>
      <c r="M124" s="471">
        <f>ROUND(O96/M119*1000,2)</f>
        <v>29.29</v>
      </c>
      <c r="N124" s="472"/>
      <c r="O124" s="472"/>
      <c r="P124" s="473"/>
      <c r="Q124" s="471">
        <f>ROUND(S96/Q119*1000,2)</f>
        <v>30.83</v>
      </c>
      <c r="R124" s="472"/>
      <c r="S124" s="472"/>
      <c r="T124" s="473"/>
      <c r="U124" s="471">
        <f>ROUND(W96/U119*1000,2)</f>
        <v>32.04</v>
      </c>
      <c r="V124" s="472"/>
      <c r="W124" s="472"/>
      <c r="X124" s="473"/>
      <c r="Y124" s="471">
        <f>ROUND(AA96/Y119*1000,2)</f>
        <v>33.26</v>
      </c>
      <c r="Z124" s="472"/>
      <c r="AA124" s="472"/>
      <c r="AB124" s="473"/>
      <c r="AC124" s="634">
        <f t="shared" si="76"/>
        <v>0.75493421052631582</v>
      </c>
      <c r="AD124" s="631">
        <f t="shared" si="77"/>
        <v>1.0662020905923346</v>
      </c>
      <c r="AE124" s="631">
        <f t="shared" si="78"/>
        <v>1.0635439360929557</v>
      </c>
      <c r="AF124" s="631">
        <f t="shared" si="79"/>
        <v>1.0525776715602595</v>
      </c>
      <c r="AG124" s="631">
        <f t="shared" si="80"/>
        <v>1.0392474862147258</v>
      </c>
      <c r="AH124" s="632">
        <f t="shared" si="81"/>
        <v>1.0380774032459426</v>
      </c>
      <c r="AI124" s="1082"/>
    </row>
    <row r="125" spans="1:35" ht="16.5" hidden="1" thickBot="1">
      <c r="A125" s="606"/>
      <c r="B125" s="607" t="s">
        <v>101</v>
      </c>
      <c r="C125" s="608"/>
      <c r="D125" s="429"/>
      <c r="E125" s="429"/>
      <c r="F125" s="429"/>
      <c r="G125" s="429"/>
      <c r="H125" s="429"/>
      <c r="I125" s="429"/>
      <c r="J125" s="429"/>
      <c r="K125" s="429"/>
      <c r="L125" s="609"/>
      <c r="M125" s="429"/>
      <c r="N125" s="429"/>
      <c r="O125" s="429"/>
      <c r="P125" s="609"/>
      <c r="Q125" s="429"/>
      <c r="R125" s="429"/>
      <c r="S125" s="429"/>
      <c r="T125" s="429"/>
      <c r="U125" s="429"/>
      <c r="V125" s="610"/>
      <c r="W125" s="610"/>
      <c r="X125" s="610"/>
      <c r="Y125" s="610"/>
      <c r="Z125" s="611"/>
      <c r="AA125" s="611"/>
      <c r="AB125" s="611"/>
      <c r="AC125" s="612" t="str">
        <f>IFERROR(I125/#REF!, " ")</f>
        <v xml:space="preserve"> </v>
      </c>
      <c r="AD125" s="613" t="str">
        <f t="shared" si="77"/>
        <v xml:space="preserve"> </v>
      </c>
      <c r="AE125" s="614" t="str">
        <f t="shared" si="78"/>
        <v xml:space="preserve"> </v>
      </c>
      <c r="AF125" s="614" t="str">
        <f t="shared" si="79"/>
        <v xml:space="preserve"> </v>
      </c>
      <c r="AG125" s="614" t="str">
        <f t="shared" si="80"/>
        <v xml:space="preserve"> </v>
      </c>
      <c r="AH125" s="614" t="str">
        <f t="shared" si="81"/>
        <v xml:space="preserve"> </v>
      </c>
      <c r="AI125" s="1081"/>
    </row>
    <row r="127" spans="1:35">
      <c r="B127" s="21" t="s">
        <v>564</v>
      </c>
      <c r="D127" s="888">
        <f t="shared" ref="D127:AB127" si="82">D96-D14</f>
        <v>12616.464999999997</v>
      </c>
      <c r="E127" s="888">
        <f t="shared" si="82"/>
        <v>3560.7649999999994</v>
      </c>
      <c r="F127" s="888">
        <f t="shared" si="82"/>
        <v>0</v>
      </c>
      <c r="G127" s="888">
        <f t="shared" si="82"/>
        <v>9055.7000000000007</v>
      </c>
      <c r="H127" s="888">
        <f t="shared" si="82"/>
        <v>15761.338999999998</v>
      </c>
      <c r="I127" s="888">
        <f t="shared" si="82"/>
        <v>6894.3837520278867</v>
      </c>
      <c r="J127" s="888">
        <f t="shared" si="82"/>
        <v>-565.51624797211662</v>
      </c>
      <c r="K127" s="888">
        <f t="shared" si="82"/>
        <v>0</v>
      </c>
      <c r="L127" s="888">
        <f t="shared" si="82"/>
        <v>7459.8999999999978</v>
      </c>
      <c r="M127" s="888">
        <f t="shared" si="82"/>
        <v>9824.6546891075704</v>
      </c>
      <c r="N127" s="888">
        <f t="shared" si="82"/>
        <v>2239.8199999999997</v>
      </c>
      <c r="O127" s="888">
        <f t="shared" si="82"/>
        <v>0</v>
      </c>
      <c r="P127" s="888">
        <f t="shared" si="82"/>
        <v>7606.7000000000007</v>
      </c>
      <c r="Q127" s="888">
        <f t="shared" si="82"/>
        <v>10044.827536561126</v>
      </c>
      <c r="R127" s="888">
        <f t="shared" si="82"/>
        <v>2272.6500000000015</v>
      </c>
      <c r="S127" s="888">
        <f t="shared" si="82"/>
        <v>0</v>
      </c>
      <c r="T127" s="888">
        <f t="shared" si="82"/>
        <v>7794.69</v>
      </c>
      <c r="U127" s="888">
        <f t="shared" si="82"/>
        <v>10271.561254054766</v>
      </c>
      <c r="V127" s="888">
        <f t="shared" si="82"/>
        <v>2306.4800000000032</v>
      </c>
      <c r="W127" s="888">
        <f t="shared" si="82"/>
        <v>0</v>
      </c>
      <c r="X127" s="888">
        <f t="shared" si="82"/>
        <v>7988.26</v>
      </c>
      <c r="Y127" s="888">
        <f t="shared" si="82"/>
        <v>10489.935141711907</v>
      </c>
      <c r="Z127" s="888">
        <f t="shared" si="82"/>
        <v>2326.25</v>
      </c>
      <c r="AA127" s="888">
        <f t="shared" si="82"/>
        <v>0</v>
      </c>
      <c r="AB127" s="888">
        <f t="shared" si="82"/>
        <v>8187.55</v>
      </c>
    </row>
    <row r="128" spans="1:35">
      <c r="B128" s="21" t="s">
        <v>565</v>
      </c>
      <c r="D128" s="343">
        <f>D96-D90-D14</f>
        <v>12827.344999999998</v>
      </c>
      <c r="E128" s="343">
        <f>E96-E90-E14</f>
        <v>3771.6449999999986</v>
      </c>
      <c r="F128" s="343">
        <f>F96-F90-F14</f>
        <v>0</v>
      </c>
      <c r="G128" s="343">
        <f>G96-G90-G14</f>
        <v>9055.7000000000007</v>
      </c>
      <c r="H128" s="343">
        <f t="shared" ref="H128:AB128" si="83">H96-H91-H14</f>
        <v>15761.338999999998</v>
      </c>
      <c r="I128" s="343">
        <f t="shared" si="83"/>
        <v>9674.0600000000013</v>
      </c>
      <c r="J128" s="343">
        <f t="shared" si="83"/>
        <v>2214.159999999998</v>
      </c>
      <c r="K128" s="343">
        <f t="shared" si="83"/>
        <v>0</v>
      </c>
      <c r="L128" s="343">
        <f t="shared" si="83"/>
        <v>7459.8999999999978</v>
      </c>
      <c r="M128" s="343">
        <f t="shared" si="83"/>
        <v>9824.6546891075704</v>
      </c>
      <c r="N128" s="343">
        <f t="shared" si="83"/>
        <v>2239.8199999999997</v>
      </c>
      <c r="O128" s="343">
        <f t="shared" si="83"/>
        <v>0</v>
      </c>
      <c r="P128" s="343">
        <f t="shared" si="83"/>
        <v>7606.7000000000007</v>
      </c>
      <c r="Q128" s="343">
        <f t="shared" si="83"/>
        <v>10044.827536561126</v>
      </c>
      <c r="R128" s="343">
        <f t="shared" si="83"/>
        <v>2272.6500000000015</v>
      </c>
      <c r="S128" s="343">
        <f t="shared" si="83"/>
        <v>0</v>
      </c>
      <c r="T128" s="343">
        <f t="shared" si="83"/>
        <v>7794.69</v>
      </c>
      <c r="U128" s="343">
        <f t="shared" si="83"/>
        <v>10271.561254054766</v>
      </c>
      <c r="V128" s="343">
        <f t="shared" si="83"/>
        <v>2306.4800000000032</v>
      </c>
      <c r="W128" s="343">
        <f t="shared" si="83"/>
        <v>0</v>
      </c>
      <c r="X128" s="343">
        <f t="shared" si="83"/>
        <v>7988.26</v>
      </c>
      <c r="Y128" s="343">
        <f t="shared" si="83"/>
        <v>10489.935141711907</v>
      </c>
      <c r="Z128" s="343">
        <f t="shared" si="83"/>
        <v>2326.25</v>
      </c>
      <c r="AA128" s="343">
        <f t="shared" si="83"/>
        <v>0</v>
      </c>
      <c r="AB128" s="343">
        <f t="shared" si="83"/>
        <v>8187.55</v>
      </c>
      <c r="AC128" s="91"/>
      <c r="AD128" s="91"/>
    </row>
    <row r="129" spans="4:30">
      <c r="D129" s="343"/>
      <c r="E129" s="343"/>
      <c r="F129" s="343"/>
      <c r="G129" s="343"/>
      <c r="I129" s="889">
        <f>I128/D128</f>
        <v>0.75417477272186906</v>
      </c>
      <c r="J129" s="343"/>
      <c r="K129" s="343"/>
      <c r="L129" s="343"/>
      <c r="M129" s="91"/>
      <c r="N129" s="91"/>
      <c r="O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</row>
    <row r="130" spans="4:30">
      <c r="H130" s="21">
        <v>3121.52</v>
      </c>
      <c r="I130" s="24" t="s">
        <v>514</v>
      </c>
    </row>
    <row r="131" spans="4:30">
      <c r="D131" s="343">
        <f>D96-D14</f>
        <v>12616.464999999997</v>
      </c>
      <c r="I131" s="343">
        <f>I96-I14</f>
        <v>6894.3837520278867</v>
      </c>
      <c r="J131" s="1078">
        <f>J96-J17+I120</f>
        <v>5774.673752027883</v>
      </c>
      <c r="N131" s="1078">
        <f>N96-N17+M120</f>
        <v>9565.26</v>
      </c>
      <c r="R131" s="1079">
        <f>R96-R17+Q120</f>
        <v>9945.67</v>
      </c>
      <c r="V131" s="1079">
        <f>V96-V17+U120</f>
        <v>10295.510000000002</v>
      </c>
      <c r="Z131" s="1079">
        <f>Z96-Z17+Y120</f>
        <v>10661.380000000001</v>
      </c>
    </row>
    <row r="132" spans="4:30">
      <c r="I132" s="24" t="s">
        <v>648</v>
      </c>
      <c r="J132" s="421">
        <f>(J96+K96)/I114*1000</f>
        <v>1702.157375202788</v>
      </c>
      <c r="N132" s="24">
        <f>(N96+O96)/M114*1000</f>
        <v>2009.2309999999998</v>
      </c>
      <c r="R132" s="24">
        <f>(R96+S96)/Q114*1000</f>
        <v>2117.2920000000004</v>
      </c>
      <c r="V132" s="24">
        <f>(V96+W96)/U114*1000</f>
        <v>2209.0640000000003</v>
      </c>
      <c r="Z132" s="24">
        <f>(Z96+AA96)/Y114*1000</f>
        <v>2316.2100000000005</v>
      </c>
    </row>
    <row r="133" spans="4:30">
      <c r="I133" s="24">
        <f>I131/D131</f>
        <v>0.54645923022240295</v>
      </c>
      <c r="J133" s="421">
        <f>J40+N40+R40+V40+Z40</f>
        <v>0</v>
      </c>
    </row>
    <row r="136" spans="4:30">
      <c r="H136" s="343"/>
      <c r="I136" s="24">
        <v>64130</v>
      </c>
      <c r="J136" s="24">
        <v>10000</v>
      </c>
      <c r="L136" s="24">
        <v>54130</v>
      </c>
    </row>
    <row r="137" spans="4:30">
      <c r="J137" s="24">
        <f>ROUND(J136/I136,4)</f>
        <v>0.15590000000000001</v>
      </c>
      <c r="L137" s="21">
        <f>ROUND(L136/I136,4)</f>
        <v>0.84409999999999996</v>
      </c>
    </row>
    <row r="142" spans="4:30">
      <c r="E142" s="343"/>
    </row>
  </sheetData>
  <mergeCells count="25">
    <mergeCell ref="Y5:AB5"/>
    <mergeCell ref="D5:G5"/>
    <mergeCell ref="H5:H6"/>
    <mergeCell ref="I5:L5"/>
    <mergeCell ref="AC5:AC6"/>
    <mergeCell ref="U5:X5"/>
    <mergeCell ref="AG5:AG6"/>
    <mergeCell ref="AH5:AH6"/>
    <mergeCell ref="AF5:AF6"/>
    <mergeCell ref="AE5:AE6"/>
    <mergeCell ref="AD5:AD6"/>
    <mergeCell ref="A5:A6"/>
    <mergeCell ref="B5:B6"/>
    <mergeCell ref="C5:C6"/>
    <mergeCell ref="M5:P5"/>
    <mergeCell ref="Q5:T5"/>
    <mergeCell ref="A91:B91"/>
    <mergeCell ref="A96:B96"/>
    <mergeCell ref="A7:B7"/>
    <mergeCell ref="A14:B14"/>
    <mergeCell ref="A20:B20"/>
    <mergeCell ref="A59:B59"/>
    <mergeCell ref="A83:B83"/>
    <mergeCell ref="A90:B90"/>
    <mergeCell ref="A89:B89"/>
  </mergeCells>
  <pageMargins left="0.23622047244094491" right="0.23622047244094491" top="0.74803149606299213" bottom="0.74803149606299213" header="0.31496062992125984" footer="0.31496062992125984"/>
  <pageSetup paperSize="8" scale="33" fitToHeight="2" orientation="landscape" blackAndWhite="1" horizontalDpi="300" verticalDpi="300" r:id="rId1"/>
  <colBreaks count="1" manualBreakCount="1">
    <brk id="20" min="1" max="1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M143"/>
  <sheetViews>
    <sheetView view="pageBreakPreview" zoomScale="70" zoomScaleNormal="60" zoomScaleSheetLayoutView="70" workbookViewId="0">
      <pane xSplit="3" ySplit="6" topLeftCell="R121" activePane="bottomRight" state="frozen"/>
      <selection activeCell="A3" sqref="A3:T50"/>
      <selection pane="topRight" activeCell="A3" sqref="A3:T50"/>
      <selection pane="bottomLeft" activeCell="A3" sqref="A3:T50"/>
      <selection pane="bottomRight" activeCell="N144" sqref="N144"/>
    </sheetView>
  </sheetViews>
  <sheetFormatPr defaultRowHeight="15.75" outlineLevelRow="1" outlineLevelCol="1"/>
  <cols>
    <col min="1" max="1" width="9" style="21"/>
    <col min="2" max="2" width="72.25" style="21" customWidth="1"/>
    <col min="3" max="3" width="11.5" style="21" customWidth="1"/>
    <col min="4" max="4" width="18.625" style="21" customWidth="1"/>
    <col min="5" max="5" width="23.375" style="21" customWidth="1"/>
    <col min="6" max="6" width="16.75" style="21" customWidth="1"/>
    <col min="7" max="7" width="23" style="21" customWidth="1"/>
    <col min="8" max="8" width="21.625" style="21" customWidth="1" outlineLevel="1"/>
    <col min="9" max="9" width="19" style="24" customWidth="1"/>
    <col min="10" max="10" width="22.375" style="24" customWidth="1"/>
    <col min="11" max="11" width="17.875" style="24" customWidth="1"/>
    <col min="12" max="12" width="23.75" style="21" customWidth="1" outlineLevel="1"/>
    <col min="13" max="13" width="16.75" style="24" customWidth="1"/>
    <col min="14" max="14" width="17.625" style="24" customWidth="1"/>
    <col min="15" max="15" width="17.375" style="24" customWidth="1"/>
    <col min="16" max="16" width="21.875" style="21" customWidth="1" outlineLevel="1"/>
    <col min="17" max="17" width="16.375" style="24" customWidth="1"/>
    <col min="18" max="18" width="15.5" style="24" customWidth="1"/>
    <col min="19" max="19" width="15.75" style="24" customWidth="1"/>
    <col min="20" max="20" width="15.25" style="24" customWidth="1"/>
    <col min="21" max="21" width="16.625" style="24" customWidth="1"/>
    <col min="22" max="22" width="18.125" style="24" customWidth="1"/>
    <col min="23" max="23" width="15.625" style="24" customWidth="1"/>
    <col min="24" max="24" width="17.25" style="24" customWidth="1"/>
    <col min="25" max="25" width="18.125" style="24" customWidth="1"/>
    <col min="26" max="26" width="22" style="24" customWidth="1"/>
    <col min="27" max="27" width="19" style="24" customWidth="1"/>
    <col min="28" max="28" width="16.5" style="24" customWidth="1"/>
    <col min="29" max="29" width="12.875" style="24" customWidth="1" outlineLevel="1"/>
    <col min="30" max="30" width="11.125" style="24" customWidth="1" outlineLevel="1"/>
    <col min="31" max="31" width="11.125" style="94" hidden="1" customWidth="1"/>
    <col min="32" max="34" width="11" style="94" hidden="1" customWidth="1"/>
    <col min="35" max="35" width="36.75" style="1080" hidden="1" customWidth="1"/>
    <col min="36" max="36" width="10.875" style="21" customWidth="1"/>
    <col min="37" max="37" width="12.75" style="21" bestFit="1" customWidth="1"/>
    <col min="38" max="38" width="11.375" style="21" customWidth="1"/>
    <col min="39" max="39" width="11.375" style="21" bestFit="1" customWidth="1"/>
    <col min="40" max="16384" width="9" style="21"/>
  </cols>
  <sheetData>
    <row r="1" spans="1:38" ht="16.5" customHeight="1">
      <c r="D1" s="22"/>
      <c r="E1" s="22"/>
      <c r="F1" s="22"/>
      <c r="G1" s="22"/>
      <c r="H1" s="22"/>
      <c r="I1" s="418"/>
      <c r="J1" s="418"/>
      <c r="K1" s="418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</row>
    <row r="2" spans="1:38">
      <c r="I2" s="23"/>
      <c r="J2" s="23"/>
      <c r="K2" s="23"/>
      <c r="M2" s="23"/>
      <c r="N2" s="23"/>
      <c r="O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</row>
    <row r="3" spans="1:38" s="28" customFormat="1" ht="20.25">
      <c r="A3" s="25" t="s">
        <v>423</v>
      </c>
      <c r="B3" s="26"/>
      <c r="C3" s="27"/>
      <c r="D3" s="27"/>
      <c r="E3" s="27"/>
      <c r="F3" s="27"/>
      <c r="G3" s="27"/>
      <c r="H3" s="27"/>
      <c r="I3" s="878"/>
      <c r="J3" s="493"/>
      <c r="K3" s="361"/>
      <c r="L3" s="361"/>
      <c r="M3" s="420"/>
      <c r="N3" s="420"/>
      <c r="O3" s="420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95"/>
      <c r="AF3" s="95"/>
      <c r="AG3" s="95"/>
      <c r="AH3" s="95"/>
      <c r="AI3" s="1159"/>
    </row>
    <row r="4" spans="1:38" s="6" customFormat="1" ht="16.5" thickBot="1">
      <c r="B4" s="29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96"/>
      <c r="AF4" s="96"/>
      <c r="AG4" s="96"/>
      <c r="AH4" s="96"/>
      <c r="AI4" s="1158"/>
    </row>
    <row r="5" spans="1:38" s="31" customFormat="1" ht="66.75" customHeight="1">
      <c r="A5" s="1215" t="s">
        <v>76</v>
      </c>
      <c r="B5" s="1217" t="s">
        <v>77</v>
      </c>
      <c r="C5" s="1219" t="s">
        <v>78</v>
      </c>
      <c r="D5" s="1224" t="s">
        <v>211</v>
      </c>
      <c r="E5" s="1225"/>
      <c r="F5" s="1225"/>
      <c r="G5" s="1226"/>
      <c r="H5" s="1227" t="s">
        <v>428</v>
      </c>
      <c r="I5" s="1221" t="s">
        <v>148</v>
      </c>
      <c r="J5" s="1222"/>
      <c r="K5" s="1222"/>
      <c r="L5" s="1223"/>
      <c r="M5" s="1221" t="s">
        <v>149</v>
      </c>
      <c r="N5" s="1222"/>
      <c r="O5" s="1222"/>
      <c r="P5" s="1223"/>
      <c r="Q5" s="1221" t="s">
        <v>150</v>
      </c>
      <c r="R5" s="1222"/>
      <c r="S5" s="1222"/>
      <c r="T5" s="1223"/>
      <c r="U5" s="1221" t="s">
        <v>195</v>
      </c>
      <c r="V5" s="1222"/>
      <c r="W5" s="1222"/>
      <c r="X5" s="1223"/>
      <c r="Y5" s="1221" t="s">
        <v>212</v>
      </c>
      <c r="Z5" s="1222"/>
      <c r="AA5" s="1222"/>
      <c r="AB5" s="1223"/>
      <c r="AC5" s="1229" t="s">
        <v>46</v>
      </c>
      <c r="AD5" s="1213" t="s">
        <v>151</v>
      </c>
      <c r="AE5" s="1213" t="s">
        <v>152</v>
      </c>
      <c r="AF5" s="1213" t="s">
        <v>153</v>
      </c>
      <c r="AG5" s="1213" t="s">
        <v>196</v>
      </c>
      <c r="AH5" s="1211" t="s">
        <v>213</v>
      </c>
      <c r="AI5" s="1157"/>
    </row>
    <row r="6" spans="1:38" s="31" customFormat="1" ht="95.25" customHeight="1" thickBot="1">
      <c r="A6" s="1216"/>
      <c r="B6" s="1218"/>
      <c r="C6" s="1220"/>
      <c r="D6" s="669" t="s">
        <v>427</v>
      </c>
      <c r="E6" s="670" t="s">
        <v>424</v>
      </c>
      <c r="F6" s="670" t="s">
        <v>425</v>
      </c>
      <c r="G6" s="671" t="s">
        <v>426</v>
      </c>
      <c r="H6" s="1228"/>
      <c r="I6" s="672" t="s">
        <v>427</v>
      </c>
      <c r="J6" s="673" t="s">
        <v>424</v>
      </c>
      <c r="K6" s="673" t="s">
        <v>425</v>
      </c>
      <c r="L6" s="674" t="s">
        <v>426</v>
      </c>
      <c r="M6" s="672" t="s">
        <v>427</v>
      </c>
      <c r="N6" s="673" t="s">
        <v>424</v>
      </c>
      <c r="O6" s="673" t="s">
        <v>425</v>
      </c>
      <c r="P6" s="674" t="s">
        <v>426</v>
      </c>
      <c r="Q6" s="672" t="s">
        <v>427</v>
      </c>
      <c r="R6" s="673" t="s">
        <v>424</v>
      </c>
      <c r="S6" s="673" t="s">
        <v>425</v>
      </c>
      <c r="T6" s="674" t="s">
        <v>426</v>
      </c>
      <c r="U6" s="672" t="s">
        <v>427</v>
      </c>
      <c r="V6" s="673" t="s">
        <v>424</v>
      </c>
      <c r="W6" s="673" t="s">
        <v>425</v>
      </c>
      <c r="X6" s="674" t="s">
        <v>426</v>
      </c>
      <c r="Y6" s="672" t="s">
        <v>427</v>
      </c>
      <c r="Z6" s="673" t="s">
        <v>424</v>
      </c>
      <c r="AA6" s="673" t="s">
        <v>425</v>
      </c>
      <c r="AB6" s="674" t="s">
        <v>426</v>
      </c>
      <c r="AC6" s="1230"/>
      <c r="AD6" s="1214"/>
      <c r="AE6" s="1214"/>
      <c r="AF6" s="1214"/>
      <c r="AG6" s="1214"/>
      <c r="AH6" s="1212"/>
      <c r="AI6" s="1157"/>
    </row>
    <row r="7" spans="1:38" s="33" customFormat="1" ht="18.75">
      <c r="A7" s="1233" t="s">
        <v>80</v>
      </c>
      <c r="B7" s="1234"/>
      <c r="C7" s="676"/>
      <c r="D7" s="677"/>
      <c r="E7" s="678"/>
      <c r="F7" s="678"/>
      <c r="G7" s="679"/>
      <c r="H7" s="680"/>
      <c r="I7" s="681"/>
      <c r="J7" s="682"/>
      <c r="K7" s="682"/>
      <c r="L7" s="683"/>
      <c r="M7" s="681">
        <f>(1-M9)*(1+M8)*(1+M10*M13)</f>
        <v>1.02366</v>
      </c>
      <c r="N7" s="682">
        <f>M7</f>
        <v>1.02366</v>
      </c>
      <c r="O7" s="682">
        <f>M7</f>
        <v>1.02366</v>
      </c>
      <c r="P7" s="683">
        <f>M7</f>
        <v>1.02366</v>
      </c>
      <c r="Q7" s="681">
        <f t="shared" ref="Q7:Y7" si="0">(1-Q9)*(1+Q8)*(1+Q10*Q13)</f>
        <v>1.0296000000000001</v>
      </c>
      <c r="R7" s="682">
        <f>Q7</f>
        <v>1.0296000000000001</v>
      </c>
      <c r="S7" s="682">
        <f>Q7</f>
        <v>1.0296000000000001</v>
      </c>
      <c r="T7" s="683">
        <f>Q7</f>
        <v>1.0296000000000001</v>
      </c>
      <c r="U7" s="681">
        <f t="shared" si="0"/>
        <v>1.0296000000000001</v>
      </c>
      <c r="V7" s="682">
        <f>U7</f>
        <v>1.0296000000000001</v>
      </c>
      <c r="W7" s="682">
        <f>U7</f>
        <v>1.0296000000000001</v>
      </c>
      <c r="X7" s="683">
        <f>U7</f>
        <v>1.0296000000000001</v>
      </c>
      <c r="Y7" s="681">
        <f t="shared" si="0"/>
        <v>1.0296000000000001</v>
      </c>
      <c r="Z7" s="682">
        <f>Y7</f>
        <v>1.0296000000000001</v>
      </c>
      <c r="AA7" s="682">
        <f>Y7</f>
        <v>1.0296000000000001</v>
      </c>
      <c r="AB7" s="683">
        <f>Y7</f>
        <v>1.0296000000000001</v>
      </c>
      <c r="AC7" s="684" t="str">
        <f>IFERROR(I7/#REF!, " ")</f>
        <v xml:space="preserve"> </v>
      </c>
      <c r="AD7" s="685" t="str">
        <f>IFERROR(I7/D7, " ")</f>
        <v xml:space="preserve"> </v>
      </c>
      <c r="AE7" s="685"/>
      <c r="AF7" s="685"/>
      <c r="AG7" s="685"/>
      <c r="AH7" s="686"/>
      <c r="AI7" s="1105"/>
    </row>
    <row r="8" spans="1:38" s="31" customFormat="1">
      <c r="A8" s="626"/>
      <c r="B8" s="1151" t="s">
        <v>81</v>
      </c>
      <c r="C8" s="646" t="s">
        <v>1</v>
      </c>
      <c r="D8" s="648"/>
      <c r="E8" s="1150"/>
      <c r="F8" s="1150"/>
      <c r="G8" s="430"/>
      <c r="H8" s="474"/>
      <c r="I8" s="648"/>
      <c r="J8" s="1150"/>
      <c r="K8" s="1150"/>
      <c r="L8" s="430"/>
      <c r="M8" s="1179">
        <f>[176]индексы!I8-1</f>
        <v>3.400000000000003E-2</v>
      </c>
      <c r="N8" s="1180"/>
      <c r="O8" s="1180"/>
      <c r="P8" s="1181"/>
      <c r="Q8" s="1179">
        <f>[176]индексы!J8-1</f>
        <v>4.0000000000000036E-2</v>
      </c>
      <c r="R8" s="1180"/>
      <c r="S8" s="1180"/>
      <c r="T8" s="1181"/>
      <c r="U8" s="1179">
        <f>[176]индексы!K8-1</f>
        <v>4.0000000000000036E-2</v>
      </c>
      <c r="V8" s="1180"/>
      <c r="W8" s="1180"/>
      <c r="X8" s="1181"/>
      <c r="Y8" s="1179">
        <f>[176]индексы!L8-1</f>
        <v>4.0000000000000036E-2</v>
      </c>
      <c r="Z8" s="1180"/>
      <c r="AA8" s="1180"/>
      <c r="AB8" s="1181"/>
      <c r="AC8" s="633" t="str">
        <f>IFERROR(I8/#REF!, " ")</f>
        <v xml:space="preserve"> </v>
      </c>
      <c r="AD8" s="1147"/>
      <c r="AE8" s="1147"/>
      <c r="AF8" s="1147"/>
      <c r="AG8" s="1147"/>
      <c r="AH8" s="98"/>
      <c r="AI8" s="1081"/>
    </row>
    <row r="9" spans="1:38" s="31" customFormat="1">
      <c r="A9" s="626"/>
      <c r="B9" s="1151" t="s">
        <v>82</v>
      </c>
      <c r="C9" s="646" t="s">
        <v>1</v>
      </c>
      <c r="D9" s="1179">
        <v>0.01</v>
      </c>
      <c r="E9" s="1180"/>
      <c r="F9" s="1180"/>
      <c r="G9" s="1181"/>
      <c r="H9" s="1182"/>
      <c r="I9" s="1179">
        <v>0.01</v>
      </c>
      <c r="J9" s="1180"/>
      <c r="K9" s="1180"/>
      <c r="L9" s="1181"/>
      <c r="M9" s="1179">
        <v>0.01</v>
      </c>
      <c r="N9" s="1180"/>
      <c r="O9" s="1180"/>
      <c r="P9" s="1181"/>
      <c r="Q9" s="1179">
        <v>0.01</v>
      </c>
      <c r="R9" s="1180"/>
      <c r="S9" s="1180"/>
      <c r="T9" s="1181"/>
      <c r="U9" s="1179">
        <v>0.01</v>
      </c>
      <c r="V9" s="1180"/>
      <c r="W9" s="1180"/>
      <c r="X9" s="1181"/>
      <c r="Y9" s="1179">
        <v>0.01</v>
      </c>
      <c r="Z9" s="1180"/>
      <c r="AA9" s="1180"/>
      <c r="AB9" s="1181"/>
      <c r="AC9" s="633" t="str">
        <f>IFERROR(I9/#REF!, " ")</f>
        <v xml:space="preserve"> </v>
      </c>
      <c r="AD9" s="1147"/>
      <c r="AE9" s="1147"/>
      <c r="AF9" s="1147"/>
      <c r="AG9" s="1147"/>
      <c r="AH9" s="98"/>
      <c r="AI9" s="1081"/>
      <c r="AL9" s="35"/>
    </row>
    <row r="10" spans="1:38" s="31" customFormat="1">
      <c r="A10" s="626"/>
      <c r="B10" s="1151" t="s">
        <v>83</v>
      </c>
      <c r="C10" s="646" t="s">
        <v>1</v>
      </c>
      <c r="D10" s="648"/>
      <c r="E10" s="1150"/>
      <c r="F10" s="1150"/>
      <c r="G10" s="430"/>
      <c r="H10" s="474"/>
      <c r="I10" s="648"/>
      <c r="J10" s="1150"/>
      <c r="K10" s="1150"/>
      <c r="L10" s="430"/>
      <c r="M10" s="637">
        <f>IF(AND(ISNUMBER(I12),I12&gt;0),(M12-I12)/I12,0)</f>
        <v>0</v>
      </c>
      <c r="N10" s="1148"/>
      <c r="O10" s="1148"/>
      <c r="P10" s="638"/>
      <c r="Q10" s="637">
        <f>IF(AND(ISNUMBER(M12),M12&gt;0),(Q12-M12)/M12,0)</f>
        <v>0</v>
      </c>
      <c r="R10" s="1148"/>
      <c r="S10" s="1148"/>
      <c r="T10" s="638"/>
      <c r="U10" s="637">
        <f>IF(AND(ISNUMBER(Q12),Q12&gt;0),(U12-Q12)/Q12,0)</f>
        <v>0</v>
      </c>
      <c r="V10" s="1148"/>
      <c r="W10" s="1148"/>
      <c r="X10" s="638"/>
      <c r="Y10" s="637">
        <f>IF(AND(ISNUMBER(U12),U12&gt;0),(Y12-U12)/U12,0)</f>
        <v>0</v>
      </c>
      <c r="Z10" s="1148"/>
      <c r="AA10" s="1148"/>
      <c r="AB10" s="638"/>
      <c r="AC10" s="633" t="str">
        <f>IFERROR(I10/#REF!, " ")</f>
        <v xml:space="preserve"> </v>
      </c>
      <c r="AD10" s="1147"/>
      <c r="AE10" s="1147"/>
      <c r="AF10" s="1147"/>
      <c r="AG10" s="1147"/>
      <c r="AH10" s="98"/>
      <c r="AI10" s="1081"/>
    </row>
    <row r="11" spans="1:38" s="31" customFormat="1">
      <c r="A11" s="626"/>
      <c r="B11" s="1151" t="s">
        <v>84</v>
      </c>
      <c r="C11" s="646" t="s">
        <v>75</v>
      </c>
      <c r="D11" s="431"/>
      <c r="E11" s="1152"/>
      <c r="F11" s="1152"/>
      <c r="G11" s="432"/>
      <c r="H11" s="475"/>
      <c r="I11" s="431"/>
      <c r="J11" s="1152"/>
      <c r="K11" s="1152"/>
      <c r="L11" s="432"/>
      <c r="M11" s="431"/>
      <c r="N11" s="1152"/>
      <c r="O11" s="1152"/>
      <c r="P11" s="432"/>
      <c r="Q11" s="431"/>
      <c r="R11" s="1152"/>
      <c r="S11" s="1152"/>
      <c r="T11" s="432"/>
      <c r="U11" s="431"/>
      <c r="V11" s="1152"/>
      <c r="W11" s="1152"/>
      <c r="X11" s="432"/>
      <c r="Y11" s="431"/>
      <c r="Z11" s="1152"/>
      <c r="AA11" s="1152"/>
      <c r="AB11" s="432"/>
      <c r="AC11" s="633" t="str">
        <f>IFERROR(I11/#REF!, " ")</f>
        <v xml:space="preserve"> </v>
      </c>
      <c r="AD11" s="1147"/>
      <c r="AE11" s="1147"/>
      <c r="AF11" s="1147"/>
      <c r="AG11" s="1147"/>
      <c r="AH11" s="98"/>
      <c r="AI11" s="1081"/>
    </row>
    <row r="12" spans="1:38" s="31" customFormat="1" ht="31.5">
      <c r="A12" s="626"/>
      <c r="B12" s="1151" t="s">
        <v>85</v>
      </c>
      <c r="C12" s="646" t="s">
        <v>86</v>
      </c>
      <c r="D12" s="648">
        <v>111.355</v>
      </c>
      <c r="E12" s="1150"/>
      <c r="F12" s="1150"/>
      <c r="G12" s="430"/>
      <c r="H12" s="474"/>
      <c r="I12" s="648">
        <v>111.355</v>
      </c>
      <c r="J12" s="1150"/>
      <c r="K12" s="1150"/>
      <c r="L12" s="430"/>
      <c r="M12" s="637">
        <f>I12</f>
        <v>111.355</v>
      </c>
      <c r="N12" s="1148"/>
      <c r="O12" s="1148"/>
      <c r="P12" s="1183"/>
      <c r="Q12" s="637">
        <f>M12</f>
        <v>111.355</v>
      </c>
      <c r="R12" s="1148"/>
      <c r="S12" s="1148"/>
      <c r="T12" s="638"/>
      <c r="U12" s="637">
        <f>Q12</f>
        <v>111.355</v>
      </c>
      <c r="V12" s="1148"/>
      <c r="W12" s="1148"/>
      <c r="X12" s="638"/>
      <c r="Y12" s="637">
        <f>U12</f>
        <v>111.355</v>
      </c>
      <c r="Z12" s="1148"/>
      <c r="AA12" s="1148"/>
      <c r="AB12" s="638"/>
      <c r="AC12" s="633" t="str">
        <f>IFERROR(I12/#REF!, " ")</f>
        <v xml:space="preserve"> </v>
      </c>
      <c r="AD12" s="1147"/>
      <c r="AE12" s="1147"/>
      <c r="AF12" s="1147"/>
      <c r="AG12" s="1147"/>
      <c r="AH12" s="98"/>
      <c r="AI12" s="1081"/>
    </row>
    <row r="13" spans="1:38" s="31" customFormat="1" ht="19.5" thickBot="1">
      <c r="A13" s="687"/>
      <c r="B13" s="688" t="s">
        <v>87</v>
      </c>
      <c r="C13" s="689"/>
      <c r="D13" s="1184">
        <v>0.75</v>
      </c>
      <c r="E13" s="1185"/>
      <c r="F13" s="1185"/>
      <c r="G13" s="1186"/>
      <c r="H13" s="1187"/>
      <c r="I13" s="1184">
        <v>0.75</v>
      </c>
      <c r="J13" s="1185"/>
      <c r="K13" s="1185"/>
      <c r="L13" s="1186"/>
      <c r="M13" s="1184">
        <v>0.75</v>
      </c>
      <c r="N13" s="1185"/>
      <c r="O13" s="1185"/>
      <c r="P13" s="1186"/>
      <c r="Q13" s="1184">
        <v>0.75</v>
      </c>
      <c r="R13" s="1185"/>
      <c r="S13" s="1185"/>
      <c r="T13" s="1186"/>
      <c r="U13" s="1184">
        <v>0.75</v>
      </c>
      <c r="V13" s="1185"/>
      <c r="W13" s="1185"/>
      <c r="X13" s="1186"/>
      <c r="Y13" s="1184">
        <v>0.75</v>
      </c>
      <c r="Z13" s="1185"/>
      <c r="AA13" s="1185"/>
      <c r="AB13" s="1186"/>
      <c r="AC13" s="634" t="str">
        <f>IFERROR(I13/#REF!, " ")</f>
        <v xml:space="preserve"> </v>
      </c>
      <c r="AD13" s="630"/>
      <c r="AE13" s="630"/>
      <c r="AF13" s="630"/>
      <c r="AG13" s="630"/>
      <c r="AH13" s="99"/>
      <c r="AI13" s="1081"/>
    </row>
    <row r="14" spans="1:38" s="33" customFormat="1" ht="36.75" customHeight="1">
      <c r="A14" s="1233" t="s">
        <v>88</v>
      </c>
      <c r="B14" s="1234"/>
      <c r="C14" s="676" t="s">
        <v>0</v>
      </c>
      <c r="D14" s="696">
        <f>E14+F14+G14</f>
        <v>12993.57</v>
      </c>
      <c r="E14" s="697">
        <f t="shared" ref="E14:G14" si="1">SUM(E15:E19)</f>
        <v>10153.82</v>
      </c>
      <c r="F14" s="697">
        <f t="shared" si="1"/>
        <v>1031.07</v>
      </c>
      <c r="G14" s="698">
        <f t="shared" si="1"/>
        <v>1808.68</v>
      </c>
      <c r="H14" s="699">
        <f t="shared" ref="H14" si="2">SUM(H15:H19)</f>
        <v>15453.854000000001</v>
      </c>
      <c r="I14" s="696">
        <f>J14+K14+L14</f>
        <v>20078.599999999995</v>
      </c>
      <c r="J14" s="697">
        <f t="shared" ref="J14:L14" si="3">SUM(J15:J19)</f>
        <v>15775.589999999998</v>
      </c>
      <c r="K14" s="697">
        <f t="shared" si="3"/>
        <v>1811.5</v>
      </c>
      <c r="L14" s="698">
        <f t="shared" si="3"/>
        <v>2491.5099999999998</v>
      </c>
      <c r="M14" s="696">
        <f>N14+O14+P14</f>
        <v>20445.199999999997</v>
      </c>
      <c r="N14" s="697">
        <f t="shared" ref="N14:P14" si="4">SUM(N15:N19)</f>
        <v>15926</v>
      </c>
      <c r="O14" s="697">
        <f t="shared" si="4"/>
        <v>1926.4899999999998</v>
      </c>
      <c r="P14" s="698">
        <f t="shared" si="4"/>
        <v>2592.7100000000005</v>
      </c>
      <c r="Q14" s="696">
        <f>R14+S14+T14</f>
        <v>21688.81</v>
      </c>
      <c r="R14" s="697">
        <f t="shared" ref="R14:T14" si="5">SUM(R15:R19)</f>
        <v>16872.48</v>
      </c>
      <c r="S14" s="697">
        <f t="shared" si="5"/>
        <v>2027.7899999999997</v>
      </c>
      <c r="T14" s="698">
        <f t="shared" si="5"/>
        <v>2788.54</v>
      </c>
      <c r="U14" s="696">
        <f>V14+W14+X14</f>
        <v>22708.07</v>
      </c>
      <c r="V14" s="697">
        <f t="shared" ref="V14:X14" si="6">SUM(V15:V19)</f>
        <v>17676.82</v>
      </c>
      <c r="W14" s="697">
        <f t="shared" si="6"/>
        <v>2107.34</v>
      </c>
      <c r="X14" s="698">
        <f t="shared" si="6"/>
        <v>2923.9100000000003</v>
      </c>
      <c r="Y14" s="696">
        <f>Z14+AA14+AB14</f>
        <v>23748.640000000003</v>
      </c>
      <c r="Z14" s="697">
        <f t="shared" ref="Z14:AB14" si="7">SUM(Z15:Z19)</f>
        <v>18648.150000000001</v>
      </c>
      <c r="AA14" s="697">
        <f t="shared" si="7"/>
        <v>2187.7000000000003</v>
      </c>
      <c r="AB14" s="698">
        <f t="shared" si="7"/>
        <v>2912.79</v>
      </c>
      <c r="AC14" s="700">
        <f>IFERROR(I14/H14, " ")</f>
        <v>1.2992616599069717</v>
      </c>
      <c r="AD14" s="685">
        <f>IFERROR(I14/D14, " ")</f>
        <v>1.5452720076160744</v>
      </c>
      <c r="AE14" s="685">
        <f>IFERROR(M14/I14, " ")</f>
        <v>1.0182582450967699</v>
      </c>
      <c r="AF14" s="685">
        <f>IFERROR(Q14/M14, " ")</f>
        <v>1.0608265020640544</v>
      </c>
      <c r="AG14" s="686">
        <f>IFERROR(U14/Q14, " ")</f>
        <v>1.0469947406058699</v>
      </c>
      <c r="AH14" s="694">
        <f>IFERROR(Y14/U14, " ")</f>
        <v>1.0458237974429356</v>
      </c>
      <c r="AI14" s="1105"/>
    </row>
    <row r="15" spans="1:38" s="36" customFormat="1" ht="18.75">
      <c r="A15" s="37"/>
      <c r="B15" s="1142" t="s">
        <v>35</v>
      </c>
      <c r="C15" s="654" t="s">
        <v>0</v>
      </c>
      <c r="D15" s="445">
        <f>E15+F15+G15</f>
        <v>0</v>
      </c>
      <c r="E15" s="1111"/>
      <c r="F15" s="1111"/>
      <c r="G15" s="435"/>
      <c r="H15" s="477"/>
      <c r="I15" s="445">
        <f>J15+K15+L15</f>
        <v>0</v>
      </c>
      <c r="J15" s="1111"/>
      <c r="K15" s="1111"/>
      <c r="L15" s="435"/>
      <c r="M15" s="445">
        <f>N15+O15+P15</f>
        <v>0</v>
      </c>
      <c r="N15" s="1111"/>
      <c r="O15" s="1111"/>
      <c r="P15" s="435"/>
      <c r="Q15" s="445">
        <f>R15+S15+T15</f>
        <v>0</v>
      </c>
      <c r="R15" s="1111"/>
      <c r="S15" s="1111"/>
      <c r="T15" s="435"/>
      <c r="U15" s="445">
        <f>V15+W15+X15</f>
        <v>0</v>
      </c>
      <c r="V15" s="1111"/>
      <c r="W15" s="1111"/>
      <c r="X15" s="435"/>
      <c r="Y15" s="445">
        <f>Z15+AA15+AB15</f>
        <v>0</v>
      </c>
      <c r="Z15" s="1111"/>
      <c r="AA15" s="1111"/>
      <c r="AB15" s="435"/>
      <c r="AC15" s="633" t="str">
        <f t="shared" ref="AC15:AC78" si="8">IFERROR(I15/H15, " ")</f>
        <v xml:space="preserve"> </v>
      </c>
      <c r="AD15" s="1083" t="str">
        <f t="shared" ref="AD15:AD78" si="9">IFERROR(I15/D15, " ")</f>
        <v xml:space="preserve"> </v>
      </c>
      <c r="AE15" s="1083" t="str">
        <f t="shared" ref="AE15:AE78" si="10">IFERROR(M15/I15, " ")</f>
        <v xml:space="preserve"> </v>
      </c>
      <c r="AF15" s="1083" t="str">
        <f t="shared" ref="AF15:AF78" si="11">IFERROR(Q15/M15, " ")</f>
        <v xml:space="preserve"> </v>
      </c>
      <c r="AG15" s="176" t="str">
        <f t="shared" ref="AG15:AG78" si="12">IFERROR(U15/Q15, " ")</f>
        <v xml:space="preserve"> </v>
      </c>
      <c r="AH15" s="695" t="str">
        <f t="shared" ref="AH15:AH78" si="13">IFERROR(Y15/U15, " ")</f>
        <v xml:space="preserve"> </v>
      </c>
      <c r="AI15" s="1081"/>
    </row>
    <row r="16" spans="1:38" s="36" customFormat="1" ht="18.75">
      <c r="A16" s="37"/>
      <c r="B16" s="1142" t="s">
        <v>89</v>
      </c>
      <c r="C16" s="654" t="s">
        <v>0</v>
      </c>
      <c r="D16" s="445">
        <f t="shared" ref="D16:D19" si="14">E16+F16+G16</f>
        <v>0</v>
      </c>
      <c r="E16" s="1111"/>
      <c r="F16" s="1111"/>
      <c r="G16" s="435"/>
      <c r="H16" s="477"/>
      <c r="I16" s="445">
        <f t="shared" ref="I16:I19" si="15">J16+K16+L16</f>
        <v>0</v>
      </c>
      <c r="J16" s="1111"/>
      <c r="K16" s="1111"/>
      <c r="L16" s="435"/>
      <c r="M16" s="445">
        <f t="shared" ref="M16:M19" si="16">N16+O16+P16</f>
        <v>0</v>
      </c>
      <c r="N16" s="1111"/>
      <c r="O16" s="1111"/>
      <c r="P16" s="435"/>
      <c r="Q16" s="445">
        <f t="shared" ref="Q16:Q19" si="17">R16+S16+T16</f>
        <v>0</v>
      </c>
      <c r="R16" s="1111"/>
      <c r="S16" s="1111"/>
      <c r="T16" s="435"/>
      <c r="U16" s="445">
        <f t="shared" ref="U16:U19" si="18">V16+W16+X16</f>
        <v>0</v>
      </c>
      <c r="V16" s="1111"/>
      <c r="W16" s="1111"/>
      <c r="X16" s="435"/>
      <c r="Y16" s="445">
        <f t="shared" ref="Y16:Y19" si="19">Z16+AA16+AB16</f>
        <v>0</v>
      </c>
      <c r="Z16" s="1111"/>
      <c r="AA16" s="1111"/>
      <c r="AB16" s="435"/>
      <c r="AC16" s="633" t="str">
        <f t="shared" si="8"/>
        <v xml:space="preserve"> </v>
      </c>
      <c r="AD16" s="1083" t="str">
        <f t="shared" si="9"/>
        <v xml:space="preserve"> </v>
      </c>
      <c r="AE16" s="1083" t="str">
        <f t="shared" si="10"/>
        <v xml:space="preserve"> </v>
      </c>
      <c r="AF16" s="1083" t="str">
        <f t="shared" si="11"/>
        <v xml:space="preserve"> </v>
      </c>
      <c r="AG16" s="176" t="str">
        <f t="shared" si="12"/>
        <v xml:space="preserve"> </v>
      </c>
      <c r="AH16" s="695" t="str">
        <f t="shared" si="13"/>
        <v xml:space="preserve"> </v>
      </c>
      <c r="AI16" s="1081"/>
    </row>
    <row r="17" spans="1:37" s="36" customFormat="1" ht="18.75">
      <c r="A17" s="37"/>
      <c r="B17" s="1142" t="s">
        <v>90</v>
      </c>
      <c r="C17" s="654" t="s">
        <v>0</v>
      </c>
      <c r="D17" s="445">
        <f t="shared" si="14"/>
        <v>11630.71</v>
      </c>
      <c r="E17" s="1111">
        <v>9826.9599999999991</v>
      </c>
      <c r="F17" s="1111"/>
      <c r="G17" s="435">
        <v>1803.75</v>
      </c>
      <c r="H17" s="477">
        <v>13783.299000000001</v>
      </c>
      <c r="I17" s="445">
        <f t="shared" si="15"/>
        <v>17384.439999999999</v>
      </c>
      <c r="J17" s="1111">
        <f>'[176]переменные на 5 лет'!J16</f>
        <v>14898.869999999999</v>
      </c>
      <c r="K17" s="1111"/>
      <c r="L17" s="435">
        <f>'[176]переменные на 5 лет'!J25</f>
        <v>2485.5699999999997</v>
      </c>
      <c r="M17" s="445">
        <f t="shared" si="16"/>
        <v>17712.400000000001</v>
      </c>
      <c r="N17" s="1111">
        <f>'[176]переменные на 5 лет'!M16</f>
        <v>15125.72</v>
      </c>
      <c r="O17" s="1111"/>
      <c r="P17" s="435">
        <f>'[176]переменные на 5 лет'!M25</f>
        <v>2586.6800000000003</v>
      </c>
      <c r="Q17" s="445">
        <f t="shared" si="17"/>
        <v>18858.690000000002</v>
      </c>
      <c r="R17" s="1111">
        <f>'[176]переменные на 5 лет'!P16</f>
        <v>16076.380000000001</v>
      </c>
      <c r="S17" s="1111"/>
      <c r="T17" s="435">
        <f>'[176]переменные на 5 лет'!P25</f>
        <v>2782.31</v>
      </c>
      <c r="U17" s="445">
        <f t="shared" si="18"/>
        <v>19783.260000000002</v>
      </c>
      <c r="V17" s="1111">
        <f>'[176]переменные на 5 лет'!S16</f>
        <v>16865.79</v>
      </c>
      <c r="W17" s="1111"/>
      <c r="X17" s="435">
        <f>'[176]переменные на 5 лет'!S25</f>
        <v>2917.4700000000003</v>
      </c>
      <c r="Y17" s="445">
        <f t="shared" si="19"/>
        <v>20753.21</v>
      </c>
      <c r="Z17" s="1111">
        <f>'[176]переменные на 5 лет'!V16</f>
        <v>17847.02</v>
      </c>
      <c r="AA17" s="1111"/>
      <c r="AB17" s="435">
        <f>'[176]переменные на 5 лет'!V25</f>
        <v>2906.19</v>
      </c>
      <c r="AC17" s="633">
        <f t="shared" si="8"/>
        <v>1.2612684379842589</v>
      </c>
      <c r="AD17" s="1083">
        <f t="shared" si="9"/>
        <v>1.4947015272498412</v>
      </c>
      <c r="AE17" s="1083">
        <f t="shared" si="10"/>
        <v>1.0188651460731553</v>
      </c>
      <c r="AF17" s="1083">
        <f t="shared" si="11"/>
        <v>1.0647168085634924</v>
      </c>
      <c r="AG17" s="176">
        <f t="shared" si="12"/>
        <v>1.0490262048954619</v>
      </c>
      <c r="AH17" s="695">
        <f t="shared" si="13"/>
        <v>1.0490288253806499</v>
      </c>
      <c r="AI17" s="1081"/>
    </row>
    <row r="18" spans="1:37" s="36" customFormat="1" ht="18.75">
      <c r="A18" s="39"/>
      <c r="B18" s="1131" t="s">
        <v>36</v>
      </c>
      <c r="C18" s="654" t="s">
        <v>0</v>
      </c>
      <c r="D18" s="445">
        <f t="shared" si="14"/>
        <v>0</v>
      </c>
      <c r="E18" s="1111"/>
      <c r="F18" s="1111"/>
      <c r="G18" s="435"/>
      <c r="H18" s="477"/>
      <c r="I18" s="445">
        <f t="shared" si="15"/>
        <v>0</v>
      </c>
      <c r="J18" s="1111"/>
      <c r="K18" s="1111"/>
      <c r="L18" s="435"/>
      <c r="M18" s="445">
        <f t="shared" si="16"/>
        <v>0</v>
      </c>
      <c r="N18" s="1111"/>
      <c r="O18" s="1111"/>
      <c r="P18" s="435"/>
      <c r="Q18" s="445">
        <f t="shared" si="17"/>
        <v>0</v>
      </c>
      <c r="R18" s="1111"/>
      <c r="S18" s="1111"/>
      <c r="T18" s="435"/>
      <c r="U18" s="445">
        <f t="shared" si="18"/>
        <v>0</v>
      </c>
      <c r="V18" s="1111"/>
      <c r="W18" s="1111"/>
      <c r="X18" s="435"/>
      <c r="Y18" s="445">
        <f t="shared" si="19"/>
        <v>0</v>
      </c>
      <c r="Z18" s="1111"/>
      <c r="AA18" s="1111"/>
      <c r="AB18" s="435"/>
      <c r="AC18" s="633" t="str">
        <f t="shared" si="8"/>
        <v xml:space="preserve"> </v>
      </c>
      <c r="AD18" s="1083" t="str">
        <f t="shared" si="9"/>
        <v xml:space="preserve"> </v>
      </c>
      <c r="AE18" s="1083" t="str">
        <f t="shared" si="10"/>
        <v xml:space="preserve"> </v>
      </c>
      <c r="AF18" s="1083" t="str">
        <f t="shared" si="11"/>
        <v xml:space="preserve"> </v>
      </c>
      <c r="AG18" s="176" t="str">
        <f t="shared" si="12"/>
        <v xml:space="preserve"> </v>
      </c>
      <c r="AH18" s="695" t="str">
        <f t="shared" si="13"/>
        <v xml:space="preserve"> </v>
      </c>
      <c r="AI18" s="1081"/>
    </row>
    <row r="19" spans="1:37" s="36" customFormat="1" ht="19.5" thickBot="1">
      <c r="A19" s="706"/>
      <c r="B19" s="707" t="s">
        <v>37</v>
      </c>
      <c r="C19" s="708" t="s">
        <v>0</v>
      </c>
      <c r="D19" s="709">
        <f t="shared" si="14"/>
        <v>1362.8600000000001</v>
      </c>
      <c r="E19" s="600">
        <v>326.86000000000007</v>
      </c>
      <c r="F19" s="600">
        <v>1031.07</v>
      </c>
      <c r="G19" s="710">
        <v>4.93</v>
      </c>
      <c r="H19" s="711">
        <v>1670.5550000000001</v>
      </c>
      <c r="I19" s="709">
        <f t="shared" si="15"/>
        <v>2694.16</v>
      </c>
      <c r="J19" s="600">
        <f>'[176]переменные на 5 лет'!J44+'[176]переменные на 5 лет'!J53</f>
        <v>876.7199999999998</v>
      </c>
      <c r="K19" s="600">
        <f>'[176]переменные на 5 лет'!J45+'[176]переменные на 5 лет'!J46-'[176]переменные на 5 лет'!J53</f>
        <v>1811.5</v>
      </c>
      <c r="L19" s="710">
        <f>'[176]переменные на 5 лет'!J47</f>
        <v>5.9399999999999995</v>
      </c>
      <c r="M19" s="709">
        <f t="shared" si="16"/>
        <v>2732.8</v>
      </c>
      <c r="N19" s="600">
        <f>'[176]переменные на 5 лет'!M44+'[176]переменные на 5 лет'!M53</f>
        <v>800.2800000000002</v>
      </c>
      <c r="O19" s="600">
        <f>'[176]переменные на 5 лет'!M45+'[176]переменные на 5 лет'!M46-'[176]переменные на 5 лет'!M53</f>
        <v>1926.4899999999998</v>
      </c>
      <c r="P19" s="710">
        <f>'[176]переменные на 5 лет'!M47</f>
        <v>6.0299999999999994</v>
      </c>
      <c r="Q19" s="709">
        <f t="shared" si="17"/>
        <v>2830.12</v>
      </c>
      <c r="R19" s="600">
        <f>'[176]переменные на 5 лет'!P44+'[176]переменные на 5 лет'!P53</f>
        <v>796.10000000000025</v>
      </c>
      <c r="S19" s="600">
        <f>'[176]переменные на 5 лет'!P45+'[176]переменные на 5 лет'!P46-'[176]переменные на 5 лет'!P53</f>
        <v>2027.7899999999997</v>
      </c>
      <c r="T19" s="710">
        <f>'[176]переменные на 5 лет'!P47</f>
        <v>6.23</v>
      </c>
      <c r="U19" s="709">
        <f t="shared" si="18"/>
        <v>2924.8100000000004</v>
      </c>
      <c r="V19" s="600">
        <f>'[176]переменные на 5 лет'!S44+'[176]переменные на 5 лет'!S53</f>
        <v>811.03000000000009</v>
      </c>
      <c r="W19" s="600">
        <f>'[176]переменные на 5 лет'!S45+'[176]переменные на 5 лет'!S46-'[176]переменные на 5 лет'!S53</f>
        <v>2107.34</v>
      </c>
      <c r="X19" s="710">
        <f>'[176]переменные на 5 лет'!S47</f>
        <v>6.4399999999999995</v>
      </c>
      <c r="Y19" s="709">
        <f t="shared" si="19"/>
        <v>2995.43</v>
      </c>
      <c r="Z19" s="600">
        <f>'[176]переменные на 5 лет'!V44+'[176]переменные на 5 лет'!V53</f>
        <v>801.12999999999988</v>
      </c>
      <c r="AA19" s="600">
        <f>'[176]переменные на 5 лет'!V45+'[176]переменные на 5 лет'!V46-'[176]переменные на 5 лет'!V53</f>
        <v>2187.7000000000003</v>
      </c>
      <c r="AB19" s="710">
        <f>'[176]переменные на 5 лет'!V47</f>
        <v>6.6</v>
      </c>
      <c r="AC19" s="712">
        <f t="shared" si="8"/>
        <v>1.6127334927613874</v>
      </c>
      <c r="AD19" s="713">
        <f t="shared" si="9"/>
        <v>1.976842815843153</v>
      </c>
      <c r="AE19" s="713">
        <f t="shared" si="10"/>
        <v>1.0143421326127626</v>
      </c>
      <c r="AF19" s="713">
        <f t="shared" si="11"/>
        <v>1.0356118266978922</v>
      </c>
      <c r="AG19" s="714">
        <f t="shared" si="12"/>
        <v>1.0334579452461381</v>
      </c>
      <c r="AH19" s="715">
        <f t="shared" si="13"/>
        <v>1.0241451581470247</v>
      </c>
      <c r="AI19" s="1081"/>
    </row>
    <row r="20" spans="1:37" s="33" customFormat="1" ht="43.5" customHeight="1">
      <c r="A20" s="1233" t="s">
        <v>246</v>
      </c>
      <c r="B20" s="1234"/>
      <c r="C20" s="676" t="s">
        <v>0</v>
      </c>
      <c r="D20" s="716">
        <f>SUM(D21,D25,D28,D38,D41,D50:D54)</f>
        <v>5477.0599999999995</v>
      </c>
      <c r="E20" s="717">
        <f>SUM(E21,E25,E28,E38,E41,E50:E54)</f>
        <v>1389.9299999999998</v>
      </c>
      <c r="F20" s="717">
        <f t="shared" ref="F20:G20" si="20">SUM(F21,F25,F28,F38,F41,F50:F54)</f>
        <v>0</v>
      </c>
      <c r="G20" s="718">
        <f t="shared" si="20"/>
        <v>4087.13</v>
      </c>
      <c r="H20" s="719">
        <f>SUM(H21,H25,H28,H38,H41,H50:H54)</f>
        <v>11088.625</v>
      </c>
      <c r="I20" s="716">
        <f>SUM(I21,I25,I28,I38,I41,I50:I54)</f>
        <v>7027.58</v>
      </c>
      <c r="J20" s="717">
        <f>SUM(J21,J25,J28,J38,J41,J50:J54)</f>
        <v>1045.9599999999998</v>
      </c>
      <c r="K20" s="717">
        <f t="shared" ref="K20:L20" si="21">SUM(K21,K25,K28,K38,K41,K50:K54)</f>
        <v>0</v>
      </c>
      <c r="L20" s="718">
        <f t="shared" si="21"/>
        <v>5981.62</v>
      </c>
      <c r="M20" s="716">
        <f>SUM(M21,M25,M28,M38,M41,M50:M54)</f>
        <v>7171.9945695820115</v>
      </c>
      <c r="N20" s="717">
        <f>ROUND(J20*N7,2)</f>
        <v>1070.71</v>
      </c>
      <c r="O20" s="717">
        <f t="shared" ref="O20:P20" si="22">ROUND(K20*O7,2)</f>
        <v>0</v>
      </c>
      <c r="P20" s="718">
        <f t="shared" si="22"/>
        <v>6123.15</v>
      </c>
      <c r="Q20" s="716">
        <f>SUM(Q21,Q25,Q28,Q38,Q41,Q50:Q54)</f>
        <v>7384.2874144326734</v>
      </c>
      <c r="R20" s="717">
        <f>ROUND(N20*R7,2)</f>
        <v>1102.4000000000001</v>
      </c>
      <c r="S20" s="717">
        <f t="shared" ref="S20" si="23">ROUND(O20*S7,2)</f>
        <v>0</v>
      </c>
      <c r="T20" s="718">
        <f>ROUND(P20*T7,2)</f>
        <v>6304.4</v>
      </c>
      <c r="U20" s="716">
        <f>SUM(U21,U25,U28,U38,U41,U50:U54)</f>
        <v>7602.8610631381698</v>
      </c>
      <c r="V20" s="717">
        <f>ROUND(R20*V7,2)</f>
        <v>1135.03</v>
      </c>
      <c r="W20" s="717">
        <f t="shared" ref="W20" si="24">ROUND(S20*W7,2)</f>
        <v>0</v>
      </c>
      <c r="X20" s="718">
        <f>ROUND(T20*X7,2)</f>
        <v>6491.01</v>
      </c>
      <c r="Y20" s="716">
        <f>SUM(Y21,Y25,Y28,Y38,Y41,Y50:Y54)</f>
        <v>7827.904903055567</v>
      </c>
      <c r="Z20" s="717">
        <f>ROUND(V20*Z7,2)</f>
        <v>1168.6300000000001</v>
      </c>
      <c r="AA20" s="717">
        <f t="shared" ref="AA20" si="25">ROUND(W20*AA7,2)</f>
        <v>0</v>
      </c>
      <c r="AB20" s="718">
        <f>ROUND(X20*AB7,2)</f>
        <v>6683.14</v>
      </c>
      <c r="AC20" s="685">
        <f t="shared" si="8"/>
        <v>0.63376478147651305</v>
      </c>
      <c r="AD20" s="685">
        <f t="shared" si="9"/>
        <v>1.2830934844606414</v>
      </c>
      <c r="AE20" s="685">
        <f t="shared" si="10"/>
        <v>1.02054968703053</v>
      </c>
      <c r="AF20" s="685">
        <f t="shared" si="11"/>
        <v>1.0296002517557727</v>
      </c>
      <c r="AG20" s="685">
        <f t="shared" si="12"/>
        <v>1.0295998295351143</v>
      </c>
      <c r="AH20" s="686">
        <f t="shared" si="13"/>
        <v>1.0295998885220332</v>
      </c>
      <c r="AI20" s="1105"/>
      <c r="AJ20" s="41"/>
      <c r="AK20" s="42"/>
    </row>
    <row r="21" spans="1:37" s="36" customFormat="1" ht="18.75">
      <c r="A21" s="43">
        <v>1</v>
      </c>
      <c r="B21" s="1136" t="s">
        <v>237</v>
      </c>
      <c r="C21" s="655" t="s">
        <v>0</v>
      </c>
      <c r="D21" s="436"/>
      <c r="E21" s="1109"/>
      <c r="F21" s="1109"/>
      <c r="G21" s="437"/>
      <c r="H21" s="478"/>
      <c r="I21" s="436"/>
      <c r="J21" s="1109"/>
      <c r="K21" s="1109"/>
      <c r="L21" s="437"/>
      <c r="M21" s="436"/>
      <c r="N21" s="1109"/>
      <c r="O21" s="1109"/>
      <c r="P21" s="437"/>
      <c r="Q21" s="436"/>
      <c r="R21" s="1109"/>
      <c r="S21" s="1109"/>
      <c r="T21" s="437"/>
      <c r="U21" s="436"/>
      <c r="V21" s="1109"/>
      <c r="W21" s="1109"/>
      <c r="X21" s="437"/>
      <c r="Y21" s="436"/>
      <c r="Z21" s="1109"/>
      <c r="AA21" s="1109"/>
      <c r="AB21" s="437"/>
      <c r="AC21" s="633" t="str">
        <f t="shared" si="8"/>
        <v xml:space="preserve"> </v>
      </c>
      <c r="AD21" s="1083" t="str">
        <f t="shared" si="9"/>
        <v xml:space="preserve"> </v>
      </c>
      <c r="AE21" s="1083" t="str">
        <f t="shared" si="10"/>
        <v xml:space="preserve"> </v>
      </c>
      <c r="AF21" s="1083" t="str">
        <f t="shared" si="11"/>
        <v xml:space="preserve"> </v>
      </c>
      <c r="AG21" s="1083" t="str">
        <f t="shared" si="12"/>
        <v xml:space="preserve"> </v>
      </c>
      <c r="AH21" s="176" t="str">
        <f t="shared" si="13"/>
        <v xml:space="preserve"> </v>
      </c>
      <c r="AI21" s="1081"/>
      <c r="AJ21" s="45"/>
      <c r="AK21" s="46"/>
    </row>
    <row r="22" spans="1:37" s="31" customFormat="1" ht="18.75">
      <c r="A22" s="56"/>
      <c r="B22" s="1141" t="s">
        <v>226</v>
      </c>
      <c r="C22" s="656" t="s">
        <v>0</v>
      </c>
      <c r="D22" s="438">
        <f t="shared" ref="D22:D24" si="26">E22+F22+G22</f>
        <v>0</v>
      </c>
      <c r="E22" s="1108"/>
      <c r="F22" s="1108"/>
      <c r="G22" s="439"/>
      <c r="H22" s="479"/>
      <c r="I22" s="438">
        <f t="shared" ref="I22:I24" si="27">J22+K22+L22</f>
        <v>0</v>
      </c>
      <c r="J22" s="1108"/>
      <c r="K22" s="1108"/>
      <c r="L22" s="439"/>
      <c r="M22" s="438">
        <f t="shared" ref="M22:M24" si="28">N22+O22+P22</f>
        <v>0</v>
      </c>
      <c r="N22" s="1108"/>
      <c r="O22" s="1108"/>
      <c r="P22" s="439"/>
      <c r="Q22" s="438">
        <f t="shared" ref="Q22:Q24" si="29">R22+S22+T22</f>
        <v>0</v>
      </c>
      <c r="R22" s="1108"/>
      <c r="S22" s="1108"/>
      <c r="T22" s="439"/>
      <c r="U22" s="438">
        <f t="shared" ref="U22:U24" si="30">V22+W22+X22</f>
        <v>0</v>
      </c>
      <c r="V22" s="1108"/>
      <c r="W22" s="1108"/>
      <c r="X22" s="439"/>
      <c r="Y22" s="438">
        <f t="shared" ref="Y22:Y24" si="31">Z22+AA22+AB22</f>
        <v>0</v>
      </c>
      <c r="Z22" s="1108"/>
      <c r="AA22" s="1108"/>
      <c r="AB22" s="439"/>
      <c r="AC22" s="633" t="str">
        <f t="shared" si="8"/>
        <v xml:space="preserve"> </v>
      </c>
      <c r="AD22" s="1083" t="str">
        <f t="shared" si="9"/>
        <v xml:space="preserve"> </v>
      </c>
      <c r="AE22" s="1083" t="str">
        <f t="shared" si="10"/>
        <v xml:space="preserve"> </v>
      </c>
      <c r="AF22" s="1083" t="str">
        <f t="shared" si="11"/>
        <v xml:space="preserve"> </v>
      </c>
      <c r="AG22" s="1083" t="str">
        <f t="shared" si="12"/>
        <v xml:space="preserve"> </v>
      </c>
      <c r="AH22" s="176" t="str">
        <f t="shared" si="13"/>
        <v xml:space="preserve"> </v>
      </c>
      <c r="AI22" s="1081"/>
      <c r="AJ22" s="173"/>
      <c r="AK22" s="58"/>
    </row>
    <row r="23" spans="1:37" s="31" customFormat="1" ht="18.75">
      <c r="A23" s="56"/>
      <c r="B23" s="1141" t="s">
        <v>227</v>
      </c>
      <c r="C23" s="656" t="s">
        <v>0</v>
      </c>
      <c r="D23" s="438">
        <f t="shared" si="26"/>
        <v>0</v>
      </c>
      <c r="E23" s="1108"/>
      <c r="F23" s="1108"/>
      <c r="G23" s="439"/>
      <c r="H23" s="479"/>
      <c r="I23" s="438">
        <f t="shared" si="27"/>
        <v>0</v>
      </c>
      <c r="J23" s="1108"/>
      <c r="K23" s="1108"/>
      <c r="L23" s="439"/>
      <c r="M23" s="438">
        <f t="shared" si="28"/>
        <v>0</v>
      </c>
      <c r="N23" s="1108"/>
      <c r="O23" s="1108"/>
      <c r="P23" s="439"/>
      <c r="Q23" s="438">
        <f t="shared" si="29"/>
        <v>0</v>
      </c>
      <c r="R23" s="1108"/>
      <c r="S23" s="1108"/>
      <c r="T23" s="439"/>
      <c r="U23" s="438">
        <f t="shared" si="30"/>
        <v>0</v>
      </c>
      <c r="V23" s="1108"/>
      <c r="W23" s="1108"/>
      <c r="X23" s="439"/>
      <c r="Y23" s="438">
        <f t="shared" si="31"/>
        <v>0</v>
      </c>
      <c r="Z23" s="1108"/>
      <c r="AA23" s="1108"/>
      <c r="AB23" s="439"/>
      <c r="AC23" s="633" t="str">
        <f t="shared" si="8"/>
        <v xml:space="preserve"> </v>
      </c>
      <c r="AD23" s="1083" t="str">
        <f t="shared" si="9"/>
        <v xml:space="preserve"> </v>
      </c>
      <c r="AE23" s="1083" t="str">
        <f t="shared" si="10"/>
        <v xml:space="preserve"> </v>
      </c>
      <c r="AF23" s="1083" t="str">
        <f t="shared" si="11"/>
        <v xml:space="preserve"> </v>
      </c>
      <c r="AG23" s="1083" t="str">
        <f t="shared" si="12"/>
        <v xml:space="preserve"> </v>
      </c>
      <c r="AH23" s="176" t="str">
        <f t="shared" si="13"/>
        <v xml:space="preserve"> </v>
      </c>
      <c r="AI23" s="1081"/>
      <c r="AJ23" s="173"/>
      <c r="AK23" s="58"/>
    </row>
    <row r="24" spans="1:37" s="31" customFormat="1" ht="18.75">
      <c r="A24" s="56"/>
      <c r="B24" s="1141" t="s">
        <v>228</v>
      </c>
      <c r="C24" s="656" t="s">
        <v>0</v>
      </c>
      <c r="D24" s="438">
        <f t="shared" si="26"/>
        <v>0</v>
      </c>
      <c r="E24" s="1108"/>
      <c r="F24" s="1108"/>
      <c r="G24" s="439"/>
      <c r="H24" s="479"/>
      <c r="I24" s="438">
        <f t="shared" si="27"/>
        <v>0</v>
      </c>
      <c r="J24" s="1108"/>
      <c r="K24" s="1108"/>
      <c r="L24" s="439"/>
      <c r="M24" s="438">
        <f t="shared" si="28"/>
        <v>0</v>
      </c>
      <c r="N24" s="1108"/>
      <c r="O24" s="1108"/>
      <c r="P24" s="439"/>
      <c r="Q24" s="438">
        <f t="shared" si="29"/>
        <v>0</v>
      </c>
      <c r="R24" s="1108"/>
      <c r="S24" s="1108"/>
      <c r="T24" s="439"/>
      <c r="U24" s="438">
        <f t="shared" si="30"/>
        <v>0</v>
      </c>
      <c r="V24" s="1108"/>
      <c r="W24" s="1108"/>
      <c r="X24" s="439"/>
      <c r="Y24" s="438">
        <f t="shared" si="31"/>
        <v>0</v>
      </c>
      <c r="Z24" s="1108"/>
      <c r="AA24" s="1108"/>
      <c r="AB24" s="439"/>
      <c r="AC24" s="633" t="str">
        <f t="shared" si="8"/>
        <v xml:space="preserve"> </v>
      </c>
      <c r="AD24" s="1083" t="str">
        <f t="shared" si="9"/>
        <v xml:space="preserve"> </v>
      </c>
      <c r="AE24" s="1083" t="str">
        <f t="shared" si="10"/>
        <v xml:space="preserve"> </v>
      </c>
      <c r="AF24" s="1083" t="str">
        <f t="shared" si="11"/>
        <v xml:space="preserve"> </v>
      </c>
      <c r="AG24" s="1083" t="str">
        <f t="shared" si="12"/>
        <v xml:space="preserve"> </v>
      </c>
      <c r="AH24" s="176" t="str">
        <f t="shared" si="13"/>
        <v xml:space="preserve"> </v>
      </c>
      <c r="AI24" s="1081"/>
      <c r="AJ24" s="173"/>
      <c r="AK24" s="58"/>
    </row>
    <row r="25" spans="1:37" s="36" customFormat="1" ht="18.75">
      <c r="A25" s="43">
        <v>2</v>
      </c>
      <c r="B25" s="1136" t="s">
        <v>238</v>
      </c>
      <c r="C25" s="655" t="s">
        <v>0</v>
      </c>
      <c r="D25" s="436">
        <f>D26+D27</f>
        <v>2337.14</v>
      </c>
      <c r="E25" s="1109">
        <f t="shared" ref="E25:H25" si="32">E26+E27</f>
        <v>573.79</v>
      </c>
      <c r="F25" s="1109">
        <f t="shared" si="32"/>
        <v>0</v>
      </c>
      <c r="G25" s="437">
        <f t="shared" si="32"/>
        <v>1763.35</v>
      </c>
      <c r="H25" s="478">
        <f t="shared" si="32"/>
        <v>4066.74</v>
      </c>
      <c r="I25" s="436">
        <f>I26+I27</f>
        <v>2720.45</v>
      </c>
      <c r="J25" s="1109">
        <f t="shared" ref="J25:L25" si="33">J26+J27</f>
        <v>424.12</v>
      </c>
      <c r="K25" s="1109">
        <f t="shared" si="33"/>
        <v>0</v>
      </c>
      <c r="L25" s="437">
        <f t="shared" si="33"/>
        <v>2296.33</v>
      </c>
      <c r="M25" s="436">
        <f>M26+M27</f>
        <v>2784.818765632494</v>
      </c>
      <c r="N25" s="1109">
        <f t="shared" ref="N25:P25" si="34">N26+N27</f>
        <v>434.15572794370735</v>
      </c>
      <c r="O25" s="1109">
        <f t="shared" si="34"/>
        <v>0</v>
      </c>
      <c r="P25" s="437">
        <f t="shared" si="34"/>
        <v>2350.6630376887865</v>
      </c>
      <c r="Q25" s="436">
        <f>Q26+Q27</f>
        <v>2867.2500055085247</v>
      </c>
      <c r="R25" s="1109">
        <f t="shared" ref="R25:T25" si="35">R26+R27</f>
        <v>447.00551455122582</v>
      </c>
      <c r="S25" s="1109">
        <f t="shared" si="35"/>
        <v>0</v>
      </c>
      <c r="T25" s="437">
        <f t="shared" si="35"/>
        <v>2420.2444909572991</v>
      </c>
      <c r="U25" s="436">
        <f>U26+U27</f>
        <v>2952.12009183282</v>
      </c>
      <c r="V25" s="1109">
        <f t="shared" ref="V25:X25" si="36">V26+V27</f>
        <v>460.23645607862636</v>
      </c>
      <c r="W25" s="1109">
        <f t="shared" si="36"/>
        <v>0</v>
      </c>
      <c r="X25" s="437">
        <f t="shared" si="36"/>
        <v>2491.8836357541936</v>
      </c>
      <c r="Y25" s="436">
        <f>Y26+Y27</f>
        <v>3039.5026127518122</v>
      </c>
      <c r="Z25" s="1109">
        <f t="shared" ref="Z25:AB25" si="37">Z26+Z27</f>
        <v>473.86071704462898</v>
      </c>
      <c r="AA25" s="1109">
        <f t="shared" si="37"/>
        <v>0</v>
      </c>
      <c r="AB25" s="437">
        <f t="shared" si="37"/>
        <v>2565.6418957071833</v>
      </c>
      <c r="AC25" s="633">
        <f t="shared" si="8"/>
        <v>0.66895105170234637</v>
      </c>
      <c r="AD25" s="1083">
        <f t="shared" si="9"/>
        <v>1.1640081467092258</v>
      </c>
      <c r="AE25" s="1083">
        <f t="shared" si="10"/>
        <v>1.0236610728491589</v>
      </c>
      <c r="AF25" s="1083">
        <f t="shared" si="11"/>
        <v>1.0296002170386513</v>
      </c>
      <c r="AG25" s="1083">
        <f t="shared" si="12"/>
        <v>1.0295998207903894</v>
      </c>
      <c r="AH25" s="176">
        <f t="shared" si="13"/>
        <v>1.0295999208029307</v>
      </c>
      <c r="AI25" s="1081" t="s">
        <v>512</v>
      </c>
      <c r="AJ25" s="47"/>
      <c r="AK25" s="46"/>
    </row>
    <row r="26" spans="1:37" s="31" customFormat="1" ht="18.75">
      <c r="A26" s="56"/>
      <c r="B26" s="1141" t="s">
        <v>225</v>
      </c>
      <c r="C26" s="656" t="s">
        <v>0</v>
      </c>
      <c r="D26" s="438">
        <f>E26+F26+G26</f>
        <v>0</v>
      </c>
      <c r="E26" s="1108"/>
      <c r="F26" s="1108"/>
      <c r="G26" s="439"/>
      <c r="H26" s="479">
        <v>3250</v>
      </c>
      <c r="I26" s="438">
        <f>J26+K26+L26</f>
        <v>1903.71</v>
      </c>
      <c r="J26" s="1108">
        <f>ROUND($J$137*1903.71,2)</f>
        <v>296.79000000000002</v>
      </c>
      <c r="K26" s="1108"/>
      <c r="L26" s="439">
        <f>1903.71-J26</f>
        <v>1606.92</v>
      </c>
      <c r="M26" s="438">
        <f>N26+O26+P26</f>
        <v>1948.7538209942027</v>
      </c>
      <c r="N26" s="1129">
        <f>IF($N$20&gt;0,J26/$J$20*$N$20,0)</f>
        <v>303.81278528815642</v>
      </c>
      <c r="O26" s="1108"/>
      <c r="P26" s="642">
        <f>IF($P$20&gt;0,L26/$L$20*$P$20,0)</f>
        <v>1644.9410357060463</v>
      </c>
      <c r="Q26" s="438">
        <f>R26+S26+T26</f>
        <v>2006.4373570493551</v>
      </c>
      <c r="R26" s="1129">
        <f>IF($R$20&gt;0,N26/$N$20*$R$20,0)</f>
        <v>312.80478794600185</v>
      </c>
      <c r="S26" s="1108"/>
      <c r="T26" s="642">
        <f>IF($T$20&gt;0,P26/$P$20*$T$20,0)</f>
        <v>1693.6325691033533</v>
      </c>
      <c r="U26" s="438">
        <f>V26+W26+X26</f>
        <v>2065.8275432448531</v>
      </c>
      <c r="V26" s="1129">
        <f>IF($V$20&gt;0,R26/$R$20*$V$20,0)</f>
        <v>322.06351457034691</v>
      </c>
      <c r="W26" s="1108"/>
      <c r="X26" s="642">
        <f>IF($X$20&gt;0,T26/$T$20*$X$20,0)</f>
        <v>1743.7640286745063</v>
      </c>
      <c r="Y26" s="438">
        <f>Z26+AA26+AB26</f>
        <v>2126.9758749185739</v>
      </c>
      <c r="Z26" s="1129">
        <f>IF($Z$20&gt;0,V26/$V$20*$Z$20,0)</f>
        <v>331.59747762820768</v>
      </c>
      <c r="AA26" s="1108"/>
      <c r="AB26" s="642">
        <f>IF($AB$20&gt;0,X26/$X$20*$AB$20,0)</f>
        <v>1795.3783972903664</v>
      </c>
      <c r="AC26" s="633">
        <f t="shared" si="8"/>
        <v>0.58575692307692306</v>
      </c>
      <c r="AD26" s="1083" t="str">
        <f t="shared" si="9"/>
        <v xml:space="preserve"> </v>
      </c>
      <c r="AE26" s="1083">
        <f t="shared" si="10"/>
        <v>1.0236610728494375</v>
      </c>
      <c r="AF26" s="1083">
        <f t="shared" si="11"/>
        <v>1.0296002170380474</v>
      </c>
      <c r="AG26" s="1083">
        <f t="shared" si="12"/>
        <v>1.0295998207902373</v>
      </c>
      <c r="AH26" s="176">
        <f t="shared" si="13"/>
        <v>1.0295999208034923</v>
      </c>
      <c r="AI26" s="1081"/>
      <c r="AJ26" s="61"/>
      <c r="AK26" s="58"/>
    </row>
    <row r="27" spans="1:37" s="31" customFormat="1" ht="18.75">
      <c r="A27" s="56"/>
      <c r="B27" s="1141" t="s">
        <v>177</v>
      </c>
      <c r="C27" s="656" t="s">
        <v>0</v>
      </c>
      <c r="D27" s="438">
        <f>E27+F27+G27</f>
        <v>2337.14</v>
      </c>
      <c r="E27" s="1108">
        <v>573.79</v>
      </c>
      <c r="F27" s="1108"/>
      <c r="G27" s="439">
        <v>1763.35</v>
      </c>
      <c r="H27" s="479">
        <v>816.74</v>
      </c>
      <c r="I27" s="438">
        <f>J27+K27+L27</f>
        <v>816.74</v>
      </c>
      <c r="J27" s="1108">
        <f>ROUND(J137*816.74,2)</f>
        <v>127.33</v>
      </c>
      <c r="K27" s="1108"/>
      <c r="L27" s="439">
        <f>816.74-J27</f>
        <v>689.41</v>
      </c>
      <c r="M27" s="438">
        <f>N27+O27+P27</f>
        <v>836.06494463829131</v>
      </c>
      <c r="N27" s="1129">
        <f>IF($N$20&gt;0,J27/$J$20*$N$20,0)</f>
        <v>130.3429426555509</v>
      </c>
      <c r="O27" s="1108"/>
      <c r="P27" s="642">
        <f>IF($P$20&gt;0,L27/$L$20*$P$20,0)</f>
        <v>705.72200198274038</v>
      </c>
      <c r="Q27" s="438">
        <f>R27+S27+T27</f>
        <v>860.81264845916974</v>
      </c>
      <c r="R27" s="1129">
        <f>IF($R$20&gt;0,N27/$N$20*$R$20,0)</f>
        <v>134.20072660522393</v>
      </c>
      <c r="S27" s="1108"/>
      <c r="T27" s="642">
        <f>IF($T$20&gt;0,P27/$P$20*$T$20,0)</f>
        <v>726.61192185394577</v>
      </c>
      <c r="U27" s="438">
        <f>V27+W27+X27</f>
        <v>886.29254858796685</v>
      </c>
      <c r="V27" s="1129">
        <f>IF($V$20&gt;0,R27/$R$20*$V$20,0)</f>
        <v>138.17294150827948</v>
      </c>
      <c r="W27" s="1108"/>
      <c r="X27" s="642">
        <f>IF($X$20&gt;0,T27/$T$20*$X$20,0)</f>
        <v>748.1196070796874</v>
      </c>
      <c r="Y27" s="438">
        <f>Z27+AA27+AB27</f>
        <v>912.52673783323803</v>
      </c>
      <c r="Z27" s="1129">
        <f>IF($Z$20&gt;0,V27/$V$20*$Z$20,0)</f>
        <v>142.2632394164213</v>
      </c>
      <c r="AA27" s="1108"/>
      <c r="AB27" s="642">
        <f>IF($AB$20&gt;0,X27/$X$20*$AB$20,0)</f>
        <v>770.26349841681679</v>
      </c>
      <c r="AC27" s="633">
        <f t="shared" si="8"/>
        <v>1</v>
      </c>
      <c r="AD27" s="1083">
        <f t="shared" si="9"/>
        <v>0.34946130740991127</v>
      </c>
      <c r="AE27" s="1083">
        <f t="shared" si="10"/>
        <v>1.0236610728485092</v>
      </c>
      <c r="AF27" s="1083">
        <f t="shared" si="11"/>
        <v>1.0296002170400591</v>
      </c>
      <c r="AG27" s="1083">
        <f t="shared" si="12"/>
        <v>1.029599820790744</v>
      </c>
      <c r="AH27" s="176">
        <f t="shared" si="13"/>
        <v>1.0295999208016215</v>
      </c>
      <c r="AI27" s="1081"/>
      <c r="AJ27" s="61"/>
      <c r="AK27" s="58"/>
    </row>
    <row r="28" spans="1:37" s="36" customFormat="1" ht="18.75">
      <c r="A28" s="43">
        <v>3</v>
      </c>
      <c r="B28" s="1136" t="s">
        <v>239</v>
      </c>
      <c r="C28" s="655" t="s">
        <v>0</v>
      </c>
      <c r="D28" s="436">
        <f>D30+D31+D32</f>
        <v>2382.9299999999998</v>
      </c>
      <c r="E28" s="1109">
        <f t="shared" ref="E28:H28" si="38">E30+E31+E32</f>
        <v>585.03</v>
      </c>
      <c r="F28" s="1109">
        <f t="shared" si="38"/>
        <v>0</v>
      </c>
      <c r="G28" s="437">
        <f t="shared" si="38"/>
        <v>1797.9</v>
      </c>
      <c r="H28" s="478">
        <f t="shared" si="38"/>
        <v>3352.8</v>
      </c>
      <c r="I28" s="436">
        <f>I30+I31+I32</f>
        <v>3328.8</v>
      </c>
      <c r="J28" s="1109">
        <f t="shared" ref="J28:L28" si="39">J30+J31+J32</f>
        <v>518.96</v>
      </c>
      <c r="K28" s="1109">
        <f t="shared" si="39"/>
        <v>0</v>
      </c>
      <c r="L28" s="437">
        <f t="shared" si="39"/>
        <v>2809.84</v>
      </c>
      <c r="M28" s="436">
        <f>M30+M31+M32</f>
        <v>3407.5629792966683</v>
      </c>
      <c r="N28" s="1109">
        <f t="shared" ref="N28:P28" si="40">N30+N31+N32</f>
        <v>531.2398768595358</v>
      </c>
      <c r="O28" s="1109">
        <f t="shared" si="40"/>
        <v>0</v>
      </c>
      <c r="P28" s="437">
        <f t="shared" si="40"/>
        <v>2876.3231024371325</v>
      </c>
      <c r="Q28" s="436">
        <f>Q30+Q31+Q32</f>
        <v>3508.4275830647348</v>
      </c>
      <c r="R28" s="1109">
        <f t="shared" ref="R28:T28" si="41">R30+R31+R32</f>
        <v>546.96308080614949</v>
      </c>
      <c r="S28" s="1109">
        <f t="shared" si="41"/>
        <v>0</v>
      </c>
      <c r="T28" s="437">
        <f t="shared" si="41"/>
        <v>2961.4645022585855</v>
      </c>
      <c r="U28" s="436">
        <f>U30+U31+U32</f>
        <v>3612.2764107815874</v>
      </c>
      <c r="V28" s="1109">
        <f t="shared" ref="V28:X28" si="42">V30+V31+V32</f>
        <v>563.15267199510504</v>
      </c>
      <c r="W28" s="1109">
        <f t="shared" si="42"/>
        <v>0</v>
      </c>
      <c r="X28" s="437">
        <f t="shared" si="42"/>
        <v>3049.1237387864826</v>
      </c>
      <c r="Y28" s="436">
        <f>Y30+Y31+Y32</f>
        <v>3719.1995064511202</v>
      </c>
      <c r="Z28" s="1109">
        <f t="shared" ref="Z28:AB28" si="43">Z30+Z31+Z32</f>
        <v>579.82353512562645</v>
      </c>
      <c r="AA28" s="1109">
        <f t="shared" si="43"/>
        <v>0</v>
      </c>
      <c r="AB28" s="437">
        <f t="shared" si="43"/>
        <v>3139.375971325494</v>
      </c>
      <c r="AC28" s="633">
        <f t="shared" si="8"/>
        <v>0.99284180386542586</v>
      </c>
      <c r="AD28" s="1083">
        <f t="shared" si="9"/>
        <v>1.3969357052032583</v>
      </c>
      <c r="AE28" s="1083">
        <f t="shared" si="10"/>
        <v>1.0236610728480737</v>
      </c>
      <c r="AF28" s="1083">
        <f t="shared" si="11"/>
        <v>1.0296002170410026</v>
      </c>
      <c r="AG28" s="1083">
        <f t="shared" si="12"/>
        <v>1.0295998207909816</v>
      </c>
      <c r="AH28" s="176">
        <f t="shared" si="13"/>
        <v>1.0295999208007445</v>
      </c>
      <c r="AI28" s="1081"/>
      <c r="AJ28" s="47"/>
      <c r="AK28" s="46"/>
    </row>
    <row r="29" spans="1:37" s="52" customFormat="1" ht="18.75" outlineLevel="1">
      <c r="A29" s="48"/>
      <c r="B29" s="1139" t="s">
        <v>19</v>
      </c>
      <c r="C29" s="657"/>
      <c r="D29" s="440"/>
      <c r="E29" s="1138"/>
      <c r="F29" s="1138"/>
      <c r="G29" s="441"/>
      <c r="H29" s="480"/>
      <c r="I29" s="440"/>
      <c r="J29" s="1138"/>
      <c r="K29" s="1138"/>
      <c r="L29" s="441"/>
      <c r="M29" s="440"/>
      <c r="N29" s="1138"/>
      <c r="O29" s="1138"/>
      <c r="P29" s="441"/>
      <c r="Q29" s="440"/>
      <c r="R29" s="1138"/>
      <c r="S29" s="1138"/>
      <c r="T29" s="441"/>
      <c r="U29" s="440"/>
      <c r="V29" s="1138"/>
      <c r="W29" s="1138"/>
      <c r="X29" s="441"/>
      <c r="Y29" s="440"/>
      <c r="Z29" s="1138"/>
      <c r="AA29" s="1138"/>
      <c r="AB29" s="441"/>
      <c r="AC29" s="633" t="str">
        <f t="shared" si="8"/>
        <v xml:space="preserve"> </v>
      </c>
      <c r="AD29" s="1083" t="str">
        <f t="shared" si="9"/>
        <v xml:space="preserve"> </v>
      </c>
      <c r="AE29" s="1083" t="str">
        <f t="shared" si="10"/>
        <v xml:space="preserve"> </v>
      </c>
      <c r="AF29" s="1083" t="str">
        <f t="shared" si="11"/>
        <v xml:space="preserve"> </v>
      </c>
      <c r="AG29" s="1083" t="str">
        <f t="shared" si="12"/>
        <v xml:space="preserve"> </v>
      </c>
      <c r="AH29" s="176" t="str">
        <f t="shared" si="13"/>
        <v xml:space="preserve"> </v>
      </c>
      <c r="AI29" s="1081"/>
      <c r="AJ29" s="50"/>
      <c r="AK29" s="51"/>
    </row>
    <row r="30" spans="1:37" s="52" customFormat="1" ht="18.75" outlineLevel="1">
      <c r="A30" s="48"/>
      <c r="B30" s="1119" t="s">
        <v>94</v>
      </c>
      <c r="C30" s="657" t="s">
        <v>0</v>
      </c>
      <c r="D30" s="438">
        <f t="shared" ref="D30:D36" si="44">E30+F30+G30</f>
        <v>1793.52</v>
      </c>
      <c r="E30" s="1118">
        <v>440.33</v>
      </c>
      <c r="F30" s="1118"/>
      <c r="G30" s="442">
        <v>1353.19</v>
      </c>
      <c r="H30" s="481">
        <f>3352.8-H32</f>
        <v>1749.6000000000001</v>
      </c>
      <c r="I30" s="438">
        <f t="shared" ref="I30:I32" si="45">J30+K30+L30</f>
        <v>1725.6</v>
      </c>
      <c r="J30" s="1118">
        <f>ROUND([176]зп!I22/1000*J137,2)</f>
        <v>269.02</v>
      </c>
      <c r="K30" s="1118"/>
      <c r="L30" s="442">
        <f>ROUND([176]зп!I22/1000-J30,2)</f>
        <v>1456.58</v>
      </c>
      <c r="M30" s="601">
        <f t="shared" ref="M30:M32" si="46">N30+O30+P30</f>
        <v>1766.4295473048426</v>
      </c>
      <c r="N30" s="1140">
        <f>IF($N$20&gt;0,J30/$J$20*$N$20,0)</f>
        <v>275.3856784198249</v>
      </c>
      <c r="O30" s="1118"/>
      <c r="P30" s="642">
        <f t="shared" ref="P30:P32" si="47">IF($P$20&gt;0,L30/$L$20*$P$20,0)</f>
        <v>1491.0438688850177</v>
      </c>
      <c r="Q30" s="601">
        <f t="shared" ref="Q30:Q32" si="48">R30+S30+T30</f>
        <v>1818.716245296685</v>
      </c>
      <c r="R30" s="1129">
        <f>IF($R$20&gt;0,N30/$N$20*$R$20,0)</f>
        <v>283.53631878848148</v>
      </c>
      <c r="S30" s="1108"/>
      <c r="T30" s="642">
        <f>IF($T$20&gt;0,P30/$P$20*$T$20,0)</f>
        <v>1535.1799265082034</v>
      </c>
      <c r="U30" s="601">
        <f t="shared" ref="U30:U32" si="49">V30+W30+X30</f>
        <v>1872.5499202281455</v>
      </c>
      <c r="V30" s="1129">
        <f>IF($V$20&gt;0,R30/$R$20*$V$20,0)</f>
        <v>291.92872633752728</v>
      </c>
      <c r="W30" s="1108"/>
      <c r="X30" s="642">
        <f>IF($X$20&gt;0,T30/$T$20*$X$20,0)</f>
        <v>1580.6211938906183</v>
      </c>
      <c r="Y30" s="601">
        <f t="shared" ref="Y30:Y32" si="50">Z30+AA30+AB30</f>
        <v>1927.977249558417</v>
      </c>
      <c r="Z30" s="1129">
        <f>IF($Z$20&gt;0,V30/$V$20*$Z$20,0)</f>
        <v>300.57061704080468</v>
      </c>
      <c r="AA30" s="1108"/>
      <c r="AB30" s="642">
        <f>IF($AB$20&gt;0,X30/$X$20*$AB$20,0)</f>
        <v>1627.4066325176125</v>
      </c>
      <c r="AC30" s="633">
        <f t="shared" si="8"/>
        <v>0.98628257887517135</v>
      </c>
      <c r="AD30" s="1083">
        <f t="shared" si="9"/>
        <v>0.96213033587581953</v>
      </c>
      <c r="AE30" s="1083">
        <f t="shared" si="10"/>
        <v>1.0236610728470346</v>
      </c>
      <c r="AF30" s="1083">
        <f t="shared" si="11"/>
        <v>1.0296002170432552</v>
      </c>
      <c r="AG30" s="1083">
        <f t="shared" si="12"/>
        <v>1.0295998207915489</v>
      </c>
      <c r="AH30" s="176">
        <f t="shared" si="13"/>
        <v>1.0295999207986499</v>
      </c>
      <c r="AI30" s="1117"/>
      <c r="AJ30" s="50"/>
      <c r="AK30" s="54"/>
    </row>
    <row r="31" spans="1:37" s="52" customFormat="1" ht="18.75" outlineLevel="1">
      <c r="A31" s="48"/>
      <c r="B31" s="1119" t="s">
        <v>95</v>
      </c>
      <c r="C31" s="657" t="s">
        <v>0</v>
      </c>
      <c r="D31" s="438">
        <f t="shared" si="44"/>
        <v>0</v>
      </c>
      <c r="E31" s="1118"/>
      <c r="F31" s="1118"/>
      <c r="G31" s="442"/>
      <c r="H31" s="481"/>
      <c r="I31" s="438">
        <f t="shared" si="45"/>
        <v>0</v>
      </c>
      <c r="J31" s="1118"/>
      <c r="K31" s="1118"/>
      <c r="L31" s="442"/>
      <c r="M31" s="601">
        <f t="shared" si="46"/>
        <v>0</v>
      </c>
      <c r="N31" s="1118"/>
      <c r="O31" s="1118"/>
      <c r="P31" s="642"/>
      <c r="Q31" s="601">
        <f t="shared" si="48"/>
        <v>0</v>
      </c>
      <c r="R31" s="1118"/>
      <c r="S31" s="1118"/>
      <c r="T31" s="642"/>
      <c r="U31" s="601">
        <f t="shared" si="49"/>
        <v>0</v>
      </c>
      <c r="V31" s="1118"/>
      <c r="W31" s="1118"/>
      <c r="X31" s="642"/>
      <c r="Y31" s="601">
        <f t="shared" si="50"/>
        <v>0</v>
      </c>
      <c r="Z31" s="1118"/>
      <c r="AA31" s="1118"/>
      <c r="AB31" s="642"/>
      <c r="AC31" s="633" t="str">
        <f t="shared" si="8"/>
        <v xml:space="preserve"> </v>
      </c>
      <c r="AD31" s="1083" t="str">
        <f t="shared" si="9"/>
        <v xml:space="preserve"> </v>
      </c>
      <c r="AE31" s="1083" t="str">
        <f t="shared" si="10"/>
        <v xml:space="preserve"> </v>
      </c>
      <c r="AF31" s="1083" t="str">
        <f t="shared" si="11"/>
        <v xml:space="preserve"> </v>
      </c>
      <c r="AG31" s="1083" t="str">
        <f t="shared" si="12"/>
        <v xml:space="preserve"> </v>
      </c>
      <c r="AH31" s="176" t="str">
        <f t="shared" si="13"/>
        <v xml:space="preserve"> </v>
      </c>
      <c r="AI31" s="1117"/>
      <c r="AJ31" s="50"/>
      <c r="AK31" s="54"/>
    </row>
    <row r="32" spans="1:37" s="52" customFormat="1" ht="18.75" outlineLevel="1">
      <c r="A32" s="48"/>
      <c r="B32" s="1119" t="s">
        <v>247</v>
      </c>
      <c r="C32" s="657" t="s">
        <v>0</v>
      </c>
      <c r="D32" s="438">
        <f t="shared" si="44"/>
        <v>589.41</v>
      </c>
      <c r="E32" s="1118">
        <v>144.69999999999999</v>
      </c>
      <c r="F32" s="1118"/>
      <c r="G32" s="442">
        <v>444.71</v>
      </c>
      <c r="H32" s="481">
        <v>1603.2</v>
      </c>
      <c r="I32" s="438">
        <f t="shared" si="45"/>
        <v>1603.2</v>
      </c>
      <c r="J32" s="1118">
        <f>ROUND([176]зп!I23/1000*J137,2)</f>
        <v>249.94</v>
      </c>
      <c r="K32" s="1118"/>
      <c r="L32" s="442">
        <f>ROUND([176]зп!I23/1000-J32,2)</f>
        <v>1353.26</v>
      </c>
      <c r="M32" s="601">
        <f t="shared" si="46"/>
        <v>1641.1334319918255</v>
      </c>
      <c r="N32" s="1140">
        <f>IF($N$20&gt;0,J32/$J$20*$N$20,0)</f>
        <v>255.85419843971093</v>
      </c>
      <c r="O32" s="1118"/>
      <c r="P32" s="642">
        <f t="shared" si="47"/>
        <v>1385.2792335521146</v>
      </c>
      <c r="Q32" s="601">
        <f t="shared" si="48"/>
        <v>1689.71133776805</v>
      </c>
      <c r="R32" s="1129">
        <f>IF($R$20&gt;0,N32/$N$20*$R$20,0)</f>
        <v>263.42676201766807</v>
      </c>
      <c r="S32" s="1108"/>
      <c r="T32" s="642">
        <f>IF($T$20&gt;0,P32/$P$20*$T$20,0)</f>
        <v>1426.2845757503819</v>
      </c>
      <c r="U32" s="601">
        <f t="shared" si="49"/>
        <v>1739.7264905534421</v>
      </c>
      <c r="V32" s="1129">
        <f>IF($V$20&gt;0,R32/$R$20*$V$20,0)</f>
        <v>271.22394565757781</v>
      </c>
      <c r="W32" s="1108"/>
      <c r="X32" s="642">
        <f>IF($X$20&gt;0,T32/$T$20*$X$20,0)</f>
        <v>1468.5025448958643</v>
      </c>
      <c r="Y32" s="601">
        <f t="shared" si="50"/>
        <v>1791.2222568927032</v>
      </c>
      <c r="Z32" s="1129">
        <f>IF($Z$20&gt;0,V32/$V$20*$Z$20,0)</f>
        <v>279.25291808482172</v>
      </c>
      <c r="AA32" s="1108"/>
      <c r="AB32" s="642">
        <f>IF($AB$20&gt;0,X32/$X$20*$AB$20,0)</f>
        <v>1511.9693388078815</v>
      </c>
      <c r="AC32" s="633">
        <f t="shared" si="8"/>
        <v>1</v>
      </c>
      <c r="AD32" s="1083">
        <f t="shared" si="9"/>
        <v>2.7200081437369574</v>
      </c>
      <c r="AE32" s="1083">
        <f t="shared" si="10"/>
        <v>1.0236610728491926</v>
      </c>
      <c r="AF32" s="1083">
        <f t="shared" si="11"/>
        <v>1.0296002170385781</v>
      </c>
      <c r="AG32" s="1083">
        <f t="shared" si="12"/>
        <v>1.0295998207903709</v>
      </c>
      <c r="AH32" s="176">
        <f t="shared" si="13"/>
        <v>1.0295999208029989</v>
      </c>
      <c r="AI32" s="1117"/>
      <c r="AJ32" s="50"/>
      <c r="AK32" s="54"/>
    </row>
    <row r="33" spans="1:38" s="52" customFormat="1" ht="18.75" outlineLevel="1">
      <c r="A33" s="48"/>
      <c r="B33" s="1139" t="s">
        <v>96</v>
      </c>
      <c r="C33" s="657" t="s">
        <v>74</v>
      </c>
      <c r="D33" s="440">
        <f>D34+D35+D36</f>
        <v>11</v>
      </c>
      <c r="E33" s="1138">
        <f t="shared" ref="E33:H33" si="51">E34+E35+E36</f>
        <v>2.7</v>
      </c>
      <c r="F33" s="1138">
        <f t="shared" si="51"/>
        <v>0</v>
      </c>
      <c r="G33" s="441">
        <f t="shared" si="51"/>
        <v>8.3000000000000007</v>
      </c>
      <c r="H33" s="480">
        <f t="shared" si="51"/>
        <v>11</v>
      </c>
      <c r="I33" s="440">
        <f>I34+I35+I36</f>
        <v>11</v>
      </c>
      <c r="J33" s="1138">
        <f t="shared" ref="J33:L33" si="52">J34+J35+J36</f>
        <v>1.72</v>
      </c>
      <c r="K33" s="1138">
        <f t="shared" si="52"/>
        <v>0</v>
      </c>
      <c r="L33" s="441">
        <f t="shared" si="52"/>
        <v>9.2800000000000011</v>
      </c>
      <c r="M33" s="440">
        <f>M34+M35+M36</f>
        <v>11</v>
      </c>
      <c r="N33" s="1138">
        <f t="shared" ref="N33:P33" si="53">N34+N35+N36</f>
        <v>2.7</v>
      </c>
      <c r="O33" s="1138">
        <f t="shared" si="53"/>
        <v>0</v>
      </c>
      <c r="P33" s="441">
        <f t="shared" si="53"/>
        <v>8.3000000000000007</v>
      </c>
      <c r="Q33" s="440">
        <f>Q34+Q35+Q36</f>
        <v>11</v>
      </c>
      <c r="R33" s="1138">
        <f t="shared" ref="R33:T33" si="54">R34+R35+R36</f>
        <v>2.7</v>
      </c>
      <c r="S33" s="1138">
        <f t="shared" si="54"/>
        <v>0</v>
      </c>
      <c r="T33" s="441">
        <f t="shared" si="54"/>
        <v>8.3000000000000007</v>
      </c>
      <c r="U33" s="440">
        <f>U34+U35+U36</f>
        <v>11</v>
      </c>
      <c r="V33" s="1138">
        <f t="shared" ref="V33:X33" si="55">V34+V35+V36</f>
        <v>2.7</v>
      </c>
      <c r="W33" s="1138">
        <f t="shared" si="55"/>
        <v>0</v>
      </c>
      <c r="X33" s="441">
        <f t="shared" si="55"/>
        <v>8.3000000000000007</v>
      </c>
      <c r="Y33" s="440">
        <f>Y34+Y35+Y36</f>
        <v>11</v>
      </c>
      <c r="Z33" s="1138">
        <f t="shared" ref="Z33:AB33" si="56">Z34+Z35+Z36</f>
        <v>2.7</v>
      </c>
      <c r="AA33" s="1138">
        <f t="shared" si="56"/>
        <v>0</v>
      </c>
      <c r="AB33" s="441">
        <f t="shared" si="56"/>
        <v>8.3000000000000007</v>
      </c>
      <c r="AC33" s="633">
        <f t="shared" si="8"/>
        <v>1</v>
      </c>
      <c r="AD33" s="1083">
        <f t="shared" si="9"/>
        <v>1</v>
      </c>
      <c r="AE33" s="1083">
        <f t="shared" si="10"/>
        <v>1</v>
      </c>
      <c r="AF33" s="1083">
        <f t="shared" si="11"/>
        <v>1</v>
      </c>
      <c r="AG33" s="1083">
        <f t="shared" si="12"/>
        <v>1</v>
      </c>
      <c r="AH33" s="176">
        <f t="shared" si="13"/>
        <v>1</v>
      </c>
      <c r="AI33" s="1117"/>
      <c r="AJ33" s="50"/>
      <c r="AK33" s="51"/>
    </row>
    <row r="34" spans="1:38" s="52" customFormat="1" ht="18.75" outlineLevel="1">
      <c r="A34" s="48"/>
      <c r="B34" s="1119" t="s">
        <v>97</v>
      </c>
      <c r="C34" s="657" t="s">
        <v>74</v>
      </c>
      <c r="D34" s="438">
        <f t="shared" si="44"/>
        <v>6</v>
      </c>
      <c r="E34" s="1118">
        <v>1.5</v>
      </c>
      <c r="F34" s="1118"/>
      <c r="G34" s="442">
        <v>4.5</v>
      </c>
      <c r="H34" s="481">
        <v>6</v>
      </c>
      <c r="I34" s="438">
        <f t="shared" ref="I34:I36" si="57">J34+K34+L34</f>
        <v>6</v>
      </c>
      <c r="J34" s="1118">
        <f>ROUND(D34*J137,2)</f>
        <v>0.94</v>
      </c>
      <c r="K34" s="1118"/>
      <c r="L34" s="442">
        <f>D34-J34</f>
        <v>5.0600000000000005</v>
      </c>
      <c r="M34" s="601">
        <f t="shared" ref="M34:M36" si="58">N34+O34+P34</f>
        <v>6</v>
      </c>
      <c r="N34" s="1118">
        <v>1.5</v>
      </c>
      <c r="O34" s="1118"/>
      <c r="P34" s="442">
        <v>4.5</v>
      </c>
      <c r="Q34" s="601">
        <f t="shared" ref="Q34:Q36" si="59">R34+S34+T34</f>
        <v>6</v>
      </c>
      <c r="R34" s="1118">
        <v>1.5</v>
      </c>
      <c r="S34" s="1118"/>
      <c r="T34" s="442">
        <v>4.5</v>
      </c>
      <c r="U34" s="601">
        <f t="shared" ref="U34:U36" si="60">V34+W34+X34</f>
        <v>6</v>
      </c>
      <c r="V34" s="1118">
        <v>1.5</v>
      </c>
      <c r="W34" s="1118"/>
      <c r="X34" s="442">
        <v>4.5</v>
      </c>
      <c r="Y34" s="601">
        <f t="shared" ref="Y34:Y36" si="61">Z34+AA34+AB34</f>
        <v>6</v>
      </c>
      <c r="Z34" s="1118">
        <v>1.5</v>
      </c>
      <c r="AA34" s="1118"/>
      <c r="AB34" s="442">
        <v>4.5</v>
      </c>
      <c r="AC34" s="633">
        <f t="shared" si="8"/>
        <v>1</v>
      </c>
      <c r="AD34" s="1083">
        <f t="shared" si="9"/>
        <v>1</v>
      </c>
      <c r="AE34" s="1083">
        <f t="shared" si="10"/>
        <v>1</v>
      </c>
      <c r="AF34" s="1083">
        <f t="shared" si="11"/>
        <v>1</v>
      </c>
      <c r="AG34" s="1083">
        <f t="shared" si="12"/>
        <v>1</v>
      </c>
      <c r="AH34" s="176">
        <f t="shared" si="13"/>
        <v>1</v>
      </c>
      <c r="AI34" s="1117"/>
      <c r="AJ34" s="50"/>
      <c r="AK34" s="54"/>
    </row>
    <row r="35" spans="1:38" s="52" customFormat="1" ht="18.75" outlineLevel="1">
      <c r="A35" s="48"/>
      <c r="B35" s="1119" t="s">
        <v>98</v>
      </c>
      <c r="C35" s="657" t="s">
        <v>74</v>
      </c>
      <c r="D35" s="438">
        <f t="shared" si="44"/>
        <v>0</v>
      </c>
      <c r="E35" s="1118"/>
      <c r="F35" s="1118"/>
      <c r="G35" s="442"/>
      <c r="H35" s="481"/>
      <c r="I35" s="438">
        <f t="shared" si="57"/>
        <v>0</v>
      </c>
      <c r="J35" s="1118"/>
      <c r="K35" s="1118"/>
      <c r="L35" s="442"/>
      <c r="M35" s="601">
        <f t="shared" si="58"/>
        <v>0</v>
      </c>
      <c r="N35" s="1118"/>
      <c r="O35" s="1118"/>
      <c r="P35" s="442"/>
      <c r="Q35" s="601">
        <f t="shared" si="59"/>
        <v>0</v>
      </c>
      <c r="R35" s="1118"/>
      <c r="S35" s="1118"/>
      <c r="T35" s="442"/>
      <c r="U35" s="601">
        <f t="shared" si="60"/>
        <v>0</v>
      </c>
      <c r="V35" s="1118"/>
      <c r="W35" s="1118"/>
      <c r="X35" s="442"/>
      <c r="Y35" s="601">
        <f t="shared" si="61"/>
        <v>0</v>
      </c>
      <c r="Z35" s="1118"/>
      <c r="AA35" s="1118"/>
      <c r="AB35" s="442"/>
      <c r="AC35" s="633" t="str">
        <f t="shared" si="8"/>
        <v xml:space="preserve"> </v>
      </c>
      <c r="AD35" s="1083" t="str">
        <f t="shared" si="9"/>
        <v xml:space="preserve"> </v>
      </c>
      <c r="AE35" s="1083" t="str">
        <f t="shared" si="10"/>
        <v xml:space="preserve"> </v>
      </c>
      <c r="AF35" s="1083" t="str">
        <f t="shared" si="11"/>
        <v xml:space="preserve"> </v>
      </c>
      <c r="AG35" s="1083" t="str">
        <f t="shared" si="12"/>
        <v xml:space="preserve"> </v>
      </c>
      <c r="AH35" s="176" t="str">
        <f t="shared" si="13"/>
        <v xml:space="preserve"> </v>
      </c>
      <c r="AI35" s="1117"/>
      <c r="AJ35" s="50"/>
      <c r="AK35" s="54"/>
    </row>
    <row r="36" spans="1:38" s="52" customFormat="1" ht="18.75" outlineLevel="1">
      <c r="A36" s="48"/>
      <c r="B36" s="1119" t="s">
        <v>99</v>
      </c>
      <c r="C36" s="657" t="s">
        <v>74</v>
      </c>
      <c r="D36" s="438">
        <f t="shared" si="44"/>
        <v>5</v>
      </c>
      <c r="E36" s="1118">
        <v>1.2</v>
      </c>
      <c r="F36" s="1118"/>
      <c r="G36" s="442">
        <v>3.8</v>
      </c>
      <c r="H36" s="481">
        <v>5</v>
      </c>
      <c r="I36" s="438">
        <f t="shared" si="57"/>
        <v>5</v>
      </c>
      <c r="J36" s="1118">
        <f>ROUND(D36*J137,2)</f>
        <v>0.78</v>
      </c>
      <c r="K36" s="1118"/>
      <c r="L36" s="442">
        <f>D36-J36</f>
        <v>4.22</v>
      </c>
      <c r="M36" s="601">
        <f t="shared" si="58"/>
        <v>5</v>
      </c>
      <c r="N36" s="1118">
        <v>1.2</v>
      </c>
      <c r="O36" s="1118"/>
      <c r="P36" s="442">
        <v>3.8</v>
      </c>
      <c r="Q36" s="601">
        <f t="shared" si="59"/>
        <v>5</v>
      </c>
      <c r="R36" s="1118">
        <v>1.2</v>
      </c>
      <c r="S36" s="1118"/>
      <c r="T36" s="442">
        <v>3.8</v>
      </c>
      <c r="U36" s="601">
        <f t="shared" si="60"/>
        <v>5</v>
      </c>
      <c r="V36" s="1118">
        <v>1.2</v>
      </c>
      <c r="W36" s="1118"/>
      <c r="X36" s="442">
        <v>3.8</v>
      </c>
      <c r="Y36" s="601">
        <f t="shared" si="61"/>
        <v>5</v>
      </c>
      <c r="Z36" s="1118">
        <v>1.2</v>
      </c>
      <c r="AA36" s="1118"/>
      <c r="AB36" s="442">
        <v>3.8</v>
      </c>
      <c r="AC36" s="633">
        <f t="shared" si="8"/>
        <v>1</v>
      </c>
      <c r="AD36" s="1083">
        <f t="shared" si="9"/>
        <v>1</v>
      </c>
      <c r="AE36" s="1083">
        <f t="shared" si="10"/>
        <v>1</v>
      </c>
      <c r="AF36" s="1083">
        <f t="shared" si="11"/>
        <v>1</v>
      </c>
      <c r="AG36" s="1083">
        <f t="shared" si="12"/>
        <v>1</v>
      </c>
      <c r="AH36" s="176">
        <f t="shared" si="13"/>
        <v>1</v>
      </c>
      <c r="AI36" s="1117"/>
      <c r="AJ36" s="50"/>
      <c r="AK36" s="54"/>
    </row>
    <row r="37" spans="1:38" s="52" customFormat="1" ht="30" outlineLevel="1">
      <c r="A37" s="48"/>
      <c r="B37" s="1139" t="s">
        <v>5</v>
      </c>
      <c r="C37" s="657" t="s">
        <v>6</v>
      </c>
      <c r="D37" s="440">
        <f>D28/D33/12*1000</f>
        <v>18052.5</v>
      </c>
      <c r="E37" s="1138">
        <f t="shared" ref="E37:G37" si="62">E28/E33/12*1000</f>
        <v>18056.481481481482</v>
      </c>
      <c r="F37" s="1138"/>
      <c r="G37" s="441">
        <f t="shared" si="62"/>
        <v>18051.204819277107</v>
      </c>
      <c r="H37" s="480">
        <f>H28/H33/12*1000</f>
        <v>25400.000000000004</v>
      </c>
      <c r="I37" s="597">
        <f>I28/I33/12*1000</f>
        <v>25218.18181818182</v>
      </c>
      <c r="J37" s="1137">
        <f>J28/J33/12*1000</f>
        <v>25143.410852713179</v>
      </c>
      <c r="K37" s="1137"/>
      <c r="L37" s="599">
        <f t="shared" ref="L37" si="63">L28/L33/12*1000</f>
        <v>25232.040229885053</v>
      </c>
      <c r="M37" s="597">
        <f>M28/M33/12*1000</f>
        <v>25814.871055277792</v>
      </c>
      <c r="N37" s="1137">
        <f t="shared" ref="N37" si="64">N28/N33/12*1000</f>
        <v>16396.292495664686</v>
      </c>
      <c r="O37" s="1137"/>
      <c r="P37" s="599">
        <f t="shared" ref="P37" si="65">P28/P33/12*1000</f>
        <v>28878.746008404942</v>
      </c>
      <c r="Q37" s="597">
        <f>Q28/Q33/12*1000</f>
        <v>26578.996841399505</v>
      </c>
      <c r="R37" s="1137">
        <f t="shared" ref="R37" si="66">R28/R33/12*1000</f>
        <v>16881.57656809103</v>
      </c>
      <c r="S37" s="1137"/>
      <c r="T37" s="599">
        <f t="shared" ref="T37" si="67">T28/T33/12*1000</f>
        <v>29733.579339945634</v>
      </c>
      <c r="U37" s="597">
        <f>U28/U33/12*1000</f>
        <v>27365.730384708997</v>
      </c>
      <c r="V37" s="1137">
        <f t="shared" ref="V37" si="68">V28/V33/12*1000</f>
        <v>17381.255308490898</v>
      </c>
      <c r="W37" s="1137"/>
      <c r="X37" s="599">
        <f t="shared" ref="X37" si="69">X28/X33/12*1000</f>
        <v>30613.692156490786</v>
      </c>
      <c r="Y37" s="597">
        <f>Y28/Y33/12*1000</f>
        <v>28175.753836750911</v>
      </c>
      <c r="Z37" s="1137">
        <f t="shared" ref="Z37" si="70">Z28/Z33/12*1000</f>
        <v>17895.788121161309</v>
      </c>
      <c r="AA37" s="1137"/>
      <c r="AB37" s="599">
        <f t="shared" ref="AB37" si="71">AB28/AB33/12*1000</f>
        <v>31519.839069533067</v>
      </c>
      <c r="AC37" s="633">
        <f t="shared" si="8"/>
        <v>0.99284180386542586</v>
      </c>
      <c r="AD37" s="1083">
        <f t="shared" si="9"/>
        <v>1.3969357052032583</v>
      </c>
      <c r="AE37" s="1083">
        <f t="shared" si="10"/>
        <v>1.0236610728480739</v>
      </c>
      <c r="AF37" s="1083">
        <f t="shared" si="11"/>
        <v>1.0296002170410024</v>
      </c>
      <c r="AG37" s="1083">
        <f t="shared" si="12"/>
        <v>1.0295998207909816</v>
      </c>
      <c r="AH37" s="176">
        <f t="shared" si="13"/>
        <v>1.0295999208007445</v>
      </c>
      <c r="AI37" s="1117"/>
      <c r="AJ37" s="50"/>
      <c r="AK37" s="51"/>
    </row>
    <row r="38" spans="1:38" s="36" customFormat="1" ht="31.5">
      <c r="A38" s="43">
        <v>4</v>
      </c>
      <c r="B38" s="1136" t="s">
        <v>240</v>
      </c>
      <c r="C38" s="655" t="s">
        <v>0</v>
      </c>
      <c r="D38" s="443">
        <f>D39+D40</f>
        <v>60</v>
      </c>
      <c r="E38" s="1123">
        <f t="shared" ref="E38:H38" si="72">E39+E40</f>
        <v>60</v>
      </c>
      <c r="F38" s="1123">
        <f t="shared" si="72"/>
        <v>0</v>
      </c>
      <c r="G38" s="444">
        <f t="shared" si="72"/>
        <v>0</v>
      </c>
      <c r="H38" s="482">
        <f t="shared" si="72"/>
        <v>1135</v>
      </c>
      <c r="I38" s="443">
        <f>I39+I40</f>
        <v>0</v>
      </c>
      <c r="J38" s="1123">
        <f t="shared" ref="J38:L38" si="73">J39+J40</f>
        <v>0</v>
      </c>
      <c r="K38" s="1123">
        <f t="shared" si="73"/>
        <v>0</v>
      </c>
      <c r="L38" s="444">
        <f t="shared" si="73"/>
        <v>0</v>
      </c>
      <c r="M38" s="443">
        <f>M39+M40</f>
        <v>0</v>
      </c>
      <c r="N38" s="1123">
        <f t="shared" ref="N38:P38" si="74">N39+N40</f>
        <v>0</v>
      </c>
      <c r="O38" s="1123">
        <f t="shared" si="74"/>
        <v>0</v>
      </c>
      <c r="P38" s="444">
        <f t="shared" si="74"/>
        <v>0</v>
      </c>
      <c r="Q38" s="443">
        <f>Q39+Q40</f>
        <v>0</v>
      </c>
      <c r="R38" s="1123">
        <f t="shared" ref="R38:T38" si="75">R39+R40</f>
        <v>0</v>
      </c>
      <c r="S38" s="1123">
        <f t="shared" si="75"/>
        <v>0</v>
      </c>
      <c r="T38" s="444">
        <f t="shared" si="75"/>
        <v>0</v>
      </c>
      <c r="U38" s="443">
        <f>U39+U40</f>
        <v>0</v>
      </c>
      <c r="V38" s="1123">
        <f t="shared" ref="V38:X38" si="76">V39+V40</f>
        <v>0</v>
      </c>
      <c r="W38" s="1123">
        <f t="shared" si="76"/>
        <v>0</v>
      </c>
      <c r="X38" s="444">
        <f t="shared" si="76"/>
        <v>0</v>
      </c>
      <c r="Y38" s="443">
        <f>Y39+Y40</f>
        <v>0</v>
      </c>
      <c r="Z38" s="1123">
        <f t="shared" ref="Z38:AB38" si="77">Z39+Z40</f>
        <v>0</v>
      </c>
      <c r="AA38" s="1123">
        <f t="shared" si="77"/>
        <v>0</v>
      </c>
      <c r="AB38" s="444">
        <f t="shared" si="77"/>
        <v>0</v>
      </c>
      <c r="AC38" s="633">
        <f t="shared" si="8"/>
        <v>0</v>
      </c>
      <c r="AD38" s="1083">
        <f t="shared" si="9"/>
        <v>0</v>
      </c>
      <c r="AE38" s="1083" t="str">
        <f t="shared" si="10"/>
        <v xml:space="preserve"> </v>
      </c>
      <c r="AF38" s="1083" t="str">
        <f t="shared" si="11"/>
        <v xml:space="preserve"> </v>
      </c>
      <c r="AG38" s="1083" t="str">
        <f t="shared" si="12"/>
        <v xml:space="preserve"> </v>
      </c>
      <c r="AH38" s="176" t="str">
        <f t="shared" si="13"/>
        <v xml:space="preserve"> </v>
      </c>
      <c r="AI38" s="1081"/>
      <c r="AK38" s="46"/>
      <c r="AL38" s="55"/>
    </row>
    <row r="39" spans="1:38" s="31" customFormat="1" ht="18.75" outlineLevel="1">
      <c r="A39" s="56"/>
      <c r="B39" s="1130" t="s">
        <v>175</v>
      </c>
      <c r="C39" s="656" t="s">
        <v>0</v>
      </c>
      <c r="D39" s="438">
        <f t="shared" ref="D39:D40" si="78">E39+F39+G39</f>
        <v>0</v>
      </c>
      <c r="E39" s="1108"/>
      <c r="F39" s="1108"/>
      <c r="G39" s="439"/>
      <c r="H39" s="479"/>
      <c r="I39" s="438">
        <f t="shared" ref="I39:I40" si="79">J39+K39+L39</f>
        <v>0</v>
      </c>
      <c r="J39" s="1108"/>
      <c r="K39" s="1108"/>
      <c r="L39" s="439"/>
      <c r="M39" s="438">
        <f t="shared" ref="M39:M40" si="80">N39+O39+P39</f>
        <v>0</v>
      </c>
      <c r="N39" s="1108"/>
      <c r="O39" s="1108"/>
      <c r="P39" s="439"/>
      <c r="Q39" s="438">
        <f t="shared" ref="Q39:Q40" si="81">R39+S39+T39</f>
        <v>0</v>
      </c>
      <c r="R39" s="1108"/>
      <c r="S39" s="1108"/>
      <c r="T39" s="439"/>
      <c r="U39" s="438">
        <f t="shared" ref="U39:U40" si="82">V39+W39+X39</f>
        <v>0</v>
      </c>
      <c r="V39" s="1108"/>
      <c r="W39" s="1108"/>
      <c r="X39" s="439"/>
      <c r="Y39" s="438">
        <f t="shared" ref="Y39:Y40" si="83">Z39+AA39+AB39</f>
        <v>0</v>
      </c>
      <c r="Z39" s="1108"/>
      <c r="AA39" s="1108"/>
      <c r="AB39" s="439"/>
      <c r="AC39" s="633" t="str">
        <f t="shared" si="8"/>
        <v xml:space="preserve"> </v>
      </c>
      <c r="AD39" s="1083" t="str">
        <f t="shared" si="9"/>
        <v xml:space="preserve"> </v>
      </c>
      <c r="AE39" s="1083" t="str">
        <f t="shared" si="10"/>
        <v xml:space="preserve"> </v>
      </c>
      <c r="AF39" s="1083" t="str">
        <f t="shared" si="11"/>
        <v xml:space="preserve"> </v>
      </c>
      <c r="AG39" s="1083" t="str">
        <f t="shared" si="12"/>
        <v xml:space="preserve"> </v>
      </c>
      <c r="AH39" s="176" t="str">
        <f t="shared" si="13"/>
        <v xml:space="preserve"> </v>
      </c>
      <c r="AI39" s="1081"/>
      <c r="AK39" s="58"/>
      <c r="AL39" s="59"/>
    </row>
    <row r="40" spans="1:38" s="31" customFormat="1" ht="32.25" customHeight="1" outlineLevel="1">
      <c r="A40" s="56"/>
      <c r="B40" s="1130" t="s">
        <v>49</v>
      </c>
      <c r="C40" s="656" t="s">
        <v>0</v>
      </c>
      <c r="D40" s="438">
        <f t="shared" si="78"/>
        <v>60</v>
      </c>
      <c r="E40" s="1108">
        <v>60</v>
      </c>
      <c r="F40" s="1108"/>
      <c r="G40" s="439"/>
      <c r="H40" s="479">
        <v>1135</v>
      </c>
      <c r="I40" s="438">
        <f t="shared" si="79"/>
        <v>0</v>
      </c>
      <c r="J40" s="1122"/>
      <c r="K40" s="1108"/>
      <c r="L40" s="439"/>
      <c r="M40" s="438">
        <f t="shared" si="80"/>
        <v>0</v>
      </c>
      <c r="N40" s="1129"/>
      <c r="O40" s="1108"/>
      <c r="P40" s="439"/>
      <c r="Q40" s="438">
        <f t="shared" si="81"/>
        <v>0</v>
      </c>
      <c r="R40" s="1129"/>
      <c r="S40" s="1108"/>
      <c r="T40" s="439"/>
      <c r="U40" s="438">
        <f t="shared" si="82"/>
        <v>0</v>
      </c>
      <c r="V40" s="1129"/>
      <c r="W40" s="1108"/>
      <c r="X40" s="439"/>
      <c r="Y40" s="438">
        <f t="shared" si="83"/>
        <v>0</v>
      </c>
      <c r="Z40" s="1129"/>
      <c r="AA40" s="1108"/>
      <c r="AB40" s="439"/>
      <c r="AC40" s="633">
        <f t="shared" si="8"/>
        <v>0</v>
      </c>
      <c r="AD40" s="1083">
        <f t="shared" si="9"/>
        <v>0</v>
      </c>
      <c r="AE40" s="1083" t="str">
        <f t="shared" si="10"/>
        <v xml:space="preserve"> </v>
      </c>
      <c r="AF40" s="1083" t="str">
        <f t="shared" si="11"/>
        <v xml:space="preserve"> </v>
      </c>
      <c r="AG40" s="1083" t="str">
        <f t="shared" si="12"/>
        <v xml:space="preserve"> </v>
      </c>
      <c r="AH40" s="176" t="str">
        <f t="shared" si="13"/>
        <v xml:space="preserve"> </v>
      </c>
      <c r="AI40" s="1081" t="s">
        <v>513</v>
      </c>
      <c r="AK40" s="58"/>
      <c r="AL40" s="59"/>
    </row>
    <row r="41" spans="1:38" s="36" customFormat="1" ht="31.5">
      <c r="A41" s="43">
        <v>5</v>
      </c>
      <c r="B41" s="1136" t="s">
        <v>241</v>
      </c>
      <c r="C41" s="655" t="s">
        <v>0</v>
      </c>
      <c r="D41" s="436">
        <f>SUM(D42:D49)</f>
        <v>351.79</v>
      </c>
      <c r="E41" s="1109">
        <f t="shared" ref="E41:H41" si="84">SUM(E42:E49)</f>
        <v>86.36</v>
      </c>
      <c r="F41" s="1109">
        <f t="shared" si="84"/>
        <v>0</v>
      </c>
      <c r="G41" s="437">
        <f t="shared" si="84"/>
        <v>265.43</v>
      </c>
      <c r="H41" s="478">
        <f t="shared" si="84"/>
        <v>2025.8</v>
      </c>
      <c r="I41" s="436">
        <f>SUM(I42:I49)</f>
        <v>561.21</v>
      </c>
      <c r="J41" s="1109">
        <f t="shared" ref="J41:L41" si="85">SUM(J42:J49)</f>
        <v>87.5</v>
      </c>
      <c r="K41" s="1109">
        <f t="shared" si="85"/>
        <v>0</v>
      </c>
      <c r="L41" s="437">
        <f t="shared" si="85"/>
        <v>473.71</v>
      </c>
      <c r="M41" s="436">
        <f>SUM(M42:M49)</f>
        <v>552.62340028726385</v>
      </c>
      <c r="N41" s="1109">
        <f t="shared" ref="N41:P41" si="86">SUM(N42:N49)</f>
        <v>67.705035947837416</v>
      </c>
      <c r="O41" s="1109">
        <f t="shared" si="86"/>
        <v>0</v>
      </c>
      <c r="P41" s="437">
        <f t="shared" si="86"/>
        <v>484.91836433942638</v>
      </c>
      <c r="Q41" s="436">
        <f>SUM(Q42:Q49)</f>
        <v>568.98123918740123</v>
      </c>
      <c r="R41" s="1109">
        <f t="shared" ref="R41:T41" si="87">SUM(R42:R49)</f>
        <v>69.708914298825974</v>
      </c>
      <c r="S41" s="1109">
        <f t="shared" si="87"/>
        <v>0</v>
      </c>
      <c r="T41" s="437">
        <f t="shared" si="87"/>
        <v>499.27232488857527</v>
      </c>
      <c r="U41" s="436">
        <f>SUM(U42:U49)</f>
        <v>585.82299909759809</v>
      </c>
      <c r="V41" s="1109">
        <f t="shared" ref="V41:X41" si="88">SUM(V42:V49)</f>
        <v>71.77223239894451</v>
      </c>
      <c r="W41" s="1109">
        <f t="shared" si="88"/>
        <v>0</v>
      </c>
      <c r="X41" s="437">
        <f t="shared" si="88"/>
        <v>514.05076669865355</v>
      </c>
      <c r="Y41" s="436">
        <f>SUM(Y42:Y49)</f>
        <v>603.16324811354025</v>
      </c>
      <c r="Z41" s="1109">
        <f t="shared" ref="Z41:AB41" si="89">SUM(Z42:Z49)</f>
        <v>73.896887261463178</v>
      </c>
      <c r="AA41" s="1109">
        <f t="shared" si="89"/>
        <v>0</v>
      </c>
      <c r="AB41" s="437">
        <f t="shared" si="89"/>
        <v>529.26636085207679</v>
      </c>
      <c r="AC41" s="633">
        <f t="shared" si="8"/>
        <v>0.27703129627801365</v>
      </c>
      <c r="AD41" s="1083">
        <f t="shared" si="9"/>
        <v>1.5952983313908866</v>
      </c>
      <c r="AE41" s="1083">
        <f t="shared" si="10"/>
        <v>0.98469984548968092</v>
      </c>
      <c r="AF41" s="1083">
        <f t="shared" si="11"/>
        <v>1.0296003370317548</v>
      </c>
      <c r="AG41" s="1083">
        <f t="shared" si="12"/>
        <v>1.029599851014859</v>
      </c>
      <c r="AH41" s="176">
        <f t="shared" si="13"/>
        <v>1.0295998092301824</v>
      </c>
      <c r="AI41" s="1081"/>
      <c r="AJ41" s="47"/>
    </row>
    <row r="42" spans="1:38" s="31" customFormat="1" ht="18.75">
      <c r="A42" s="60"/>
      <c r="B42" s="1130" t="s">
        <v>229</v>
      </c>
      <c r="C42" s="658" t="s">
        <v>0</v>
      </c>
      <c r="D42" s="438">
        <f t="shared" ref="D42:D58" si="90">E42+F42+G42</f>
        <v>0</v>
      </c>
      <c r="E42" s="1108"/>
      <c r="F42" s="1108"/>
      <c r="G42" s="439"/>
      <c r="H42" s="479"/>
      <c r="I42" s="438">
        <f t="shared" ref="I42:I53" si="91">J42+K42+L42</f>
        <v>0</v>
      </c>
      <c r="J42" s="1108"/>
      <c r="K42" s="1108"/>
      <c r="L42" s="439"/>
      <c r="M42" s="438">
        <f t="shared" ref="M42:M53" si="92">N42+O42+P42</f>
        <v>0</v>
      </c>
      <c r="N42" s="1108"/>
      <c r="O42" s="1108"/>
      <c r="P42" s="439"/>
      <c r="Q42" s="438">
        <f t="shared" ref="Q42:Q53" si="93">R42+S42+T42</f>
        <v>0</v>
      </c>
      <c r="R42" s="1108"/>
      <c r="S42" s="1108"/>
      <c r="T42" s="642">
        <f t="shared" ref="T42:T53" si="94">IF($T$20&gt;0,P42/$P$20*$T$20,0)</f>
        <v>0</v>
      </c>
      <c r="U42" s="438">
        <f t="shared" ref="U42:U53" si="95">V42+W42+X42</f>
        <v>0</v>
      </c>
      <c r="V42" s="1129">
        <f t="shared" ref="V42:V53" si="96">IF($V$20&gt;0,R42/$R$20*$V$20,0)</f>
        <v>0</v>
      </c>
      <c r="W42" s="1108"/>
      <c r="X42" s="642">
        <f t="shared" ref="X42:X53" si="97">IF($X$20&gt;0,T42/$T$20*$X$20,0)</f>
        <v>0</v>
      </c>
      <c r="Y42" s="438">
        <f t="shared" ref="Y42:Y53" si="98">Z42+AA42+AB42</f>
        <v>0</v>
      </c>
      <c r="Z42" s="1129">
        <f t="shared" ref="Z42:Z53" si="99">IF($Z$20&gt;0,V42/$V$20*$Z$20,0)</f>
        <v>0</v>
      </c>
      <c r="AA42" s="1108"/>
      <c r="AB42" s="642">
        <f t="shared" ref="AB42:AB53" si="100">IF($AB$20&gt;0,X42/$X$20*$AB$20,0)</f>
        <v>0</v>
      </c>
      <c r="AC42" s="633" t="str">
        <f t="shared" si="8"/>
        <v xml:space="preserve"> </v>
      </c>
      <c r="AD42" s="1083" t="str">
        <f t="shared" si="9"/>
        <v xml:space="preserve"> </v>
      </c>
      <c r="AE42" s="1083" t="str">
        <f t="shared" si="10"/>
        <v xml:space="preserve"> </v>
      </c>
      <c r="AF42" s="1083" t="str">
        <f t="shared" si="11"/>
        <v xml:space="preserve"> </v>
      </c>
      <c r="AG42" s="1083" t="str">
        <f t="shared" si="12"/>
        <v xml:space="preserve"> </v>
      </c>
      <c r="AH42" s="176" t="str">
        <f t="shared" si="13"/>
        <v xml:space="preserve"> </v>
      </c>
      <c r="AI42" s="1081"/>
      <c r="AJ42" s="61"/>
      <c r="AK42" s="58"/>
    </row>
    <row r="43" spans="1:38" s="31" customFormat="1" ht="18.75">
      <c r="A43" s="60"/>
      <c r="B43" s="1130" t="s">
        <v>230</v>
      </c>
      <c r="C43" s="658" t="s">
        <v>0</v>
      </c>
      <c r="D43" s="438">
        <f t="shared" si="90"/>
        <v>104.28</v>
      </c>
      <c r="E43" s="1108">
        <v>25.6</v>
      </c>
      <c r="F43" s="1108"/>
      <c r="G43" s="439">
        <v>78.680000000000007</v>
      </c>
      <c r="H43" s="479">
        <v>173</v>
      </c>
      <c r="I43" s="438">
        <f t="shared" si="91"/>
        <v>109.08</v>
      </c>
      <c r="J43" s="1118">
        <f>ROUND(D43*[176]индексы!$H$8*$J$137,2)</f>
        <v>17.010000000000002</v>
      </c>
      <c r="K43" s="1108"/>
      <c r="L43" s="442">
        <f>ROUND(D43*[176]индексы!$H$8-J43,2)</f>
        <v>92.07</v>
      </c>
      <c r="M43" s="438">
        <f t="shared" si="92"/>
        <v>111.66094983360719</v>
      </c>
      <c r="N43" s="1129">
        <f t="shared" ref="N43:N48" si="101">IF($N$20&gt;0,J43/$J$20*$N$20,0)</f>
        <v>17.412498661516697</v>
      </c>
      <c r="O43" s="1108"/>
      <c r="P43" s="642">
        <f t="shared" ref="P43:P53" si="102">IF($P$20&gt;0,L43/$L$20*$P$20,0)</f>
        <v>94.248451172090498</v>
      </c>
      <c r="Q43" s="438">
        <f t="shared" si="93"/>
        <v>114.96613816740441</v>
      </c>
      <c r="R43" s="1129">
        <f t="shared" ref="R43:R53" si="103">IF($R$20&gt;0,N43/$N$20*$R$20,0)</f>
        <v>17.927859573979891</v>
      </c>
      <c r="S43" s="1108"/>
      <c r="T43" s="642">
        <f t="shared" si="94"/>
        <v>97.038278593424522</v>
      </c>
      <c r="U43" s="438">
        <f t="shared" si="95"/>
        <v>118.36911524996822</v>
      </c>
      <c r="V43" s="1129">
        <f t="shared" si="96"/>
        <v>18.458507304294624</v>
      </c>
      <c r="W43" s="1108"/>
      <c r="X43" s="642">
        <f t="shared" si="97"/>
        <v>99.91060794567359</v>
      </c>
      <c r="Y43" s="438">
        <f t="shared" si="98"/>
        <v>121.87283170267048</v>
      </c>
      <c r="Z43" s="1129">
        <f t="shared" si="99"/>
        <v>19.004929729626379</v>
      </c>
      <c r="AA43" s="1108"/>
      <c r="AB43" s="642">
        <f t="shared" si="100"/>
        <v>102.8679019730441</v>
      </c>
      <c r="AC43" s="633">
        <f t="shared" si="8"/>
        <v>0.63052023121387279</v>
      </c>
      <c r="AD43" s="1083">
        <f t="shared" si="9"/>
        <v>1.046029919447641</v>
      </c>
      <c r="AE43" s="1083">
        <f t="shared" si="10"/>
        <v>1.0236610729153575</v>
      </c>
      <c r="AF43" s="1083">
        <f t="shared" si="11"/>
        <v>1.0296002168951857</v>
      </c>
      <c r="AG43" s="1083">
        <f t="shared" si="12"/>
        <v>1.0295998207542525</v>
      </c>
      <c r="AH43" s="176">
        <f t="shared" si="13"/>
        <v>1.0295999209363289</v>
      </c>
      <c r="AI43" s="1081"/>
      <c r="AJ43" s="61"/>
    </row>
    <row r="44" spans="1:38" s="31" customFormat="1" ht="18.75">
      <c r="A44" s="60"/>
      <c r="B44" s="1130" t="s">
        <v>231</v>
      </c>
      <c r="C44" s="658" t="s">
        <v>0</v>
      </c>
      <c r="D44" s="438">
        <f t="shared" si="90"/>
        <v>178.22</v>
      </c>
      <c r="E44" s="1108">
        <v>43.75</v>
      </c>
      <c r="F44" s="1108"/>
      <c r="G44" s="439">
        <v>134.47</v>
      </c>
      <c r="H44" s="479">
        <v>611</v>
      </c>
      <c r="I44" s="602">
        <f t="shared" si="91"/>
        <v>186.42000000000002</v>
      </c>
      <c r="J44" s="1118">
        <f>ROUND(D44*[176]индексы!$H$8*$J$137,2)</f>
        <v>29.06</v>
      </c>
      <c r="K44" s="1108"/>
      <c r="L44" s="442">
        <f>ROUND(D44*[176]индексы!$H$8-J44,2)</f>
        <v>157.36000000000001</v>
      </c>
      <c r="M44" s="602">
        <f t="shared" si="92"/>
        <v>190.83089719555744</v>
      </c>
      <c r="N44" s="1129">
        <f t="shared" si="101"/>
        <v>29.747631458181964</v>
      </c>
      <c r="O44" s="1122"/>
      <c r="P44" s="642">
        <f t="shared" si="102"/>
        <v>161.08326573737548</v>
      </c>
      <c r="Q44" s="602">
        <f t="shared" si="93"/>
        <v>196.47953318128054</v>
      </c>
      <c r="R44" s="1129">
        <f t="shared" si="103"/>
        <v>30.628077555547062</v>
      </c>
      <c r="S44" s="1122"/>
      <c r="T44" s="642">
        <f t="shared" si="94"/>
        <v>165.85145562573348</v>
      </c>
      <c r="U44" s="602">
        <f t="shared" si="95"/>
        <v>202.29529215529257</v>
      </c>
      <c r="V44" s="1129">
        <f t="shared" si="96"/>
        <v>31.534639756778464</v>
      </c>
      <c r="W44" s="1122"/>
      <c r="X44" s="642">
        <f t="shared" si="97"/>
        <v>170.76065239851411</v>
      </c>
      <c r="Y44" s="602">
        <f t="shared" si="98"/>
        <v>208.28321677099916</v>
      </c>
      <c r="Z44" s="1129">
        <f t="shared" si="99"/>
        <v>32.468151554552762</v>
      </c>
      <c r="AA44" s="1122"/>
      <c r="AB44" s="642">
        <f t="shared" si="100"/>
        <v>175.81506521644638</v>
      </c>
      <c r="AC44" s="633">
        <f t="shared" si="8"/>
        <v>0.30510638297872344</v>
      </c>
      <c r="AD44" s="1083">
        <f t="shared" si="9"/>
        <v>1.0460105487599598</v>
      </c>
      <c r="AE44" s="1083">
        <f t="shared" si="10"/>
        <v>1.02366107282243</v>
      </c>
      <c r="AF44" s="1083">
        <f t="shared" si="11"/>
        <v>1.0296002170965772</v>
      </c>
      <c r="AG44" s="1083">
        <f t="shared" si="12"/>
        <v>1.0295998208049799</v>
      </c>
      <c r="AH44" s="176">
        <f t="shared" si="13"/>
        <v>1.0295999207490698</v>
      </c>
      <c r="AI44" s="1081"/>
      <c r="AJ44" s="61"/>
    </row>
    <row r="45" spans="1:38" s="31" customFormat="1" ht="31.5">
      <c r="A45" s="60"/>
      <c r="B45" s="1130" t="s">
        <v>232</v>
      </c>
      <c r="C45" s="658" t="s">
        <v>0</v>
      </c>
      <c r="D45" s="438">
        <f t="shared" si="90"/>
        <v>31.29</v>
      </c>
      <c r="E45" s="1108">
        <v>7.68</v>
      </c>
      <c r="F45" s="1108"/>
      <c r="G45" s="439">
        <v>23.61</v>
      </c>
      <c r="H45" s="479">
        <f>587+6</f>
        <v>593</v>
      </c>
      <c r="I45" s="438">
        <f t="shared" si="91"/>
        <v>32.729999999999997</v>
      </c>
      <c r="J45" s="1118">
        <f>ROUND(D45*[176]индексы!$H$8*$J$137,2)</f>
        <v>5.0999999999999996</v>
      </c>
      <c r="K45" s="1108"/>
      <c r="L45" s="442">
        <f>ROUND(D45*[176]индексы!$H$8-J45,2)</f>
        <v>27.63</v>
      </c>
      <c r="M45" s="438">
        <f t="shared" si="92"/>
        <v>33.504426909992553</v>
      </c>
      <c r="N45" s="1129">
        <f t="shared" si="101"/>
        <v>5.2206786110367513</v>
      </c>
      <c r="O45" s="1108"/>
      <c r="P45" s="642">
        <f t="shared" si="102"/>
        <v>28.2837482989558</v>
      </c>
      <c r="Q45" s="438">
        <f t="shared" si="93"/>
        <v>34.496165227957427</v>
      </c>
      <c r="R45" s="1129">
        <f t="shared" si="103"/>
        <v>5.375195992198555</v>
      </c>
      <c r="S45" s="1108"/>
      <c r="T45" s="642">
        <f t="shared" si="94"/>
        <v>29.120969235758874</v>
      </c>
      <c r="U45" s="438">
        <f t="shared" si="95"/>
        <v>35.517245539169359</v>
      </c>
      <c r="V45" s="1129">
        <f t="shared" si="96"/>
        <v>5.5342967226280164</v>
      </c>
      <c r="W45" s="1108"/>
      <c r="X45" s="642">
        <f t="shared" si="97"/>
        <v>29.982948816541342</v>
      </c>
      <c r="Y45" s="438">
        <f t="shared" si="98"/>
        <v>36.568553184732004</v>
      </c>
      <c r="Z45" s="1129">
        <f t="shared" si="99"/>
        <v>5.6981270794294243</v>
      </c>
      <c r="AA45" s="1108"/>
      <c r="AB45" s="642">
        <f t="shared" si="100"/>
        <v>30.870426105302581</v>
      </c>
      <c r="AC45" s="633">
        <f t="shared" si="8"/>
        <v>5.5193929173693083E-2</v>
      </c>
      <c r="AD45" s="1083">
        <f t="shared" si="9"/>
        <v>1.0460210930009588</v>
      </c>
      <c r="AE45" s="1083">
        <f t="shared" si="10"/>
        <v>1.0236610727159352</v>
      </c>
      <c r="AF45" s="1083">
        <f t="shared" si="11"/>
        <v>1.0296002173273733</v>
      </c>
      <c r="AG45" s="1083">
        <f t="shared" si="12"/>
        <v>1.0295998208631143</v>
      </c>
      <c r="AH45" s="176">
        <f t="shared" si="13"/>
        <v>1.0295999205344692</v>
      </c>
      <c r="AI45" s="1081"/>
      <c r="AJ45" s="61"/>
      <c r="AK45" s="347"/>
    </row>
    <row r="46" spans="1:38" s="31" customFormat="1" ht="18.75" outlineLevel="1">
      <c r="A46" s="60"/>
      <c r="B46" s="1130" t="s">
        <v>234</v>
      </c>
      <c r="C46" s="658" t="s">
        <v>0</v>
      </c>
      <c r="D46" s="438">
        <f t="shared" si="90"/>
        <v>3.26</v>
      </c>
      <c r="E46" s="1108">
        <v>0.8</v>
      </c>
      <c r="F46" s="1108"/>
      <c r="G46" s="439">
        <v>2.46</v>
      </c>
      <c r="H46" s="479">
        <v>3</v>
      </c>
      <c r="I46" s="438">
        <f t="shared" si="91"/>
        <v>3</v>
      </c>
      <c r="J46" s="1118">
        <f>ROUND(H46*$J$137,2)</f>
        <v>0.47</v>
      </c>
      <c r="K46" s="1108"/>
      <c r="L46" s="442">
        <f>ROUND(H46-J46,2)</f>
        <v>2.5299999999999998</v>
      </c>
      <c r="M46" s="438">
        <f t="shared" si="92"/>
        <v>3.0709832223585547</v>
      </c>
      <c r="N46" s="1129">
        <f t="shared" si="101"/>
        <v>0.48112136219358298</v>
      </c>
      <c r="O46" s="1108"/>
      <c r="P46" s="642">
        <f t="shared" si="102"/>
        <v>2.5898618601649717</v>
      </c>
      <c r="Q46" s="438">
        <f t="shared" si="93"/>
        <v>3.1618849838076426</v>
      </c>
      <c r="R46" s="1129">
        <f t="shared" si="103"/>
        <v>0.49536119928104333</v>
      </c>
      <c r="S46" s="1108"/>
      <c r="T46" s="642">
        <f t="shared" si="94"/>
        <v>2.6665237845265994</v>
      </c>
      <c r="U46" s="438">
        <f t="shared" si="95"/>
        <v>3.2554762104955008</v>
      </c>
      <c r="V46" s="1129">
        <f t="shared" si="96"/>
        <v>0.51002342345787599</v>
      </c>
      <c r="W46" s="1108"/>
      <c r="X46" s="642">
        <f t="shared" si="97"/>
        <v>2.7454527870376251</v>
      </c>
      <c r="Y46" s="438">
        <f t="shared" si="98"/>
        <v>3.3518380568357609</v>
      </c>
      <c r="Z46" s="1129">
        <f t="shared" si="99"/>
        <v>0.52512151516310379</v>
      </c>
      <c r="AA46" s="1108"/>
      <c r="AB46" s="642">
        <f t="shared" si="100"/>
        <v>2.8267165416726572</v>
      </c>
      <c r="AC46" s="633">
        <f t="shared" si="8"/>
        <v>1</v>
      </c>
      <c r="AD46" s="1083">
        <f t="shared" si="9"/>
        <v>0.92024539877300615</v>
      </c>
      <c r="AE46" s="1083">
        <f t="shared" si="10"/>
        <v>1.0236610741195182</v>
      </c>
      <c r="AF46" s="1083">
        <f t="shared" si="11"/>
        <v>1.0296002142855323</v>
      </c>
      <c r="AG46" s="1083">
        <f t="shared" si="12"/>
        <v>1.0295998200969199</v>
      </c>
      <c r="AH46" s="176">
        <f t="shared" si="13"/>
        <v>1.0295999233628537</v>
      </c>
      <c r="AI46" s="1081"/>
      <c r="AJ46" s="61"/>
    </row>
    <row r="47" spans="1:38" s="31" customFormat="1" ht="47.25" outlineLevel="1">
      <c r="A47" s="60"/>
      <c r="B47" s="1130" t="s">
        <v>50</v>
      </c>
      <c r="C47" s="658" t="s">
        <v>0</v>
      </c>
      <c r="D47" s="438">
        <f t="shared" si="90"/>
        <v>0</v>
      </c>
      <c r="E47" s="1108"/>
      <c r="F47" s="1108"/>
      <c r="G47" s="439"/>
      <c r="H47" s="479">
        <v>15</v>
      </c>
      <c r="I47" s="438">
        <f t="shared" si="91"/>
        <v>15</v>
      </c>
      <c r="J47" s="1118">
        <f>ROUND(H47*$J$137,2)</f>
        <v>2.34</v>
      </c>
      <c r="K47" s="1108"/>
      <c r="L47" s="442">
        <f>ROUND(H47-J47,2)</f>
        <v>12.66</v>
      </c>
      <c r="M47" s="438">
        <f t="shared" si="92"/>
        <v>15.354916095208196</v>
      </c>
      <c r="N47" s="1129">
        <f t="shared" si="101"/>
        <v>2.3953701862403922</v>
      </c>
      <c r="O47" s="1108"/>
      <c r="P47" s="642">
        <f t="shared" si="102"/>
        <v>12.959545908967804</v>
      </c>
      <c r="Q47" s="438">
        <f t="shared" si="93"/>
        <v>15.809424938755198</v>
      </c>
      <c r="R47" s="1129">
        <f t="shared" si="103"/>
        <v>2.4662663964205138</v>
      </c>
      <c r="S47" s="1108"/>
      <c r="T47" s="642">
        <f t="shared" si="94"/>
        <v>13.343158542334685</v>
      </c>
      <c r="U47" s="438">
        <f t="shared" si="95"/>
        <v>16.277381082319902</v>
      </c>
      <c r="V47" s="1129">
        <f t="shared" si="96"/>
        <v>2.5392655550881491</v>
      </c>
      <c r="W47" s="1108"/>
      <c r="X47" s="642">
        <f t="shared" si="97"/>
        <v>13.738115527231754</v>
      </c>
      <c r="Y47" s="438">
        <f t="shared" si="98"/>
        <v>16.75919027863868</v>
      </c>
      <c r="Z47" s="1129">
        <f t="shared" si="99"/>
        <v>2.6144347776205596</v>
      </c>
      <c r="AA47" s="1108"/>
      <c r="AB47" s="642">
        <f t="shared" si="100"/>
        <v>14.144755501018119</v>
      </c>
      <c r="AC47" s="633">
        <f t="shared" si="8"/>
        <v>1</v>
      </c>
      <c r="AD47" s="1083" t="str">
        <f t="shared" si="9"/>
        <v xml:space="preserve"> </v>
      </c>
      <c r="AE47" s="1083">
        <f t="shared" si="10"/>
        <v>1.0236610730138798</v>
      </c>
      <c r="AF47" s="1083">
        <f t="shared" si="11"/>
        <v>1.0296002166816685</v>
      </c>
      <c r="AG47" s="1083">
        <f t="shared" si="12"/>
        <v>1.0295998207004706</v>
      </c>
      <c r="AH47" s="176">
        <f t="shared" si="13"/>
        <v>1.029599921134863</v>
      </c>
      <c r="AI47" s="1081"/>
      <c r="AJ47" s="61"/>
    </row>
    <row r="48" spans="1:38" s="31" customFormat="1" ht="47.25" outlineLevel="1">
      <c r="A48" s="60"/>
      <c r="B48" s="1130" t="s">
        <v>51</v>
      </c>
      <c r="C48" s="658" t="s">
        <v>0</v>
      </c>
      <c r="D48" s="438">
        <f t="shared" si="90"/>
        <v>34.74</v>
      </c>
      <c r="E48" s="1108">
        <v>8.5299999999999994</v>
      </c>
      <c r="F48" s="1108"/>
      <c r="G48" s="439">
        <v>26.21</v>
      </c>
      <c r="H48" s="479">
        <v>115</v>
      </c>
      <c r="I48" s="438">
        <f t="shared" si="91"/>
        <v>77.97999999999999</v>
      </c>
      <c r="J48" s="1118">
        <f>ROUND(72.59*[176]индексы!G8*[176]индексы!$H$8*$J$137,2)</f>
        <v>12.16</v>
      </c>
      <c r="K48" s="1108"/>
      <c r="L48" s="442">
        <f>ROUND(72.59*[176]индексы!G8*[176]индексы!$H$8-J48,2)</f>
        <v>65.819999999999993</v>
      </c>
      <c r="M48" s="438">
        <f t="shared" si="92"/>
        <v>79.825090465529058</v>
      </c>
      <c r="N48" s="1129">
        <f t="shared" si="101"/>
        <v>12.44773566866802</v>
      </c>
      <c r="O48" s="1108"/>
      <c r="P48" s="642">
        <f t="shared" si="102"/>
        <v>67.377354796861042</v>
      </c>
      <c r="Q48" s="438">
        <f t="shared" si="93"/>
        <v>82.187930457897238</v>
      </c>
      <c r="R48" s="1129">
        <f t="shared" si="103"/>
        <v>12.816153581398909</v>
      </c>
      <c r="S48" s="1108"/>
      <c r="T48" s="642">
        <f t="shared" si="94"/>
        <v>69.37177687649833</v>
      </c>
      <c r="U48" s="438">
        <f t="shared" si="95"/>
        <v>84.620678467850155</v>
      </c>
      <c r="V48" s="1129">
        <f t="shared" si="96"/>
        <v>13.19549963669739</v>
      </c>
      <c r="W48" s="1108"/>
      <c r="X48" s="642">
        <f t="shared" si="97"/>
        <v>71.425178831152763</v>
      </c>
      <c r="Y48" s="438">
        <f t="shared" si="98"/>
        <v>87.125443859179356</v>
      </c>
      <c r="Z48" s="1129">
        <f t="shared" si="99"/>
        <v>13.586122605070942</v>
      </c>
      <c r="AA48" s="1108"/>
      <c r="AB48" s="642">
        <f t="shared" si="100"/>
        <v>73.539321254108415</v>
      </c>
      <c r="AC48" s="633">
        <f t="shared" si="8"/>
        <v>0.678086956521739</v>
      </c>
      <c r="AD48" s="1083">
        <f t="shared" si="9"/>
        <v>2.2446747265400111</v>
      </c>
      <c r="AE48" s="1083">
        <f t="shared" si="10"/>
        <v>1.0236610729100932</v>
      </c>
      <c r="AF48" s="1083">
        <f t="shared" si="11"/>
        <v>1.0296002169065943</v>
      </c>
      <c r="AG48" s="1083">
        <f t="shared" si="12"/>
        <v>1.0295998207571262</v>
      </c>
      <c r="AH48" s="176">
        <f t="shared" si="13"/>
        <v>1.0295999209257207</v>
      </c>
      <c r="AI48" s="1081" t="s">
        <v>558</v>
      </c>
      <c r="AJ48" s="61"/>
    </row>
    <row r="49" spans="1:37" s="31" customFormat="1" ht="18.75" outlineLevel="1">
      <c r="A49" s="60"/>
      <c r="B49" s="1130" t="s">
        <v>233</v>
      </c>
      <c r="C49" s="658" t="s">
        <v>0</v>
      </c>
      <c r="D49" s="438">
        <f t="shared" si="90"/>
        <v>0</v>
      </c>
      <c r="E49" s="1108"/>
      <c r="F49" s="1108"/>
      <c r="G49" s="439"/>
      <c r="H49" s="479">
        <f>378.8+137</f>
        <v>515.79999999999995</v>
      </c>
      <c r="I49" s="438">
        <f t="shared" si="91"/>
        <v>137</v>
      </c>
      <c r="J49" s="1118">
        <f>ROUND(137*$J$137,2)</f>
        <v>21.36</v>
      </c>
      <c r="K49" s="1108"/>
      <c r="L49" s="442">
        <f>ROUND(137-J49,2)</f>
        <v>115.64</v>
      </c>
      <c r="M49" s="438">
        <f t="shared" si="92"/>
        <v>118.37613656501081</v>
      </c>
      <c r="N49" s="1108"/>
      <c r="O49" s="1108"/>
      <c r="P49" s="642">
        <f t="shared" si="102"/>
        <v>118.37613656501081</v>
      </c>
      <c r="Q49" s="438">
        <f t="shared" si="93"/>
        <v>121.88016223029881</v>
      </c>
      <c r="R49" s="1129">
        <f t="shared" si="103"/>
        <v>0</v>
      </c>
      <c r="S49" s="1108"/>
      <c r="T49" s="642">
        <f t="shared" si="94"/>
        <v>121.88016223029881</v>
      </c>
      <c r="U49" s="438">
        <f t="shared" si="95"/>
        <v>125.48781039250237</v>
      </c>
      <c r="V49" s="1129">
        <f t="shared" si="96"/>
        <v>0</v>
      </c>
      <c r="W49" s="1108"/>
      <c r="X49" s="642">
        <f t="shared" si="97"/>
        <v>125.48781039250237</v>
      </c>
      <c r="Y49" s="438">
        <f t="shared" si="98"/>
        <v>129.20217426048464</v>
      </c>
      <c r="Z49" s="1129">
        <f t="shared" si="99"/>
        <v>0</v>
      </c>
      <c r="AA49" s="1108"/>
      <c r="AB49" s="642">
        <f t="shared" si="100"/>
        <v>129.20217426048464</v>
      </c>
      <c r="AC49" s="633">
        <f t="shared" si="8"/>
        <v>0.26560682435052346</v>
      </c>
      <c r="AD49" s="1083" t="str">
        <f t="shared" si="9"/>
        <v xml:space="preserve"> </v>
      </c>
      <c r="AE49" s="1083">
        <f t="shared" si="10"/>
        <v>0.86405939098548035</v>
      </c>
      <c r="AF49" s="1083">
        <f t="shared" si="11"/>
        <v>1.029600777377657</v>
      </c>
      <c r="AG49" s="1083">
        <f t="shared" si="12"/>
        <v>1.0295999619313496</v>
      </c>
      <c r="AH49" s="176">
        <f t="shared" si="13"/>
        <v>1.0295993997852415</v>
      </c>
      <c r="AI49" s="1081"/>
      <c r="AJ49" s="61"/>
    </row>
    <row r="50" spans="1:37" s="36" customFormat="1" ht="18.75">
      <c r="A50" s="39">
        <v>6</v>
      </c>
      <c r="B50" s="1131" t="s">
        <v>57</v>
      </c>
      <c r="C50" s="654" t="s">
        <v>0</v>
      </c>
      <c r="D50" s="438">
        <f t="shared" si="90"/>
        <v>0</v>
      </c>
      <c r="E50" s="1111"/>
      <c r="F50" s="1111"/>
      <c r="G50" s="435"/>
      <c r="H50" s="477"/>
      <c r="I50" s="438">
        <f t="shared" si="91"/>
        <v>0</v>
      </c>
      <c r="J50" s="1111"/>
      <c r="K50" s="1111"/>
      <c r="L50" s="435"/>
      <c r="M50" s="438">
        <f t="shared" si="92"/>
        <v>0</v>
      </c>
      <c r="N50" s="1111"/>
      <c r="O50" s="1111"/>
      <c r="P50" s="642">
        <f t="shared" si="102"/>
        <v>0</v>
      </c>
      <c r="Q50" s="438">
        <f t="shared" si="93"/>
        <v>0</v>
      </c>
      <c r="R50" s="1129">
        <f t="shared" si="103"/>
        <v>0</v>
      </c>
      <c r="S50" s="1111"/>
      <c r="T50" s="642">
        <f t="shared" si="94"/>
        <v>0</v>
      </c>
      <c r="U50" s="438">
        <f t="shared" si="95"/>
        <v>0</v>
      </c>
      <c r="V50" s="1129">
        <f t="shared" si="96"/>
        <v>0</v>
      </c>
      <c r="W50" s="1111"/>
      <c r="X50" s="642">
        <f t="shared" si="97"/>
        <v>0</v>
      </c>
      <c r="Y50" s="438">
        <f t="shared" si="98"/>
        <v>0</v>
      </c>
      <c r="Z50" s="1129">
        <f t="shared" si="99"/>
        <v>0</v>
      </c>
      <c r="AA50" s="1111"/>
      <c r="AB50" s="642">
        <f t="shared" si="100"/>
        <v>0</v>
      </c>
      <c r="AC50" s="633" t="str">
        <f t="shared" si="8"/>
        <v xml:space="preserve"> </v>
      </c>
      <c r="AD50" s="1083" t="str">
        <f t="shared" si="9"/>
        <v xml:space="preserve"> </v>
      </c>
      <c r="AE50" s="1083" t="str">
        <f t="shared" si="10"/>
        <v xml:space="preserve"> </v>
      </c>
      <c r="AF50" s="1083" t="str">
        <f t="shared" si="11"/>
        <v xml:space="preserve"> </v>
      </c>
      <c r="AG50" s="1083" t="str">
        <f t="shared" si="12"/>
        <v xml:space="preserve"> </v>
      </c>
      <c r="AH50" s="176" t="str">
        <f t="shared" si="13"/>
        <v xml:space="preserve"> </v>
      </c>
      <c r="AI50" s="1081"/>
      <c r="AJ50" s="47"/>
    </row>
    <row r="51" spans="1:37" s="36" customFormat="1" ht="18.75">
      <c r="A51" s="39" t="s">
        <v>23</v>
      </c>
      <c r="B51" s="1131" t="s">
        <v>58</v>
      </c>
      <c r="C51" s="654" t="s">
        <v>0</v>
      </c>
      <c r="D51" s="445">
        <f t="shared" si="90"/>
        <v>18.48</v>
      </c>
      <c r="E51" s="1111">
        <v>4.54</v>
      </c>
      <c r="F51" s="1111"/>
      <c r="G51" s="435">
        <v>13.94</v>
      </c>
      <c r="H51" s="477">
        <v>25</v>
      </c>
      <c r="I51" s="445">
        <f t="shared" si="91"/>
        <v>19.329999999999998</v>
      </c>
      <c r="J51" s="1135">
        <f>ROUND(D51*[176]индексы!$H$8*$J$137,2)</f>
        <v>3.01</v>
      </c>
      <c r="K51" s="1111"/>
      <c r="L51" s="649">
        <f>ROUND(D51*[176]индексы!$H$8-J51,2)</f>
        <v>16.32</v>
      </c>
      <c r="M51" s="445">
        <f t="shared" si="92"/>
        <v>19.787368532269944</v>
      </c>
      <c r="N51" s="1132">
        <f t="shared" ref="N51" si="104">IF($N$20&gt;0,J51/$J$20*$N$20,0)</f>
        <v>3.0812240429844358</v>
      </c>
      <c r="O51" s="1111"/>
      <c r="P51" s="643">
        <f t="shared" si="102"/>
        <v>16.70614448928551</v>
      </c>
      <c r="Q51" s="445">
        <f t="shared" si="93"/>
        <v>20.373078948547438</v>
      </c>
      <c r="R51" s="1132">
        <f t="shared" si="103"/>
        <v>3.1724195953956182</v>
      </c>
      <c r="S51" s="1111"/>
      <c r="T51" s="643">
        <f t="shared" si="94"/>
        <v>17.200659353151821</v>
      </c>
      <c r="U51" s="445">
        <f t="shared" si="95"/>
        <v>20.97611843776988</v>
      </c>
      <c r="V51" s="1132">
        <f t="shared" si="96"/>
        <v>3.2663202225706534</v>
      </c>
      <c r="W51" s="1111"/>
      <c r="X51" s="643">
        <f t="shared" si="97"/>
        <v>17.709798215199228</v>
      </c>
      <c r="Y51" s="445">
        <f t="shared" si="98"/>
        <v>21.597009869369725</v>
      </c>
      <c r="Z51" s="1132">
        <f t="shared" si="99"/>
        <v>3.3630122566828566</v>
      </c>
      <c r="AA51" s="1111"/>
      <c r="AB51" s="643">
        <f t="shared" si="100"/>
        <v>18.233997612686867</v>
      </c>
      <c r="AC51" s="633">
        <f t="shared" si="8"/>
        <v>0.77319999999999989</v>
      </c>
      <c r="AD51" s="1083">
        <f t="shared" si="9"/>
        <v>1.0459956709956708</v>
      </c>
      <c r="AE51" s="1083">
        <f t="shared" si="10"/>
        <v>1.0236610725437116</v>
      </c>
      <c r="AF51" s="1083">
        <f t="shared" si="11"/>
        <v>1.0296002177006152</v>
      </c>
      <c r="AG51" s="1083">
        <f t="shared" si="12"/>
        <v>1.0295998209571282</v>
      </c>
      <c r="AH51" s="176">
        <f t="shared" si="13"/>
        <v>1.0295999201874193</v>
      </c>
      <c r="AI51" s="1081"/>
      <c r="AJ51" s="47"/>
    </row>
    <row r="52" spans="1:37" s="36" customFormat="1" ht="18.75">
      <c r="A52" s="39" t="s">
        <v>45</v>
      </c>
      <c r="B52" s="1131" t="s">
        <v>242</v>
      </c>
      <c r="C52" s="654" t="s">
        <v>0</v>
      </c>
      <c r="D52" s="438">
        <f t="shared" si="90"/>
        <v>0</v>
      </c>
      <c r="E52" s="1111"/>
      <c r="F52" s="1111"/>
      <c r="G52" s="435"/>
      <c r="H52" s="477"/>
      <c r="I52" s="438">
        <f t="shared" si="91"/>
        <v>0</v>
      </c>
      <c r="J52" s="1111"/>
      <c r="K52" s="1111"/>
      <c r="L52" s="435"/>
      <c r="M52" s="438">
        <f t="shared" si="92"/>
        <v>0</v>
      </c>
      <c r="N52" s="1111"/>
      <c r="O52" s="1111"/>
      <c r="P52" s="642"/>
      <c r="Q52" s="438">
        <f t="shared" si="93"/>
        <v>0</v>
      </c>
      <c r="R52" s="1129">
        <f t="shared" si="103"/>
        <v>0</v>
      </c>
      <c r="S52" s="1111"/>
      <c r="T52" s="642">
        <f t="shared" si="94"/>
        <v>0</v>
      </c>
      <c r="U52" s="438">
        <f t="shared" si="95"/>
        <v>0</v>
      </c>
      <c r="V52" s="1129">
        <f t="shared" si="96"/>
        <v>0</v>
      </c>
      <c r="W52" s="1111"/>
      <c r="X52" s="642">
        <f t="shared" si="97"/>
        <v>0</v>
      </c>
      <c r="Y52" s="438">
        <f t="shared" si="98"/>
        <v>0</v>
      </c>
      <c r="Z52" s="1129">
        <f t="shared" si="99"/>
        <v>0</v>
      </c>
      <c r="AA52" s="1111"/>
      <c r="AB52" s="642">
        <f t="shared" si="100"/>
        <v>0</v>
      </c>
      <c r="AC52" s="633" t="str">
        <f t="shared" si="8"/>
        <v xml:space="preserve"> </v>
      </c>
      <c r="AD52" s="1083" t="str">
        <f t="shared" si="9"/>
        <v xml:space="preserve"> </v>
      </c>
      <c r="AE52" s="1083" t="str">
        <f t="shared" si="10"/>
        <v xml:space="preserve"> </v>
      </c>
      <c r="AF52" s="1083" t="str">
        <f t="shared" si="11"/>
        <v xml:space="preserve"> </v>
      </c>
      <c r="AG52" s="1083" t="str">
        <f t="shared" si="12"/>
        <v xml:space="preserve"> </v>
      </c>
      <c r="AH52" s="176" t="str">
        <f t="shared" si="13"/>
        <v xml:space="preserve"> </v>
      </c>
      <c r="AI52" s="1081"/>
      <c r="AJ52" s="47"/>
    </row>
    <row r="53" spans="1:37" s="36" customFormat="1" ht="18.75">
      <c r="A53" s="39" t="s">
        <v>52</v>
      </c>
      <c r="B53" s="1131" t="s">
        <v>105</v>
      </c>
      <c r="C53" s="654" t="s">
        <v>0</v>
      </c>
      <c r="D53" s="438">
        <f t="shared" si="90"/>
        <v>297.18</v>
      </c>
      <c r="E53" s="1111">
        <v>72.95</v>
      </c>
      <c r="F53" s="1111"/>
      <c r="G53" s="435">
        <v>224.23</v>
      </c>
      <c r="H53" s="477">
        <v>318.39999999999998</v>
      </c>
      <c r="I53" s="603">
        <f t="shared" si="91"/>
        <v>318.39999999999998</v>
      </c>
      <c r="J53" s="1134"/>
      <c r="K53" s="1115"/>
      <c r="L53" s="881">
        <f>H53</f>
        <v>318.39999999999998</v>
      </c>
      <c r="M53" s="603">
        <f t="shared" si="92"/>
        <v>325.93360327135451</v>
      </c>
      <c r="N53" s="1133">
        <f t="shared" ref="N53" si="105">IF($N$20&gt;0,J53/$J$20*$N$20,0)</f>
        <v>0</v>
      </c>
      <c r="O53" s="1115"/>
      <c r="P53" s="643">
        <f t="shared" si="102"/>
        <v>325.93360327135451</v>
      </c>
      <c r="Q53" s="603">
        <f t="shared" si="93"/>
        <v>335.58149130168744</v>
      </c>
      <c r="R53" s="1132">
        <f t="shared" si="103"/>
        <v>0</v>
      </c>
      <c r="S53" s="1115"/>
      <c r="T53" s="643">
        <f t="shared" si="94"/>
        <v>335.58149130168744</v>
      </c>
      <c r="U53" s="603">
        <f t="shared" si="95"/>
        <v>345.51469066908294</v>
      </c>
      <c r="V53" s="1132">
        <f t="shared" si="96"/>
        <v>0</v>
      </c>
      <c r="W53" s="1115"/>
      <c r="X53" s="643">
        <f t="shared" si="97"/>
        <v>345.51469066908294</v>
      </c>
      <c r="Y53" s="603">
        <f t="shared" si="98"/>
        <v>355.74171812987117</v>
      </c>
      <c r="Z53" s="1132">
        <f t="shared" si="99"/>
        <v>0</v>
      </c>
      <c r="AA53" s="1115"/>
      <c r="AB53" s="643">
        <f t="shared" si="100"/>
        <v>355.74171812987117</v>
      </c>
      <c r="AC53" s="633">
        <f t="shared" si="8"/>
        <v>1</v>
      </c>
      <c r="AD53" s="1083">
        <f t="shared" si="9"/>
        <v>1.071404535971465</v>
      </c>
      <c r="AE53" s="1083">
        <f t="shared" si="10"/>
        <v>1.0236608142944552</v>
      </c>
      <c r="AF53" s="1083">
        <f t="shared" si="11"/>
        <v>1.029600777377657</v>
      </c>
      <c r="AG53" s="1083">
        <f t="shared" si="12"/>
        <v>1.0295999619313496</v>
      </c>
      <c r="AH53" s="176">
        <f t="shared" si="13"/>
        <v>1.0295993997852415</v>
      </c>
      <c r="AI53" s="1081"/>
      <c r="AJ53" s="47"/>
      <c r="AK53" s="46"/>
    </row>
    <row r="54" spans="1:37" s="36" customFormat="1" ht="31.5">
      <c r="A54" s="39" t="s">
        <v>53</v>
      </c>
      <c r="B54" s="1131" t="s">
        <v>139</v>
      </c>
      <c r="C54" s="654" t="s">
        <v>0</v>
      </c>
      <c r="D54" s="443">
        <f>SUM(D55:D58)</f>
        <v>29.54</v>
      </c>
      <c r="E54" s="1123">
        <f t="shared" ref="E54:H54" si="106">SUM(E55:E58)</f>
        <v>7.26</v>
      </c>
      <c r="F54" s="1123">
        <f t="shared" si="106"/>
        <v>0</v>
      </c>
      <c r="G54" s="444">
        <f t="shared" si="106"/>
        <v>22.28</v>
      </c>
      <c r="H54" s="482">
        <f t="shared" si="106"/>
        <v>164.88499999999999</v>
      </c>
      <c r="I54" s="443">
        <f>SUM(I55:I58)</f>
        <v>79.39</v>
      </c>
      <c r="J54" s="1123">
        <f t="shared" ref="J54:L54" si="107">SUM(J55:J58)</f>
        <v>12.37</v>
      </c>
      <c r="K54" s="1123">
        <f t="shared" si="107"/>
        <v>0</v>
      </c>
      <c r="L54" s="444">
        <f t="shared" si="107"/>
        <v>67.02</v>
      </c>
      <c r="M54" s="443">
        <f>SUM(M55:M58)</f>
        <v>81.268452561960402</v>
      </c>
      <c r="N54" s="1123">
        <f t="shared" ref="N54:P54" si="108">SUM(N55:N58)</f>
        <v>12.662704787946003</v>
      </c>
      <c r="O54" s="1123">
        <f t="shared" si="108"/>
        <v>0</v>
      </c>
      <c r="P54" s="444">
        <f t="shared" si="108"/>
        <v>68.60574777401439</v>
      </c>
      <c r="Q54" s="443">
        <f>SUM(Q55:Q58)</f>
        <v>83.674016421778347</v>
      </c>
      <c r="R54" s="1123">
        <f t="shared" ref="R54:T54" si="109">SUM(R55:R58)</f>
        <v>13.037485181077672</v>
      </c>
      <c r="S54" s="1123">
        <f t="shared" si="109"/>
        <v>0</v>
      </c>
      <c r="T54" s="444">
        <f t="shared" si="109"/>
        <v>70.636531240700677</v>
      </c>
      <c r="U54" s="443">
        <f>SUM(U55:U58)</f>
        <v>86.150752319311252</v>
      </c>
      <c r="V54" s="1123">
        <f t="shared" ref="V54:X54" si="110">SUM(V55:V58)</f>
        <v>13.423382442923248</v>
      </c>
      <c r="W54" s="1123">
        <f t="shared" si="110"/>
        <v>0</v>
      </c>
      <c r="X54" s="444">
        <f t="shared" si="110"/>
        <v>72.727369876387996</v>
      </c>
      <c r="Y54" s="443">
        <f>SUM(Y55:Y58)</f>
        <v>88.700807739853445</v>
      </c>
      <c r="Z54" s="1123">
        <f t="shared" ref="Z54:AB54" si="111">SUM(Z55:Z58)</f>
        <v>13.820751367165094</v>
      </c>
      <c r="AA54" s="1123">
        <f t="shared" si="111"/>
        <v>0</v>
      </c>
      <c r="AB54" s="444">
        <f t="shared" si="111"/>
        <v>74.880056372688344</v>
      </c>
      <c r="AC54" s="633">
        <f t="shared" si="8"/>
        <v>0.48148709706765325</v>
      </c>
      <c r="AD54" s="1083">
        <f t="shared" si="9"/>
        <v>2.6875423155044009</v>
      </c>
      <c r="AE54" s="1083">
        <f t="shared" si="10"/>
        <v>1.023661072703872</v>
      </c>
      <c r="AF54" s="1083">
        <f t="shared" si="11"/>
        <v>1.0296002173535161</v>
      </c>
      <c r="AG54" s="1083">
        <f t="shared" si="12"/>
        <v>1.0295998208696993</v>
      </c>
      <c r="AH54" s="176">
        <f t="shared" si="13"/>
        <v>1.0295999205101611</v>
      </c>
      <c r="AI54" s="1081"/>
      <c r="AJ54" s="47"/>
    </row>
    <row r="55" spans="1:37" s="31" customFormat="1" ht="18.75" outlineLevel="1">
      <c r="A55" s="60"/>
      <c r="B55" s="1130" t="s">
        <v>235</v>
      </c>
      <c r="C55" s="658" t="s">
        <v>0</v>
      </c>
      <c r="D55" s="438">
        <f t="shared" si="90"/>
        <v>0</v>
      </c>
      <c r="E55" s="1108"/>
      <c r="F55" s="1108"/>
      <c r="G55" s="439"/>
      <c r="H55" s="479">
        <f>47.165</f>
        <v>47.164999999999999</v>
      </c>
      <c r="I55" s="438">
        <f t="shared" ref="I55:I58" si="112">J55+K55+L55</f>
        <v>47.17</v>
      </c>
      <c r="J55" s="1118">
        <f>ROUND(H55*$J$137,2)</f>
        <v>7.35</v>
      </c>
      <c r="K55" s="1108"/>
      <c r="L55" s="442">
        <f>ROUND(H55-J55,2)</f>
        <v>39.82</v>
      </c>
      <c r="M55" s="602">
        <f t="shared" ref="M55:M58" si="113">N55+O55+P55</f>
        <v>48.28609279993465</v>
      </c>
      <c r="N55" s="1129">
        <f t="shared" ref="N55" si="114">IF($N$20&gt;0,J55/$J$20*$N$20,0)</f>
        <v>7.5239191747294365</v>
      </c>
      <c r="O55" s="1108"/>
      <c r="P55" s="642">
        <f t="shared" ref="P55" si="115">IF($P$20&gt;0,L55/$L$20*$P$20,0)</f>
        <v>40.762173625205214</v>
      </c>
      <c r="Q55" s="438">
        <f t="shared" ref="Q55:Q58" si="116">R55+S55+T55</f>
        <v>49.715371640871048</v>
      </c>
      <c r="R55" s="1129">
        <f t="shared" ref="R55" si="117">IF($R$20&gt;0,N55/$N$20*$R$20,0)</f>
        <v>7.746605988756742</v>
      </c>
      <c r="S55" s="1108"/>
      <c r="T55" s="642">
        <f t="shared" ref="T55" si="118">IF($T$20&gt;0,P55/$P$20*$T$20,0)</f>
        <v>41.968765652114307</v>
      </c>
      <c r="U55" s="438">
        <f t="shared" ref="U55:U58" si="119">V55+W55+X55</f>
        <v>51.186937735627708</v>
      </c>
      <c r="V55" s="1129">
        <f t="shared" ref="V55" si="120">IF($V$20&gt;0,R55/$R$20*$V$20,0)</f>
        <v>7.9758982179050832</v>
      </c>
      <c r="W55" s="1108"/>
      <c r="X55" s="642">
        <f t="shared" ref="X55" si="121">IF($X$20&gt;0,T55/$T$20*$X$20,0)</f>
        <v>43.211039517722625</v>
      </c>
      <c r="Y55" s="438">
        <f t="shared" ref="Y55:Y58" si="122">Z55+AA55+AB55</f>
        <v>52.702067024838918</v>
      </c>
      <c r="Z55" s="1129">
        <f t="shared" ref="Z55" si="123">IF($Z$20&gt;0,V55/$V$20*$Z$20,0)</f>
        <v>8.2120066732953472</v>
      </c>
      <c r="AA55" s="1108"/>
      <c r="AB55" s="642">
        <f t="shared" ref="AB55" si="124">IF($AB$20&gt;0,X55/$X$20*$AB$20,0)</f>
        <v>44.490060351543569</v>
      </c>
      <c r="AC55" s="633">
        <f t="shared" si="8"/>
        <v>1.000106010813103</v>
      </c>
      <c r="AD55" s="1083" t="str">
        <f t="shared" si="9"/>
        <v xml:space="preserve"> </v>
      </c>
      <c r="AE55" s="1083">
        <f t="shared" si="10"/>
        <v>1.0236610727143236</v>
      </c>
      <c r="AF55" s="1083">
        <f t="shared" si="11"/>
        <v>1.0296002173308654</v>
      </c>
      <c r="AG55" s="1083">
        <f t="shared" si="12"/>
        <v>1.0295998208639938</v>
      </c>
      <c r="AH55" s="176">
        <f t="shared" si="13"/>
        <v>1.0295999205312225</v>
      </c>
      <c r="AI55" s="1081"/>
      <c r="AJ55" s="61"/>
    </row>
    <row r="56" spans="1:37" s="31" customFormat="1" ht="18.75" outlineLevel="1">
      <c r="A56" s="60"/>
      <c r="B56" s="1130" t="s">
        <v>236</v>
      </c>
      <c r="C56" s="658" t="s">
        <v>0</v>
      </c>
      <c r="D56" s="438">
        <f t="shared" si="90"/>
        <v>0</v>
      </c>
      <c r="E56" s="1108"/>
      <c r="F56" s="1108"/>
      <c r="G56" s="439"/>
      <c r="H56" s="479">
        <v>85.5</v>
      </c>
      <c r="I56" s="494">
        <f t="shared" si="112"/>
        <v>0</v>
      </c>
      <c r="J56" s="1108"/>
      <c r="K56" s="1108"/>
      <c r="L56" s="439"/>
      <c r="M56" s="494">
        <f t="shared" si="113"/>
        <v>0</v>
      </c>
      <c r="N56" s="1108"/>
      <c r="O56" s="1108"/>
      <c r="P56" s="439"/>
      <c r="Q56" s="494">
        <f t="shared" si="116"/>
        <v>0</v>
      </c>
      <c r="R56" s="1108"/>
      <c r="S56" s="1108"/>
      <c r="T56" s="439"/>
      <c r="U56" s="494">
        <f t="shared" si="119"/>
        <v>0</v>
      </c>
      <c r="V56" s="1108"/>
      <c r="W56" s="1108"/>
      <c r="X56" s="439"/>
      <c r="Y56" s="494">
        <f t="shared" si="122"/>
        <v>0</v>
      </c>
      <c r="Z56" s="1108"/>
      <c r="AA56" s="1108"/>
      <c r="AB56" s="439"/>
      <c r="AC56" s="633">
        <f t="shared" si="8"/>
        <v>0</v>
      </c>
      <c r="AD56" s="1083" t="str">
        <f t="shared" si="9"/>
        <v xml:space="preserve"> </v>
      </c>
      <c r="AE56" s="1083" t="str">
        <f t="shared" si="10"/>
        <v xml:space="preserve"> </v>
      </c>
      <c r="AF56" s="1083" t="str">
        <f t="shared" si="11"/>
        <v xml:space="preserve"> </v>
      </c>
      <c r="AG56" s="1083" t="str">
        <f t="shared" si="12"/>
        <v xml:space="preserve"> </v>
      </c>
      <c r="AH56" s="176" t="str">
        <f t="shared" si="13"/>
        <v xml:space="preserve"> </v>
      </c>
      <c r="AI56" s="1081"/>
      <c r="AJ56" s="61"/>
    </row>
    <row r="57" spans="1:37" s="31" customFormat="1" ht="18.75" outlineLevel="1">
      <c r="A57" s="60"/>
      <c r="B57" s="1130" t="s">
        <v>404</v>
      </c>
      <c r="C57" s="658" t="s">
        <v>0</v>
      </c>
      <c r="D57" s="438">
        <f t="shared" si="90"/>
        <v>0</v>
      </c>
      <c r="E57" s="1108"/>
      <c r="F57" s="1108"/>
      <c r="G57" s="439"/>
      <c r="H57" s="479"/>
      <c r="I57" s="438">
        <f t="shared" si="112"/>
        <v>0</v>
      </c>
      <c r="J57" s="1108"/>
      <c r="K57" s="1108"/>
      <c r="L57" s="439"/>
      <c r="M57" s="438">
        <f t="shared" si="113"/>
        <v>0</v>
      </c>
      <c r="N57" s="1108"/>
      <c r="O57" s="1108"/>
      <c r="P57" s="439"/>
      <c r="Q57" s="438">
        <f t="shared" si="116"/>
        <v>0</v>
      </c>
      <c r="R57" s="1108"/>
      <c r="S57" s="1108"/>
      <c r="T57" s="439"/>
      <c r="U57" s="438">
        <f t="shared" si="119"/>
        <v>0</v>
      </c>
      <c r="V57" s="1108"/>
      <c r="W57" s="1108"/>
      <c r="X57" s="439"/>
      <c r="Y57" s="438">
        <f t="shared" si="122"/>
        <v>0</v>
      </c>
      <c r="Z57" s="1108"/>
      <c r="AA57" s="1108"/>
      <c r="AB57" s="439"/>
      <c r="AC57" s="633" t="str">
        <f t="shared" si="8"/>
        <v xml:space="preserve"> </v>
      </c>
      <c r="AD57" s="1083" t="str">
        <f t="shared" si="9"/>
        <v xml:space="preserve"> </v>
      </c>
      <c r="AE57" s="1083" t="str">
        <f t="shared" si="10"/>
        <v xml:space="preserve"> </v>
      </c>
      <c r="AF57" s="1083" t="str">
        <f t="shared" si="11"/>
        <v xml:space="preserve"> </v>
      </c>
      <c r="AG57" s="1083" t="str">
        <f t="shared" si="12"/>
        <v xml:space="preserve"> </v>
      </c>
      <c r="AH57" s="176" t="str">
        <f t="shared" si="13"/>
        <v xml:space="preserve"> </v>
      </c>
      <c r="AI57" s="1081"/>
      <c r="AJ57" s="348"/>
    </row>
    <row r="58" spans="1:37" s="1126" customFormat="1" ht="18.75" outlineLevel="1">
      <c r="A58" s="60"/>
      <c r="B58" s="1130" t="s">
        <v>250</v>
      </c>
      <c r="C58" s="658" t="s">
        <v>0</v>
      </c>
      <c r="D58" s="438">
        <f t="shared" si="90"/>
        <v>29.54</v>
      </c>
      <c r="E58" s="1108">
        <v>7.26</v>
      </c>
      <c r="F58" s="1108"/>
      <c r="G58" s="439">
        <v>22.28</v>
      </c>
      <c r="H58" s="479">
        <v>32.22</v>
      </c>
      <c r="I58" s="438">
        <f t="shared" si="112"/>
        <v>32.22</v>
      </c>
      <c r="J58" s="1118">
        <f>ROUND(H58*$J$137,2)</f>
        <v>5.0199999999999996</v>
      </c>
      <c r="K58" s="1108"/>
      <c r="L58" s="442">
        <f>ROUND(H58-J58,2)</f>
        <v>27.2</v>
      </c>
      <c r="M58" s="438">
        <f t="shared" si="113"/>
        <v>32.982359762025752</v>
      </c>
      <c r="N58" s="1129">
        <f t="shared" ref="N58" si="125">IF($N$20&gt;0,J58/$J$20*$N$20,0)</f>
        <v>5.1387856132165668</v>
      </c>
      <c r="O58" s="1108"/>
      <c r="P58" s="642">
        <f t="shared" ref="P58" si="126">IF($P$20&gt;0,L58/$L$20*$P$20,0)</f>
        <v>27.843574148809182</v>
      </c>
      <c r="Q58" s="438">
        <f t="shared" si="116"/>
        <v>33.958644780907299</v>
      </c>
      <c r="R58" s="1129">
        <f t="shared" ref="R58" si="127">IF($R$20&gt;0,N58/$N$20*$R$20,0)</f>
        <v>5.2908791923209302</v>
      </c>
      <c r="S58" s="1108"/>
      <c r="T58" s="642">
        <f t="shared" ref="T58" si="128">IF($T$20&gt;0,P58/$P$20*$T$20,0)</f>
        <v>28.667765588586366</v>
      </c>
      <c r="U58" s="438">
        <f t="shared" si="119"/>
        <v>34.963814583683543</v>
      </c>
      <c r="V58" s="1129">
        <f t="shared" ref="V58" si="129">IF($V$20&gt;0,R58/$R$20*$V$20,0)</f>
        <v>5.4474842250181652</v>
      </c>
      <c r="W58" s="1108"/>
      <c r="X58" s="642">
        <f t="shared" ref="X58" si="130">IF($X$20&gt;0,T58/$T$20*$X$20,0)</f>
        <v>29.516330358665378</v>
      </c>
      <c r="Y58" s="438">
        <f t="shared" si="122"/>
        <v>35.99874071501452</v>
      </c>
      <c r="Z58" s="1129">
        <f t="shared" ref="Z58" si="131">IF($Z$20&gt;0,V58/$V$20*$Z$20,0)</f>
        <v>5.6087446938697472</v>
      </c>
      <c r="AA58" s="1108"/>
      <c r="AB58" s="642">
        <f t="shared" ref="AB58" si="132">IF($AB$20&gt;0,X58/$X$20*$AB$20,0)</f>
        <v>30.389996021144775</v>
      </c>
      <c r="AC58" s="633">
        <f t="shared" si="8"/>
        <v>1</v>
      </c>
      <c r="AD58" s="1083">
        <f t="shared" si="9"/>
        <v>1.0907244414353419</v>
      </c>
      <c r="AE58" s="1083">
        <f t="shared" si="10"/>
        <v>1.0236610726885709</v>
      </c>
      <c r="AF58" s="1083">
        <f t="shared" si="11"/>
        <v>1.029600217386677</v>
      </c>
      <c r="AG58" s="1083">
        <f t="shared" si="12"/>
        <v>1.0295998208780517</v>
      </c>
      <c r="AH58" s="176">
        <f t="shared" si="13"/>
        <v>1.0295999204793274</v>
      </c>
      <c r="AI58" s="1128"/>
      <c r="AJ58" s="1127"/>
    </row>
    <row r="59" spans="1:37" s="33" customFormat="1" ht="18.75">
      <c r="A59" s="1235" t="s">
        <v>106</v>
      </c>
      <c r="B59" s="1239"/>
      <c r="C59" s="647" t="s">
        <v>0</v>
      </c>
      <c r="D59" s="640">
        <f>SUM(D60,D63,D72:D75,D79,D80:D82)</f>
        <v>3609.1349999999998</v>
      </c>
      <c r="E59" s="1125">
        <f t="shared" ref="E59:H59" si="133">SUM(E60,E63,E72:E75,E79,E80:E82)</f>
        <v>2237.0749999999998</v>
      </c>
      <c r="F59" s="1125">
        <f t="shared" si="133"/>
        <v>0</v>
      </c>
      <c r="G59" s="641">
        <f t="shared" si="133"/>
        <v>1372.06</v>
      </c>
      <c r="H59" s="651">
        <f t="shared" si="133"/>
        <v>4445.5055999999995</v>
      </c>
      <c r="I59" s="640">
        <f>SUM(I60,I63,I72:I75,I79,I80:I82)</f>
        <v>2326.7399999999998</v>
      </c>
      <c r="J59" s="1125">
        <f t="shared" ref="J59:L59" si="134">SUM(J60,J63,J72:J75,J79,J80:J82)</f>
        <v>1232.3800000000001</v>
      </c>
      <c r="K59" s="1125">
        <f t="shared" si="134"/>
        <v>0</v>
      </c>
      <c r="L59" s="641">
        <f t="shared" si="134"/>
        <v>1094.3599999999999</v>
      </c>
      <c r="M59" s="640">
        <f>SUM(M60,M63,M72:M75,M79,M80:M82)</f>
        <v>2350.4300000000003</v>
      </c>
      <c r="N59" s="1125">
        <f t="shared" ref="N59:P59" si="135">SUM(N60,N63,N72:N75,N79,N80:N82)</f>
        <v>1236.06</v>
      </c>
      <c r="O59" s="1125">
        <f t="shared" si="135"/>
        <v>0</v>
      </c>
      <c r="P59" s="641">
        <f t="shared" si="135"/>
        <v>1114.3699999999999</v>
      </c>
      <c r="Q59" s="640">
        <f>SUM(Q60,Q63,Q72:Q75,Q79,Q80:Q82)</f>
        <v>2380.8000000000002</v>
      </c>
      <c r="R59" s="1125">
        <f t="shared" ref="R59:T59" si="136">SUM(R60,R63,R72:R75,R79,R80:R82)</f>
        <v>1240.8</v>
      </c>
      <c r="S59" s="1125">
        <f t="shared" si="136"/>
        <v>0</v>
      </c>
      <c r="T59" s="641">
        <f t="shared" si="136"/>
        <v>1140</v>
      </c>
      <c r="U59" s="640">
        <f>SUM(U60,U63,U72:U75,U79,U80:U82)</f>
        <v>2412.0699999999997</v>
      </c>
      <c r="V59" s="1125">
        <f t="shared" ref="V59:X59" si="137">SUM(V60,V63,V72:V75,V79,V80:V82)</f>
        <v>1245.68</v>
      </c>
      <c r="W59" s="1125">
        <f t="shared" si="137"/>
        <v>0</v>
      </c>
      <c r="X59" s="641">
        <f t="shared" si="137"/>
        <v>1166.3899999999999</v>
      </c>
      <c r="Y59" s="640">
        <f>SUM(Y60,Y63,Y72:Y75,Y79,Y80:Y82)</f>
        <v>2429.92</v>
      </c>
      <c r="Z59" s="1125">
        <f t="shared" ref="Z59:AB59" si="138">SUM(Z60,Z63,Z72:Z75,Z79,Z80:Z82)</f>
        <v>1236.3700000000001</v>
      </c>
      <c r="AA59" s="1125">
        <f t="shared" si="138"/>
        <v>0</v>
      </c>
      <c r="AB59" s="641">
        <f t="shared" si="138"/>
        <v>1193.55</v>
      </c>
      <c r="AC59" s="633">
        <f t="shared" si="8"/>
        <v>0.52339153503709457</v>
      </c>
      <c r="AD59" s="1083">
        <f t="shared" si="9"/>
        <v>0.6446807891641626</v>
      </c>
      <c r="AE59" s="1083">
        <f t="shared" si="10"/>
        <v>1.0101816275131732</v>
      </c>
      <c r="AF59" s="1083">
        <f t="shared" si="11"/>
        <v>1.0129210399799184</v>
      </c>
      <c r="AG59" s="1083">
        <f t="shared" si="12"/>
        <v>1.0131342405913977</v>
      </c>
      <c r="AH59" s="176">
        <f t="shared" si="13"/>
        <v>1.0074002827446966</v>
      </c>
      <c r="AI59" s="1105"/>
    </row>
    <row r="60" spans="1:37" s="36" customFormat="1" ht="31.5">
      <c r="A60" s="39" t="s">
        <v>28</v>
      </c>
      <c r="B60" s="1116" t="s">
        <v>107</v>
      </c>
      <c r="C60" s="659" t="s">
        <v>0</v>
      </c>
      <c r="D60" s="443">
        <f t="shared" ref="D60:AB60" si="139">SUM(D61:D62)</f>
        <v>0</v>
      </c>
      <c r="E60" s="1123">
        <f t="shared" si="139"/>
        <v>0</v>
      </c>
      <c r="F60" s="1123">
        <f t="shared" si="139"/>
        <v>0</v>
      </c>
      <c r="G60" s="444">
        <f t="shared" si="139"/>
        <v>0</v>
      </c>
      <c r="H60" s="482">
        <f t="shared" si="139"/>
        <v>0</v>
      </c>
      <c r="I60" s="443">
        <f t="shared" si="139"/>
        <v>0</v>
      </c>
      <c r="J60" s="1123">
        <f t="shared" si="139"/>
        <v>0</v>
      </c>
      <c r="K60" s="1123">
        <f t="shared" si="139"/>
        <v>0</v>
      </c>
      <c r="L60" s="444">
        <f t="shared" si="139"/>
        <v>0</v>
      </c>
      <c r="M60" s="443">
        <f t="shared" si="139"/>
        <v>0</v>
      </c>
      <c r="N60" s="1123">
        <f t="shared" si="139"/>
        <v>0</v>
      </c>
      <c r="O60" s="1123">
        <f t="shared" si="139"/>
        <v>0</v>
      </c>
      <c r="P60" s="444">
        <f t="shared" si="139"/>
        <v>0</v>
      </c>
      <c r="Q60" s="443">
        <f t="shared" si="139"/>
        <v>0</v>
      </c>
      <c r="R60" s="1123">
        <f t="shared" si="139"/>
        <v>0</v>
      </c>
      <c r="S60" s="1123">
        <f t="shared" si="139"/>
        <v>0</v>
      </c>
      <c r="T60" s="444">
        <f t="shared" si="139"/>
        <v>0</v>
      </c>
      <c r="U60" s="443">
        <f t="shared" si="139"/>
        <v>0</v>
      </c>
      <c r="V60" s="1123">
        <f t="shared" si="139"/>
        <v>0</v>
      </c>
      <c r="W60" s="1123">
        <f t="shared" si="139"/>
        <v>0</v>
      </c>
      <c r="X60" s="444">
        <f t="shared" si="139"/>
        <v>0</v>
      </c>
      <c r="Y60" s="443">
        <f t="shared" si="139"/>
        <v>0</v>
      </c>
      <c r="Z60" s="1123">
        <f t="shared" si="139"/>
        <v>0</v>
      </c>
      <c r="AA60" s="1123">
        <f t="shared" si="139"/>
        <v>0</v>
      </c>
      <c r="AB60" s="444">
        <f t="shared" si="139"/>
        <v>0</v>
      </c>
      <c r="AC60" s="633" t="str">
        <f t="shared" si="8"/>
        <v xml:space="preserve"> </v>
      </c>
      <c r="AD60" s="1083" t="str">
        <f t="shared" si="9"/>
        <v xml:space="preserve"> </v>
      </c>
      <c r="AE60" s="1083" t="str">
        <f t="shared" si="10"/>
        <v xml:space="preserve"> </v>
      </c>
      <c r="AF60" s="1083" t="str">
        <f t="shared" si="11"/>
        <v xml:space="preserve"> </v>
      </c>
      <c r="AG60" s="1083" t="str">
        <f t="shared" si="12"/>
        <v xml:space="preserve"> </v>
      </c>
      <c r="AH60" s="176" t="str">
        <f t="shared" si="13"/>
        <v xml:space="preserve"> </v>
      </c>
      <c r="AI60" s="1081"/>
    </row>
    <row r="61" spans="1:37" s="31" customFormat="1" ht="18.75">
      <c r="A61" s="60" t="s">
        <v>29</v>
      </c>
      <c r="B61" s="1124" t="s">
        <v>108</v>
      </c>
      <c r="C61" s="660" t="s">
        <v>0</v>
      </c>
      <c r="D61" s="438">
        <f t="shared" ref="D61:D82" si="140">E61+F61+G61</f>
        <v>0</v>
      </c>
      <c r="E61" s="1108"/>
      <c r="F61" s="1108"/>
      <c r="G61" s="439"/>
      <c r="H61" s="479"/>
      <c r="I61" s="438">
        <f t="shared" ref="I61:I62" si="141">J61+K61+L61</f>
        <v>0</v>
      </c>
      <c r="J61" s="1108"/>
      <c r="K61" s="1108"/>
      <c r="L61" s="439"/>
      <c r="M61" s="438">
        <f t="shared" ref="M61:M62" si="142">N61+O61+P61</f>
        <v>0</v>
      </c>
      <c r="N61" s="1108"/>
      <c r="O61" s="1108"/>
      <c r="P61" s="439"/>
      <c r="Q61" s="438">
        <f t="shared" ref="Q61:Q62" si="143">R61+S61+T61</f>
        <v>0</v>
      </c>
      <c r="R61" s="1108"/>
      <c r="S61" s="1108"/>
      <c r="T61" s="439"/>
      <c r="U61" s="438">
        <f t="shared" ref="U61:U62" si="144">V61+W61+X61</f>
        <v>0</v>
      </c>
      <c r="V61" s="1108"/>
      <c r="W61" s="1108"/>
      <c r="X61" s="439"/>
      <c r="Y61" s="438">
        <f t="shared" ref="Y61:Y62" si="145">Z61+AA61+AB61</f>
        <v>0</v>
      </c>
      <c r="Z61" s="1108"/>
      <c r="AA61" s="1108"/>
      <c r="AB61" s="439"/>
      <c r="AC61" s="633" t="str">
        <f t="shared" si="8"/>
        <v xml:space="preserve"> </v>
      </c>
      <c r="AD61" s="1083" t="str">
        <f t="shared" si="9"/>
        <v xml:space="preserve"> </v>
      </c>
      <c r="AE61" s="1083" t="str">
        <f t="shared" si="10"/>
        <v xml:space="preserve"> </v>
      </c>
      <c r="AF61" s="1083" t="str">
        <f t="shared" si="11"/>
        <v xml:space="preserve"> </v>
      </c>
      <c r="AG61" s="1083" t="str">
        <f t="shared" si="12"/>
        <v xml:space="preserve"> </v>
      </c>
      <c r="AH61" s="176" t="str">
        <f t="shared" si="13"/>
        <v xml:space="preserve"> </v>
      </c>
      <c r="AI61" s="1081"/>
    </row>
    <row r="62" spans="1:37" s="31" customFormat="1" ht="18.75">
      <c r="A62" s="60" t="s">
        <v>30</v>
      </c>
      <c r="B62" s="1124" t="s">
        <v>47</v>
      </c>
      <c r="C62" s="660" t="s">
        <v>0</v>
      </c>
      <c r="D62" s="438">
        <f t="shared" si="140"/>
        <v>0</v>
      </c>
      <c r="E62" s="1108"/>
      <c r="F62" s="1108"/>
      <c r="G62" s="439"/>
      <c r="H62" s="479"/>
      <c r="I62" s="438">
        <f t="shared" si="141"/>
        <v>0</v>
      </c>
      <c r="J62" s="1108"/>
      <c r="K62" s="1108"/>
      <c r="L62" s="439"/>
      <c r="M62" s="438">
        <f t="shared" si="142"/>
        <v>0</v>
      </c>
      <c r="N62" s="1108"/>
      <c r="O62" s="1108"/>
      <c r="P62" s="439"/>
      <c r="Q62" s="438">
        <f t="shared" si="143"/>
        <v>0</v>
      </c>
      <c r="R62" s="1108"/>
      <c r="S62" s="1108"/>
      <c r="T62" s="439"/>
      <c r="U62" s="438">
        <f t="shared" si="144"/>
        <v>0</v>
      </c>
      <c r="V62" s="1108"/>
      <c r="W62" s="1108"/>
      <c r="X62" s="439"/>
      <c r="Y62" s="438">
        <f t="shared" si="145"/>
        <v>0</v>
      </c>
      <c r="Z62" s="1108"/>
      <c r="AA62" s="1108"/>
      <c r="AB62" s="439"/>
      <c r="AC62" s="633" t="str">
        <f t="shared" si="8"/>
        <v xml:space="preserve"> </v>
      </c>
      <c r="AD62" s="1083" t="str">
        <f t="shared" si="9"/>
        <v xml:space="preserve"> </v>
      </c>
      <c r="AE62" s="1083" t="str">
        <f t="shared" si="10"/>
        <v xml:space="preserve"> </v>
      </c>
      <c r="AF62" s="1083" t="str">
        <f t="shared" si="11"/>
        <v xml:space="preserve"> </v>
      </c>
      <c r="AG62" s="1083" t="str">
        <f t="shared" si="12"/>
        <v xml:space="preserve"> </v>
      </c>
      <c r="AH62" s="176" t="str">
        <f t="shared" si="13"/>
        <v xml:space="preserve"> </v>
      </c>
      <c r="AI62" s="1081"/>
    </row>
    <row r="63" spans="1:37" s="36" customFormat="1" ht="31.5">
      <c r="A63" s="39" t="s">
        <v>31</v>
      </c>
      <c r="B63" s="1116" t="s">
        <v>109</v>
      </c>
      <c r="C63" s="659" t="s">
        <v>0</v>
      </c>
      <c r="D63" s="443">
        <f>SUM(D64:D71)</f>
        <v>858.54</v>
      </c>
      <c r="E63" s="1123">
        <f>SUM(E64:E71)</f>
        <v>27.65</v>
      </c>
      <c r="F63" s="1123">
        <f t="shared" ref="F63" si="146">SUM(F64:F71)</f>
        <v>0</v>
      </c>
      <c r="G63" s="444">
        <f>SUM(G64:G71)</f>
        <v>830.89</v>
      </c>
      <c r="H63" s="482">
        <f>SUM(H64:H71)</f>
        <v>987.14</v>
      </c>
      <c r="I63" s="443">
        <f>SUM(I64:I71)</f>
        <v>266.77</v>
      </c>
      <c r="J63" s="1123">
        <f>SUM(J64:J71)</f>
        <v>18.170000000000002</v>
      </c>
      <c r="K63" s="1123">
        <f t="shared" ref="K63" si="147">SUM(K64:K71)</f>
        <v>0</v>
      </c>
      <c r="L63" s="444">
        <f>SUM(L64:L71)</f>
        <v>248.6</v>
      </c>
      <c r="M63" s="443">
        <f>SUM(M64:M71)</f>
        <v>266.77</v>
      </c>
      <c r="N63" s="1123">
        <f>SUM(N64:N71)</f>
        <v>18.170000000000002</v>
      </c>
      <c r="O63" s="1123">
        <f t="shared" ref="O63" si="148">SUM(O64:O71)</f>
        <v>0</v>
      </c>
      <c r="P63" s="444">
        <f>SUM(P64:P71)</f>
        <v>248.6</v>
      </c>
      <c r="Q63" s="443">
        <f>SUM(Q64:Q71)</f>
        <v>266.77</v>
      </c>
      <c r="R63" s="1123">
        <f>SUM(R64:R71)</f>
        <v>18.170000000000002</v>
      </c>
      <c r="S63" s="1123">
        <f t="shared" ref="S63" si="149">SUM(S64:S71)</f>
        <v>0</v>
      </c>
      <c r="T63" s="444">
        <f>SUM(T64:T71)</f>
        <v>248.6</v>
      </c>
      <c r="U63" s="443">
        <f>SUM(U64:U71)</f>
        <v>266.77</v>
      </c>
      <c r="V63" s="1123">
        <f>SUM(V64:V71)</f>
        <v>18.170000000000002</v>
      </c>
      <c r="W63" s="1123">
        <f t="shared" ref="W63" si="150">SUM(W64:W71)</f>
        <v>0</v>
      </c>
      <c r="X63" s="444">
        <f>SUM(X64:X71)</f>
        <v>248.6</v>
      </c>
      <c r="Y63" s="443">
        <f>SUM(Y64:Y71)</f>
        <v>266.77</v>
      </c>
      <c r="Z63" s="1123">
        <f>SUM(Z64:Z71)</f>
        <v>18.170000000000002</v>
      </c>
      <c r="AA63" s="1123">
        <f t="shared" ref="AA63" si="151">SUM(AA64:AA71)</f>
        <v>0</v>
      </c>
      <c r="AB63" s="444">
        <f>SUM(AB64:AB71)</f>
        <v>248.6</v>
      </c>
      <c r="AC63" s="633">
        <f t="shared" si="8"/>
        <v>0.2702453552687562</v>
      </c>
      <c r="AD63" s="1083">
        <f t="shared" si="9"/>
        <v>0.310725184615743</v>
      </c>
      <c r="AE63" s="1083">
        <f t="shared" si="10"/>
        <v>1</v>
      </c>
      <c r="AF63" s="1083">
        <f t="shared" si="11"/>
        <v>1</v>
      </c>
      <c r="AG63" s="1083">
        <f t="shared" si="12"/>
        <v>1</v>
      </c>
      <c r="AH63" s="176">
        <f t="shared" si="13"/>
        <v>1</v>
      </c>
      <c r="AI63" s="1081"/>
    </row>
    <row r="64" spans="1:37" s="31" customFormat="1" ht="47.25" outlineLevel="1">
      <c r="A64" s="60"/>
      <c r="B64" s="1120" t="s">
        <v>248</v>
      </c>
      <c r="C64" s="658" t="s">
        <v>0</v>
      </c>
      <c r="D64" s="438">
        <f t="shared" si="140"/>
        <v>0</v>
      </c>
      <c r="E64" s="1108"/>
      <c r="F64" s="1108"/>
      <c r="G64" s="439"/>
      <c r="H64" s="479"/>
      <c r="I64" s="438">
        <f t="shared" ref="I64:I74" si="152">J64+K64+L64</f>
        <v>0</v>
      </c>
      <c r="J64" s="1108"/>
      <c r="K64" s="1108"/>
      <c r="L64" s="439"/>
      <c r="M64" s="438">
        <f t="shared" ref="M64:M74" si="153">N64+O64+P64</f>
        <v>0</v>
      </c>
      <c r="N64" s="1108"/>
      <c r="O64" s="1108"/>
      <c r="P64" s="439"/>
      <c r="Q64" s="438">
        <f t="shared" ref="Q64:Q74" si="154">R64+S64+T64</f>
        <v>0</v>
      </c>
      <c r="R64" s="1108"/>
      <c r="S64" s="1108"/>
      <c r="T64" s="439"/>
      <c r="U64" s="438">
        <f t="shared" ref="U64:U74" si="155">V64+W64+X64</f>
        <v>0</v>
      </c>
      <c r="V64" s="1108"/>
      <c r="W64" s="1108"/>
      <c r="X64" s="439"/>
      <c r="Y64" s="438">
        <f t="shared" ref="Y64:Y74" si="156">Z64+AA64+AB64</f>
        <v>0</v>
      </c>
      <c r="Z64" s="1108"/>
      <c r="AA64" s="1108"/>
      <c r="AB64" s="439"/>
      <c r="AC64" s="633" t="str">
        <f t="shared" si="8"/>
        <v xml:space="preserve"> </v>
      </c>
      <c r="AD64" s="1083" t="str">
        <f t="shared" si="9"/>
        <v xml:space="preserve"> </v>
      </c>
      <c r="AE64" s="1083" t="str">
        <f t="shared" si="10"/>
        <v xml:space="preserve"> </v>
      </c>
      <c r="AF64" s="1083" t="str">
        <f t="shared" si="11"/>
        <v xml:space="preserve"> </v>
      </c>
      <c r="AG64" s="1083" t="str">
        <f t="shared" si="12"/>
        <v xml:space="preserve"> </v>
      </c>
      <c r="AH64" s="176" t="str">
        <f t="shared" si="13"/>
        <v xml:space="preserve"> </v>
      </c>
      <c r="AI64" s="1081"/>
    </row>
    <row r="65" spans="1:37" s="31" customFormat="1" ht="31.5">
      <c r="A65" s="60"/>
      <c r="B65" s="1120" t="s">
        <v>110</v>
      </c>
      <c r="C65" s="658" t="s">
        <v>0</v>
      </c>
      <c r="D65" s="438">
        <f t="shared" si="140"/>
        <v>10</v>
      </c>
      <c r="E65" s="1108">
        <v>10</v>
      </c>
      <c r="F65" s="1108"/>
      <c r="G65" s="439"/>
      <c r="H65" s="479">
        <v>26.96</v>
      </c>
      <c r="I65" s="438">
        <f t="shared" si="152"/>
        <v>18.170000000000002</v>
      </c>
      <c r="J65" s="1121">
        <f>ROUND(9+9.17017,2)</f>
        <v>18.170000000000002</v>
      </c>
      <c r="K65" s="1108"/>
      <c r="L65" s="439"/>
      <c r="M65" s="438">
        <f t="shared" si="153"/>
        <v>18.170000000000002</v>
      </c>
      <c r="N65" s="1121">
        <f>J65</f>
        <v>18.170000000000002</v>
      </c>
      <c r="O65" s="1121"/>
      <c r="P65" s="883"/>
      <c r="Q65" s="602">
        <f t="shared" si="154"/>
        <v>18.170000000000002</v>
      </c>
      <c r="R65" s="1121">
        <f>N65</f>
        <v>18.170000000000002</v>
      </c>
      <c r="S65" s="1121"/>
      <c r="T65" s="883"/>
      <c r="U65" s="602">
        <f t="shared" si="155"/>
        <v>18.170000000000002</v>
      </c>
      <c r="V65" s="1121">
        <f>R65</f>
        <v>18.170000000000002</v>
      </c>
      <c r="W65" s="1121"/>
      <c r="X65" s="883"/>
      <c r="Y65" s="602">
        <f t="shared" si="156"/>
        <v>18.170000000000002</v>
      </c>
      <c r="Z65" s="1121">
        <f>V65</f>
        <v>18.170000000000002</v>
      </c>
      <c r="AA65" s="1121"/>
      <c r="AB65" s="883"/>
      <c r="AC65" s="633">
        <f t="shared" si="8"/>
        <v>0.67396142433234429</v>
      </c>
      <c r="AD65" s="1083">
        <f t="shared" si="9"/>
        <v>1.8170000000000002</v>
      </c>
      <c r="AE65" s="1083">
        <f t="shared" si="10"/>
        <v>1</v>
      </c>
      <c r="AF65" s="1083">
        <f t="shared" si="11"/>
        <v>1</v>
      </c>
      <c r="AG65" s="1083">
        <f t="shared" si="12"/>
        <v>1</v>
      </c>
      <c r="AH65" s="176">
        <f t="shared" si="13"/>
        <v>1</v>
      </c>
      <c r="AI65" s="1081" t="s">
        <v>563</v>
      </c>
    </row>
    <row r="66" spans="1:37" s="31" customFormat="1" ht="21.75" customHeight="1">
      <c r="A66" s="60"/>
      <c r="B66" s="1120" t="s">
        <v>111</v>
      </c>
      <c r="C66" s="658" t="s">
        <v>0</v>
      </c>
      <c r="D66" s="438">
        <f t="shared" si="140"/>
        <v>17.649999999999999</v>
      </c>
      <c r="E66" s="1108">
        <v>17.649999999999999</v>
      </c>
      <c r="F66" s="1108"/>
      <c r="G66" s="439"/>
      <c r="H66" s="479">
        <v>17.899999999999999</v>
      </c>
      <c r="I66" s="438">
        <f t="shared" si="152"/>
        <v>0</v>
      </c>
      <c r="J66" s="1122">
        <v>0</v>
      </c>
      <c r="K66" s="1108"/>
      <c r="L66" s="439"/>
      <c r="M66" s="438">
        <f t="shared" si="153"/>
        <v>0</v>
      </c>
      <c r="N66" s="1121">
        <v>0</v>
      </c>
      <c r="O66" s="1121"/>
      <c r="P66" s="883"/>
      <c r="Q66" s="602">
        <f t="shared" si="154"/>
        <v>0</v>
      </c>
      <c r="R66" s="1121">
        <v>0</v>
      </c>
      <c r="S66" s="1121"/>
      <c r="T66" s="883"/>
      <c r="U66" s="602">
        <f t="shared" si="155"/>
        <v>0</v>
      </c>
      <c r="V66" s="1121">
        <v>0</v>
      </c>
      <c r="W66" s="1121"/>
      <c r="X66" s="883"/>
      <c r="Y66" s="602">
        <f t="shared" si="156"/>
        <v>0</v>
      </c>
      <c r="Z66" s="1121">
        <v>0</v>
      </c>
      <c r="AA66" s="1121"/>
      <c r="AB66" s="883"/>
      <c r="AC66" s="633">
        <f t="shared" si="8"/>
        <v>0</v>
      </c>
      <c r="AD66" s="1083">
        <f t="shared" si="9"/>
        <v>0</v>
      </c>
      <c r="AE66" s="1083" t="str">
        <f t="shared" si="10"/>
        <v xml:space="preserve"> </v>
      </c>
      <c r="AF66" s="1083" t="str">
        <f t="shared" si="11"/>
        <v xml:space="preserve"> </v>
      </c>
      <c r="AG66" s="1083" t="str">
        <f t="shared" si="12"/>
        <v xml:space="preserve"> </v>
      </c>
      <c r="AH66" s="176" t="str">
        <f t="shared" si="13"/>
        <v xml:space="preserve"> </v>
      </c>
      <c r="AI66" s="1114" t="s">
        <v>511</v>
      </c>
    </row>
    <row r="67" spans="1:37" s="31" customFormat="1" ht="18.75">
      <c r="A67" s="60"/>
      <c r="B67" s="1120" t="s">
        <v>115</v>
      </c>
      <c r="C67" s="658" t="s">
        <v>0</v>
      </c>
      <c r="D67" s="438">
        <f t="shared" si="140"/>
        <v>0</v>
      </c>
      <c r="E67" s="1108"/>
      <c r="F67" s="1108"/>
      <c r="G67" s="439"/>
      <c r="H67" s="479"/>
      <c r="I67" s="438">
        <f t="shared" si="152"/>
        <v>0</v>
      </c>
      <c r="J67" s="1108"/>
      <c r="K67" s="1108"/>
      <c r="L67" s="439"/>
      <c r="M67" s="438">
        <f t="shared" si="153"/>
        <v>0</v>
      </c>
      <c r="N67" s="1108"/>
      <c r="O67" s="1108"/>
      <c r="P67" s="439"/>
      <c r="Q67" s="438">
        <f t="shared" si="154"/>
        <v>0</v>
      </c>
      <c r="R67" s="1108"/>
      <c r="S67" s="1108"/>
      <c r="T67" s="439"/>
      <c r="U67" s="438">
        <f t="shared" si="155"/>
        <v>0</v>
      </c>
      <c r="V67" s="1108"/>
      <c r="W67" s="1108"/>
      <c r="X67" s="439"/>
      <c r="Y67" s="438">
        <f t="shared" si="156"/>
        <v>0</v>
      </c>
      <c r="Z67" s="1108"/>
      <c r="AA67" s="1108"/>
      <c r="AB67" s="439"/>
      <c r="AC67" s="633" t="str">
        <f t="shared" si="8"/>
        <v xml:space="preserve"> </v>
      </c>
      <c r="AD67" s="1083" t="str">
        <f t="shared" si="9"/>
        <v xml:space="preserve"> </v>
      </c>
      <c r="AE67" s="1083" t="str">
        <f t="shared" si="10"/>
        <v xml:space="preserve"> </v>
      </c>
      <c r="AF67" s="1083" t="str">
        <f t="shared" si="11"/>
        <v xml:space="preserve"> </v>
      </c>
      <c r="AG67" s="1083" t="str">
        <f t="shared" si="12"/>
        <v xml:space="preserve"> </v>
      </c>
      <c r="AH67" s="176" t="str">
        <f t="shared" si="13"/>
        <v xml:space="preserve"> </v>
      </c>
      <c r="AI67" s="1081"/>
    </row>
    <row r="68" spans="1:37" s="31" customFormat="1" ht="18.75">
      <c r="A68" s="60"/>
      <c r="B68" s="1120" t="s">
        <v>114</v>
      </c>
      <c r="C68" s="658" t="s">
        <v>0</v>
      </c>
      <c r="D68" s="438">
        <f t="shared" si="140"/>
        <v>0</v>
      </c>
      <c r="E68" s="1108"/>
      <c r="F68" s="1108"/>
      <c r="G68" s="439"/>
      <c r="H68" s="479"/>
      <c r="I68" s="438">
        <f t="shared" si="152"/>
        <v>0</v>
      </c>
      <c r="J68" s="1108"/>
      <c r="K68" s="1108"/>
      <c r="L68" s="439"/>
      <c r="M68" s="438">
        <f t="shared" si="153"/>
        <v>0</v>
      </c>
      <c r="N68" s="1108"/>
      <c r="O68" s="1108"/>
      <c r="P68" s="439"/>
      <c r="Q68" s="438">
        <f t="shared" si="154"/>
        <v>0</v>
      </c>
      <c r="R68" s="1108"/>
      <c r="S68" s="1108"/>
      <c r="T68" s="439"/>
      <c r="U68" s="438">
        <f t="shared" si="155"/>
        <v>0</v>
      </c>
      <c r="V68" s="1108"/>
      <c r="W68" s="1108"/>
      <c r="X68" s="439"/>
      <c r="Y68" s="438">
        <f t="shared" si="156"/>
        <v>0</v>
      </c>
      <c r="Z68" s="1108"/>
      <c r="AA68" s="1108"/>
      <c r="AB68" s="439"/>
      <c r="AC68" s="633" t="str">
        <f t="shared" si="8"/>
        <v xml:space="preserve"> </v>
      </c>
      <c r="AD68" s="1083" t="str">
        <f t="shared" si="9"/>
        <v xml:space="preserve"> </v>
      </c>
      <c r="AE68" s="1083" t="str">
        <f t="shared" si="10"/>
        <v xml:space="preserve"> </v>
      </c>
      <c r="AF68" s="1083" t="str">
        <f t="shared" si="11"/>
        <v xml:space="preserve"> </v>
      </c>
      <c r="AG68" s="1083" t="str">
        <f t="shared" si="12"/>
        <v xml:space="preserve"> </v>
      </c>
      <c r="AH68" s="176" t="str">
        <f t="shared" si="13"/>
        <v xml:space="preserve"> </v>
      </c>
      <c r="AI68" s="1081"/>
    </row>
    <row r="69" spans="1:37" s="31" customFormat="1" ht="15.75" customHeight="1" outlineLevel="1">
      <c r="A69" s="60"/>
      <c r="B69" s="1120" t="s">
        <v>112</v>
      </c>
      <c r="C69" s="658" t="s">
        <v>0</v>
      </c>
      <c r="D69" s="438">
        <f t="shared" si="140"/>
        <v>0</v>
      </c>
      <c r="E69" s="1108"/>
      <c r="F69" s="1108"/>
      <c r="G69" s="439"/>
      <c r="H69" s="479"/>
      <c r="I69" s="438">
        <f t="shared" si="152"/>
        <v>0</v>
      </c>
      <c r="J69" s="1108"/>
      <c r="K69" s="1108"/>
      <c r="L69" s="439"/>
      <c r="M69" s="438">
        <f t="shared" si="153"/>
        <v>0</v>
      </c>
      <c r="N69" s="1108"/>
      <c r="O69" s="1108"/>
      <c r="P69" s="439"/>
      <c r="Q69" s="438">
        <f t="shared" si="154"/>
        <v>0</v>
      </c>
      <c r="R69" s="1108"/>
      <c r="S69" s="1108"/>
      <c r="T69" s="439"/>
      <c r="U69" s="438">
        <f t="shared" si="155"/>
        <v>0</v>
      </c>
      <c r="V69" s="1108"/>
      <c r="W69" s="1108"/>
      <c r="X69" s="439"/>
      <c r="Y69" s="438">
        <f t="shared" si="156"/>
        <v>0</v>
      </c>
      <c r="Z69" s="1108"/>
      <c r="AA69" s="1108"/>
      <c r="AB69" s="439"/>
      <c r="AC69" s="633" t="str">
        <f t="shared" si="8"/>
        <v xml:space="preserve"> </v>
      </c>
      <c r="AD69" s="1083" t="str">
        <f t="shared" si="9"/>
        <v xml:space="preserve"> </v>
      </c>
      <c r="AE69" s="1083" t="str">
        <f t="shared" si="10"/>
        <v xml:space="preserve"> </v>
      </c>
      <c r="AF69" s="1083" t="str">
        <f t="shared" si="11"/>
        <v xml:space="preserve"> </v>
      </c>
      <c r="AG69" s="1083" t="str">
        <f t="shared" si="12"/>
        <v xml:space="preserve"> </v>
      </c>
      <c r="AH69" s="176" t="str">
        <f t="shared" si="13"/>
        <v xml:space="preserve"> </v>
      </c>
      <c r="AI69" s="1081"/>
    </row>
    <row r="70" spans="1:37" s="31" customFormat="1" ht="18.75">
      <c r="A70" s="60"/>
      <c r="B70" s="1120" t="s">
        <v>113</v>
      </c>
      <c r="C70" s="658" t="s">
        <v>0</v>
      </c>
      <c r="D70" s="438">
        <f t="shared" si="140"/>
        <v>830.89</v>
      </c>
      <c r="E70" s="1108"/>
      <c r="F70" s="1108"/>
      <c r="G70" s="439">
        <v>830.89</v>
      </c>
      <c r="H70" s="479">
        <v>942.28</v>
      </c>
      <c r="I70" s="438">
        <f t="shared" si="152"/>
        <v>248.6</v>
      </c>
      <c r="J70" s="1108"/>
      <c r="K70" s="1108"/>
      <c r="L70" s="439">
        <f>ROUND(L83*20/80,2)</f>
        <v>248.6</v>
      </c>
      <c r="M70" s="438">
        <f t="shared" si="153"/>
        <v>248.6</v>
      </c>
      <c r="N70" s="1108"/>
      <c r="O70" s="1108"/>
      <c r="P70" s="439">
        <f>ROUND(P83*20/80,2)</f>
        <v>248.6</v>
      </c>
      <c r="Q70" s="438">
        <f t="shared" si="154"/>
        <v>248.6</v>
      </c>
      <c r="R70" s="1108"/>
      <c r="S70" s="1108"/>
      <c r="T70" s="439">
        <f>ROUND(T83*20/80,2)</f>
        <v>248.6</v>
      </c>
      <c r="U70" s="438">
        <f t="shared" si="155"/>
        <v>248.6</v>
      </c>
      <c r="V70" s="1108"/>
      <c r="W70" s="1108"/>
      <c r="X70" s="439">
        <f>ROUND(X83*20/80,2)</f>
        <v>248.6</v>
      </c>
      <c r="Y70" s="438">
        <f t="shared" si="156"/>
        <v>248.6</v>
      </c>
      <c r="Z70" s="1108"/>
      <c r="AA70" s="1108"/>
      <c r="AB70" s="439">
        <f>ROUND(AB83*20/80,2)</f>
        <v>248.6</v>
      </c>
      <c r="AC70" s="633">
        <f t="shared" si="8"/>
        <v>0.2638281614806639</v>
      </c>
      <c r="AD70" s="1083">
        <f t="shared" si="9"/>
        <v>0.29919724632622852</v>
      </c>
      <c r="AE70" s="1083">
        <f t="shared" si="10"/>
        <v>1</v>
      </c>
      <c r="AF70" s="1083">
        <f t="shared" si="11"/>
        <v>1</v>
      </c>
      <c r="AG70" s="1083">
        <f t="shared" si="12"/>
        <v>1</v>
      </c>
      <c r="AH70" s="176">
        <f t="shared" si="13"/>
        <v>1</v>
      </c>
      <c r="AI70" s="1081"/>
    </row>
    <row r="71" spans="1:37" s="31" customFormat="1" ht="18.75">
      <c r="A71" s="60"/>
      <c r="B71" s="1120" t="s">
        <v>116</v>
      </c>
      <c r="C71" s="658" t="s">
        <v>0</v>
      </c>
      <c r="D71" s="438">
        <f t="shared" si="140"/>
        <v>0</v>
      </c>
      <c r="E71" s="1108"/>
      <c r="F71" s="1108"/>
      <c r="G71" s="439"/>
      <c r="H71" s="479"/>
      <c r="I71" s="438">
        <f t="shared" si="152"/>
        <v>0</v>
      </c>
      <c r="J71" s="1108"/>
      <c r="K71" s="1108"/>
      <c r="L71" s="439"/>
      <c r="M71" s="438">
        <f t="shared" si="153"/>
        <v>0</v>
      </c>
      <c r="N71" s="1108"/>
      <c r="O71" s="1108"/>
      <c r="P71" s="439"/>
      <c r="Q71" s="438">
        <f t="shared" si="154"/>
        <v>0</v>
      </c>
      <c r="R71" s="1108"/>
      <c r="S71" s="1108"/>
      <c r="T71" s="439"/>
      <c r="U71" s="438">
        <f t="shared" si="155"/>
        <v>0</v>
      </c>
      <c r="V71" s="1108"/>
      <c r="W71" s="1108"/>
      <c r="X71" s="439"/>
      <c r="Y71" s="438">
        <f t="shared" si="156"/>
        <v>0</v>
      </c>
      <c r="Z71" s="1108"/>
      <c r="AA71" s="1108"/>
      <c r="AB71" s="439"/>
      <c r="AC71" s="633" t="str">
        <f t="shared" si="8"/>
        <v xml:space="preserve"> </v>
      </c>
      <c r="AD71" s="1083" t="str">
        <f t="shared" si="9"/>
        <v xml:space="preserve"> </v>
      </c>
      <c r="AE71" s="1083" t="str">
        <f t="shared" si="10"/>
        <v xml:space="preserve"> </v>
      </c>
      <c r="AF71" s="1083" t="str">
        <f t="shared" si="11"/>
        <v xml:space="preserve"> </v>
      </c>
      <c r="AG71" s="1083" t="str">
        <f t="shared" si="12"/>
        <v xml:space="preserve"> </v>
      </c>
      <c r="AH71" s="176" t="str">
        <f t="shared" si="13"/>
        <v xml:space="preserve"> </v>
      </c>
      <c r="AI71" s="1081"/>
    </row>
    <row r="72" spans="1:37" s="36" customFormat="1" ht="18.75">
      <c r="A72" s="39" t="s">
        <v>32</v>
      </c>
      <c r="B72" s="1116" t="s">
        <v>117</v>
      </c>
      <c r="C72" s="654" t="s">
        <v>0</v>
      </c>
      <c r="D72" s="438">
        <f t="shared" si="140"/>
        <v>0</v>
      </c>
      <c r="E72" s="1111"/>
      <c r="F72" s="1111"/>
      <c r="G72" s="435"/>
      <c r="H72" s="477"/>
      <c r="I72" s="438">
        <f t="shared" si="152"/>
        <v>0</v>
      </c>
      <c r="J72" s="1111"/>
      <c r="K72" s="1111"/>
      <c r="L72" s="435"/>
      <c r="M72" s="438">
        <f t="shared" si="153"/>
        <v>0</v>
      </c>
      <c r="N72" s="1111"/>
      <c r="O72" s="1111"/>
      <c r="P72" s="435"/>
      <c r="Q72" s="438">
        <f t="shared" si="154"/>
        <v>0</v>
      </c>
      <c r="R72" s="1111"/>
      <c r="S72" s="1111"/>
      <c r="T72" s="435"/>
      <c r="U72" s="438">
        <f t="shared" si="155"/>
        <v>0</v>
      </c>
      <c r="V72" s="1111"/>
      <c r="W72" s="1111"/>
      <c r="X72" s="435"/>
      <c r="Y72" s="438">
        <f t="shared" si="156"/>
        <v>0</v>
      </c>
      <c r="Z72" s="1111"/>
      <c r="AA72" s="1111"/>
      <c r="AB72" s="435"/>
      <c r="AC72" s="633" t="str">
        <f t="shared" si="8"/>
        <v xml:space="preserve"> </v>
      </c>
      <c r="AD72" s="1083" t="str">
        <f t="shared" si="9"/>
        <v xml:space="preserve"> </v>
      </c>
      <c r="AE72" s="1083" t="str">
        <f t="shared" si="10"/>
        <v xml:space="preserve"> </v>
      </c>
      <c r="AF72" s="1083" t="str">
        <f t="shared" si="11"/>
        <v xml:space="preserve"> </v>
      </c>
      <c r="AG72" s="1083" t="str">
        <f t="shared" si="12"/>
        <v xml:space="preserve"> </v>
      </c>
      <c r="AH72" s="176" t="str">
        <f t="shared" si="13"/>
        <v xml:space="preserve"> </v>
      </c>
      <c r="AI72" s="1081"/>
    </row>
    <row r="73" spans="1:37" s="36" customFormat="1" ht="36.75" customHeight="1">
      <c r="A73" s="39" t="s">
        <v>34</v>
      </c>
      <c r="B73" s="1116" t="s">
        <v>249</v>
      </c>
      <c r="C73" s="654" t="s">
        <v>0</v>
      </c>
      <c r="D73" s="438">
        <f t="shared" si="140"/>
        <v>0</v>
      </c>
      <c r="E73" s="1111"/>
      <c r="F73" s="1111"/>
      <c r="G73" s="435"/>
      <c r="H73" s="477"/>
      <c r="I73" s="438">
        <f t="shared" si="152"/>
        <v>0</v>
      </c>
      <c r="J73" s="1111"/>
      <c r="K73" s="1111"/>
      <c r="L73" s="435"/>
      <c r="M73" s="438">
        <f t="shared" si="153"/>
        <v>0</v>
      </c>
      <c r="N73" s="1111"/>
      <c r="O73" s="1111"/>
      <c r="P73" s="435"/>
      <c r="Q73" s="438">
        <f t="shared" si="154"/>
        <v>0</v>
      </c>
      <c r="R73" s="1111"/>
      <c r="S73" s="1111"/>
      <c r="T73" s="435"/>
      <c r="U73" s="438">
        <f t="shared" si="155"/>
        <v>0</v>
      </c>
      <c r="V73" s="1111"/>
      <c r="W73" s="1111"/>
      <c r="X73" s="435"/>
      <c r="Y73" s="438">
        <f t="shared" si="156"/>
        <v>0</v>
      </c>
      <c r="Z73" s="1111"/>
      <c r="AA73" s="1111"/>
      <c r="AB73" s="435"/>
      <c r="AC73" s="633" t="str">
        <f t="shared" si="8"/>
        <v xml:space="preserve"> </v>
      </c>
      <c r="AD73" s="1083" t="str">
        <f t="shared" si="9"/>
        <v xml:space="preserve"> </v>
      </c>
      <c r="AE73" s="1083" t="str">
        <f t="shared" si="10"/>
        <v xml:space="preserve"> </v>
      </c>
      <c r="AF73" s="1083" t="str">
        <f t="shared" si="11"/>
        <v xml:space="preserve"> </v>
      </c>
      <c r="AG73" s="1083" t="str">
        <f t="shared" si="12"/>
        <v xml:space="preserve"> </v>
      </c>
      <c r="AH73" s="176" t="str">
        <f t="shared" si="13"/>
        <v xml:space="preserve"> </v>
      </c>
      <c r="AI73" s="1081"/>
    </row>
    <row r="74" spans="1:37" s="36" customFormat="1" ht="18.75">
      <c r="A74" s="39" t="s">
        <v>33</v>
      </c>
      <c r="B74" s="1116" t="s">
        <v>118</v>
      </c>
      <c r="C74" s="654" t="s">
        <v>0</v>
      </c>
      <c r="D74" s="438">
        <f t="shared" si="140"/>
        <v>145.44</v>
      </c>
      <c r="E74" s="1111">
        <v>145.44</v>
      </c>
      <c r="F74" s="1111"/>
      <c r="G74" s="435"/>
      <c r="H74" s="477">
        <v>1009.02</v>
      </c>
      <c r="I74" s="438">
        <f t="shared" si="152"/>
        <v>0</v>
      </c>
      <c r="J74" s="1113"/>
      <c r="K74" s="1111"/>
      <c r="L74" s="435"/>
      <c r="M74" s="438">
        <f t="shared" si="153"/>
        <v>0</v>
      </c>
      <c r="N74" s="1113">
        <f>J74</f>
        <v>0</v>
      </c>
      <c r="O74" s="1111"/>
      <c r="P74" s="435"/>
      <c r="Q74" s="438">
        <f t="shared" si="154"/>
        <v>0</v>
      </c>
      <c r="R74" s="1113">
        <f>N74</f>
        <v>0</v>
      </c>
      <c r="S74" s="1111"/>
      <c r="T74" s="435"/>
      <c r="U74" s="438">
        <f t="shared" si="155"/>
        <v>0</v>
      </c>
      <c r="V74" s="1113">
        <f>R74</f>
        <v>0</v>
      </c>
      <c r="W74" s="1111"/>
      <c r="X74" s="435"/>
      <c r="Y74" s="438">
        <f t="shared" si="156"/>
        <v>0</v>
      </c>
      <c r="Z74" s="1113">
        <f>V74</f>
        <v>0</v>
      </c>
      <c r="AA74" s="1111"/>
      <c r="AB74" s="435"/>
      <c r="AC74" s="633">
        <f t="shared" si="8"/>
        <v>0</v>
      </c>
      <c r="AD74" s="1083">
        <f t="shared" si="9"/>
        <v>0</v>
      </c>
      <c r="AE74" s="1083" t="str">
        <f t="shared" si="10"/>
        <v xml:space="preserve"> </v>
      </c>
      <c r="AF74" s="1083" t="str">
        <f t="shared" si="11"/>
        <v xml:space="preserve"> </v>
      </c>
      <c r="AG74" s="1083" t="str">
        <f t="shared" si="12"/>
        <v xml:space="preserve"> </v>
      </c>
      <c r="AH74" s="176" t="str">
        <f t="shared" si="13"/>
        <v xml:space="preserve"> </v>
      </c>
      <c r="AI74" s="1081"/>
      <c r="AJ74" s="65"/>
    </row>
    <row r="75" spans="1:37" s="36" customFormat="1" ht="18.75">
      <c r="A75" s="39" t="s">
        <v>25</v>
      </c>
      <c r="B75" s="1116" t="s">
        <v>119</v>
      </c>
      <c r="C75" s="654" t="s">
        <v>0</v>
      </c>
      <c r="D75" s="436">
        <f t="shared" ref="D75:G75" si="157">SUM(D76:D78)</f>
        <v>717.26</v>
      </c>
      <c r="E75" s="1109">
        <f t="shared" si="157"/>
        <v>176.08999999999997</v>
      </c>
      <c r="F75" s="1109">
        <f t="shared" si="157"/>
        <v>0</v>
      </c>
      <c r="G75" s="437">
        <f t="shared" si="157"/>
        <v>541.17000000000007</v>
      </c>
      <c r="H75" s="478">
        <f t="shared" ref="H75:AB75" si="158">SUM(H76:H78)</f>
        <v>1012.5455999999999</v>
      </c>
      <c r="I75" s="436">
        <f t="shared" si="158"/>
        <v>1001.97</v>
      </c>
      <c r="J75" s="1109">
        <f t="shared" si="158"/>
        <v>156.21</v>
      </c>
      <c r="K75" s="1109">
        <f t="shared" si="158"/>
        <v>0</v>
      </c>
      <c r="L75" s="437">
        <f t="shared" si="158"/>
        <v>845.76</v>
      </c>
      <c r="M75" s="436">
        <f t="shared" si="158"/>
        <v>1025.6600000000001</v>
      </c>
      <c r="N75" s="1109">
        <f t="shared" si="158"/>
        <v>159.88999999999999</v>
      </c>
      <c r="O75" s="1109">
        <f t="shared" si="158"/>
        <v>0</v>
      </c>
      <c r="P75" s="437">
        <f t="shared" si="158"/>
        <v>865.77</v>
      </c>
      <c r="Q75" s="436">
        <f t="shared" si="158"/>
        <v>1056.03</v>
      </c>
      <c r="R75" s="1109">
        <f t="shared" si="158"/>
        <v>164.63</v>
      </c>
      <c r="S75" s="1109">
        <f t="shared" si="158"/>
        <v>0</v>
      </c>
      <c r="T75" s="437">
        <f t="shared" si="158"/>
        <v>891.4</v>
      </c>
      <c r="U75" s="436">
        <f t="shared" si="158"/>
        <v>1087.3</v>
      </c>
      <c r="V75" s="1109">
        <f t="shared" si="158"/>
        <v>169.51</v>
      </c>
      <c r="W75" s="1109">
        <f t="shared" si="158"/>
        <v>0</v>
      </c>
      <c r="X75" s="437">
        <f t="shared" si="158"/>
        <v>917.79</v>
      </c>
      <c r="Y75" s="436">
        <f t="shared" si="158"/>
        <v>1119.48</v>
      </c>
      <c r="Z75" s="1109">
        <f t="shared" si="158"/>
        <v>174.53</v>
      </c>
      <c r="AA75" s="1109">
        <f t="shared" si="158"/>
        <v>0</v>
      </c>
      <c r="AB75" s="437">
        <f t="shared" si="158"/>
        <v>944.95</v>
      </c>
      <c r="AC75" s="633">
        <f t="shared" si="8"/>
        <v>0.98955543335529783</v>
      </c>
      <c r="AD75" s="1083">
        <f t="shared" si="9"/>
        <v>1.3969411371050944</v>
      </c>
      <c r="AE75" s="1083">
        <f t="shared" si="10"/>
        <v>1.0236434224577582</v>
      </c>
      <c r="AF75" s="1083">
        <f t="shared" si="11"/>
        <v>1.029610202211259</v>
      </c>
      <c r="AG75" s="1083">
        <f t="shared" si="12"/>
        <v>1.0296109012054582</v>
      </c>
      <c r="AH75" s="176">
        <f t="shared" si="13"/>
        <v>1.029596247585763</v>
      </c>
      <c r="AI75" s="1081"/>
      <c r="AJ75" s="65"/>
      <c r="AK75" s="66"/>
    </row>
    <row r="76" spans="1:37" s="52" customFormat="1" ht="18.75" outlineLevel="1">
      <c r="A76" s="67"/>
      <c r="B76" s="1119" t="s">
        <v>120</v>
      </c>
      <c r="C76" s="657" t="s">
        <v>0</v>
      </c>
      <c r="D76" s="438">
        <f t="shared" si="140"/>
        <v>539.85</v>
      </c>
      <c r="E76" s="1118">
        <v>132.54</v>
      </c>
      <c r="F76" s="1118">
        <v>0</v>
      </c>
      <c r="G76" s="442">
        <v>407.31</v>
      </c>
      <c r="H76" s="481">
        <f>H30*0.302</f>
        <v>528.37919999999997</v>
      </c>
      <c r="I76" s="438">
        <f t="shared" ref="I76:I82" si="159">J76+K76+L76</f>
        <v>519.41</v>
      </c>
      <c r="J76" s="1118">
        <f>ROUND(J30*0.301,2)</f>
        <v>80.98</v>
      </c>
      <c r="K76" s="1118">
        <v>0</v>
      </c>
      <c r="L76" s="442">
        <f>ROUND(L30*0.301,2)</f>
        <v>438.43</v>
      </c>
      <c r="M76" s="438">
        <f t="shared" ref="M76:M82" si="160">N76+O76+P76</f>
        <v>531.69000000000005</v>
      </c>
      <c r="N76" s="1118">
        <f>ROUND(N30*0.301,2)</f>
        <v>82.89</v>
      </c>
      <c r="O76" s="1118">
        <v>0</v>
      </c>
      <c r="P76" s="442">
        <f>ROUND(P30*0.301,2)</f>
        <v>448.8</v>
      </c>
      <c r="Q76" s="438">
        <f t="shared" ref="Q76:Q82" si="161">R76+S76+T76</f>
        <v>547.42999999999995</v>
      </c>
      <c r="R76" s="1118">
        <f>ROUND(R30*0.301,2)</f>
        <v>85.34</v>
      </c>
      <c r="S76" s="1118">
        <v>0</v>
      </c>
      <c r="T76" s="442">
        <f>ROUND(T30*0.301,2)</f>
        <v>462.09</v>
      </c>
      <c r="U76" s="438">
        <f t="shared" ref="U76:U82" si="162">V76+W76+X76</f>
        <v>563.64</v>
      </c>
      <c r="V76" s="1118">
        <f>ROUND(V30*0.301,2)</f>
        <v>87.87</v>
      </c>
      <c r="W76" s="1118">
        <v>0</v>
      </c>
      <c r="X76" s="442">
        <f>ROUND(X30*0.301,2)</f>
        <v>475.77</v>
      </c>
      <c r="Y76" s="438">
        <f t="shared" ref="Y76:Y82" si="163">Z76+AA76+AB76</f>
        <v>580.32000000000005</v>
      </c>
      <c r="Z76" s="1118">
        <f>ROUND(Z30*0.301,2)</f>
        <v>90.47</v>
      </c>
      <c r="AA76" s="1118">
        <v>0</v>
      </c>
      <c r="AB76" s="442">
        <f>ROUND(AB30*0.301,2)</f>
        <v>489.85</v>
      </c>
      <c r="AC76" s="633">
        <f t="shared" si="8"/>
        <v>0.98302506987406013</v>
      </c>
      <c r="AD76" s="1083">
        <f t="shared" si="9"/>
        <v>0.96213763082337678</v>
      </c>
      <c r="AE76" s="1083">
        <f t="shared" si="10"/>
        <v>1.0236422094299302</v>
      </c>
      <c r="AF76" s="1083">
        <f t="shared" si="11"/>
        <v>1.0296037164513154</v>
      </c>
      <c r="AG76" s="1083">
        <f t="shared" si="12"/>
        <v>1.0296110918290924</v>
      </c>
      <c r="AH76" s="176">
        <f t="shared" si="13"/>
        <v>1.02959335746221</v>
      </c>
      <c r="AI76" s="1117"/>
      <c r="AJ76" s="68"/>
      <c r="AK76" s="69"/>
    </row>
    <row r="77" spans="1:37" s="52" customFormat="1" ht="18.75" outlineLevel="1">
      <c r="A77" s="67"/>
      <c r="B77" s="1119" t="s">
        <v>121</v>
      </c>
      <c r="C77" s="657" t="s">
        <v>0</v>
      </c>
      <c r="D77" s="438">
        <f t="shared" si="140"/>
        <v>0</v>
      </c>
      <c r="E77" s="1118"/>
      <c r="F77" s="1118"/>
      <c r="G77" s="442"/>
      <c r="H77" s="481"/>
      <c r="I77" s="438">
        <f t="shared" si="159"/>
        <v>0</v>
      </c>
      <c r="J77" s="1118"/>
      <c r="K77" s="1118"/>
      <c r="L77" s="442"/>
      <c r="M77" s="438">
        <f t="shared" si="160"/>
        <v>0</v>
      </c>
      <c r="N77" s="1118"/>
      <c r="O77" s="1118"/>
      <c r="P77" s="442"/>
      <c r="Q77" s="438">
        <f t="shared" si="161"/>
        <v>0</v>
      </c>
      <c r="R77" s="1118"/>
      <c r="S77" s="1118"/>
      <c r="T77" s="442"/>
      <c r="U77" s="438">
        <f t="shared" si="162"/>
        <v>0</v>
      </c>
      <c r="V77" s="1118"/>
      <c r="W77" s="1118"/>
      <c r="X77" s="442"/>
      <c r="Y77" s="438">
        <f t="shared" si="163"/>
        <v>0</v>
      </c>
      <c r="Z77" s="1118"/>
      <c r="AA77" s="1118"/>
      <c r="AB77" s="442"/>
      <c r="AC77" s="633" t="str">
        <f t="shared" si="8"/>
        <v xml:space="preserve"> </v>
      </c>
      <c r="AD77" s="1083" t="str">
        <f t="shared" si="9"/>
        <v xml:space="preserve"> </v>
      </c>
      <c r="AE77" s="1083" t="str">
        <f t="shared" si="10"/>
        <v xml:space="preserve"> </v>
      </c>
      <c r="AF77" s="1083" t="str">
        <f t="shared" si="11"/>
        <v xml:space="preserve"> </v>
      </c>
      <c r="AG77" s="1083" t="str">
        <f t="shared" si="12"/>
        <v xml:space="preserve"> </v>
      </c>
      <c r="AH77" s="176" t="str">
        <f t="shared" si="13"/>
        <v xml:space="preserve"> </v>
      </c>
      <c r="AI77" s="1117"/>
      <c r="AJ77" s="68"/>
      <c r="AK77" s="69"/>
    </row>
    <row r="78" spans="1:37" s="52" customFormat="1" ht="18.75" outlineLevel="1">
      <c r="A78" s="67"/>
      <c r="B78" s="1119" t="s">
        <v>48</v>
      </c>
      <c r="C78" s="657" t="s">
        <v>0</v>
      </c>
      <c r="D78" s="438">
        <f t="shared" si="140"/>
        <v>177.41000000000003</v>
      </c>
      <c r="E78" s="1118">
        <v>43.55</v>
      </c>
      <c r="F78" s="1118">
        <v>0</v>
      </c>
      <c r="G78" s="442">
        <v>133.86000000000001</v>
      </c>
      <c r="H78" s="481">
        <f>H32*0.302</f>
        <v>484.16640000000001</v>
      </c>
      <c r="I78" s="438">
        <f t="shared" si="159"/>
        <v>482.56</v>
      </c>
      <c r="J78" s="1118">
        <f>ROUND(J32*0.301,2)</f>
        <v>75.23</v>
      </c>
      <c r="K78" s="1118">
        <v>0</v>
      </c>
      <c r="L78" s="442">
        <f>ROUND(L32*0.301,2)</f>
        <v>407.33</v>
      </c>
      <c r="M78" s="438">
        <f t="shared" si="160"/>
        <v>493.97</v>
      </c>
      <c r="N78" s="1118">
        <f>ROUND(N32*0.301,1)</f>
        <v>77</v>
      </c>
      <c r="O78" s="1118">
        <v>0</v>
      </c>
      <c r="P78" s="442">
        <f>ROUND(P32*0.301,2)</f>
        <v>416.97</v>
      </c>
      <c r="Q78" s="438">
        <f t="shared" si="161"/>
        <v>508.6</v>
      </c>
      <c r="R78" s="1118">
        <f>ROUND(R32*0.301,2)</f>
        <v>79.290000000000006</v>
      </c>
      <c r="S78" s="1118">
        <v>0</v>
      </c>
      <c r="T78" s="442">
        <f>ROUND(T32*0.301,2)</f>
        <v>429.31</v>
      </c>
      <c r="U78" s="438">
        <f t="shared" si="162"/>
        <v>523.66</v>
      </c>
      <c r="V78" s="1118">
        <f>ROUND(V32*0.301,2)</f>
        <v>81.64</v>
      </c>
      <c r="W78" s="1118">
        <v>0</v>
      </c>
      <c r="X78" s="442">
        <f>ROUND(X32*0.301,2)</f>
        <v>442.02</v>
      </c>
      <c r="Y78" s="438">
        <f t="shared" si="163"/>
        <v>539.16000000000008</v>
      </c>
      <c r="Z78" s="1118">
        <f>ROUND(Z32*0.301,2)</f>
        <v>84.06</v>
      </c>
      <c r="AA78" s="1118">
        <v>0</v>
      </c>
      <c r="AB78" s="442">
        <f>ROUND(AB32*0.301,2)</f>
        <v>455.1</v>
      </c>
      <c r="AC78" s="633">
        <f t="shared" si="8"/>
        <v>0.99668213242389392</v>
      </c>
      <c r="AD78" s="1083">
        <f t="shared" si="9"/>
        <v>2.7200270559720416</v>
      </c>
      <c r="AE78" s="1083">
        <f t="shared" si="10"/>
        <v>1.0236447281167109</v>
      </c>
      <c r="AF78" s="1083">
        <f t="shared" si="11"/>
        <v>1.0296171832297507</v>
      </c>
      <c r="AG78" s="1083">
        <f t="shared" si="12"/>
        <v>1.0296106960283129</v>
      </c>
      <c r="AH78" s="176">
        <f t="shared" si="13"/>
        <v>1.0295993583622964</v>
      </c>
      <c r="AI78" s="1117"/>
      <c r="AJ78" s="68"/>
      <c r="AK78" s="69"/>
    </row>
    <row r="79" spans="1:37" s="36" customFormat="1" ht="18.75">
      <c r="A79" s="39" t="s">
        <v>23</v>
      </c>
      <c r="B79" s="1116" t="s">
        <v>56</v>
      </c>
      <c r="C79" s="654" t="s">
        <v>0</v>
      </c>
      <c r="D79" s="445">
        <f t="shared" si="140"/>
        <v>1153.6300000000001</v>
      </c>
      <c r="E79" s="1111">
        <v>1153.6300000000001</v>
      </c>
      <c r="F79" s="1111"/>
      <c r="G79" s="435"/>
      <c r="H79" s="477">
        <v>1058</v>
      </c>
      <c r="I79" s="445">
        <f t="shared" si="159"/>
        <v>1058</v>
      </c>
      <c r="J79" s="1115">
        <f>H79</f>
        <v>1058</v>
      </c>
      <c r="K79" s="1111"/>
      <c r="L79" s="435"/>
      <c r="M79" s="445">
        <f t="shared" si="160"/>
        <v>1058</v>
      </c>
      <c r="N79" s="1115">
        <f>J79</f>
        <v>1058</v>
      </c>
      <c r="O79" s="1111"/>
      <c r="P79" s="435"/>
      <c r="Q79" s="445">
        <f t="shared" si="161"/>
        <v>1058</v>
      </c>
      <c r="R79" s="1115">
        <f>J79</f>
        <v>1058</v>
      </c>
      <c r="S79" s="1111"/>
      <c r="T79" s="435"/>
      <c r="U79" s="445">
        <f t="shared" si="162"/>
        <v>1058</v>
      </c>
      <c r="V79" s="1115">
        <f>R79</f>
        <v>1058</v>
      </c>
      <c r="W79" s="1111"/>
      <c r="X79" s="435"/>
      <c r="Y79" s="445">
        <f t="shared" si="163"/>
        <v>1043.67</v>
      </c>
      <c r="Z79" s="1115">
        <f>ROUND([176]амортизация!W28/1000,2)</f>
        <v>1043.67</v>
      </c>
      <c r="AA79" s="1111"/>
      <c r="AB79" s="435"/>
      <c r="AC79" s="633">
        <f t="shared" ref="AC79:AC124" si="164">IFERROR(I79/H79, " ")</f>
        <v>1</v>
      </c>
      <c r="AD79" s="1083">
        <f t="shared" ref="AD79:AD124" si="165">IFERROR(I79/D79, " ")</f>
        <v>0.91710513769579494</v>
      </c>
      <c r="AE79" s="1083">
        <f t="shared" ref="AE79:AE124" si="166">IFERROR(M79/I79, " ")</f>
        <v>1</v>
      </c>
      <c r="AF79" s="1083">
        <f t="shared" ref="AF79:AF124" si="167">IFERROR(Q79/M79, " ")</f>
        <v>1</v>
      </c>
      <c r="AG79" s="1083">
        <f t="shared" ref="AG79:AG124" si="168">IFERROR(U79/Q79, " ")</f>
        <v>1</v>
      </c>
      <c r="AH79" s="176">
        <f t="shared" ref="AH79:AH124" si="169">IFERROR(Y79/U79, " ")</f>
        <v>0.98645557655954641</v>
      </c>
      <c r="AI79" s="1114"/>
    </row>
    <row r="80" spans="1:37" s="36" customFormat="1" ht="35.25" customHeight="1">
      <c r="A80" s="39" t="s">
        <v>45</v>
      </c>
      <c r="B80" s="1112" t="s">
        <v>122</v>
      </c>
      <c r="C80" s="654" t="s">
        <v>0</v>
      </c>
      <c r="D80" s="445">
        <f t="shared" si="140"/>
        <v>734.26499999999999</v>
      </c>
      <c r="E80" s="1111">
        <v>734.26499999999999</v>
      </c>
      <c r="F80" s="1111"/>
      <c r="G80" s="435"/>
      <c r="H80" s="477">
        <v>378.8</v>
      </c>
      <c r="I80" s="445">
        <f t="shared" si="159"/>
        <v>0</v>
      </c>
      <c r="J80" s="1113"/>
      <c r="K80" s="1111"/>
      <c r="L80" s="435"/>
      <c r="M80" s="445">
        <f t="shared" si="160"/>
        <v>0</v>
      </c>
      <c r="N80" s="1113">
        <f>J80</f>
        <v>0</v>
      </c>
      <c r="O80" s="1111"/>
      <c r="P80" s="435"/>
      <c r="Q80" s="445">
        <f t="shared" si="161"/>
        <v>0</v>
      </c>
      <c r="R80" s="1113">
        <f>N80</f>
        <v>0</v>
      </c>
      <c r="S80" s="1111"/>
      <c r="T80" s="435"/>
      <c r="U80" s="445">
        <f t="shared" si="162"/>
        <v>0</v>
      </c>
      <c r="V80" s="1113">
        <f>R80</f>
        <v>0</v>
      </c>
      <c r="W80" s="1111"/>
      <c r="X80" s="435"/>
      <c r="Y80" s="445">
        <f t="shared" si="163"/>
        <v>0</v>
      </c>
      <c r="Z80" s="1113">
        <f>V80</f>
        <v>0</v>
      </c>
      <c r="AA80" s="1111"/>
      <c r="AB80" s="435"/>
      <c r="AC80" s="633">
        <f t="shared" si="164"/>
        <v>0</v>
      </c>
      <c r="AD80" s="1083">
        <f t="shared" si="165"/>
        <v>0</v>
      </c>
      <c r="AE80" s="1083" t="str">
        <f t="shared" si="166"/>
        <v xml:space="preserve"> </v>
      </c>
      <c r="AF80" s="1083" t="str">
        <f t="shared" si="167"/>
        <v xml:space="preserve"> </v>
      </c>
      <c r="AG80" s="1083" t="str">
        <f t="shared" si="168"/>
        <v xml:space="preserve"> </v>
      </c>
      <c r="AH80" s="176" t="str">
        <f t="shared" si="169"/>
        <v xml:space="preserve"> </v>
      </c>
      <c r="AI80" s="1081"/>
    </row>
    <row r="81" spans="1:39" s="36" customFormat="1" ht="31.5">
      <c r="A81" s="39" t="s">
        <v>52</v>
      </c>
      <c r="B81" s="1112" t="s">
        <v>194</v>
      </c>
      <c r="C81" s="654" t="s">
        <v>0</v>
      </c>
      <c r="D81" s="438">
        <f t="shared" si="140"/>
        <v>0</v>
      </c>
      <c r="E81" s="1111"/>
      <c r="F81" s="1111"/>
      <c r="G81" s="435"/>
      <c r="H81" s="477"/>
      <c r="I81" s="438">
        <f t="shared" si="159"/>
        <v>0</v>
      </c>
      <c r="J81" s="1111"/>
      <c r="K81" s="1111"/>
      <c r="L81" s="435"/>
      <c r="M81" s="438">
        <f t="shared" si="160"/>
        <v>0</v>
      </c>
      <c r="N81" s="1111"/>
      <c r="O81" s="1111"/>
      <c r="P81" s="435"/>
      <c r="Q81" s="438">
        <f t="shared" si="161"/>
        <v>0</v>
      </c>
      <c r="R81" s="1111"/>
      <c r="S81" s="1111"/>
      <c r="T81" s="435"/>
      <c r="U81" s="438">
        <f t="shared" si="162"/>
        <v>0</v>
      </c>
      <c r="V81" s="1111"/>
      <c r="W81" s="1111"/>
      <c r="X81" s="435"/>
      <c r="Y81" s="438">
        <f t="shared" si="163"/>
        <v>0</v>
      </c>
      <c r="Z81" s="1111"/>
      <c r="AA81" s="1111"/>
      <c r="AB81" s="435"/>
      <c r="AC81" s="633" t="str">
        <f t="shared" si="164"/>
        <v xml:space="preserve"> </v>
      </c>
      <c r="AD81" s="1083" t="str">
        <f t="shared" si="165"/>
        <v xml:space="preserve"> </v>
      </c>
      <c r="AE81" s="1083" t="str">
        <f t="shared" si="166"/>
        <v xml:space="preserve"> </v>
      </c>
      <c r="AF81" s="1083" t="str">
        <f t="shared" si="167"/>
        <v xml:space="preserve"> </v>
      </c>
      <c r="AG81" s="1083" t="str">
        <f t="shared" si="168"/>
        <v xml:space="preserve"> </v>
      </c>
      <c r="AH81" s="176" t="str">
        <f t="shared" si="169"/>
        <v xml:space="preserve"> </v>
      </c>
      <c r="AI81" s="1081"/>
    </row>
    <row r="82" spans="1:39" s="36" customFormat="1" ht="69" customHeight="1" thickBot="1">
      <c r="A82" s="701" t="s">
        <v>53</v>
      </c>
      <c r="B82" s="720" t="s">
        <v>251</v>
      </c>
      <c r="C82" s="702" t="s">
        <v>0</v>
      </c>
      <c r="D82" s="721">
        <f t="shared" si="140"/>
        <v>0</v>
      </c>
      <c r="E82" s="703"/>
      <c r="F82" s="703"/>
      <c r="G82" s="704"/>
      <c r="H82" s="705"/>
      <c r="I82" s="721">
        <f t="shared" si="159"/>
        <v>0</v>
      </c>
      <c r="J82" s="703"/>
      <c r="K82" s="703"/>
      <c r="L82" s="704"/>
      <c r="M82" s="721">
        <f t="shared" si="160"/>
        <v>0</v>
      </c>
      <c r="N82" s="703"/>
      <c r="O82" s="703"/>
      <c r="P82" s="704"/>
      <c r="Q82" s="721">
        <f t="shared" si="161"/>
        <v>0</v>
      </c>
      <c r="R82" s="703"/>
      <c r="S82" s="703"/>
      <c r="T82" s="704"/>
      <c r="U82" s="721">
        <f t="shared" si="162"/>
        <v>0</v>
      </c>
      <c r="V82" s="703"/>
      <c r="W82" s="703"/>
      <c r="X82" s="704"/>
      <c r="Y82" s="721">
        <f t="shared" si="163"/>
        <v>0</v>
      </c>
      <c r="Z82" s="703"/>
      <c r="AA82" s="703"/>
      <c r="AB82" s="704"/>
      <c r="AC82" s="634" t="str">
        <f t="shared" si="164"/>
        <v xml:space="preserve"> </v>
      </c>
      <c r="AD82" s="631" t="str">
        <f t="shared" si="165"/>
        <v xml:space="preserve"> </v>
      </c>
      <c r="AE82" s="631" t="str">
        <f t="shared" si="166"/>
        <v xml:space="preserve"> </v>
      </c>
      <c r="AF82" s="631" t="str">
        <f t="shared" si="167"/>
        <v xml:space="preserve"> </v>
      </c>
      <c r="AG82" s="631" t="str">
        <f t="shared" si="168"/>
        <v xml:space="preserve"> </v>
      </c>
      <c r="AH82" s="632" t="str">
        <f t="shared" si="169"/>
        <v xml:space="preserve"> </v>
      </c>
      <c r="AI82" s="1081"/>
    </row>
    <row r="83" spans="1:39" s="33" customFormat="1" ht="18.75">
      <c r="A83" s="1233" t="s">
        <v>203</v>
      </c>
      <c r="B83" s="1234"/>
      <c r="C83" s="676" t="s">
        <v>0</v>
      </c>
      <c r="D83" s="696">
        <f t="shared" ref="D83:AB83" si="170">D84+D85</f>
        <v>3323.55</v>
      </c>
      <c r="E83" s="697">
        <f t="shared" si="170"/>
        <v>0</v>
      </c>
      <c r="F83" s="697">
        <f t="shared" si="170"/>
        <v>0</v>
      </c>
      <c r="G83" s="698">
        <f t="shared" si="170"/>
        <v>3323.55</v>
      </c>
      <c r="H83" s="699">
        <f t="shared" si="170"/>
        <v>1867.8</v>
      </c>
      <c r="I83" s="696">
        <f t="shared" si="170"/>
        <v>994.4</v>
      </c>
      <c r="J83" s="697">
        <f t="shared" si="170"/>
        <v>0</v>
      </c>
      <c r="K83" s="697">
        <f t="shared" si="170"/>
        <v>0</v>
      </c>
      <c r="L83" s="698">
        <f t="shared" si="170"/>
        <v>994.4</v>
      </c>
      <c r="M83" s="696">
        <f t="shared" si="170"/>
        <v>994.4</v>
      </c>
      <c r="N83" s="697">
        <f t="shared" si="170"/>
        <v>0</v>
      </c>
      <c r="O83" s="697">
        <f t="shared" si="170"/>
        <v>0</v>
      </c>
      <c r="P83" s="698">
        <f t="shared" si="170"/>
        <v>994.4</v>
      </c>
      <c r="Q83" s="696">
        <f t="shared" si="170"/>
        <v>994.4</v>
      </c>
      <c r="R83" s="697">
        <f t="shared" si="170"/>
        <v>0</v>
      </c>
      <c r="S83" s="697">
        <f t="shared" si="170"/>
        <v>0</v>
      </c>
      <c r="T83" s="698">
        <f t="shared" si="170"/>
        <v>994.4</v>
      </c>
      <c r="U83" s="696">
        <f t="shared" si="170"/>
        <v>994.4</v>
      </c>
      <c r="V83" s="697">
        <f t="shared" si="170"/>
        <v>0</v>
      </c>
      <c r="W83" s="697">
        <f t="shared" si="170"/>
        <v>0</v>
      </c>
      <c r="X83" s="698">
        <f t="shared" si="170"/>
        <v>994.4</v>
      </c>
      <c r="Y83" s="696">
        <f t="shared" si="170"/>
        <v>994.4</v>
      </c>
      <c r="Z83" s="697">
        <f t="shared" si="170"/>
        <v>0</v>
      </c>
      <c r="AA83" s="697">
        <f t="shared" si="170"/>
        <v>0</v>
      </c>
      <c r="AB83" s="698">
        <f t="shared" si="170"/>
        <v>994.4</v>
      </c>
      <c r="AC83" s="700">
        <f t="shared" si="164"/>
        <v>0.53239104829210837</v>
      </c>
      <c r="AD83" s="685">
        <f t="shared" si="165"/>
        <v>0.29919814656015403</v>
      </c>
      <c r="AE83" s="685">
        <f t="shared" si="166"/>
        <v>1</v>
      </c>
      <c r="AF83" s="685">
        <f t="shared" si="167"/>
        <v>1</v>
      </c>
      <c r="AG83" s="685">
        <f t="shared" si="168"/>
        <v>1</v>
      </c>
      <c r="AH83" s="686">
        <f t="shared" si="169"/>
        <v>1</v>
      </c>
      <c r="AI83" s="1105"/>
    </row>
    <row r="84" spans="1:39" s="174" customFormat="1" ht="78.75">
      <c r="A84" s="627" t="s">
        <v>210</v>
      </c>
      <c r="B84" s="1110" t="s">
        <v>243</v>
      </c>
      <c r="C84" s="654" t="s">
        <v>0</v>
      </c>
      <c r="D84" s="445"/>
      <c r="E84" s="1111"/>
      <c r="F84" s="1111"/>
      <c r="G84" s="435"/>
      <c r="H84" s="477"/>
      <c r="I84" s="445"/>
      <c r="J84" s="1111"/>
      <c r="K84" s="1111"/>
      <c r="L84" s="435"/>
      <c r="M84" s="445"/>
      <c r="N84" s="1111"/>
      <c r="O84" s="1111"/>
      <c r="P84" s="435"/>
      <c r="Q84" s="445"/>
      <c r="R84" s="1111"/>
      <c r="S84" s="1111"/>
      <c r="T84" s="435"/>
      <c r="U84" s="445"/>
      <c r="V84" s="1111"/>
      <c r="W84" s="1111"/>
      <c r="X84" s="435"/>
      <c r="Y84" s="445"/>
      <c r="Z84" s="1111"/>
      <c r="AA84" s="1111"/>
      <c r="AB84" s="435"/>
      <c r="AC84" s="633" t="str">
        <f t="shared" si="164"/>
        <v xml:space="preserve"> </v>
      </c>
      <c r="AD84" s="1083" t="str">
        <f t="shared" si="165"/>
        <v xml:space="preserve"> </v>
      </c>
      <c r="AE84" s="1083" t="str">
        <f t="shared" si="166"/>
        <v xml:space="preserve"> </v>
      </c>
      <c r="AF84" s="1083" t="str">
        <f t="shared" si="167"/>
        <v xml:space="preserve"> </v>
      </c>
      <c r="AG84" s="1083" t="str">
        <f t="shared" si="168"/>
        <v xml:space="preserve"> </v>
      </c>
      <c r="AH84" s="176" t="str">
        <f t="shared" si="169"/>
        <v xml:space="preserve"> </v>
      </c>
      <c r="AI84" s="1105"/>
    </row>
    <row r="85" spans="1:39" s="175" customFormat="1" ht="18.75">
      <c r="A85" s="627" t="s">
        <v>244</v>
      </c>
      <c r="B85" s="1110" t="s">
        <v>245</v>
      </c>
      <c r="C85" s="654" t="s">
        <v>0</v>
      </c>
      <c r="D85" s="436">
        <f t="shared" ref="D85:AB85" si="171">D86+D87+D88</f>
        <v>3323.55</v>
      </c>
      <c r="E85" s="1109">
        <f t="shared" si="171"/>
        <v>0</v>
      </c>
      <c r="F85" s="1109">
        <f t="shared" si="171"/>
        <v>0</v>
      </c>
      <c r="G85" s="437">
        <f t="shared" si="171"/>
        <v>3323.55</v>
      </c>
      <c r="H85" s="478">
        <f t="shared" si="171"/>
        <v>1867.8</v>
      </c>
      <c r="I85" s="436">
        <f t="shared" si="171"/>
        <v>994.4</v>
      </c>
      <c r="J85" s="1109">
        <f t="shared" si="171"/>
        <v>0</v>
      </c>
      <c r="K85" s="1109">
        <f t="shared" si="171"/>
        <v>0</v>
      </c>
      <c r="L85" s="437">
        <f t="shared" si="171"/>
        <v>994.4</v>
      </c>
      <c r="M85" s="436">
        <f t="shared" si="171"/>
        <v>994.4</v>
      </c>
      <c r="N85" s="1109">
        <f t="shared" si="171"/>
        <v>0</v>
      </c>
      <c r="O85" s="1109">
        <f t="shared" si="171"/>
        <v>0</v>
      </c>
      <c r="P85" s="437">
        <f t="shared" si="171"/>
        <v>994.4</v>
      </c>
      <c r="Q85" s="436">
        <f t="shared" si="171"/>
        <v>994.4</v>
      </c>
      <c r="R85" s="1109">
        <f t="shared" si="171"/>
        <v>0</v>
      </c>
      <c r="S85" s="1109">
        <f t="shared" si="171"/>
        <v>0</v>
      </c>
      <c r="T85" s="437">
        <f t="shared" si="171"/>
        <v>994.4</v>
      </c>
      <c r="U85" s="436">
        <f t="shared" si="171"/>
        <v>994.4</v>
      </c>
      <c r="V85" s="1109">
        <f t="shared" si="171"/>
        <v>0</v>
      </c>
      <c r="W85" s="1109">
        <f t="shared" si="171"/>
        <v>0</v>
      </c>
      <c r="X85" s="437">
        <f t="shared" si="171"/>
        <v>994.4</v>
      </c>
      <c r="Y85" s="436">
        <f t="shared" si="171"/>
        <v>994.4</v>
      </c>
      <c r="Z85" s="1109">
        <f t="shared" si="171"/>
        <v>0</v>
      </c>
      <c r="AA85" s="1109">
        <f t="shared" si="171"/>
        <v>0</v>
      </c>
      <c r="AB85" s="437">
        <f t="shared" si="171"/>
        <v>994.4</v>
      </c>
      <c r="AC85" s="633">
        <f t="shared" si="164"/>
        <v>0.53239104829210837</v>
      </c>
      <c r="AD85" s="1083">
        <f t="shared" si="165"/>
        <v>0.29919814656015403</v>
      </c>
      <c r="AE85" s="1083">
        <f t="shared" si="166"/>
        <v>1</v>
      </c>
      <c r="AF85" s="1083">
        <f t="shared" si="167"/>
        <v>1</v>
      </c>
      <c r="AG85" s="1083">
        <f t="shared" si="168"/>
        <v>1</v>
      </c>
      <c r="AH85" s="176">
        <f t="shared" si="169"/>
        <v>1</v>
      </c>
      <c r="AI85" s="1105"/>
    </row>
    <row r="86" spans="1:39" s="31" customFormat="1" ht="18.75">
      <c r="A86" s="60"/>
      <c r="B86" s="1107" t="s">
        <v>59</v>
      </c>
      <c r="C86" s="658" t="s">
        <v>0</v>
      </c>
      <c r="D86" s="438">
        <f t="shared" ref="D86:D88" si="172">E86+F86+G86</f>
        <v>0</v>
      </c>
      <c r="E86" s="1108"/>
      <c r="F86" s="1108"/>
      <c r="G86" s="439"/>
      <c r="H86" s="479">
        <v>873.4</v>
      </c>
      <c r="I86" s="438">
        <f t="shared" ref="I86:I88" si="173">J86+K86+L86</f>
        <v>0</v>
      </c>
      <c r="J86" s="1108"/>
      <c r="K86" s="1108"/>
      <c r="L86" s="439"/>
      <c r="M86" s="438">
        <f t="shared" ref="M86:M88" si="174">N86+O86+P86</f>
        <v>0</v>
      </c>
      <c r="N86" s="1108"/>
      <c r="O86" s="1108"/>
      <c r="P86" s="439"/>
      <c r="Q86" s="438">
        <f t="shared" ref="Q86:Q88" si="175">R86+S86+T86</f>
        <v>0</v>
      </c>
      <c r="R86" s="1108"/>
      <c r="S86" s="1108"/>
      <c r="T86" s="439"/>
      <c r="U86" s="438">
        <f t="shared" ref="U86:U88" si="176">V86+W86+X86</f>
        <v>0</v>
      </c>
      <c r="V86" s="1108"/>
      <c r="W86" s="1108"/>
      <c r="X86" s="439"/>
      <c r="Y86" s="438">
        <f t="shared" ref="Y86:Y88" si="177">Z86+AA86+AB86</f>
        <v>0</v>
      </c>
      <c r="Z86" s="1108"/>
      <c r="AA86" s="1108"/>
      <c r="AB86" s="439"/>
      <c r="AC86" s="633">
        <f t="shared" si="164"/>
        <v>0</v>
      </c>
      <c r="AD86" s="1083" t="str">
        <f t="shared" si="165"/>
        <v xml:space="preserve"> </v>
      </c>
      <c r="AE86" s="1083" t="str">
        <f t="shared" si="166"/>
        <v xml:space="preserve"> </v>
      </c>
      <c r="AF86" s="1083" t="str">
        <f t="shared" si="167"/>
        <v xml:space="preserve"> </v>
      </c>
      <c r="AG86" s="1083" t="str">
        <f t="shared" si="168"/>
        <v xml:space="preserve"> </v>
      </c>
      <c r="AH86" s="176" t="str">
        <f t="shared" si="169"/>
        <v xml:space="preserve"> </v>
      </c>
      <c r="AI86" s="1105"/>
    </row>
    <row r="87" spans="1:39" s="31" customFormat="1" ht="31.5">
      <c r="A87" s="60"/>
      <c r="B87" s="1107" t="s">
        <v>208</v>
      </c>
      <c r="C87" s="658" t="s">
        <v>0</v>
      </c>
      <c r="D87" s="438">
        <f t="shared" si="172"/>
        <v>0</v>
      </c>
      <c r="E87" s="1108"/>
      <c r="F87" s="1108"/>
      <c r="G87" s="439"/>
      <c r="H87" s="479"/>
      <c r="I87" s="438">
        <f t="shared" si="173"/>
        <v>0</v>
      </c>
      <c r="J87" s="1108"/>
      <c r="K87" s="1108"/>
      <c r="L87" s="439"/>
      <c r="M87" s="438">
        <f t="shared" si="174"/>
        <v>0</v>
      </c>
      <c r="N87" s="1108"/>
      <c r="O87" s="1108"/>
      <c r="P87" s="439"/>
      <c r="Q87" s="438">
        <f t="shared" si="175"/>
        <v>0</v>
      </c>
      <c r="R87" s="1108"/>
      <c r="S87" s="1108"/>
      <c r="T87" s="439"/>
      <c r="U87" s="438">
        <f t="shared" si="176"/>
        <v>0</v>
      </c>
      <c r="V87" s="1108"/>
      <c r="W87" s="1108"/>
      <c r="X87" s="439"/>
      <c r="Y87" s="438">
        <f t="shared" si="177"/>
        <v>0</v>
      </c>
      <c r="Z87" s="1108"/>
      <c r="AA87" s="1108"/>
      <c r="AB87" s="439"/>
      <c r="AC87" s="633" t="str">
        <f t="shared" si="164"/>
        <v xml:space="preserve"> </v>
      </c>
      <c r="AD87" s="1083" t="str">
        <f t="shared" si="165"/>
        <v xml:space="preserve"> </v>
      </c>
      <c r="AE87" s="1083" t="str">
        <f t="shared" si="166"/>
        <v xml:space="preserve"> </v>
      </c>
      <c r="AF87" s="1083" t="str">
        <f t="shared" si="167"/>
        <v xml:space="preserve"> </v>
      </c>
      <c r="AG87" s="1083" t="str">
        <f t="shared" si="168"/>
        <v xml:space="preserve"> </v>
      </c>
      <c r="AH87" s="176" t="str">
        <f t="shared" si="169"/>
        <v xml:space="preserve"> </v>
      </c>
      <c r="AI87" s="1081"/>
      <c r="AK87" s="177"/>
    </row>
    <row r="88" spans="1:39" s="31" customFormat="1" ht="19.5" thickBot="1">
      <c r="A88" s="722"/>
      <c r="B88" s="723" t="s">
        <v>209</v>
      </c>
      <c r="C88" s="724" t="s">
        <v>0</v>
      </c>
      <c r="D88" s="885">
        <f t="shared" si="172"/>
        <v>3323.55</v>
      </c>
      <c r="E88" s="886"/>
      <c r="F88" s="886"/>
      <c r="G88" s="884">
        <v>3323.55</v>
      </c>
      <c r="H88" s="887">
        <v>994.4</v>
      </c>
      <c r="I88" s="885">
        <f t="shared" si="173"/>
        <v>994.4</v>
      </c>
      <c r="J88" s="886"/>
      <c r="K88" s="886"/>
      <c r="L88" s="884">
        <f>H88</f>
        <v>994.4</v>
      </c>
      <c r="M88" s="885">
        <f t="shared" si="174"/>
        <v>994.4</v>
      </c>
      <c r="N88" s="886"/>
      <c r="O88" s="886"/>
      <c r="P88" s="884">
        <f>L88</f>
        <v>994.4</v>
      </c>
      <c r="Q88" s="885">
        <f t="shared" si="175"/>
        <v>994.4</v>
      </c>
      <c r="R88" s="886"/>
      <c r="S88" s="886"/>
      <c r="T88" s="884">
        <f>P88</f>
        <v>994.4</v>
      </c>
      <c r="U88" s="885">
        <f t="shared" si="176"/>
        <v>994.4</v>
      </c>
      <c r="V88" s="886"/>
      <c r="W88" s="886"/>
      <c r="X88" s="884">
        <f>T88</f>
        <v>994.4</v>
      </c>
      <c r="Y88" s="885">
        <f t="shared" si="177"/>
        <v>994.4</v>
      </c>
      <c r="Z88" s="886"/>
      <c r="AA88" s="886"/>
      <c r="AB88" s="884">
        <f>X88</f>
        <v>994.4</v>
      </c>
      <c r="AC88" s="634">
        <f t="shared" si="164"/>
        <v>1</v>
      </c>
      <c r="AD88" s="631">
        <f t="shared" si="165"/>
        <v>0.29919814656015403</v>
      </c>
      <c r="AE88" s="631">
        <f t="shared" si="166"/>
        <v>1</v>
      </c>
      <c r="AF88" s="631">
        <f t="shared" si="167"/>
        <v>1</v>
      </c>
      <c r="AG88" s="631">
        <f t="shared" si="168"/>
        <v>1</v>
      </c>
      <c r="AH88" s="632">
        <f t="shared" si="169"/>
        <v>1</v>
      </c>
      <c r="AI88" s="1081"/>
      <c r="AL88" s="345"/>
      <c r="AM88" s="346"/>
    </row>
    <row r="89" spans="1:39" s="33" customFormat="1" ht="24" customHeight="1" thickBot="1">
      <c r="A89" s="1237" t="s">
        <v>181</v>
      </c>
      <c r="B89" s="1238"/>
      <c r="C89" s="745" t="s">
        <v>0</v>
      </c>
      <c r="D89" s="746">
        <f>E89+F89+G89</f>
        <v>417.59999999999997</v>
      </c>
      <c r="E89" s="747">
        <v>144.63999999999999</v>
      </c>
      <c r="F89" s="747"/>
      <c r="G89" s="748">
        <v>272.95999999999998</v>
      </c>
      <c r="H89" s="749">
        <v>686.3</v>
      </c>
      <c r="I89" s="746">
        <f>J89+K89+L89</f>
        <v>467.72</v>
      </c>
      <c r="J89" s="747">
        <f>ROUND((J14-J15-J17-J19+J20+J59-J80)*0.05,2)</f>
        <v>113.92</v>
      </c>
      <c r="K89" s="747"/>
      <c r="L89" s="748">
        <f>ROUND((L14-L15-L17-L19+L20+L59-L80)*0.05,2)</f>
        <v>353.8</v>
      </c>
      <c r="M89" s="746">
        <f>N89+O89+P89</f>
        <v>477.22</v>
      </c>
      <c r="N89" s="747">
        <f>ROUND((N14-N15-N17-N19+N20+N59-N80)*0.05,2)</f>
        <v>115.34</v>
      </c>
      <c r="O89" s="747"/>
      <c r="P89" s="748">
        <f>ROUND((P14-P15-P17-P19+P20+P59-P80)*0.05,2)</f>
        <v>361.88</v>
      </c>
      <c r="Q89" s="746">
        <f>R89+S89+T89</f>
        <v>489.38</v>
      </c>
      <c r="R89" s="747">
        <f>ROUND((R14-R15-R17-R19+R20+R59-R80)*0.05,2)</f>
        <v>117.16</v>
      </c>
      <c r="S89" s="747"/>
      <c r="T89" s="748">
        <f>ROUND((T14-T15-T17-T19+T20+T59-T80)*0.05,2)</f>
        <v>372.22</v>
      </c>
      <c r="U89" s="746">
        <f>V89+W89+X89</f>
        <v>501.91</v>
      </c>
      <c r="V89" s="747">
        <f>ROUND((V14-V15-V17-V19+V20+V59-V80)*0.05,2)</f>
        <v>119.04</v>
      </c>
      <c r="W89" s="747"/>
      <c r="X89" s="748">
        <f>ROUND((X14-X15-X17-X19+X20+X59-X80)*0.05,2)</f>
        <v>382.87</v>
      </c>
      <c r="Y89" s="746">
        <f>Z89+AA89+AB89</f>
        <v>514.07999999999993</v>
      </c>
      <c r="Z89" s="747">
        <f>ROUND((Z14-Z15-Z17-Z19+Z20+Z59-Z80)*0.05,2)</f>
        <v>120.25</v>
      </c>
      <c r="AA89" s="747"/>
      <c r="AB89" s="748">
        <f>ROUND((AB14-AB15-AB17-AB19+AB20+AB59-AB80)*0.05,2)</f>
        <v>393.83</v>
      </c>
      <c r="AC89" s="750">
        <f t="shared" si="164"/>
        <v>0.68150954393122554</v>
      </c>
      <c r="AD89" s="751">
        <f t="shared" si="165"/>
        <v>1.1200191570881228</v>
      </c>
      <c r="AE89" s="751">
        <f t="shared" si="166"/>
        <v>1.0203112973573933</v>
      </c>
      <c r="AF89" s="751">
        <f t="shared" si="167"/>
        <v>1.025480910271992</v>
      </c>
      <c r="AG89" s="751">
        <f t="shared" si="168"/>
        <v>1.0256038252482733</v>
      </c>
      <c r="AH89" s="337">
        <f t="shared" si="169"/>
        <v>1.024247375027395</v>
      </c>
      <c r="AI89" s="1105"/>
    </row>
    <row r="90" spans="1:39" s="33" customFormat="1" ht="41.25" customHeight="1" thickBot="1">
      <c r="A90" s="1231" t="s">
        <v>182</v>
      </c>
      <c r="B90" s="1232"/>
      <c r="C90" s="32" t="s">
        <v>0</v>
      </c>
      <c r="D90" s="433">
        <f>E90+F90+G90</f>
        <v>-210.88</v>
      </c>
      <c r="E90" s="92">
        <v>-210.88</v>
      </c>
      <c r="F90" s="92"/>
      <c r="G90" s="434"/>
      <c r="H90" s="476"/>
      <c r="I90" s="433">
        <f>J90+K90+L90</f>
        <v>0</v>
      </c>
      <c r="J90" s="92"/>
      <c r="K90" s="92"/>
      <c r="L90" s="434"/>
      <c r="M90" s="433">
        <f>N90+O90+P90</f>
        <v>0</v>
      </c>
      <c r="N90" s="92"/>
      <c r="O90" s="92"/>
      <c r="P90" s="434"/>
      <c r="Q90" s="433">
        <f>R90+S90+T90</f>
        <v>0</v>
      </c>
      <c r="R90" s="92"/>
      <c r="S90" s="92"/>
      <c r="T90" s="434"/>
      <c r="U90" s="433">
        <f>V90+W90+X90</f>
        <v>0</v>
      </c>
      <c r="V90" s="92"/>
      <c r="W90" s="92"/>
      <c r="X90" s="434"/>
      <c r="Y90" s="433">
        <f>Z90+AA90+AB90</f>
        <v>0</v>
      </c>
      <c r="Z90" s="92"/>
      <c r="AA90" s="92"/>
      <c r="AB90" s="434"/>
      <c r="AC90" s="743" t="str">
        <f t="shared" si="164"/>
        <v xml:space="preserve"> </v>
      </c>
      <c r="AD90" s="744">
        <f t="shared" si="165"/>
        <v>0</v>
      </c>
      <c r="AE90" s="744" t="str">
        <f t="shared" si="166"/>
        <v xml:space="preserve"> </v>
      </c>
      <c r="AF90" s="744" t="str">
        <f t="shared" si="167"/>
        <v xml:space="preserve"> </v>
      </c>
      <c r="AG90" s="744" t="str">
        <f t="shared" si="168"/>
        <v xml:space="preserve"> </v>
      </c>
      <c r="AH90" s="97" t="str">
        <f t="shared" si="169"/>
        <v xml:space="preserve"> </v>
      </c>
      <c r="AI90" s="1105"/>
    </row>
    <row r="91" spans="1:39" s="33" customFormat="1" ht="26.25" customHeight="1" thickBot="1">
      <c r="A91" s="1231" t="s">
        <v>183</v>
      </c>
      <c r="B91" s="1232"/>
      <c r="C91" s="32" t="s">
        <v>0</v>
      </c>
      <c r="D91" s="433">
        <f>SUM(D92:D95)</f>
        <v>0</v>
      </c>
      <c r="E91" s="92"/>
      <c r="F91" s="92"/>
      <c r="G91" s="434"/>
      <c r="H91" s="476"/>
      <c r="I91" s="433">
        <f>SUM(I92:I95)</f>
        <v>-1734.9999999999973</v>
      </c>
      <c r="J91" s="92">
        <f>SUM(J92:J95)</f>
        <v>-1734.9999999999973</v>
      </c>
      <c r="K91" s="92">
        <f t="shared" ref="K91:L91" si="178">SUM(K92:K95)</f>
        <v>0</v>
      </c>
      <c r="L91" s="92">
        <f t="shared" si="178"/>
        <v>0</v>
      </c>
      <c r="M91" s="433">
        <f>SUM(M92:M95)</f>
        <v>-1065.9762479721185</v>
      </c>
      <c r="N91" s="92">
        <f>SUM(N92:N95)</f>
        <v>-1065.9762479721185</v>
      </c>
      <c r="O91" s="92">
        <f t="shared" ref="O91:P91" si="179">SUM(O92:O95)</f>
        <v>0</v>
      </c>
      <c r="P91" s="92">
        <f t="shared" si="179"/>
        <v>0</v>
      </c>
      <c r="Q91" s="433">
        <f>SUM(Q92:Q95)</f>
        <v>0</v>
      </c>
      <c r="R91" s="92">
        <f>SUM(R92:R95)</f>
        <v>0</v>
      </c>
      <c r="S91" s="92">
        <f t="shared" ref="S91:T91" si="180">SUM(S92:S95)</f>
        <v>0</v>
      </c>
      <c r="T91" s="92">
        <f t="shared" si="180"/>
        <v>0</v>
      </c>
      <c r="U91" s="433">
        <f>SUM(U92:U95)</f>
        <v>0</v>
      </c>
      <c r="V91" s="92">
        <f>SUM(V92:V95)</f>
        <v>0</v>
      </c>
      <c r="W91" s="92">
        <f t="shared" ref="W91:X91" si="181">SUM(W92:W95)</f>
        <v>0</v>
      </c>
      <c r="X91" s="92">
        <f t="shared" si="181"/>
        <v>0</v>
      </c>
      <c r="Y91" s="433">
        <f>SUM(Y92:Y95)</f>
        <v>0</v>
      </c>
      <c r="Z91" s="92">
        <f>SUM(Z92:Z95)</f>
        <v>0</v>
      </c>
      <c r="AA91" s="92">
        <f t="shared" ref="AA91:AB91" si="182">SUM(AA92:AA95)</f>
        <v>0</v>
      </c>
      <c r="AB91" s="92">
        <f t="shared" si="182"/>
        <v>0</v>
      </c>
      <c r="AC91" s="743" t="str">
        <f t="shared" si="164"/>
        <v xml:space="preserve"> </v>
      </c>
      <c r="AD91" s="744" t="str">
        <f t="shared" si="165"/>
        <v xml:space="preserve"> </v>
      </c>
      <c r="AE91" s="744">
        <f t="shared" si="166"/>
        <v>0.6143955319724036</v>
      </c>
      <c r="AF91" s="744">
        <f t="shared" si="167"/>
        <v>0</v>
      </c>
      <c r="AG91" s="744" t="str">
        <f t="shared" si="168"/>
        <v xml:space="preserve"> </v>
      </c>
      <c r="AH91" s="97" t="str">
        <f t="shared" si="169"/>
        <v xml:space="preserve"> </v>
      </c>
      <c r="AI91" s="1105"/>
    </row>
    <row r="92" spans="1:39" s="31" customFormat="1" ht="32.25" customHeight="1" outlineLevel="1">
      <c r="A92" s="71" t="s">
        <v>28</v>
      </c>
      <c r="B92" s="72" t="s">
        <v>204</v>
      </c>
      <c r="C92" s="427" t="s">
        <v>0</v>
      </c>
      <c r="D92" s="446"/>
      <c r="E92" s="103"/>
      <c r="F92" s="103"/>
      <c r="G92" s="447"/>
      <c r="H92" s="483"/>
      <c r="I92" s="446">
        <f>J92+K92+L92</f>
        <v>-1734.9999999999973</v>
      </c>
      <c r="J92" s="103">
        <f>'[176]учет итогов'!I9+'[176]учет итогов'!I15+'[176]учет итогов'!I21</f>
        <v>-1734.9999999999973</v>
      </c>
      <c r="K92" s="103"/>
      <c r="L92" s="447"/>
      <c r="M92" s="446">
        <f>N92+O92+P92</f>
        <v>-648.12</v>
      </c>
      <c r="N92" s="103">
        <f>'[176]учет итогов'!J21+'[176]учет итогов'!J15</f>
        <v>-648.12</v>
      </c>
      <c r="O92" s="103"/>
      <c r="P92" s="447"/>
      <c r="Q92" s="446">
        <f>R92+S92+T92</f>
        <v>0</v>
      </c>
      <c r="R92" s="103"/>
      <c r="S92" s="103"/>
      <c r="T92" s="447"/>
      <c r="U92" s="446">
        <f>V92+W92+X92</f>
        <v>0</v>
      </c>
      <c r="V92" s="103"/>
      <c r="W92" s="103"/>
      <c r="X92" s="447"/>
      <c r="Y92" s="446">
        <f>Z92+AA92+AB92</f>
        <v>0</v>
      </c>
      <c r="Z92" s="103"/>
      <c r="AA92" s="103"/>
      <c r="AB92" s="447"/>
      <c r="AC92" s="675" t="str">
        <f t="shared" si="164"/>
        <v xml:space="preserve"> </v>
      </c>
      <c r="AD92" s="667" t="str">
        <f t="shared" si="165"/>
        <v xml:space="preserve"> </v>
      </c>
      <c r="AE92" s="667">
        <f t="shared" si="166"/>
        <v>0.37355619596541845</v>
      </c>
      <c r="AF92" s="667">
        <f t="shared" si="167"/>
        <v>0</v>
      </c>
      <c r="AG92" s="667" t="str">
        <f t="shared" si="168"/>
        <v xml:space="preserve"> </v>
      </c>
      <c r="AH92" s="668" t="str">
        <f t="shared" si="169"/>
        <v xml:space="preserve"> </v>
      </c>
      <c r="AI92" s="1081"/>
    </row>
    <row r="93" spans="1:39" s="31" customFormat="1" ht="78.75" outlineLevel="1">
      <c r="A93" s="60" t="s">
        <v>31</v>
      </c>
      <c r="B93" s="1107" t="s">
        <v>205</v>
      </c>
      <c r="C93" s="658" t="s">
        <v>0</v>
      </c>
      <c r="D93" s="448"/>
      <c r="E93" s="1106"/>
      <c r="F93" s="1106"/>
      <c r="G93" s="449"/>
      <c r="H93" s="484"/>
      <c r="I93" s="446">
        <f t="shared" ref="I93:I95" si="183">J93+K93+L93</f>
        <v>0</v>
      </c>
      <c r="J93" s="1106"/>
      <c r="K93" s="1106"/>
      <c r="L93" s="449"/>
      <c r="M93" s="446">
        <f t="shared" ref="M93:M95" si="184">N93+O93+P93</f>
        <v>0</v>
      </c>
      <c r="N93" s="1106"/>
      <c r="O93" s="1106"/>
      <c r="P93" s="449"/>
      <c r="Q93" s="446">
        <f t="shared" ref="Q93:Q95" si="185">R93+S93+T93</f>
        <v>0</v>
      </c>
      <c r="R93" s="1106"/>
      <c r="S93" s="1106"/>
      <c r="T93" s="449"/>
      <c r="U93" s="446">
        <f t="shared" ref="U93:U95" si="186">V93+W93+X93</f>
        <v>0</v>
      </c>
      <c r="V93" s="1106"/>
      <c r="W93" s="1106"/>
      <c r="X93" s="449"/>
      <c r="Y93" s="446">
        <f t="shared" ref="Y93:Y95" si="187">Z93+AA93+AB93</f>
        <v>0</v>
      </c>
      <c r="Z93" s="1106"/>
      <c r="AA93" s="1106"/>
      <c r="AB93" s="449"/>
      <c r="AC93" s="633" t="str">
        <f t="shared" si="164"/>
        <v xml:space="preserve"> </v>
      </c>
      <c r="AD93" s="1083" t="str">
        <f t="shared" si="165"/>
        <v xml:space="preserve"> </v>
      </c>
      <c r="AE93" s="1083" t="str">
        <f t="shared" si="166"/>
        <v xml:space="preserve"> </v>
      </c>
      <c r="AF93" s="1083" t="str">
        <f t="shared" si="167"/>
        <v xml:space="preserve"> </v>
      </c>
      <c r="AG93" s="1083" t="str">
        <f t="shared" si="168"/>
        <v xml:space="preserve"> </v>
      </c>
      <c r="AH93" s="176" t="str">
        <f t="shared" si="169"/>
        <v xml:space="preserve"> </v>
      </c>
      <c r="AI93" s="1081"/>
    </row>
    <row r="94" spans="1:39" s="31" customFormat="1" ht="32.25" customHeight="1" outlineLevel="1">
      <c r="A94" s="60" t="s">
        <v>32</v>
      </c>
      <c r="B94" s="1107" t="s">
        <v>206</v>
      </c>
      <c r="C94" s="658" t="s">
        <v>0</v>
      </c>
      <c r="D94" s="448"/>
      <c r="E94" s="1106"/>
      <c r="F94" s="1106"/>
      <c r="G94" s="449"/>
      <c r="H94" s="484"/>
      <c r="I94" s="446">
        <f t="shared" si="183"/>
        <v>0</v>
      </c>
      <c r="J94" s="1106"/>
      <c r="K94" s="1106"/>
      <c r="L94" s="449"/>
      <c r="M94" s="446">
        <f t="shared" si="184"/>
        <v>0</v>
      </c>
      <c r="N94" s="1106"/>
      <c r="O94" s="1106"/>
      <c r="P94" s="449"/>
      <c r="Q94" s="446">
        <f t="shared" si="185"/>
        <v>0</v>
      </c>
      <c r="R94" s="1106"/>
      <c r="S94" s="1106"/>
      <c r="T94" s="449"/>
      <c r="U94" s="446">
        <f t="shared" si="186"/>
        <v>0</v>
      </c>
      <c r="V94" s="1106"/>
      <c r="W94" s="1106"/>
      <c r="X94" s="449"/>
      <c r="Y94" s="446">
        <f t="shared" si="187"/>
        <v>0</v>
      </c>
      <c r="Z94" s="1106"/>
      <c r="AA94" s="1106"/>
      <c r="AB94" s="449"/>
      <c r="AC94" s="633" t="str">
        <f t="shared" si="164"/>
        <v xml:space="preserve"> </v>
      </c>
      <c r="AD94" s="1083" t="str">
        <f t="shared" si="165"/>
        <v xml:space="preserve"> </v>
      </c>
      <c r="AE94" s="1083" t="str">
        <f t="shared" si="166"/>
        <v xml:space="preserve"> </v>
      </c>
      <c r="AF94" s="1083" t="str">
        <f t="shared" si="167"/>
        <v xml:space="preserve"> </v>
      </c>
      <c r="AG94" s="1083" t="str">
        <f t="shared" si="168"/>
        <v xml:space="preserve"> </v>
      </c>
      <c r="AH94" s="176" t="str">
        <f t="shared" si="169"/>
        <v xml:space="preserve"> </v>
      </c>
      <c r="AI94" s="1081"/>
    </row>
    <row r="95" spans="1:39" s="31" customFormat="1" ht="97.5" customHeight="1" outlineLevel="1" thickBot="1">
      <c r="A95" s="722" t="s">
        <v>34</v>
      </c>
      <c r="B95" s="723" t="s">
        <v>207</v>
      </c>
      <c r="C95" s="724" t="s">
        <v>0</v>
      </c>
      <c r="D95" s="450"/>
      <c r="E95" s="725"/>
      <c r="F95" s="725"/>
      <c r="G95" s="726"/>
      <c r="H95" s="727"/>
      <c r="I95" s="446">
        <f t="shared" si="183"/>
        <v>0</v>
      </c>
      <c r="J95" s="725">
        <f>'[176]учет итогов'!I18+'[176]учет итогов'!I24</f>
        <v>0</v>
      </c>
      <c r="K95" s="725"/>
      <c r="L95" s="726"/>
      <c r="M95" s="446">
        <f t="shared" si="184"/>
        <v>-417.85624797211835</v>
      </c>
      <c r="N95" s="725">
        <f>'[176]учет итогов'!J24+'[176]учет итогов'!J18</f>
        <v>-417.85624797211835</v>
      </c>
      <c r="O95" s="725"/>
      <c r="P95" s="726"/>
      <c r="Q95" s="446">
        <f t="shared" si="185"/>
        <v>0</v>
      </c>
      <c r="R95" s="725"/>
      <c r="S95" s="725"/>
      <c r="T95" s="726"/>
      <c r="U95" s="446">
        <f t="shared" si="186"/>
        <v>0</v>
      </c>
      <c r="V95" s="725"/>
      <c r="W95" s="725"/>
      <c r="X95" s="726"/>
      <c r="Y95" s="446">
        <f t="shared" si="187"/>
        <v>0</v>
      </c>
      <c r="Z95" s="725"/>
      <c r="AA95" s="725"/>
      <c r="AB95" s="726"/>
      <c r="AC95" s="634" t="str">
        <f t="shared" si="164"/>
        <v xml:space="preserve"> </v>
      </c>
      <c r="AD95" s="631" t="str">
        <f t="shared" si="165"/>
        <v xml:space="preserve"> </v>
      </c>
      <c r="AE95" s="631" t="str">
        <f t="shared" si="166"/>
        <v xml:space="preserve"> </v>
      </c>
      <c r="AF95" s="631">
        <f t="shared" si="167"/>
        <v>0</v>
      </c>
      <c r="AG95" s="631" t="str">
        <f t="shared" si="168"/>
        <v xml:space="preserve"> </v>
      </c>
      <c r="AH95" s="632" t="str">
        <f t="shared" si="169"/>
        <v xml:space="preserve"> </v>
      </c>
      <c r="AI95" s="1081"/>
    </row>
    <row r="96" spans="1:39" s="33" customFormat="1" ht="19.5" thickBot="1">
      <c r="A96" s="1231" t="s">
        <v>184</v>
      </c>
      <c r="B96" s="1232"/>
      <c r="C96" s="32" t="s">
        <v>0</v>
      </c>
      <c r="D96" s="433">
        <f>SUM(D98:D104)</f>
        <v>25610.034999999996</v>
      </c>
      <c r="E96" s="92">
        <f t="shared" ref="E96:H96" si="188">SUM(E98:E104)</f>
        <v>13714.584999999999</v>
      </c>
      <c r="F96" s="92">
        <f t="shared" si="188"/>
        <v>1031.07</v>
      </c>
      <c r="G96" s="434">
        <f t="shared" si="188"/>
        <v>10864.380000000001</v>
      </c>
      <c r="H96" s="476">
        <f t="shared" si="188"/>
        <v>33542.084600000009</v>
      </c>
      <c r="I96" s="433">
        <f>SUM(I98:I104)</f>
        <v>29160.04</v>
      </c>
      <c r="J96" s="92">
        <f t="shared" ref="J96:L96" si="189">SUM(J98:J104)</f>
        <v>16432.850000000002</v>
      </c>
      <c r="K96" s="92">
        <f t="shared" si="189"/>
        <v>1811.5</v>
      </c>
      <c r="L96" s="434">
        <f t="shared" si="189"/>
        <v>10915.689999999999</v>
      </c>
      <c r="M96" s="433">
        <f>SUM(M98:M104)</f>
        <v>30373.268321609896</v>
      </c>
      <c r="N96" s="92">
        <f t="shared" ref="N96:P96" si="190">SUM(N98:N104)</f>
        <v>17282.133752027883</v>
      </c>
      <c r="O96" s="92">
        <f t="shared" si="190"/>
        <v>1926.4899999999998</v>
      </c>
      <c r="P96" s="434">
        <f t="shared" si="190"/>
        <v>11186.509999999998</v>
      </c>
      <c r="Q96" s="433">
        <f>SUM(Q98:Q104)</f>
        <v>32937.677414432677</v>
      </c>
      <c r="R96" s="92">
        <f t="shared" ref="R96:T96" si="191">SUM(R98:R104)</f>
        <v>19332.84</v>
      </c>
      <c r="S96" s="92">
        <f t="shared" si="191"/>
        <v>2027.7899999999997</v>
      </c>
      <c r="T96" s="434">
        <f t="shared" si="191"/>
        <v>11599.559999999998</v>
      </c>
      <c r="U96" s="433">
        <f>SUM(U98:U104)</f>
        <v>34219.311063138171</v>
      </c>
      <c r="V96" s="92">
        <f t="shared" ref="V96:X96" si="192">SUM(V98:V104)</f>
        <v>20176.57</v>
      </c>
      <c r="W96" s="92">
        <f t="shared" si="192"/>
        <v>2107.34</v>
      </c>
      <c r="X96" s="434">
        <f t="shared" si="192"/>
        <v>11958.58</v>
      </c>
      <c r="Y96" s="433">
        <f>SUM(Y98:Y104)</f>
        <v>35514.944903055577</v>
      </c>
      <c r="Z96" s="92">
        <f t="shared" ref="Z96:AB96" si="193">SUM(Z98:Z104)</f>
        <v>21173.4</v>
      </c>
      <c r="AA96" s="92">
        <f t="shared" si="193"/>
        <v>2187.7000000000003</v>
      </c>
      <c r="AB96" s="434">
        <f t="shared" si="193"/>
        <v>12177.71</v>
      </c>
      <c r="AC96" s="743">
        <f t="shared" si="164"/>
        <v>0.86935681987994251</v>
      </c>
      <c r="AD96" s="744">
        <f t="shared" si="165"/>
        <v>1.1386177332440195</v>
      </c>
      <c r="AE96" s="744">
        <f t="shared" si="166"/>
        <v>1.0416058524477296</v>
      </c>
      <c r="AF96" s="744">
        <f t="shared" si="167"/>
        <v>1.0844298040523437</v>
      </c>
      <c r="AG96" s="744">
        <f t="shared" si="168"/>
        <v>1.038910868929207</v>
      </c>
      <c r="AH96" s="97">
        <f t="shared" si="169"/>
        <v>1.0378626512242408</v>
      </c>
      <c r="AI96" s="1105"/>
      <c r="AK96" s="344"/>
    </row>
    <row r="97" spans="1:37" s="76" customFormat="1" ht="18.75" outlineLevel="1">
      <c r="A97" s="74"/>
      <c r="B97" s="75" t="s">
        <v>101</v>
      </c>
      <c r="C97" s="428"/>
      <c r="D97" s="451"/>
      <c r="E97" s="105"/>
      <c r="F97" s="105"/>
      <c r="G97" s="452"/>
      <c r="H97" s="485"/>
      <c r="I97" s="451"/>
      <c r="J97" s="105"/>
      <c r="K97" s="105"/>
      <c r="L97" s="452"/>
      <c r="M97" s="451"/>
      <c r="N97" s="105"/>
      <c r="O97" s="105"/>
      <c r="P97" s="452"/>
      <c r="Q97" s="451"/>
      <c r="R97" s="105"/>
      <c r="S97" s="105"/>
      <c r="T97" s="452"/>
      <c r="U97" s="451"/>
      <c r="V97" s="105"/>
      <c r="W97" s="105"/>
      <c r="X97" s="452"/>
      <c r="Y97" s="451"/>
      <c r="Z97" s="105"/>
      <c r="AA97" s="105"/>
      <c r="AB97" s="452"/>
      <c r="AC97" s="675" t="str">
        <f t="shared" si="164"/>
        <v xml:space="preserve"> </v>
      </c>
      <c r="AD97" s="667" t="str">
        <f t="shared" si="165"/>
        <v xml:space="preserve"> </v>
      </c>
      <c r="AE97" s="667" t="str">
        <f t="shared" si="166"/>
        <v xml:space="preserve"> </v>
      </c>
      <c r="AF97" s="667" t="str">
        <f t="shared" si="167"/>
        <v xml:space="preserve"> </v>
      </c>
      <c r="AG97" s="667" t="str">
        <f t="shared" si="168"/>
        <v xml:space="preserve"> </v>
      </c>
      <c r="AH97" s="668" t="str">
        <f t="shared" si="169"/>
        <v xml:space="preserve"> </v>
      </c>
      <c r="AI97" s="1104"/>
    </row>
    <row r="98" spans="1:37" s="31" customFormat="1" ht="18.75">
      <c r="A98" s="77"/>
      <c r="B98" s="1103" t="s">
        <v>123</v>
      </c>
      <c r="C98" s="661" t="s">
        <v>0</v>
      </c>
      <c r="D98" s="453">
        <f t="shared" ref="D98:AB98" si="194">D20</f>
        <v>5477.0599999999995</v>
      </c>
      <c r="E98" s="1101">
        <f t="shared" si="194"/>
        <v>1389.9299999999998</v>
      </c>
      <c r="F98" s="1101">
        <f t="shared" si="194"/>
        <v>0</v>
      </c>
      <c r="G98" s="454">
        <f t="shared" si="194"/>
        <v>4087.13</v>
      </c>
      <c r="H98" s="486">
        <f t="shared" si="194"/>
        <v>11088.625</v>
      </c>
      <c r="I98" s="453">
        <f t="shared" si="194"/>
        <v>7027.58</v>
      </c>
      <c r="J98" s="1101">
        <f t="shared" si="194"/>
        <v>1045.9599999999998</v>
      </c>
      <c r="K98" s="1101">
        <f t="shared" si="194"/>
        <v>0</v>
      </c>
      <c r="L98" s="454">
        <f t="shared" si="194"/>
        <v>5981.62</v>
      </c>
      <c r="M98" s="453">
        <f t="shared" si="194"/>
        <v>7171.9945695820115</v>
      </c>
      <c r="N98" s="1101">
        <f t="shared" si="194"/>
        <v>1070.71</v>
      </c>
      <c r="O98" s="1101">
        <f t="shared" si="194"/>
        <v>0</v>
      </c>
      <c r="P98" s="454">
        <f t="shared" si="194"/>
        <v>6123.15</v>
      </c>
      <c r="Q98" s="453">
        <f t="shared" si="194"/>
        <v>7384.2874144326734</v>
      </c>
      <c r="R98" s="1101">
        <f t="shared" si="194"/>
        <v>1102.4000000000001</v>
      </c>
      <c r="S98" s="1101">
        <f t="shared" si="194"/>
        <v>0</v>
      </c>
      <c r="T98" s="454">
        <f t="shared" si="194"/>
        <v>6304.4</v>
      </c>
      <c r="U98" s="453">
        <f t="shared" si="194"/>
        <v>7602.8610631381698</v>
      </c>
      <c r="V98" s="1101">
        <f t="shared" si="194"/>
        <v>1135.03</v>
      </c>
      <c r="W98" s="1101">
        <f t="shared" si="194"/>
        <v>0</v>
      </c>
      <c r="X98" s="454">
        <f t="shared" si="194"/>
        <v>6491.01</v>
      </c>
      <c r="Y98" s="453">
        <f t="shared" si="194"/>
        <v>7827.904903055567</v>
      </c>
      <c r="Z98" s="1101">
        <f t="shared" si="194"/>
        <v>1168.6300000000001</v>
      </c>
      <c r="AA98" s="1101">
        <f t="shared" si="194"/>
        <v>0</v>
      </c>
      <c r="AB98" s="454">
        <f t="shared" si="194"/>
        <v>6683.14</v>
      </c>
      <c r="AC98" s="633">
        <f t="shared" si="164"/>
        <v>0.63376478147651305</v>
      </c>
      <c r="AD98" s="1083">
        <f t="shared" si="165"/>
        <v>1.2830934844606414</v>
      </c>
      <c r="AE98" s="1083">
        <f t="shared" si="166"/>
        <v>1.02054968703053</v>
      </c>
      <c r="AF98" s="1083">
        <f t="shared" si="167"/>
        <v>1.0296002517557727</v>
      </c>
      <c r="AG98" s="1083">
        <f t="shared" si="168"/>
        <v>1.0295998295351143</v>
      </c>
      <c r="AH98" s="176">
        <f t="shared" si="169"/>
        <v>1.0295998885220332</v>
      </c>
      <c r="AI98" s="1081"/>
    </row>
    <row r="99" spans="1:37" s="31" customFormat="1" ht="18.75">
      <c r="A99" s="77"/>
      <c r="B99" s="1103" t="s">
        <v>124</v>
      </c>
      <c r="C99" s="661" t="s">
        <v>0</v>
      </c>
      <c r="D99" s="453">
        <f t="shared" ref="D99:AB99" si="195">D59</f>
        <v>3609.1349999999998</v>
      </c>
      <c r="E99" s="1101">
        <f t="shared" si="195"/>
        <v>2237.0749999999998</v>
      </c>
      <c r="F99" s="1101">
        <f t="shared" si="195"/>
        <v>0</v>
      </c>
      <c r="G99" s="454">
        <f t="shared" si="195"/>
        <v>1372.06</v>
      </c>
      <c r="H99" s="486">
        <f t="shared" si="195"/>
        <v>4445.5055999999995</v>
      </c>
      <c r="I99" s="453">
        <f t="shared" si="195"/>
        <v>2326.7399999999998</v>
      </c>
      <c r="J99" s="1101">
        <f t="shared" si="195"/>
        <v>1232.3800000000001</v>
      </c>
      <c r="K99" s="1101">
        <f t="shared" si="195"/>
        <v>0</v>
      </c>
      <c r="L99" s="454">
        <f t="shared" si="195"/>
        <v>1094.3599999999999</v>
      </c>
      <c r="M99" s="453">
        <f t="shared" si="195"/>
        <v>2350.4300000000003</v>
      </c>
      <c r="N99" s="1101">
        <f t="shared" si="195"/>
        <v>1236.06</v>
      </c>
      <c r="O99" s="1101">
        <f t="shared" si="195"/>
        <v>0</v>
      </c>
      <c r="P99" s="454">
        <f t="shared" si="195"/>
        <v>1114.3699999999999</v>
      </c>
      <c r="Q99" s="453">
        <f t="shared" si="195"/>
        <v>2380.8000000000002</v>
      </c>
      <c r="R99" s="1101">
        <f t="shared" si="195"/>
        <v>1240.8</v>
      </c>
      <c r="S99" s="1101">
        <f t="shared" si="195"/>
        <v>0</v>
      </c>
      <c r="T99" s="454">
        <f t="shared" si="195"/>
        <v>1140</v>
      </c>
      <c r="U99" s="453">
        <f t="shared" si="195"/>
        <v>2412.0699999999997</v>
      </c>
      <c r="V99" s="1101">
        <f t="shared" si="195"/>
        <v>1245.68</v>
      </c>
      <c r="W99" s="1101">
        <f t="shared" si="195"/>
        <v>0</v>
      </c>
      <c r="X99" s="454">
        <f t="shared" si="195"/>
        <v>1166.3899999999999</v>
      </c>
      <c r="Y99" s="453">
        <f t="shared" si="195"/>
        <v>2429.92</v>
      </c>
      <c r="Z99" s="1101">
        <f t="shared" si="195"/>
        <v>1236.3700000000001</v>
      </c>
      <c r="AA99" s="1101">
        <f t="shared" si="195"/>
        <v>0</v>
      </c>
      <c r="AB99" s="454">
        <f t="shared" si="195"/>
        <v>1193.55</v>
      </c>
      <c r="AC99" s="633">
        <f t="shared" si="164"/>
        <v>0.52339153503709457</v>
      </c>
      <c r="AD99" s="1083">
        <f t="shared" si="165"/>
        <v>0.6446807891641626</v>
      </c>
      <c r="AE99" s="1083">
        <f t="shared" si="166"/>
        <v>1.0101816275131732</v>
      </c>
      <c r="AF99" s="1083">
        <f t="shared" si="167"/>
        <v>1.0129210399799184</v>
      </c>
      <c r="AG99" s="1083">
        <f t="shared" si="168"/>
        <v>1.0131342405913977</v>
      </c>
      <c r="AH99" s="176">
        <f t="shared" si="169"/>
        <v>1.0074002827446966</v>
      </c>
      <c r="AI99" s="1081"/>
    </row>
    <row r="100" spans="1:37" s="31" customFormat="1" ht="18.75">
      <c r="A100" s="77"/>
      <c r="B100" s="1103" t="s">
        <v>125</v>
      </c>
      <c r="C100" s="661" t="s">
        <v>0</v>
      </c>
      <c r="D100" s="453">
        <f t="shared" ref="D100:AB100" si="196">D14</f>
        <v>12993.57</v>
      </c>
      <c r="E100" s="1101">
        <f t="shared" si="196"/>
        <v>10153.82</v>
      </c>
      <c r="F100" s="1101">
        <f t="shared" si="196"/>
        <v>1031.07</v>
      </c>
      <c r="G100" s="454">
        <f t="shared" si="196"/>
        <v>1808.68</v>
      </c>
      <c r="H100" s="486">
        <f t="shared" si="196"/>
        <v>15453.854000000001</v>
      </c>
      <c r="I100" s="453">
        <f t="shared" si="196"/>
        <v>20078.599999999995</v>
      </c>
      <c r="J100" s="1101">
        <f t="shared" si="196"/>
        <v>15775.589999999998</v>
      </c>
      <c r="K100" s="1101">
        <f t="shared" si="196"/>
        <v>1811.5</v>
      </c>
      <c r="L100" s="454">
        <f t="shared" si="196"/>
        <v>2491.5099999999998</v>
      </c>
      <c r="M100" s="453">
        <f t="shared" si="196"/>
        <v>20445.199999999997</v>
      </c>
      <c r="N100" s="1101">
        <f t="shared" si="196"/>
        <v>15926</v>
      </c>
      <c r="O100" s="1101">
        <f t="shared" si="196"/>
        <v>1926.4899999999998</v>
      </c>
      <c r="P100" s="454">
        <f t="shared" si="196"/>
        <v>2592.7100000000005</v>
      </c>
      <c r="Q100" s="453">
        <f t="shared" si="196"/>
        <v>21688.81</v>
      </c>
      <c r="R100" s="1101">
        <f t="shared" si="196"/>
        <v>16872.48</v>
      </c>
      <c r="S100" s="1101">
        <f t="shared" si="196"/>
        <v>2027.7899999999997</v>
      </c>
      <c r="T100" s="454">
        <f t="shared" si="196"/>
        <v>2788.54</v>
      </c>
      <c r="U100" s="453">
        <f t="shared" si="196"/>
        <v>22708.07</v>
      </c>
      <c r="V100" s="1101">
        <f t="shared" si="196"/>
        <v>17676.82</v>
      </c>
      <c r="W100" s="1101">
        <f t="shared" si="196"/>
        <v>2107.34</v>
      </c>
      <c r="X100" s="454">
        <f t="shared" si="196"/>
        <v>2923.9100000000003</v>
      </c>
      <c r="Y100" s="453">
        <f t="shared" si="196"/>
        <v>23748.640000000003</v>
      </c>
      <c r="Z100" s="1101">
        <f t="shared" si="196"/>
        <v>18648.150000000001</v>
      </c>
      <c r="AA100" s="1101">
        <f t="shared" si="196"/>
        <v>2187.7000000000003</v>
      </c>
      <c r="AB100" s="454">
        <f t="shared" si="196"/>
        <v>2912.79</v>
      </c>
      <c r="AC100" s="633">
        <f t="shared" si="164"/>
        <v>1.2992616599069717</v>
      </c>
      <c r="AD100" s="1083">
        <f t="shared" si="165"/>
        <v>1.5452720076160744</v>
      </c>
      <c r="AE100" s="1083">
        <f t="shared" si="166"/>
        <v>1.0182582450967699</v>
      </c>
      <c r="AF100" s="1083">
        <f t="shared" si="167"/>
        <v>1.0608265020640544</v>
      </c>
      <c r="AG100" s="1083">
        <f t="shared" si="168"/>
        <v>1.0469947406058699</v>
      </c>
      <c r="AH100" s="176">
        <f t="shared" si="169"/>
        <v>1.0458237974429356</v>
      </c>
      <c r="AI100" s="1081"/>
    </row>
    <row r="101" spans="1:37" s="31" customFormat="1" ht="18.75">
      <c r="A101" s="77"/>
      <c r="B101" s="1103" t="s">
        <v>126</v>
      </c>
      <c r="C101" s="661" t="s">
        <v>0</v>
      </c>
      <c r="D101" s="453">
        <f t="shared" ref="D101:AB101" si="197">D83</f>
        <v>3323.55</v>
      </c>
      <c r="E101" s="1101">
        <f t="shared" si="197"/>
        <v>0</v>
      </c>
      <c r="F101" s="1101">
        <f t="shared" si="197"/>
        <v>0</v>
      </c>
      <c r="G101" s="454">
        <f t="shared" si="197"/>
        <v>3323.55</v>
      </c>
      <c r="H101" s="486">
        <f t="shared" si="197"/>
        <v>1867.8</v>
      </c>
      <c r="I101" s="453">
        <f t="shared" si="197"/>
        <v>994.4</v>
      </c>
      <c r="J101" s="1101">
        <f t="shared" si="197"/>
        <v>0</v>
      </c>
      <c r="K101" s="1101">
        <f t="shared" si="197"/>
        <v>0</v>
      </c>
      <c r="L101" s="454">
        <f t="shared" si="197"/>
        <v>994.4</v>
      </c>
      <c r="M101" s="453">
        <f t="shared" si="197"/>
        <v>994.4</v>
      </c>
      <c r="N101" s="1101">
        <f t="shared" si="197"/>
        <v>0</v>
      </c>
      <c r="O101" s="1101">
        <f t="shared" si="197"/>
        <v>0</v>
      </c>
      <c r="P101" s="454">
        <f t="shared" si="197"/>
        <v>994.4</v>
      </c>
      <c r="Q101" s="453">
        <f t="shared" si="197"/>
        <v>994.4</v>
      </c>
      <c r="R101" s="1101">
        <f t="shared" si="197"/>
        <v>0</v>
      </c>
      <c r="S101" s="1101">
        <f t="shared" si="197"/>
        <v>0</v>
      </c>
      <c r="T101" s="454">
        <f t="shared" si="197"/>
        <v>994.4</v>
      </c>
      <c r="U101" s="453">
        <f t="shared" si="197"/>
        <v>994.4</v>
      </c>
      <c r="V101" s="1101">
        <f t="shared" si="197"/>
        <v>0</v>
      </c>
      <c r="W101" s="1101">
        <f t="shared" si="197"/>
        <v>0</v>
      </c>
      <c r="X101" s="454">
        <f t="shared" si="197"/>
        <v>994.4</v>
      </c>
      <c r="Y101" s="453">
        <f t="shared" si="197"/>
        <v>994.4</v>
      </c>
      <c r="Z101" s="1101">
        <f t="shared" si="197"/>
        <v>0</v>
      </c>
      <c r="AA101" s="1101">
        <f t="shared" si="197"/>
        <v>0</v>
      </c>
      <c r="AB101" s="454">
        <f t="shared" si="197"/>
        <v>994.4</v>
      </c>
      <c r="AC101" s="633">
        <f t="shared" si="164"/>
        <v>0.53239104829210837</v>
      </c>
      <c r="AD101" s="1083">
        <f t="shared" si="165"/>
        <v>0.29919814656015403</v>
      </c>
      <c r="AE101" s="1083">
        <f t="shared" si="166"/>
        <v>1</v>
      </c>
      <c r="AF101" s="1083">
        <f t="shared" si="167"/>
        <v>1</v>
      </c>
      <c r="AG101" s="1083">
        <f t="shared" si="168"/>
        <v>1</v>
      </c>
      <c r="AH101" s="176">
        <f t="shared" si="169"/>
        <v>1</v>
      </c>
      <c r="AI101" s="1081"/>
    </row>
    <row r="102" spans="1:37" s="31" customFormat="1" ht="18.75">
      <c r="A102" s="77"/>
      <c r="B102" s="1103" t="s">
        <v>176</v>
      </c>
      <c r="C102" s="661" t="s">
        <v>0</v>
      </c>
      <c r="D102" s="453">
        <f t="shared" ref="D102:AB104" si="198">D89</f>
        <v>417.59999999999997</v>
      </c>
      <c r="E102" s="1101">
        <f t="shared" si="198"/>
        <v>144.63999999999999</v>
      </c>
      <c r="F102" s="1101">
        <f t="shared" si="198"/>
        <v>0</v>
      </c>
      <c r="G102" s="454">
        <f t="shared" si="198"/>
        <v>272.95999999999998</v>
      </c>
      <c r="H102" s="486">
        <f t="shared" si="198"/>
        <v>686.3</v>
      </c>
      <c r="I102" s="453">
        <f t="shared" si="198"/>
        <v>467.72</v>
      </c>
      <c r="J102" s="1101">
        <f t="shared" si="198"/>
        <v>113.92</v>
      </c>
      <c r="K102" s="1101">
        <f t="shared" si="198"/>
        <v>0</v>
      </c>
      <c r="L102" s="454">
        <f t="shared" si="198"/>
        <v>353.8</v>
      </c>
      <c r="M102" s="453">
        <f t="shared" si="198"/>
        <v>477.22</v>
      </c>
      <c r="N102" s="1101">
        <f t="shared" si="198"/>
        <v>115.34</v>
      </c>
      <c r="O102" s="1101">
        <f t="shared" si="198"/>
        <v>0</v>
      </c>
      <c r="P102" s="454">
        <f t="shared" si="198"/>
        <v>361.88</v>
      </c>
      <c r="Q102" s="453">
        <f t="shared" si="198"/>
        <v>489.38</v>
      </c>
      <c r="R102" s="1101">
        <f t="shared" si="198"/>
        <v>117.16</v>
      </c>
      <c r="S102" s="1101">
        <f t="shared" si="198"/>
        <v>0</v>
      </c>
      <c r="T102" s="454">
        <f t="shared" si="198"/>
        <v>372.22</v>
      </c>
      <c r="U102" s="453">
        <f t="shared" si="198"/>
        <v>501.91</v>
      </c>
      <c r="V102" s="1101">
        <f t="shared" si="198"/>
        <v>119.04</v>
      </c>
      <c r="W102" s="1101">
        <f t="shared" si="198"/>
        <v>0</v>
      </c>
      <c r="X102" s="454">
        <f t="shared" si="198"/>
        <v>382.87</v>
      </c>
      <c r="Y102" s="453">
        <f t="shared" si="198"/>
        <v>514.07999999999993</v>
      </c>
      <c r="Z102" s="1101">
        <f t="shared" si="198"/>
        <v>120.25</v>
      </c>
      <c r="AA102" s="1101">
        <f t="shared" si="198"/>
        <v>0</v>
      </c>
      <c r="AB102" s="454">
        <f t="shared" si="198"/>
        <v>393.83</v>
      </c>
      <c r="AC102" s="633">
        <f t="shared" si="164"/>
        <v>0.68150954393122554</v>
      </c>
      <c r="AD102" s="1083">
        <f t="shared" si="165"/>
        <v>1.1200191570881228</v>
      </c>
      <c r="AE102" s="1083">
        <f t="shared" si="166"/>
        <v>1.0203112973573933</v>
      </c>
      <c r="AF102" s="1083">
        <f t="shared" si="167"/>
        <v>1.025480910271992</v>
      </c>
      <c r="AG102" s="1083">
        <f t="shared" si="168"/>
        <v>1.0256038252482733</v>
      </c>
      <c r="AH102" s="176">
        <f t="shared" si="169"/>
        <v>1.024247375027395</v>
      </c>
      <c r="AI102" s="1081"/>
    </row>
    <row r="103" spans="1:37" s="31" customFormat="1" ht="18.75">
      <c r="A103" s="77"/>
      <c r="B103" s="1103" t="s">
        <v>127</v>
      </c>
      <c r="C103" s="661" t="s">
        <v>0</v>
      </c>
      <c r="D103" s="453">
        <f t="shared" si="198"/>
        <v>-210.88</v>
      </c>
      <c r="E103" s="1101">
        <f t="shared" si="198"/>
        <v>-210.88</v>
      </c>
      <c r="F103" s="1101">
        <f t="shared" si="198"/>
        <v>0</v>
      </c>
      <c r="G103" s="454">
        <f t="shared" si="198"/>
        <v>0</v>
      </c>
      <c r="H103" s="486">
        <f t="shared" si="198"/>
        <v>0</v>
      </c>
      <c r="I103" s="453">
        <f t="shared" si="198"/>
        <v>0</v>
      </c>
      <c r="J103" s="1101">
        <f t="shared" si="198"/>
        <v>0</v>
      </c>
      <c r="K103" s="1101">
        <f t="shared" si="198"/>
        <v>0</v>
      </c>
      <c r="L103" s="454">
        <f t="shared" si="198"/>
        <v>0</v>
      </c>
      <c r="M103" s="453">
        <f t="shared" si="198"/>
        <v>0</v>
      </c>
      <c r="N103" s="1101">
        <f t="shared" si="198"/>
        <v>0</v>
      </c>
      <c r="O103" s="1101">
        <f t="shared" si="198"/>
        <v>0</v>
      </c>
      <c r="P103" s="454">
        <f t="shared" si="198"/>
        <v>0</v>
      </c>
      <c r="Q103" s="453">
        <f t="shared" si="198"/>
        <v>0</v>
      </c>
      <c r="R103" s="1101">
        <f t="shared" si="198"/>
        <v>0</v>
      </c>
      <c r="S103" s="1101">
        <f t="shared" si="198"/>
        <v>0</v>
      </c>
      <c r="T103" s="454">
        <f t="shared" si="198"/>
        <v>0</v>
      </c>
      <c r="U103" s="453">
        <f t="shared" si="198"/>
        <v>0</v>
      </c>
      <c r="V103" s="1101">
        <f t="shared" si="198"/>
        <v>0</v>
      </c>
      <c r="W103" s="1101">
        <f t="shared" si="198"/>
        <v>0</v>
      </c>
      <c r="X103" s="454">
        <f t="shared" si="198"/>
        <v>0</v>
      </c>
      <c r="Y103" s="453">
        <f t="shared" si="198"/>
        <v>0</v>
      </c>
      <c r="Z103" s="1101">
        <f t="shared" si="198"/>
        <v>0</v>
      </c>
      <c r="AA103" s="1101">
        <f t="shared" si="198"/>
        <v>0</v>
      </c>
      <c r="AB103" s="454">
        <f t="shared" si="198"/>
        <v>0</v>
      </c>
      <c r="AC103" s="633" t="str">
        <f t="shared" si="164"/>
        <v xml:space="preserve"> </v>
      </c>
      <c r="AD103" s="1083">
        <f t="shared" si="165"/>
        <v>0</v>
      </c>
      <c r="AE103" s="1083" t="str">
        <f t="shared" si="166"/>
        <v xml:space="preserve"> </v>
      </c>
      <c r="AF103" s="1083" t="str">
        <f t="shared" si="167"/>
        <v xml:space="preserve"> </v>
      </c>
      <c r="AG103" s="1083" t="str">
        <f t="shared" si="168"/>
        <v xml:space="preserve"> </v>
      </c>
      <c r="AH103" s="176" t="str">
        <f t="shared" si="169"/>
        <v xml:space="preserve"> </v>
      </c>
      <c r="AI103" s="1081"/>
    </row>
    <row r="104" spans="1:37" s="31" customFormat="1" ht="18.75">
      <c r="A104" s="77"/>
      <c r="B104" s="1102" t="s">
        <v>128</v>
      </c>
      <c r="C104" s="661" t="s">
        <v>0</v>
      </c>
      <c r="D104" s="453">
        <f t="shared" si="198"/>
        <v>0</v>
      </c>
      <c r="E104" s="1101">
        <f t="shared" si="198"/>
        <v>0</v>
      </c>
      <c r="F104" s="1101">
        <f t="shared" si="198"/>
        <v>0</v>
      </c>
      <c r="G104" s="454">
        <f t="shared" si="198"/>
        <v>0</v>
      </c>
      <c r="H104" s="486">
        <f t="shared" si="198"/>
        <v>0</v>
      </c>
      <c r="I104" s="453">
        <f t="shared" si="198"/>
        <v>-1734.9999999999973</v>
      </c>
      <c r="J104" s="1101">
        <f t="shared" si="198"/>
        <v>-1734.9999999999973</v>
      </c>
      <c r="K104" s="1101">
        <f t="shared" si="198"/>
        <v>0</v>
      </c>
      <c r="L104" s="454">
        <f t="shared" si="198"/>
        <v>0</v>
      </c>
      <c r="M104" s="453">
        <f t="shared" si="198"/>
        <v>-1065.9762479721185</v>
      </c>
      <c r="N104" s="1101">
        <f t="shared" si="198"/>
        <v>-1065.9762479721185</v>
      </c>
      <c r="O104" s="1101">
        <f t="shared" si="198"/>
        <v>0</v>
      </c>
      <c r="P104" s="454">
        <f t="shared" si="198"/>
        <v>0</v>
      </c>
      <c r="Q104" s="453">
        <f t="shared" si="198"/>
        <v>0</v>
      </c>
      <c r="R104" s="1101">
        <f t="shared" si="198"/>
        <v>0</v>
      </c>
      <c r="S104" s="1101">
        <f t="shared" si="198"/>
        <v>0</v>
      </c>
      <c r="T104" s="454">
        <f t="shared" si="198"/>
        <v>0</v>
      </c>
      <c r="U104" s="453">
        <f t="shared" si="198"/>
        <v>0</v>
      </c>
      <c r="V104" s="1101">
        <f t="shared" si="198"/>
        <v>0</v>
      </c>
      <c r="W104" s="1101">
        <f t="shared" si="198"/>
        <v>0</v>
      </c>
      <c r="X104" s="454">
        <f t="shared" si="198"/>
        <v>0</v>
      </c>
      <c r="Y104" s="453">
        <f t="shared" si="198"/>
        <v>0</v>
      </c>
      <c r="Z104" s="1101">
        <f t="shared" si="198"/>
        <v>0</v>
      </c>
      <c r="AA104" s="1101">
        <f t="shared" si="198"/>
        <v>0</v>
      </c>
      <c r="AB104" s="454">
        <f t="shared" si="198"/>
        <v>0</v>
      </c>
      <c r="AC104" s="633" t="str">
        <f t="shared" si="164"/>
        <v xml:space="preserve"> </v>
      </c>
      <c r="AD104" s="1083" t="str">
        <f t="shared" si="165"/>
        <v xml:space="preserve"> </v>
      </c>
      <c r="AE104" s="1083">
        <f t="shared" si="166"/>
        <v>0.6143955319724036</v>
      </c>
      <c r="AF104" s="1083">
        <f t="shared" si="167"/>
        <v>0</v>
      </c>
      <c r="AG104" s="1083" t="str">
        <f t="shared" si="168"/>
        <v xml:space="preserve"> </v>
      </c>
      <c r="AH104" s="176" t="str">
        <f t="shared" si="169"/>
        <v xml:space="preserve"> </v>
      </c>
      <c r="AI104" s="1081"/>
    </row>
    <row r="105" spans="1:37" s="80" customFormat="1" ht="18.75">
      <c r="A105" s="81"/>
      <c r="B105" s="1097"/>
      <c r="C105" s="662"/>
      <c r="D105" s="644"/>
      <c r="E105" s="1100"/>
      <c r="F105" s="1100"/>
      <c r="G105" s="645"/>
      <c r="H105" s="652"/>
      <c r="I105" s="644"/>
      <c r="J105" s="1100"/>
      <c r="K105" s="1100"/>
      <c r="L105" s="645"/>
      <c r="M105" s="644"/>
      <c r="N105" s="1100"/>
      <c r="O105" s="1100"/>
      <c r="P105" s="645"/>
      <c r="Q105" s="644"/>
      <c r="R105" s="1100"/>
      <c r="S105" s="1100"/>
      <c r="T105" s="645"/>
      <c r="U105" s="644"/>
      <c r="V105" s="1100"/>
      <c r="W105" s="1100"/>
      <c r="X105" s="645"/>
      <c r="Y105" s="644"/>
      <c r="Z105" s="1100"/>
      <c r="AA105" s="1100"/>
      <c r="AB105" s="645"/>
      <c r="AC105" s="633" t="str">
        <f t="shared" si="164"/>
        <v xml:space="preserve"> </v>
      </c>
      <c r="AD105" s="1083" t="str">
        <f t="shared" si="165"/>
        <v xml:space="preserve"> </v>
      </c>
      <c r="AE105" s="1083" t="str">
        <f t="shared" si="166"/>
        <v xml:space="preserve"> </v>
      </c>
      <c r="AF105" s="1083" t="str">
        <f t="shared" si="167"/>
        <v xml:space="preserve"> </v>
      </c>
      <c r="AG105" s="1083" t="str">
        <f t="shared" si="168"/>
        <v xml:space="preserve"> </v>
      </c>
      <c r="AH105" s="176" t="str">
        <f t="shared" si="169"/>
        <v xml:space="preserve"> </v>
      </c>
      <c r="AI105" s="1099"/>
      <c r="AJ105" s="107"/>
      <c r="AK105" s="107"/>
    </row>
    <row r="106" spans="1:37" ht="18.75">
      <c r="A106" s="81" t="s">
        <v>70</v>
      </c>
      <c r="B106" s="1088" t="s">
        <v>187</v>
      </c>
      <c r="C106" s="661" t="s">
        <v>0</v>
      </c>
      <c r="D106" s="455">
        <f t="shared" ref="D106:AB106" si="199">D96-D101-D108</f>
        <v>21455.594999999998</v>
      </c>
      <c r="E106" s="1098">
        <f t="shared" si="199"/>
        <v>13714.584999999999</v>
      </c>
      <c r="F106" s="1098">
        <f t="shared" si="199"/>
        <v>1031.07</v>
      </c>
      <c r="G106" s="456">
        <f t="shared" si="199"/>
        <v>6709.9400000000005</v>
      </c>
      <c r="H106" s="487">
        <f t="shared" si="199"/>
        <v>30732.004600000011</v>
      </c>
      <c r="I106" s="455">
        <f t="shared" si="199"/>
        <v>27917.040000000001</v>
      </c>
      <c r="J106" s="1098">
        <f t="shared" si="199"/>
        <v>16432.850000000002</v>
      </c>
      <c r="K106" s="1098">
        <f t="shared" si="199"/>
        <v>1811.5</v>
      </c>
      <c r="L106" s="456">
        <f t="shared" si="199"/>
        <v>9672.6899999999987</v>
      </c>
      <c r="M106" s="455">
        <f t="shared" si="199"/>
        <v>29130.268321609896</v>
      </c>
      <c r="N106" s="1098">
        <f t="shared" si="199"/>
        <v>17282.133752027883</v>
      </c>
      <c r="O106" s="1098">
        <f t="shared" si="199"/>
        <v>1926.4899999999998</v>
      </c>
      <c r="P106" s="456">
        <f t="shared" si="199"/>
        <v>9943.5099999999984</v>
      </c>
      <c r="Q106" s="455">
        <f t="shared" si="199"/>
        <v>31694.677414432677</v>
      </c>
      <c r="R106" s="1098">
        <f t="shared" si="199"/>
        <v>19332.84</v>
      </c>
      <c r="S106" s="1098">
        <f t="shared" si="199"/>
        <v>2027.7899999999997</v>
      </c>
      <c r="T106" s="456">
        <f t="shared" si="199"/>
        <v>10356.559999999998</v>
      </c>
      <c r="U106" s="455">
        <f t="shared" si="199"/>
        <v>32976.311063138171</v>
      </c>
      <c r="V106" s="1098">
        <f t="shared" si="199"/>
        <v>20176.57</v>
      </c>
      <c r="W106" s="1098">
        <f t="shared" si="199"/>
        <v>2107.34</v>
      </c>
      <c r="X106" s="456">
        <f t="shared" si="199"/>
        <v>10715.58</v>
      </c>
      <c r="Y106" s="455">
        <f t="shared" si="199"/>
        <v>34271.944903055577</v>
      </c>
      <c r="Z106" s="1098">
        <f t="shared" si="199"/>
        <v>21173.4</v>
      </c>
      <c r="AA106" s="1098">
        <f t="shared" si="199"/>
        <v>2187.7000000000003</v>
      </c>
      <c r="AB106" s="456">
        <f t="shared" si="199"/>
        <v>10934.71</v>
      </c>
      <c r="AC106" s="633">
        <f t="shared" si="164"/>
        <v>0.90840283162003665</v>
      </c>
      <c r="AD106" s="1083">
        <f t="shared" si="165"/>
        <v>1.3011543142942437</v>
      </c>
      <c r="AE106" s="1083">
        <f t="shared" si="166"/>
        <v>1.0434583437789213</v>
      </c>
      <c r="AF106" s="1083">
        <f t="shared" si="167"/>
        <v>1.0880324569794784</v>
      </c>
      <c r="AG106" s="1083">
        <f t="shared" si="168"/>
        <v>1.0404368731048161</v>
      </c>
      <c r="AH106" s="176">
        <f t="shared" si="169"/>
        <v>1.039289835586422</v>
      </c>
      <c r="AI106" s="1081"/>
    </row>
    <row r="107" spans="1:37" ht="31.5">
      <c r="A107" s="81" t="s">
        <v>71</v>
      </c>
      <c r="B107" s="1088" t="s">
        <v>189</v>
      </c>
      <c r="C107" s="661" t="s">
        <v>0</v>
      </c>
      <c r="D107" s="457">
        <f t="shared" ref="D107:AB107" si="200">D83</f>
        <v>3323.55</v>
      </c>
      <c r="E107" s="1096">
        <f t="shared" si="200"/>
        <v>0</v>
      </c>
      <c r="F107" s="1096">
        <f t="shared" si="200"/>
        <v>0</v>
      </c>
      <c r="G107" s="458">
        <f t="shared" si="200"/>
        <v>3323.55</v>
      </c>
      <c r="H107" s="488">
        <f t="shared" si="200"/>
        <v>1867.8</v>
      </c>
      <c r="I107" s="457">
        <f t="shared" si="200"/>
        <v>994.4</v>
      </c>
      <c r="J107" s="1096">
        <f t="shared" si="200"/>
        <v>0</v>
      </c>
      <c r="K107" s="1096">
        <f t="shared" si="200"/>
        <v>0</v>
      </c>
      <c r="L107" s="458">
        <f t="shared" si="200"/>
        <v>994.4</v>
      </c>
      <c r="M107" s="457">
        <f t="shared" si="200"/>
        <v>994.4</v>
      </c>
      <c r="N107" s="1096">
        <f t="shared" si="200"/>
        <v>0</v>
      </c>
      <c r="O107" s="1096">
        <f t="shared" si="200"/>
        <v>0</v>
      </c>
      <c r="P107" s="458">
        <f t="shared" si="200"/>
        <v>994.4</v>
      </c>
      <c r="Q107" s="457">
        <f t="shared" si="200"/>
        <v>994.4</v>
      </c>
      <c r="R107" s="1096">
        <f t="shared" si="200"/>
        <v>0</v>
      </c>
      <c r="S107" s="1096">
        <f t="shared" si="200"/>
        <v>0</v>
      </c>
      <c r="T107" s="458">
        <f t="shared" si="200"/>
        <v>994.4</v>
      </c>
      <c r="U107" s="457">
        <f t="shared" si="200"/>
        <v>994.4</v>
      </c>
      <c r="V107" s="1096">
        <f t="shared" si="200"/>
        <v>0</v>
      </c>
      <c r="W107" s="1096">
        <f t="shared" si="200"/>
        <v>0</v>
      </c>
      <c r="X107" s="458">
        <f t="shared" si="200"/>
        <v>994.4</v>
      </c>
      <c r="Y107" s="457">
        <f t="shared" si="200"/>
        <v>994.4</v>
      </c>
      <c r="Z107" s="1096">
        <f t="shared" si="200"/>
        <v>0</v>
      </c>
      <c r="AA107" s="1096">
        <f t="shared" si="200"/>
        <v>0</v>
      </c>
      <c r="AB107" s="458">
        <f t="shared" si="200"/>
        <v>994.4</v>
      </c>
      <c r="AC107" s="633">
        <f t="shared" si="164"/>
        <v>0.53239104829210837</v>
      </c>
      <c r="AD107" s="1083">
        <f t="shared" si="165"/>
        <v>0.29919814656015403</v>
      </c>
      <c r="AE107" s="1083">
        <f t="shared" si="166"/>
        <v>1</v>
      </c>
      <c r="AF107" s="1083">
        <f t="shared" si="167"/>
        <v>1</v>
      </c>
      <c r="AG107" s="1083">
        <f t="shared" si="168"/>
        <v>1</v>
      </c>
      <c r="AH107" s="176">
        <f t="shared" si="169"/>
        <v>1</v>
      </c>
      <c r="AI107" s="1081"/>
    </row>
    <row r="108" spans="1:37" ht="18.75">
      <c r="A108" s="81" t="s">
        <v>72</v>
      </c>
      <c r="B108" s="1088" t="s">
        <v>188</v>
      </c>
      <c r="C108" s="661" t="s">
        <v>0</v>
      </c>
      <c r="D108" s="457">
        <f t="shared" ref="D108:AB108" si="201">D70</f>
        <v>830.89</v>
      </c>
      <c r="E108" s="1096">
        <f t="shared" si="201"/>
        <v>0</v>
      </c>
      <c r="F108" s="1096">
        <f t="shared" si="201"/>
        <v>0</v>
      </c>
      <c r="G108" s="458">
        <f t="shared" si="201"/>
        <v>830.89</v>
      </c>
      <c r="H108" s="488">
        <f t="shared" si="201"/>
        <v>942.28</v>
      </c>
      <c r="I108" s="457">
        <f t="shared" si="201"/>
        <v>248.6</v>
      </c>
      <c r="J108" s="1096">
        <f t="shared" si="201"/>
        <v>0</v>
      </c>
      <c r="K108" s="1096">
        <f t="shared" si="201"/>
        <v>0</v>
      </c>
      <c r="L108" s="458">
        <f t="shared" si="201"/>
        <v>248.6</v>
      </c>
      <c r="M108" s="457">
        <f t="shared" si="201"/>
        <v>248.6</v>
      </c>
      <c r="N108" s="1096">
        <f t="shared" si="201"/>
        <v>0</v>
      </c>
      <c r="O108" s="1096">
        <f t="shared" si="201"/>
        <v>0</v>
      </c>
      <c r="P108" s="458">
        <f t="shared" si="201"/>
        <v>248.6</v>
      </c>
      <c r="Q108" s="457">
        <f t="shared" si="201"/>
        <v>248.6</v>
      </c>
      <c r="R108" s="1096">
        <f t="shared" si="201"/>
        <v>0</v>
      </c>
      <c r="S108" s="1096">
        <f t="shared" si="201"/>
        <v>0</v>
      </c>
      <c r="T108" s="458">
        <f t="shared" si="201"/>
        <v>248.6</v>
      </c>
      <c r="U108" s="457">
        <f t="shared" si="201"/>
        <v>248.6</v>
      </c>
      <c r="V108" s="1096">
        <f t="shared" si="201"/>
        <v>0</v>
      </c>
      <c r="W108" s="1096">
        <f t="shared" si="201"/>
        <v>0</v>
      </c>
      <c r="X108" s="458">
        <f t="shared" si="201"/>
        <v>248.6</v>
      </c>
      <c r="Y108" s="457">
        <f t="shared" si="201"/>
        <v>248.6</v>
      </c>
      <c r="Z108" s="1096">
        <f t="shared" si="201"/>
        <v>0</v>
      </c>
      <c r="AA108" s="1096">
        <f t="shared" si="201"/>
        <v>0</v>
      </c>
      <c r="AB108" s="458">
        <f t="shared" si="201"/>
        <v>248.6</v>
      </c>
      <c r="AC108" s="633">
        <f t="shared" si="164"/>
        <v>0.2638281614806639</v>
      </c>
      <c r="AD108" s="1083">
        <f t="shared" si="165"/>
        <v>0.29919724632622852</v>
      </c>
      <c r="AE108" s="1083">
        <f t="shared" si="166"/>
        <v>1</v>
      </c>
      <c r="AF108" s="1083">
        <f t="shared" si="167"/>
        <v>1</v>
      </c>
      <c r="AG108" s="1083">
        <f t="shared" si="168"/>
        <v>1</v>
      </c>
      <c r="AH108" s="176">
        <f t="shared" si="169"/>
        <v>1</v>
      </c>
      <c r="AI108" s="1081"/>
    </row>
    <row r="109" spans="1:37" ht="18.75">
      <c r="A109" s="81" t="s">
        <v>73</v>
      </c>
      <c r="B109" s="1097" t="s">
        <v>129</v>
      </c>
      <c r="C109" s="661" t="s">
        <v>0</v>
      </c>
      <c r="D109" s="457">
        <f t="shared" ref="D109:AB109" si="202">D106+D107+D108</f>
        <v>25610.034999999996</v>
      </c>
      <c r="E109" s="1096">
        <f t="shared" si="202"/>
        <v>13714.584999999999</v>
      </c>
      <c r="F109" s="1096">
        <f t="shared" si="202"/>
        <v>1031.07</v>
      </c>
      <c r="G109" s="458">
        <f t="shared" si="202"/>
        <v>10864.380000000001</v>
      </c>
      <c r="H109" s="488">
        <f t="shared" si="202"/>
        <v>33542.084600000009</v>
      </c>
      <c r="I109" s="457">
        <f t="shared" si="202"/>
        <v>29160.04</v>
      </c>
      <c r="J109" s="1096">
        <f t="shared" si="202"/>
        <v>16432.850000000002</v>
      </c>
      <c r="K109" s="1096">
        <f t="shared" si="202"/>
        <v>1811.5</v>
      </c>
      <c r="L109" s="458">
        <f t="shared" si="202"/>
        <v>10915.689999999999</v>
      </c>
      <c r="M109" s="457">
        <f t="shared" si="202"/>
        <v>30373.268321609896</v>
      </c>
      <c r="N109" s="1096">
        <f t="shared" si="202"/>
        <v>17282.133752027883</v>
      </c>
      <c r="O109" s="1096">
        <f t="shared" si="202"/>
        <v>1926.4899999999998</v>
      </c>
      <c r="P109" s="458">
        <f t="shared" si="202"/>
        <v>11186.509999999998</v>
      </c>
      <c r="Q109" s="457">
        <f t="shared" si="202"/>
        <v>32937.677414432677</v>
      </c>
      <c r="R109" s="1096">
        <f t="shared" si="202"/>
        <v>19332.84</v>
      </c>
      <c r="S109" s="1096">
        <f t="shared" si="202"/>
        <v>2027.7899999999997</v>
      </c>
      <c r="T109" s="458">
        <f t="shared" si="202"/>
        <v>11599.559999999998</v>
      </c>
      <c r="U109" s="457">
        <f t="shared" si="202"/>
        <v>34219.311063138171</v>
      </c>
      <c r="V109" s="1096">
        <f t="shared" si="202"/>
        <v>20176.57</v>
      </c>
      <c r="W109" s="1096">
        <f t="shared" si="202"/>
        <v>2107.34</v>
      </c>
      <c r="X109" s="458">
        <f t="shared" si="202"/>
        <v>11958.58</v>
      </c>
      <c r="Y109" s="457">
        <f t="shared" si="202"/>
        <v>35514.944903055577</v>
      </c>
      <c r="Z109" s="1096">
        <f t="shared" si="202"/>
        <v>21173.4</v>
      </c>
      <c r="AA109" s="1096">
        <f t="shared" si="202"/>
        <v>2187.7000000000003</v>
      </c>
      <c r="AB109" s="458">
        <f t="shared" si="202"/>
        <v>12177.71</v>
      </c>
      <c r="AC109" s="633">
        <f t="shared" si="164"/>
        <v>0.86935681987994251</v>
      </c>
      <c r="AD109" s="1083">
        <f t="shared" si="165"/>
        <v>1.1386177332440195</v>
      </c>
      <c r="AE109" s="1083">
        <f t="shared" si="166"/>
        <v>1.0416058524477296</v>
      </c>
      <c r="AF109" s="1083">
        <f t="shared" si="167"/>
        <v>1.0844298040523437</v>
      </c>
      <c r="AG109" s="1083">
        <f t="shared" si="168"/>
        <v>1.038910868929207</v>
      </c>
      <c r="AH109" s="176">
        <f t="shared" si="169"/>
        <v>1.0378626512242408</v>
      </c>
      <c r="AI109" s="1081"/>
    </row>
    <row r="110" spans="1:37" ht="18.75">
      <c r="A110" s="81"/>
      <c r="B110" s="1090" t="s">
        <v>19</v>
      </c>
      <c r="C110" s="661"/>
      <c r="D110" s="457"/>
      <c r="E110" s="1096"/>
      <c r="F110" s="1096"/>
      <c r="G110" s="458"/>
      <c r="H110" s="488"/>
      <c r="I110" s="457"/>
      <c r="J110" s="1096"/>
      <c r="K110" s="1096"/>
      <c r="L110" s="458"/>
      <c r="M110" s="457"/>
      <c r="N110" s="1096"/>
      <c r="O110" s="1096"/>
      <c r="P110" s="458"/>
      <c r="Q110" s="457"/>
      <c r="R110" s="1096"/>
      <c r="S110" s="1096"/>
      <c r="T110" s="458"/>
      <c r="U110" s="457"/>
      <c r="V110" s="1096"/>
      <c r="W110" s="1096"/>
      <c r="X110" s="458"/>
      <c r="Y110" s="457"/>
      <c r="Z110" s="1096"/>
      <c r="AA110" s="1096"/>
      <c r="AB110" s="458"/>
      <c r="AC110" s="633" t="str">
        <f t="shared" si="164"/>
        <v xml:space="preserve"> </v>
      </c>
      <c r="AD110" s="1083" t="str">
        <f t="shared" si="165"/>
        <v xml:space="preserve"> </v>
      </c>
      <c r="AE110" s="1083" t="str">
        <f t="shared" si="166"/>
        <v xml:space="preserve"> </v>
      </c>
      <c r="AF110" s="1083" t="str">
        <f t="shared" si="167"/>
        <v xml:space="preserve"> </v>
      </c>
      <c r="AG110" s="1083" t="str">
        <f t="shared" si="168"/>
        <v xml:space="preserve"> </v>
      </c>
      <c r="AH110" s="176" t="str">
        <f t="shared" si="169"/>
        <v xml:space="preserve"> </v>
      </c>
      <c r="AI110" s="1081"/>
    </row>
    <row r="111" spans="1:37" s="9" customFormat="1" ht="38.25" customHeight="1">
      <c r="A111" s="86"/>
      <c r="B111" s="1095" t="s">
        <v>190</v>
      </c>
      <c r="C111" s="663" t="s">
        <v>1</v>
      </c>
      <c r="D111" s="459"/>
      <c r="E111" s="1094"/>
      <c r="F111" s="1094"/>
      <c r="G111" s="460"/>
      <c r="H111" s="489"/>
      <c r="I111" s="459"/>
      <c r="J111" s="1094"/>
      <c r="K111" s="1094"/>
      <c r="L111" s="460"/>
      <c r="M111" s="459"/>
      <c r="N111" s="1094"/>
      <c r="O111" s="1094"/>
      <c r="P111" s="460"/>
      <c r="Q111" s="459"/>
      <c r="R111" s="1094"/>
      <c r="S111" s="1094"/>
      <c r="T111" s="460"/>
      <c r="U111" s="459"/>
      <c r="V111" s="1094"/>
      <c r="W111" s="1094"/>
      <c r="X111" s="460"/>
      <c r="Y111" s="459"/>
      <c r="Z111" s="1094"/>
      <c r="AA111" s="1094"/>
      <c r="AB111" s="460"/>
      <c r="AC111" s="633" t="str">
        <f t="shared" si="164"/>
        <v xml:space="preserve"> </v>
      </c>
      <c r="AD111" s="1083" t="str">
        <f t="shared" si="165"/>
        <v xml:space="preserve"> </v>
      </c>
      <c r="AE111" s="1083" t="str">
        <f t="shared" si="166"/>
        <v xml:space="preserve"> </v>
      </c>
      <c r="AF111" s="1083" t="str">
        <f t="shared" si="167"/>
        <v xml:space="preserve"> </v>
      </c>
      <c r="AG111" s="1083" t="str">
        <f t="shared" si="168"/>
        <v xml:space="preserve"> </v>
      </c>
      <c r="AH111" s="176" t="str">
        <f t="shared" si="169"/>
        <v xml:space="preserve"> </v>
      </c>
      <c r="AI111" s="1081"/>
    </row>
    <row r="112" spans="1:37" s="9" customFormat="1" ht="63.75">
      <c r="A112" s="86"/>
      <c r="B112" s="1095" t="s">
        <v>185</v>
      </c>
      <c r="C112" s="663" t="s">
        <v>1</v>
      </c>
      <c r="D112" s="459"/>
      <c r="E112" s="1094"/>
      <c r="F112" s="1094"/>
      <c r="G112" s="460"/>
      <c r="H112" s="489"/>
      <c r="I112" s="459"/>
      <c r="J112" s="1094"/>
      <c r="K112" s="1094"/>
      <c r="L112" s="460"/>
      <c r="M112" s="459"/>
      <c r="N112" s="1094"/>
      <c r="O112" s="1094"/>
      <c r="P112" s="460"/>
      <c r="Q112" s="459"/>
      <c r="R112" s="1094"/>
      <c r="S112" s="1094"/>
      <c r="T112" s="460"/>
      <c r="U112" s="459"/>
      <c r="V112" s="1094"/>
      <c r="W112" s="1094"/>
      <c r="X112" s="460"/>
      <c r="Y112" s="459"/>
      <c r="Z112" s="1094"/>
      <c r="AA112" s="1094"/>
      <c r="AB112" s="460"/>
      <c r="AC112" s="633" t="str">
        <f t="shared" si="164"/>
        <v xml:space="preserve"> </v>
      </c>
      <c r="AD112" s="1083" t="str">
        <f t="shared" si="165"/>
        <v xml:space="preserve"> </v>
      </c>
      <c r="AE112" s="1083" t="str">
        <f t="shared" si="166"/>
        <v xml:space="preserve"> </v>
      </c>
      <c r="AF112" s="1083" t="str">
        <f t="shared" si="167"/>
        <v xml:space="preserve"> </v>
      </c>
      <c r="AG112" s="1083" t="str">
        <f t="shared" si="168"/>
        <v xml:space="preserve"> </v>
      </c>
      <c r="AH112" s="176" t="str">
        <f t="shared" si="169"/>
        <v xml:space="preserve"> </v>
      </c>
      <c r="AI112" s="1081"/>
    </row>
    <row r="113" spans="1:35" s="80" customFormat="1" ht="18.75">
      <c r="A113" s="461" t="str">
        <f>IF(ISERROR(#REF!/#REF!)," ",#REF!/#REF!)</f>
        <v xml:space="preserve"> </v>
      </c>
      <c r="B113" s="1093"/>
      <c r="C113" s="604"/>
      <c r="D113" s="461"/>
      <c r="E113" s="1093"/>
      <c r="F113" s="1093"/>
      <c r="G113" s="462"/>
      <c r="H113" s="362"/>
      <c r="I113" s="461"/>
      <c r="J113" s="1093"/>
      <c r="K113" s="1093"/>
      <c r="L113" s="462"/>
      <c r="M113" s="461"/>
      <c r="N113" s="1093"/>
      <c r="O113" s="1093"/>
      <c r="P113" s="462"/>
      <c r="Q113" s="461"/>
      <c r="R113" s="1093"/>
      <c r="S113" s="1093"/>
      <c r="T113" s="462"/>
      <c r="U113" s="461"/>
      <c r="V113" s="1093"/>
      <c r="W113" s="1093"/>
      <c r="X113" s="462"/>
      <c r="Y113" s="461"/>
      <c r="Z113" s="1093"/>
      <c r="AA113" s="1093"/>
      <c r="AB113" s="462"/>
      <c r="AC113" s="633" t="str">
        <f t="shared" si="164"/>
        <v xml:space="preserve"> </v>
      </c>
      <c r="AD113" s="1083" t="str">
        <f t="shared" si="165"/>
        <v xml:space="preserve"> </v>
      </c>
      <c r="AE113" s="1083" t="str">
        <f t="shared" si="166"/>
        <v xml:space="preserve"> </v>
      </c>
      <c r="AF113" s="1083" t="str">
        <f t="shared" si="167"/>
        <v xml:space="preserve"> </v>
      </c>
      <c r="AG113" s="1083" t="str">
        <f t="shared" si="168"/>
        <v xml:space="preserve"> </v>
      </c>
      <c r="AH113" s="176" t="str">
        <f t="shared" si="169"/>
        <v xml:space="preserve"> </v>
      </c>
      <c r="AI113" s="1092"/>
    </row>
    <row r="114" spans="1:35" ht="18.75">
      <c r="A114" s="81"/>
      <c r="B114" s="1088" t="s">
        <v>429</v>
      </c>
      <c r="C114" s="661" t="s">
        <v>10</v>
      </c>
      <c r="D114" s="463">
        <f>D116</f>
        <v>10395</v>
      </c>
      <c r="E114" s="1087">
        <f>E116</f>
        <v>0</v>
      </c>
      <c r="F114" s="1087"/>
      <c r="G114" s="464"/>
      <c r="H114" s="490">
        <f>H116</f>
        <v>10000</v>
      </c>
      <c r="I114" s="463">
        <f>I116</f>
        <v>10000</v>
      </c>
      <c r="J114" s="1087"/>
      <c r="K114" s="1087"/>
      <c r="L114" s="464"/>
      <c r="M114" s="463">
        <f>M116</f>
        <v>10000</v>
      </c>
      <c r="N114" s="1087">
        <f>N116</f>
        <v>0</v>
      </c>
      <c r="O114" s="1087"/>
      <c r="P114" s="464"/>
      <c r="Q114" s="463">
        <f>Q116</f>
        <v>10000</v>
      </c>
      <c r="R114" s="1087">
        <f>R116</f>
        <v>0</v>
      </c>
      <c r="S114" s="1087"/>
      <c r="T114" s="464"/>
      <c r="U114" s="463">
        <f>U116</f>
        <v>10000</v>
      </c>
      <c r="V114" s="1087">
        <f>V116</f>
        <v>0</v>
      </c>
      <c r="W114" s="1087"/>
      <c r="X114" s="464"/>
      <c r="Y114" s="463">
        <f>Y116</f>
        <v>10000</v>
      </c>
      <c r="Z114" s="1087">
        <f>Z116</f>
        <v>0</v>
      </c>
      <c r="AA114" s="1087"/>
      <c r="AB114" s="464"/>
      <c r="AC114" s="633">
        <f t="shared" si="164"/>
        <v>1</v>
      </c>
      <c r="AD114" s="1083">
        <f t="shared" si="165"/>
        <v>0.96200096200096197</v>
      </c>
      <c r="AE114" s="1083">
        <f t="shared" si="166"/>
        <v>1</v>
      </c>
      <c r="AF114" s="1083">
        <f t="shared" si="167"/>
        <v>1</v>
      </c>
      <c r="AG114" s="1083">
        <f t="shared" si="168"/>
        <v>1</v>
      </c>
      <c r="AH114" s="176">
        <f t="shared" si="169"/>
        <v>1</v>
      </c>
      <c r="AI114" s="1081"/>
    </row>
    <row r="115" spans="1:35" ht="18.75">
      <c r="A115" s="81"/>
      <c r="B115" s="1088" t="s">
        <v>130</v>
      </c>
      <c r="C115" s="661" t="s">
        <v>10</v>
      </c>
      <c r="D115" s="465"/>
      <c r="E115" s="1091"/>
      <c r="F115" s="1091"/>
      <c r="G115" s="466"/>
      <c r="H115" s="491"/>
      <c r="I115" s="465"/>
      <c r="J115" s="1091"/>
      <c r="K115" s="1091"/>
      <c r="L115" s="466"/>
      <c r="M115" s="465"/>
      <c r="N115" s="1091"/>
      <c r="O115" s="1091"/>
      <c r="P115" s="466"/>
      <c r="Q115" s="465"/>
      <c r="R115" s="1091"/>
      <c r="S115" s="1091"/>
      <c r="T115" s="466"/>
      <c r="U115" s="465"/>
      <c r="V115" s="1091"/>
      <c r="W115" s="1091"/>
      <c r="X115" s="466"/>
      <c r="Y115" s="465"/>
      <c r="Z115" s="1091"/>
      <c r="AA115" s="1091"/>
      <c r="AB115" s="466"/>
      <c r="AC115" s="633" t="str">
        <f t="shared" si="164"/>
        <v xml:space="preserve"> </v>
      </c>
      <c r="AD115" s="1083" t="str">
        <f t="shared" si="165"/>
        <v xml:space="preserve"> </v>
      </c>
      <c r="AE115" s="1083" t="str">
        <f t="shared" si="166"/>
        <v xml:space="preserve"> </v>
      </c>
      <c r="AF115" s="1083" t="str">
        <f t="shared" si="167"/>
        <v xml:space="preserve"> </v>
      </c>
      <c r="AG115" s="1083" t="str">
        <f t="shared" si="168"/>
        <v xml:space="preserve"> </v>
      </c>
      <c r="AH115" s="176" t="str">
        <f t="shared" si="169"/>
        <v xml:space="preserve"> </v>
      </c>
      <c r="AI115" s="1081"/>
    </row>
    <row r="116" spans="1:35" ht="18.75">
      <c r="A116" s="81"/>
      <c r="B116" s="1088" t="s">
        <v>430</v>
      </c>
      <c r="C116" s="661" t="s">
        <v>10</v>
      </c>
      <c r="D116" s="465">
        <v>10395</v>
      </c>
      <c r="E116" s="1091"/>
      <c r="F116" s="1091"/>
      <c r="G116" s="466"/>
      <c r="H116" s="491">
        <v>10000</v>
      </c>
      <c r="I116" s="465">
        <v>10000</v>
      </c>
      <c r="J116" s="1091"/>
      <c r="K116" s="1091"/>
      <c r="L116" s="466"/>
      <c r="M116" s="465">
        <v>10000</v>
      </c>
      <c r="N116" s="1091"/>
      <c r="O116" s="1091"/>
      <c r="P116" s="466"/>
      <c r="Q116" s="465">
        <v>10000</v>
      </c>
      <c r="R116" s="1091"/>
      <c r="S116" s="1091"/>
      <c r="T116" s="466"/>
      <c r="U116" s="465">
        <v>10000</v>
      </c>
      <c r="V116" s="1091"/>
      <c r="W116" s="1091"/>
      <c r="X116" s="466"/>
      <c r="Y116" s="465">
        <v>10000</v>
      </c>
      <c r="Z116" s="1091"/>
      <c r="AA116" s="1091"/>
      <c r="AB116" s="466"/>
      <c r="AC116" s="633">
        <f t="shared" si="164"/>
        <v>1</v>
      </c>
      <c r="AD116" s="1083">
        <f t="shared" si="165"/>
        <v>0.96200096200096197</v>
      </c>
      <c r="AE116" s="1083">
        <f t="shared" si="166"/>
        <v>1</v>
      </c>
      <c r="AF116" s="1083">
        <f t="shared" si="167"/>
        <v>1</v>
      </c>
      <c r="AG116" s="1083">
        <f t="shared" si="168"/>
        <v>1</v>
      </c>
      <c r="AH116" s="176">
        <f t="shared" si="169"/>
        <v>1</v>
      </c>
      <c r="AI116" s="1081"/>
    </row>
    <row r="117" spans="1:35" ht="18.75">
      <c r="A117" s="81"/>
      <c r="B117" s="1088" t="s">
        <v>407</v>
      </c>
      <c r="C117" s="661" t="s">
        <v>75</v>
      </c>
      <c r="D117" s="463">
        <v>27.010999999999999</v>
      </c>
      <c r="E117" s="1087"/>
      <c r="F117" s="1087"/>
      <c r="G117" s="464"/>
      <c r="H117" s="490"/>
      <c r="I117" s="463">
        <v>27.010999999999999</v>
      </c>
      <c r="J117" s="1087"/>
      <c r="K117" s="1087"/>
      <c r="L117" s="464"/>
      <c r="M117" s="463">
        <v>27.010999999999999</v>
      </c>
      <c r="N117" s="1087"/>
      <c r="O117" s="1087"/>
      <c r="P117" s="464"/>
      <c r="Q117" s="463">
        <v>27.010999999999999</v>
      </c>
      <c r="R117" s="1087"/>
      <c r="S117" s="1087"/>
      <c r="T117" s="464"/>
      <c r="U117" s="463">
        <v>27.010999999999999</v>
      </c>
      <c r="V117" s="1087"/>
      <c r="W117" s="1087"/>
      <c r="X117" s="464"/>
      <c r="Y117" s="463">
        <v>27.010999999999999</v>
      </c>
      <c r="Z117" s="1087"/>
      <c r="AA117" s="1087"/>
      <c r="AB117" s="464"/>
      <c r="AC117" s="633" t="str">
        <f t="shared" si="164"/>
        <v xml:space="preserve"> </v>
      </c>
      <c r="AD117" s="1083">
        <f t="shared" si="165"/>
        <v>1</v>
      </c>
      <c r="AE117" s="1083">
        <f t="shared" si="166"/>
        <v>1</v>
      </c>
      <c r="AF117" s="1083">
        <f t="shared" si="167"/>
        <v>1</v>
      </c>
      <c r="AG117" s="1083">
        <f t="shared" si="168"/>
        <v>1</v>
      </c>
      <c r="AH117" s="176">
        <f t="shared" si="169"/>
        <v>1</v>
      </c>
      <c r="AI117" s="1081"/>
    </row>
    <row r="118" spans="1:35" s="342" customFormat="1" ht="18.75">
      <c r="A118" s="340"/>
      <c r="B118" s="1090" t="s">
        <v>403</v>
      </c>
      <c r="C118" s="664" t="s">
        <v>10</v>
      </c>
      <c r="D118" s="467">
        <f>E118+F118+G118</f>
        <v>3004.98</v>
      </c>
      <c r="E118" s="1089">
        <v>899.68</v>
      </c>
      <c r="F118" s="1089"/>
      <c r="G118" s="468">
        <v>2105.3000000000002</v>
      </c>
      <c r="H118" s="492">
        <v>3592</v>
      </c>
      <c r="I118" s="467">
        <f>J118+K118+L118</f>
        <v>3592</v>
      </c>
      <c r="J118" s="1089">
        <f>3592-L118</f>
        <v>1168.7600000000002</v>
      </c>
      <c r="K118" s="1089"/>
      <c r="L118" s="468">
        <v>2423.2399999999998</v>
      </c>
      <c r="M118" s="467">
        <f>N118+O118+P118</f>
        <v>3592</v>
      </c>
      <c r="N118" s="1089">
        <f>3592-P118</f>
        <v>1168.7600000000002</v>
      </c>
      <c r="O118" s="1089"/>
      <c r="P118" s="468">
        <v>2423.2399999999998</v>
      </c>
      <c r="Q118" s="467">
        <f>R118+S118+T118</f>
        <v>3592</v>
      </c>
      <c r="R118" s="1089">
        <f>3592-T118</f>
        <v>1168.7600000000002</v>
      </c>
      <c r="S118" s="1089"/>
      <c r="T118" s="468">
        <v>2423.2399999999998</v>
      </c>
      <c r="U118" s="467">
        <f>V118+W118+X118</f>
        <v>3592</v>
      </c>
      <c r="V118" s="1089">
        <f>3592-X118</f>
        <v>1168.7600000000002</v>
      </c>
      <c r="W118" s="1089"/>
      <c r="X118" s="468">
        <v>2423.2399999999998</v>
      </c>
      <c r="Y118" s="467">
        <f>Z118+AA118+AB118</f>
        <v>3592</v>
      </c>
      <c r="Z118" s="1089">
        <f>3592-AB118</f>
        <v>1168.7600000000002</v>
      </c>
      <c r="AA118" s="1089"/>
      <c r="AB118" s="468">
        <v>2423.2399999999998</v>
      </c>
      <c r="AC118" s="633">
        <f t="shared" si="164"/>
        <v>1</v>
      </c>
      <c r="AD118" s="1083">
        <f t="shared" si="165"/>
        <v>1.1953490539038529</v>
      </c>
      <c r="AE118" s="1083">
        <f t="shared" si="166"/>
        <v>1</v>
      </c>
      <c r="AF118" s="1083">
        <f t="shared" si="167"/>
        <v>1</v>
      </c>
      <c r="AG118" s="1083">
        <f t="shared" si="168"/>
        <v>1</v>
      </c>
      <c r="AH118" s="176">
        <f t="shared" si="169"/>
        <v>1</v>
      </c>
      <c r="AI118" s="1081"/>
    </row>
    <row r="119" spans="1:35" ht="18.75" outlineLevel="1">
      <c r="A119" s="81"/>
      <c r="B119" s="1088" t="s">
        <v>54</v>
      </c>
      <c r="C119" s="661" t="s">
        <v>55</v>
      </c>
      <c r="D119" s="463">
        <v>39924.65</v>
      </c>
      <c r="E119" s="1087"/>
      <c r="F119" s="1087"/>
      <c r="G119" s="464"/>
      <c r="H119" s="490"/>
      <c r="I119" s="463">
        <v>65779.990000000005</v>
      </c>
      <c r="J119" s="1087"/>
      <c r="K119" s="1087"/>
      <c r="L119" s="464"/>
      <c r="M119" s="463">
        <v>65779.990000000005</v>
      </c>
      <c r="N119" s="1087"/>
      <c r="O119" s="1087"/>
      <c r="P119" s="464"/>
      <c r="Q119" s="463">
        <v>65779.990000000005</v>
      </c>
      <c r="R119" s="1087"/>
      <c r="S119" s="1087"/>
      <c r="T119" s="464"/>
      <c r="U119" s="463">
        <v>65779.990000000005</v>
      </c>
      <c r="V119" s="1087"/>
      <c r="W119" s="1087"/>
      <c r="X119" s="464"/>
      <c r="Y119" s="463">
        <v>65779.990000000005</v>
      </c>
      <c r="Z119" s="1087"/>
      <c r="AA119" s="1087"/>
      <c r="AB119" s="464"/>
      <c r="AC119" s="633" t="str">
        <f t="shared" si="164"/>
        <v xml:space="preserve"> </v>
      </c>
      <c r="AD119" s="1083">
        <f t="shared" si="165"/>
        <v>1.6476034229479783</v>
      </c>
      <c r="AE119" s="1083">
        <f t="shared" si="166"/>
        <v>1</v>
      </c>
      <c r="AF119" s="1083">
        <f t="shared" si="167"/>
        <v>1</v>
      </c>
      <c r="AG119" s="1083">
        <f t="shared" si="168"/>
        <v>1</v>
      </c>
      <c r="AH119" s="176">
        <f t="shared" si="169"/>
        <v>1</v>
      </c>
      <c r="AI119" s="1081"/>
    </row>
    <row r="120" spans="1:35" ht="18.75">
      <c r="A120" s="81"/>
      <c r="B120" s="1088" t="s">
        <v>131</v>
      </c>
      <c r="C120" s="661" t="s">
        <v>0</v>
      </c>
      <c r="D120" s="463">
        <f>ROUND(D118*D122/1000,2)</f>
        <v>3964.59</v>
      </c>
      <c r="E120" s="1087"/>
      <c r="F120" s="1087"/>
      <c r="G120" s="464"/>
      <c r="H120" s="490"/>
      <c r="I120" s="463">
        <f>ROUND(I118*I122/1000,2)</f>
        <v>5902.7</v>
      </c>
      <c r="J120" s="1087"/>
      <c r="K120" s="1087"/>
      <c r="L120" s="464"/>
      <c r="M120" s="463">
        <f>ROUND(M118*M122/1000,2)</f>
        <v>6207.73</v>
      </c>
      <c r="N120" s="1087"/>
      <c r="O120" s="1087"/>
      <c r="P120" s="464"/>
      <c r="Q120" s="463">
        <f>ROUND(Q118*Q122/1000,2)</f>
        <v>6944.34</v>
      </c>
      <c r="R120" s="1087"/>
      <c r="S120" s="1087"/>
      <c r="T120" s="464"/>
      <c r="U120" s="463">
        <f>ROUND(U118*U122/1000,2)</f>
        <v>7247.43</v>
      </c>
      <c r="V120" s="1087"/>
      <c r="W120" s="1087"/>
      <c r="X120" s="464"/>
      <c r="Y120" s="463">
        <f>ROUND(Y118*Y122/1000,2)</f>
        <v>7605.49</v>
      </c>
      <c r="Z120" s="1087"/>
      <c r="AA120" s="1087"/>
      <c r="AB120" s="464"/>
      <c r="AC120" s="633" t="str">
        <f t="shared" si="164"/>
        <v xml:space="preserve"> </v>
      </c>
      <c r="AD120" s="1083">
        <f t="shared" si="165"/>
        <v>1.4888550896814046</v>
      </c>
      <c r="AE120" s="1083">
        <f t="shared" si="166"/>
        <v>1.0516763515001608</v>
      </c>
      <c r="AF120" s="1083">
        <f t="shared" si="167"/>
        <v>1.1186601221380441</v>
      </c>
      <c r="AG120" s="1083">
        <f t="shared" si="168"/>
        <v>1.0436456164300711</v>
      </c>
      <c r="AH120" s="176">
        <f t="shared" si="169"/>
        <v>1.0494050994628441</v>
      </c>
      <c r="AI120" s="1081"/>
    </row>
    <row r="121" spans="1:35" ht="19.5" thickBot="1">
      <c r="A121" s="728"/>
      <c r="B121" s="729" t="s">
        <v>132</v>
      </c>
      <c r="C121" s="730" t="s">
        <v>0</v>
      </c>
      <c r="D121" s="731">
        <f>D120+E96</f>
        <v>17679.174999999999</v>
      </c>
      <c r="E121" s="732"/>
      <c r="F121" s="732"/>
      <c r="G121" s="733"/>
      <c r="H121" s="734"/>
      <c r="I121" s="731">
        <f>I120+J96</f>
        <v>22335.550000000003</v>
      </c>
      <c r="J121" s="732"/>
      <c r="K121" s="732"/>
      <c r="L121" s="733"/>
      <c r="M121" s="731">
        <f>M120+N96</f>
        <v>23489.863752027883</v>
      </c>
      <c r="N121" s="732"/>
      <c r="O121" s="732"/>
      <c r="P121" s="733"/>
      <c r="Q121" s="731">
        <f>Q120+R96</f>
        <v>26277.18</v>
      </c>
      <c r="R121" s="732"/>
      <c r="S121" s="732"/>
      <c r="T121" s="733"/>
      <c r="U121" s="731">
        <f>U120+V96</f>
        <v>27424</v>
      </c>
      <c r="V121" s="732"/>
      <c r="W121" s="732"/>
      <c r="X121" s="733"/>
      <c r="Y121" s="731">
        <f>Y120+Z96</f>
        <v>28778.89</v>
      </c>
      <c r="Z121" s="732"/>
      <c r="AA121" s="732"/>
      <c r="AB121" s="733"/>
      <c r="AC121" s="712" t="str">
        <f t="shared" si="164"/>
        <v xml:space="preserve"> </v>
      </c>
      <c r="AD121" s="713">
        <f t="shared" si="165"/>
        <v>1.2633819168598084</v>
      </c>
      <c r="AE121" s="713">
        <f t="shared" si="166"/>
        <v>1.0516805609008006</v>
      </c>
      <c r="AF121" s="713">
        <f t="shared" si="167"/>
        <v>1.1186603837892202</v>
      </c>
      <c r="AG121" s="713">
        <f t="shared" si="168"/>
        <v>1.0436431915449069</v>
      </c>
      <c r="AH121" s="714">
        <f t="shared" si="169"/>
        <v>1.0494052654609101</v>
      </c>
      <c r="AI121" s="1081"/>
    </row>
    <row r="122" spans="1:35" s="90" customFormat="1" ht="19.5">
      <c r="A122" s="735"/>
      <c r="B122" s="736" t="s">
        <v>431</v>
      </c>
      <c r="C122" s="737" t="s">
        <v>9</v>
      </c>
      <c r="D122" s="738">
        <f>E122</f>
        <v>1319.34</v>
      </c>
      <c r="E122" s="739">
        <f>ROUND(E96*1000/D114,2)</f>
        <v>1319.34</v>
      </c>
      <c r="F122" s="740"/>
      <c r="G122" s="741"/>
      <c r="H122" s="742">
        <f>ROUND(H96/H114*1000,2)</f>
        <v>3354.21</v>
      </c>
      <c r="I122" s="738">
        <f>J122</f>
        <v>1643.29</v>
      </c>
      <c r="J122" s="739">
        <f>ROUND(J96*1000/I114,2)</f>
        <v>1643.29</v>
      </c>
      <c r="K122" s="740"/>
      <c r="L122" s="741"/>
      <c r="M122" s="738">
        <f>N122</f>
        <v>1728.21</v>
      </c>
      <c r="N122" s="739">
        <f>ROUND(N96*1000/M114,2)</f>
        <v>1728.21</v>
      </c>
      <c r="O122" s="740"/>
      <c r="P122" s="741"/>
      <c r="Q122" s="738">
        <f>R122</f>
        <v>1933.28</v>
      </c>
      <c r="R122" s="739">
        <f>ROUND(R96*1000/Q114,2)</f>
        <v>1933.28</v>
      </c>
      <c r="S122" s="740"/>
      <c r="T122" s="741"/>
      <c r="U122" s="738">
        <f>V122</f>
        <v>2017.66</v>
      </c>
      <c r="V122" s="739">
        <f>ROUND(V96*1000/U114,2)</f>
        <v>2017.66</v>
      </c>
      <c r="W122" s="740"/>
      <c r="X122" s="741"/>
      <c r="Y122" s="738">
        <f>Z122</f>
        <v>2117.34</v>
      </c>
      <c r="Z122" s="739">
        <f>ROUND(Z96*1000/Y114,2)</f>
        <v>2117.34</v>
      </c>
      <c r="AA122" s="740"/>
      <c r="AB122" s="741"/>
      <c r="AC122" s="700">
        <f t="shared" si="164"/>
        <v>0.48991863956043297</v>
      </c>
      <c r="AD122" s="685">
        <f t="shared" si="165"/>
        <v>1.2455394363848591</v>
      </c>
      <c r="AE122" s="685">
        <f t="shared" si="166"/>
        <v>1.0516768190641945</v>
      </c>
      <c r="AF122" s="685">
        <f t="shared" si="167"/>
        <v>1.1186603479901169</v>
      </c>
      <c r="AG122" s="685">
        <f t="shared" si="168"/>
        <v>1.0436460316146652</v>
      </c>
      <c r="AH122" s="686">
        <f t="shared" si="169"/>
        <v>1.0494037647571941</v>
      </c>
      <c r="AI122" s="1082"/>
    </row>
    <row r="123" spans="1:35" s="90" customFormat="1" ht="58.5">
      <c r="A123" s="88"/>
      <c r="B123" s="1086" t="s">
        <v>405</v>
      </c>
      <c r="C123" s="665" t="s">
        <v>406</v>
      </c>
      <c r="D123" s="469">
        <f>ROUND(G96/D117/12*1000,2)</f>
        <v>33518.379999999997</v>
      </c>
      <c r="E123" s="1085"/>
      <c r="F123" s="1084"/>
      <c r="G123" s="470"/>
      <c r="H123" s="605">
        <v>37133.349000000002</v>
      </c>
      <c r="I123" s="469">
        <f>ROUND(L96/I117/12*1000,2)</f>
        <v>33676.68</v>
      </c>
      <c r="J123" s="1085"/>
      <c r="K123" s="1084"/>
      <c r="L123" s="470"/>
      <c r="M123" s="469">
        <f>ROUND(P96/M117/12*1000,2)</f>
        <v>34512.199999999997</v>
      </c>
      <c r="N123" s="1085"/>
      <c r="O123" s="1084"/>
      <c r="P123" s="470"/>
      <c r="Q123" s="469">
        <f>ROUND(T96/Q117/12*1000,2)</f>
        <v>35786.53</v>
      </c>
      <c r="R123" s="1085"/>
      <c r="S123" s="1084"/>
      <c r="T123" s="470"/>
      <c r="U123" s="469">
        <f>ROUND(X96/U117/12*1000,2)</f>
        <v>36894.17</v>
      </c>
      <c r="V123" s="1085"/>
      <c r="W123" s="1084"/>
      <c r="X123" s="470"/>
      <c r="Y123" s="469">
        <f>ROUND(AB96/Y117/12*1000,2)</f>
        <v>37570.22</v>
      </c>
      <c r="Z123" s="1085"/>
      <c r="AA123" s="1084"/>
      <c r="AB123" s="470"/>
      <c r="AC123" s="633">
        <f t="shared" si="164"/>
        <v>0.90691200516279846</v>
      </c>
      <c r="AD123" s="1083">
        <f t="shared" si="165"/>
        <v>1.0047227819482922</v>
      </c>
      <c r="AE123" s="1083">
        <f t="shared" si="166"/>
        <v>1.0248100465960421</v>
      </c>
      <c r="AF123" s="1083">
        <f t="shared" si="167"/>
        <v>1.0369240442510186</v>
      </c>
      <c r="AG123" s="1083">
        <f t="shared" si="168"/>
        <v>1.0309513104511669</v>
      </c>
      <c r="AH123" s="176">
        <f t="shared" si="169"/>
        <v>1.0183240333093277</v>
      </c>
      <c r="AI123" s="1082"/>
    </row>
    <row r="124" spans="1:35" s="90" customFormat="1" ht="20.25" outlineLevel="1" thickBot="1">
      <c r="A124" s="628"/>
      <c r="B124" s="629" t="s">
        <v>217</v>
      </c>
      <c r="C124" s="666" t="s">
        <v>39</v>
      </c>
      <c r="D124" s="471">
        <f>ROUND(F96/D119*1000,2)</f>
        <v>25.83</v>
      </c>
      <c r="E124" s="472"/>
      <c r="F124" s="472"/>
      <c r="G124" s="473"/>
      <c r="H124" s="653">
        <v>36.479999999999997</v>
      </c>
      <c r="I124" s="471">
        <f>ROUND(K96/I119*1000,2)</f>
        <v>27.54</v>
      </c>
      <c r="J124" s="472"/>
      <c r="K124" s="472"/>
      <c r="L124" s="473"/>
      <c r="M124" s="471">
        <f>ROUND(O96/M119*1000,2)</f>
        <v>29.29</v>
      </c>
      <c r="N124" s="472"/>
      <c r="O124" s="472"/>
      <c r="P124" s="473"/>
      <c r="Q124" s="471">
        <f>ROUND(S96/Q119*1000,2)</f>
        <v>30.83</v>
      </c>
      <c r="R124" s="472"/>
      <c r="S124" s="472"/>
      <c r="T124" s="473"/>
      <c r="U124" s="471">
        <f>ROUND(W96/U119*1000,2)</f>
        <v>32.04</v>
      </c>
      <c r="V124" s="472"/>
      <c r="W124" s="472"/>
      <c r="X124" s="473"/>
      <c r="Y124" s="471">
        <f>ROUND(AA96/Y119*1000,2)</f>
        <v>33.26</v>
      </c>
      <c r="Z124" s="472"/>
      <c r="AA124" s="472"/>
      <c r="AB124" s="473"/>
      <c r="AC124" s="634">
        <f t="shared" si="164"/>
        <v>0.75493421052631582</v>
      </c>
      <c r="AD124" s="631">
        <f t="shared" si="165"/>
        <v>1.0662020905923346</v>
      </c>
      <c r="AE124" s="631">
        <f t="shared" si="166"/>
        <v>1.0635439360929557</v>
      </c>
      <c r="AF124" s="631">
        <f t="shared" si="167"/>
        <v>1.0525776715602595</v>
      </c>
      <c r="AG124" s="631">
        <f t="shared" si="168"/>
        <v>1.0392474862147258</v>
      </c>
      <c r="AH124" s="632">
        <f t="shared" si="169"/>
        <v>1.0380774032459426</v>
      </c>
      <c r="AI124" s="1082"/>
    </row>
    <row r="125" spans="1:35" ht="16.5" hidden="1" thickBot="1">
      <c r="A125" s="606"/>
      <c r="B125" s="607" t="s">
        <v>101</v>
      </c>
      <c r="C125" s="608"/>
      <c r="D125" s="429"/>
      <c r="E125" s="429"/>
      <c r="F125" s="429"/>
      <c r="G125" s="429"/>
      <c r="H125" s="429"/>
      <c r="I125" s="429"/>
      <c r="J125" s="429"/>
      <c r="K125" s="429"/>
      <c r="L125" s="609"/>
      <c r="M125" s="429"/>
      <c r="N125" s="429"/>
      <c r="O125" s="429"/>
      <c r="P125" s="609"/>
      <c r="Q125" s="429"/>
      <c r="R125" s="429"/>
      <c r="S125" s="429"/>
      <c r="T125" s="429"/>
      <c r="U125" s="429"/>
      <c r="V125" s="610"/>
      <c r="W125" s="610"/>
      <c r="X125" s="610"/>
      <c r="Y125" s="610"/>
      <c r="Z125" s="611"/>
      <c r="AA125" s="611"/>
      <c r="AB125" s="611"/>
      <c r="AC125" s="612" t="str">
        <f>IFERROR(I125/#REF!, " ")</f>
        <v xml:space="preserve"> </v>
      </c>
      <c r="AD125" s="613" t="str">
        <f>IFERROR(I125/D125, " ")</f>
        <v xml:space="preserve"> </v>
      </c>
      <c r="AE125" s="614" t="str">
        <f>IFERROR(M125/I125, " ")</f>
        <v xml:space="preserve"> </v>
      </c>
      <c r="AF125" s="614" t="str">
        <f>IFERROR(Q125/M125, " ")</f>
        <v xml:space="preserve"> </v>
      </c>
      <c r="AG125" s="614" t="str">
        <f>IFERROR(U125/Q125, " ")</f>
        <v xml:space="preserve"> </v>
      </c>
      <c r="AH125" s="614" t="str">
        <f>IFERROR(Y125/U125, " ")</f>
        <v xml:space="preserve"> </v>
      </c>
      <c r="AI125" s="1081"/>
    </row>
    <row r="127" spans="1:35">
      <c r="B127" s="21" t="s">
        <v>564</v>
      </c>
      <c r="D127" s="888">
        <f>D96-D14</f>
        <v>12616.464999999997</v>
      </c>
      <c r="E127" s="888">
        <f t="shared" ref="E127:G127" si="203">E96-E14</f>
        <v>3560.7649999999994</v>
      </c>
      <c r="F127" s="888">
        <f t="shared" si="203"/>
        <v>0</v>
      </c>
      <c r="G127" s="888">
        <f t="shared" si="203"/>
        <v>9055.7000000000007</v>
      </c>
      <c r="H127" s="888">
        <f>H96-H14</f>
        <v>18088.23060000001</v>
      </c>
      <c r="I127" s="888">
        <f>I96-I14</f>
        <v>9081.440000000006</v>
      </c>
      <c r="J127" s="888">
        <f t="shared" ref="J127:AB127" si="204">J96-J14</f>
        <v>657.26000000000386</v>
      </c>
      <c r="K127" s="888">
        <f t="shared" si="204"/>
        <v>0</v>
      </c>
      <c r="L127" s="888">
        <f t="shared" si="204"/>
        <v>8424.1799999999985</v>
      </c>
      <c r="M127" s="888">
        <f>M96-M14</f>
        <v>9928.0683216098987</v>
      </c>
      <c r="N127" s="888">
        <f t="shared" si="204"/>
        <v>1356.133752027883</v>
      </c>
      <c r="O127" s="888">
        <f t="shared" si="204"/>
        <v>0</v>
      </c>
      <c r="P127" s="888">
        <f t="shared" si="204"/>
        <v>8593.7999999999975</v>
      </c>
      <c r="Q127" s="888">
        <f>Q96-Q14</f>
        <v>11248.867414432676</v>
      </c>
      <c r="R127" s="888">
        <f t="shared" si="204"/>
        <v>2460.3600000000006</v>
      </c>
      <c r="S127" s="888">
        <f t="shared" si="204"/>
        <v>0</v>
      </c>
      <c r="T127" s="888">
        <f t="shared" si="204"/>
        <v>8811.0199999999968</v>
      </c>
      <c r="U127" s="888">
        <f>U96-U14</f>
        <v>11511.241063138172</v>
      </c>
      <c r="V127" s="888">
        <f t="shared" si="204"/>
        <v>2499.75</v>
      </c>
      <c r="W127" s="888">
        <f t="shared" si="204"/>
        <v>0</v>
      </c>
      <c r="X127" s="888">
        <f t="shared" si="204"/>
        <v>9034.67</v>
      </c>
      <c r="Y127" s="888">
        <f>Y96-Y14</f>
        <v>11766.304903055574</v>
      </c>
      <c r="Z127" s="888">
        <f t="shared" si="204"/>
        <v>2525.25</v>
      </c>
      <c r="AA127" s="888">
        <f t="shared" si="204"/>
        <v>0</v>
      </c>
      <c r="AB127" s="888">
        <f t="shared" si="204"/>
        <v>9264.9199999999983</v>
      </c>
    </row>
    <row r="128" spans="1:35">
      <c r="B128" s="21" t="s">
        <v>565</v>
      </c>
      <c r="D128" s="343">
        <f>D96-D90-D14</f>
        <v>12827.344999999998</v>
      </c>
      <c r="E128" s="343">
        <f t="shared" ref="E128:G128" si="205">E96-E90-E14</f>
        <v>3771.6449999999986</v>
      </c>
      <c r="F128" s="343">
        <f t="shared" si="205"/>
        <v>0</v>
      </c>
      <c r="G128" s="343">
        <f t="shared" si="205"/>
        <v>9055.7000000000007</v>
      </c>
      <c r="H128" s="343">
        <f>H96-H91-H14</f>
        <v>18088.23060000001</v>
      </c>
      <c r="I128" s="343">
        <f>I96-I91-I14</f>
        <v>10816.440000000002</v>
      </c>
      <c r="J128" s="343">
        <f t="shared" ref="J128:AB128" si="206">J96-J91-J14</f>
        <v>2392.2600000000002</v>
      </c>
      <c r="K128" s="343">
        <f t="shared" si="206"/>
        <v>0</v>
      </c>
      <c r="L128" s="343">
        <f t="shared" si="206"/>
        <v>8424.1799999999985</v>
      </c>
      <c r="M128" s="343">
        <f>M96-M91-M14</f>
        <v>10994.044569582016</v>
      </c>
      <c r="N128" s="343">
        <f t="shared" si="206"/>
        <v>2422.1100000000006</v>
      </c>
      <c r="O128" s="343">
        <f t="shared" si="206"/>
        <v>0</v>
      </c>
      <c r="P128" s="343">
        <f t="shared" si="206"/>
        <v>8593.7999999999975</v>
      </c>
      <c r="Q128" s="343">
        <f>Q96-Q91-Q14</f>
        <v>11248.867414432676</v>
      </c>
      <c r="R128" s="343">
        <f t="shared" si="206"/>
        <v>2460.3600000000006</v>
      </c>
      <c r="S128" s="343">
        <f t="shared" si="206"/>
        <v>0</v>
      </c>
      <c r="T128" s="343">
        <f t="shared" si="206"/>
        <v>8811.0199999999968</v>
      </c>
      <c r="U128" s="343">
        <f>U96-U91-U14</f>
        <v>11511.241063138172</v>
      </c>
      <c r="V128" s="343">
        <f t="shared" si="206"/>
        <v>2499.75</v>
      </c>
      <c r="W128" s="343">
        <f t="shared" si="206"/>
        <v>0</v>
      </c>
      <c r="X128" s="343">
        <f t="shared" si="206"/>
        <v>9034.67</v>
      </c>
      <c r="Y128" s="343">
        <f>Y96-Y91-Y14</f>
        <v>11766.304903055574</v>
      </c>
      <c r="Z128" s="343">
        <f t="shared" si="206"/>
        <v>2525.25</v>
      </c>
      <c r="AA128" s="343">
        <f t="shared" si="206"/>
        <v>0</v>
      </c>
      <c r="AB128" s="343">
        <f t="shared" si="206"/>
        <v>9264.9199999999983</v>
      </c>
      <c r="AC128" s="91"/>
      <c r="AD128" s="91"/>
    </row>
    <row r="129" spans="4:30">
      <c r="D129" s="343"/>
      <c r="E129" s="343"/>
      <c r="F129" s="343"/>
      <c r="G129" s="343"/>
      <c r="I129" s="889">
        <f>I128/D128</f>
        <v>0.84323295272716248</v>
      </c>
      <c r="J129" s="343"/>
      <c r="K129" s="343"/>
      <c r="L129" s="343"/>
      <c r="M129" s="91"/>
      <c r="N129" s="91"/>
      <c r="O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</row>
    <row r="130" spans="4:30" hidden="1">
      <c r="H130" s="21">
        <v>3121.52</v>
      </c>
      <c r="I130" s="24" t="s">
        <v>514</v>
      </c>
    </row>
    <row r="131" spans="4:30" hidden="1">
      <c r="D131" s="343">
        <f>D96-D14</f>
        <v>12616.464999999997</v>
      </c>
      <c r="I131" s="343">
        <f>I96-I14</f>
        <v>9081.440000000006</v>
      </c>
    </row>
    <row r="132" spans="4:30" hidden="1"/>
    <row r="133" spans="4:30" hidden="1">
      <c r="I133" s="24">
        <f>I131/D131</f>
        <v>0.719808599318431</v>
      </c>
      <c r="J133" s="421">
        <f>J40+N40+R40+V40+Z40</f>
        <v>0</v>
      </c>
    </row>
    <row r="134" spans="4:30" hidden="1"/>
    <row r="135" spans="4:30" hidden="1"/>
    <row r="136" spans="4:30" hidden="1">
      <c r="H136" s="343"/>
      <c r="I136" s="24">
        <v>64130</v>
      </c>
      <c r="J136" s="24">
        <v>10000</v>
      </c>
      <c r="L136" s="24">
        <v>54130</v>
      </c>
    </row>
    <row r="137" spans="4:30" hidden="1">
      <c r="J137" s="24">
        <f>ROUND(J136/I136,4)</f>
        <v>0.15590000000000001</v>
      </c>
      <c r="L137" s="21">
        <f>ROUND(L136/I136,4)</f>
        <v>0.84409999999999996</v>
      </c>
    </row>
    <row r="138" spans="4:30" hidden="1"/>
    <row r="142" spans="4:30">
      <c r="E142" s="343"/>
      <c r="I142" s="418">
        <f>J96-J17+I120</f>
        <v>7436.680000000003</v>
      </c>
      <c r="N142" s="418">
        <f>N96-N17+M120</f>
        <v>8364.1437520278832</v>
      </c>
      <c r="R142" s="418">
        <f>R96-R17+Q120</f>
        <v>10200.799999999999</v>
      </c>
      <c r="V142" s="418">
        <f>V96-V17+U120</f>
        <v>10558.21</v>
      </c>
      <c r="Z142" s="418">
        <f>Z96-Z17+Y120</f>
        <v>10931.87</v>
      </c>
    </row>
    <row r="143" spans="4:30">
      <c r="I143" s="24">
        <f>(J96+K96)/I114*1000</f>
        <v>1824.4350000000002</v>
      </c>
      <c r="N143" s="24">
        <f>(N96+O96)/M114*1000</f>
        <v>1920.8623752027879</v>
      </c>
      <c r="R143" s="24">
        <f>(R96+S96)/Q114*1000</f>
        <v>2136.0630000000001</v>
      </c>
      <c r="V143" s="24">
        <f>(V96+W96)/U114*1000</f>
        <v>2228.3909999999996</v>
      </c>
      <c r="Z143" s="24">
        <f>(Z96+AA96)/Y114*1000</f>
        <v>2336.11</v>
      </c>
    </row>
  </sheetData>
  <mergeCells count="25">
    <mergeCell ref="A14:B14"/>
    <mergeCell ref="M5:P5"/>
    <mergeCell ref="Q5:T5"/>
    <mergeCell ref="U5:X5"/>
    <mergeCell ref="Y5:AB5"/>
    <mergeCell ref="A5:A6"/>
    <mergeCell ref="B5:B6"/>
    <mergeCell ref="C5:C6"/>
    <mergeCell ref="D5:G5"/>
    <mergeCell ref="H5:H6"/>
    <mergeCell ref="I5:L5"/>
    <mergeCell ref="AE5:AE6"/>
    <mergeCell ref="AF5:AF6"/>
    <mergeCell ref="AG5:AG6"/>
    <mergeCell ref="AH5:AH6"/>
    <mergeCell ref="A7:B7"/>
    <mergeCell ref="AC5:AC6"/>
    <mergeCell ref="AD5:AD6"/>
    <mergeCell ref="A96:B96"/>
    <mergeCell ref="A20:B20"/>
    <mergeCell ref="A59:B59"/>
    <mergeCell ref="A83:B83"/>
    <mergeCell ref="A89:B89"/>
    <mergeCell ref="A90:B90"/>
    <mergeCell ref="A91:B91"/>
  </mergeCells>
  <pageMargins left="0.23622047244094491" right="0.23622047244094491" top="0.74803149606299213" bottom="0.74803149606299213" header="0.31496062992125984" footer="0.31496062992125984"/>
  <pageSetup paperSize="8" scale="33" fitToHeight="2" orientation="landscape" blackAndWhite="1" horizontalDpi="300" verticalDpi="300" r:id="rId1"/>
  <colBreaks count="1" manualBreakCount="1">
    <brk id="20" min="1" max="1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Z71"/>
  <sheetViews>
    <sheetView showGridLines="0" view="pageBreakPreview" topLeftCell="C1" zoomScale="60" zoomScaleNormal="65" workbookViewId="0">
      <pane ySplit="5" topLeftCell="A21" activePane="bottomLeft" state="frozen"/>
      <selection pane="bottomLeft" activeCell="S53" sqref="S53"/>
    </sheetView>
  </sheetViews>
  <sheetFormatPr defaultRowHeight="15.75"/>
  <cols>
    <col min="1" max="1" width="3.375" style="752" customWidth="1"/>
    <col min="2" max="2" width="68.5" style="753" customWidth="1"/>
    <col min="3" max="3" width="20.5" style="753" bestFit="1" customWidth="1"/>
    <col min="4" max="9" width="15.25" style="753" customWidth="1"/>
    <col min="10" max="10" width="12.375" style="753" customWidth="1"/>
    <col min="11" max="13" width="15.25" style="753" customWidth="1"/>
    <col min="14" max="14" width="12.5" style="753" customWidth="1"/>
    <col min="15" max="15" width="14.625" style="753" customWidth="1"/>
    <col min="16" max="16" width="15.75" style="753" customWidth="1"/>
    <col min="17" max="17" width="15.125" style="753" customWidth="1"/>
    <col min="18" max="18" width="13.125" style="753" customWidth="1"/>
    <col min="19" max="19" width="13.625" style="753" customWidth="1"/>
    <col min="20" max="20" width="12.25" style="753" customWidth="1"/>
    <col min="21" max="21" width="12" style="753" customWidth="1"/>
    <col min="22" max="22" width="12.375" style="753" customWidth="1"/>
    <col min="23" max="23" width="12" style="753" customWidth="1"/>
    <col min="24" max="24" width="12.25" style="753" customWidth="1"/>
    <col min="25" max="25" width="11.5" style="753" customWidth="1"/>
    <col min="26" max="26" width="12.375" style="753" customWidth="1"/>
    <col min="27" max="16384" width="9" style="753"/>
  </cols>
  <sheetData>
    <row r="1" spans="1:26" ht="18.75" customHeight="1"/>
    <row r="2" spans="1:26" s="758" customFormat="1" ht="20.25">
      <c r="A2" s="754"/>
      <c r="B2" s="755" t="s">
        <v>538</v>
      </c>
      <c r="C2" s="756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</row>
    <row r="3" spans="1:26" s="763" customFormat="1" ht="19.5" thickBot="1">
      <c r="A3" s="759"/>
      <c r="B3" s="760"/>
      <c r="C3" s="760"/>
      <c r="D3" s="761"/>
      <c r="E3" s="762"/>
      <c r="F3" s="762"/>
      <c r="G3" s="761"/>
      <c r="H3" s="762"/>
      <c r="I3" s="762"/>
      <c r="J3" s="762"/>
      <c r="K3" s="762"/>
    </row>
    <row r="4" spans="1:26" s="763" customFormat="1" ht="41.25" customHeight="1">
      <c r="A4" s="759"/>
      <c r="B4" s="1258" t="s">
        <v>61</v>
      </c>
      <c r="C4" s="1260" t="s">
        <v>133</v>
      </c>
      <c r="D4" s="1262" t="s">
        <v>515</v>
      </c>
      <c r="E4" s="1256"/>
      <c r="F4" s="1257"/>
      <c r="G4" s="1255" t="s">
        <v>148</v>
      </c>
      <c r="H4" s="1256"/>
      <c r="I4" s="1257"/>
      <c r="J4" s="1251" t="s">
        <v>151</v>
      </c>
      <c r="K4" s="1255" t="s">
        <v>149</v>
      </c>
      <c r="L4" s="1256"/>
      <c r="M4" s="1257"/>
      <c r="N4" s="1251" t="s">
        <v>152</v>
      </c>
      <c r="O4" s="1255" t="s">
        <v>150</v>
      </c>
      <c r="P4" s="1256"/>
      <c r="Q4" s="1257"/>
      <c r="R4" s="1251" t="s">
        <v>153</v>
      </c>
      <c r="S4" s="1255" t="s">
        <v>195</v>
      </c>
      <c r="T4" s="1256"/>
      <c r="U4" s="1257"/>
      <c r="V4" s="1251" t="s">
        <v>196</v>
      </c>
      <c r="W4" s="1255" t="s">
        <v>212</v>
      </c>
      <c r="X4" s="1256"/>
      <c r="Y4" s="1257"/>
      <c r="Z4" s="1251" t="s">
        <v>213</v>
      </c>
    </row>
    <row r="5" spans="1:26" s="765" customFormat="1" ht="32.25" thickBot="1">
      <c r="A5" s="764"/>
      <c r="B5" s="1259"/>
      <c r="C5" s="1261"/>
      <c r="D5" s="112" t="s">
        <v>154</v>
      </c>
      <c r="E5" s="113" t="s">
        <v>155</v>
      </c>
      <c r="F5" s="114" t="s">
        <v>156</v>
      </c>
      <c r="G5" s="112" t="s">
        <v>157</v>
      </c>
      <c r="H5" s="113" t="s">
        <v>158</v>
      </c>
      <c r="I5" s="114" t="s">
        <v>159</v>
      </c>
      <c r="J5" s="1252"/>
      <c r="K5" s="112" t="s">
        <v>160</v>
      </c>
      <c r="L5" s="113" t="s">
        <v>161</v>
      </c>
      <c r="M5" s="114" t="s">
        <v>162</v>
      </c>
      <c r="N5" s="1252"/>
      <c r="O5" s="112" t="s">
        <v>163</v>
      </c>
      <c r="P5" s="113" t="s">
        <v>164</v>
      </c>
      <c r="Q5" s="114" t="s">
        <v>165</v>
      </c>
      <c r="R5" s="1252"/>
      <c r="S5" s="112" t="s">
        <v>197</v>
      </c>
      <c r="T5" s="113" t="s">
        <v>198</v>
      </c>
      <c r="U5" s="114" t="s">
        <v>199</v>
      </c>
      <c r="V5" s="1252"/>
      <c r="W5" s="112" t="s">
        <v>214</v>
      </c>
      <c r="X5" s="113" t="s">
        <v>215</v>
      </c>
      <c r="Y5" s="114" t="s">
        <v>216</v>
      </c>
      <c r="Z5" s="1252"/>
    </row>
    <row r="6" spans="1:26" s="769" customFormat="1" ht="34.5" customHeight="1" thickBot="1">
      <c r="A6" s="759"/>
      <c r="B6" s="766" t="s">
        <v>516</v>
      </c>
      <c r="C6" s="767"/>
      <c r="D6" s="767"/>
      <c r="E6" s="767"/>
      <c r="F6" s="767"/>
      <c r="G6" s="767"/>
      <c r="H6" s="767"/>
      <c r="I6" s="767"/>
      <c r="J6" s="768"/>
      <c r="K6" s="767"/>
      <c r="L6" s="767"/>
      <c r="M6" s="767"/>
      <c r="N6" s="768"/>
      <c r="O6" s="767"/>
      <c r="P6" s="767"/>
      <c r="Q6" s="767"/>
      <c r="R6" s="768"/>
      <c r="S6" s="767"/>
      <c r="T6" s="767"/>
      <c r="U6" s="767"/>
      <c r="V6" s="768"/>
      <c r="W6" s="767"/>
      <c r="X6" s="767"/>
      <c r="Y6" s="767"/>
      <c r="Z6" s="768"/>
    </row>
    <row r="7" spans="1:26" s="773" customFormat="1" ht="19.5" thickBot="1">
      <c r="A7" s="770"/>
      <c r="B7" s="115" t="s">
        <v>135</v>
      </c>
      <c r="C7" s="116" t="s">
        <v>0</v>
      </c>
      <c r="D7" s="117">
        <v>7960.35</v>
      </c>
      <c r="E7" s="118">
        <v>6785.3049999999985</v>
      </c>
      <c r="F7" s="119">
        <v>14745.654999999999</v>
      </c>
      <c r="G7" s="117">
        <f>G25+G34+G19</f>
        <v>8071.151793</v>
      </c>
      <c r="H7" s="118">
        <f>H25+H34+H19</f>
        <v>8950.4219590278826</v>
      </c>
      <c r="I7" s="772">
        <f>G7+H7</f>
        <v>17021.573752027882</v>
      </c>
      <c r="J7" s="771">
        <f>I7/F7</f>
        <v>1.154345042795853</v>
      </c>
      <c r="K7" s="117">
        <f>K25+K34+K19</f>
        <v>11101.237161010837</v>
      </c>
      <c r="L7" s="118">
        <f>L25+L34+L19</f>
        <v>8991.0699999999979</v>
      </c>
      <c r="M7" s="772">
        <f>K7+L7</f>
        <v>20092.307161010835</v>
      </c>
      <c r="N7" s="771">
        <f>M7/I7</f>
        <v>1.1804024383243128</v>
      </c>
      <c r="O7" s="117">
        <f>O25+O34+O19</f>
        <v>11169.16756927164</v>
      </c>
      <c r="P7" s="118">
        <f>P25+P34+P19</f>
        <v>10003.75243072836</v>
      </c>
      <c r="Q7" s="772">
        <f>O7+P7</f>
        <v>21172.92</v>
      </c>
      <c r="R7" s="771">
        <f>Q7/M7</f>
        <v>1.0537824168389232</v>
      </c>
      <c r="S7" s="117">
        <f>S25+S34+S19</f>
        <v>12413.720000000001</v>
      </c>
      <c r="T7" s="118">
        <f>T25+T34+T19</f>
        <v>9676.9200000000019</v>
      </c>
      <c r="U7" s="772">
        <f>S7+T7</f>
        <v>22090.640000000003</v>
      </c>
      <c r="V7" s="771">
        <f>U7/Q7</f>
        <v>1.0433440451293448</v>
      </c>
      <c r="W7" s="117">
        <f>W25+W34+W19</f>
        <v>12022.2826038</v>
      </c>
      <c r="X7" s="118">
        <f>X25+X34+X19</f>
        <v>11139.817396200002</v>
      </c>
      <c r="Y7" s="772">
        <f>W7+X7</f>
        <v>23162.100000000002</v>
      </c>
      <c r="Z7" s="771">
        <f>Y7/U7</f>
        <v>1.0485028953439104</v>
      </c>
    </row>
    <row r="8" spans="1:26" s="761" customFormat="1" ht="19.5" thickBot="1">
      <c r="A8" s="774"/>
      <c r="B8" s="120" t="s">
        <v>517</v>
      </c>
      <c r="C8" s="121" t="s">
        <v>10</v>
      </c>
      <c r="D8" s="775">
        <v>5709.65</v>
      </c>
      <c r="E8" s="776">
        <v>4685.3500000000004</v>
      </c>
      <c r="F8" s="777">
        <v>10395</v>
      </c>
      <c r="G8" s="775">
        <f>G35</f>
        <v>5501.65</v>
      </c>
      <c r="H8" s="776">
        <f t="shared" ref="H8:I8" si="0">H35</f>
        <v>4498.3500000000004</v>
      </c>
      <c r="I8" s="777">
        <f t="shared" si="0"/>
        <v>10000</v>
      </c>
      <c r="J8" s="778">
        <f t="shared" ref="J8:J9" si="1">I8/F8</f>
        <v>0.96200096200096197</v>
      </c>
      <c r="K8" s="775">
        <f>K35</f>
        <v>5501.65</v>
      </c>
      <c r="L8" s="776">
        <f t="shared" ref="L8:M8" si="2">L35</f>
        <v>4498.3500000000004</v>
      </c>
      <c r="M8" s="777">
        <f t="shared" si="2"/>
        <v>10000</v>
      </c>
      <c r="N8" s="771">
        <f t="shared" ref="N8:N9" si="3">M8/I8</f>
        <v>1</v>
      </c>
      <c r="O8" s="775">
        <f>O35</f>
        <v>5501.65</v>
      </c>
      <c r="P8" s="776">
        <f t="shared" ref="P8:Q8" si="4">P35</f>
        <v>4498.3500000000004</v>
      </c>
      <c r="Q8" s="777">
        <f t="shared" si="4"/>
        <v>10000</v>
      </c>
      <c r="R8" s="771">
        <f t="shared" ref="R8:R9" si="5">Q8/M8</f>
        <v>1</v>
      </c>
      <c r="S8" s="775">
        <f>S35</f>
        <v>5501.65</v>
      </c>
      <c r="T8" s="776">
        <f t="shared" ref="T8:U8" si="6">T35</f>
        <v>4498.3500000000004</v>
      </c>
      <c r="U8" s="777">
        <f t="shared" si="6"/>
        <v>10000</v>
      </c>
      <c r="V8" s="771">
        <f t="shared" ref="V8:V9" si="7">U8/Q8</f>
        <v>1</v>
      </c>
      <c r="W8" s="775">
        <f>W35</f>
        <v>5501.65</v>
      </c>
      <c r="X8" s="776">
        <f t="shared" ref="X8:Y8" si="8">X35</f>
        <v>4498.3500000000004</v>
      </c>
      <c r="Y8" s="777">
        <f t="shared" si="8"/>
        <v>10000</v>
      </c>
      <c r="Z8" s="771">
        <f t="shared" ref="Z8:Z9" si="9">Y8/U8</f>
        <v>1</v>
      </c>
    </row>
    <row r="9" spans="1:26" s="761" customFormat="1" ht="19.5" thickBot="1">
      <c r="A9" s="774"/>
      <c r="B9" s="122" t="s">
        <v>518</v>
      </c>
      <c r="C9" s="123" t="s">
        <v>9</v>
      </c>
      <c r="D9" s="124">
        <v>1394.19</v>
      </c>
      <c r="E9" s="124">
        <v>1448.2</v>
      </c>
      <c r="F9" s="125">
        <v>1418.53</v>
      </c>
      <c r="G9" s="124">
        <f>ROUND((G7*1000/G8),2)</f>
        <v>1467.04</v>
      </c>
      <c r="H9" s="124">
        <f>ROUND((H7*1000/H8),2)</f>
        <v>1989.71</v>
      </c>
      <c r="I9" s="780">
        <f>ROUND((I7*1000/I8),2)</f>
        <v>1702.16</v>
      </c>
      <c r="J9" s="779">
        <f t="shared" si="1"/>
        <v>1.19994642341015</v>
      </c>
      <c r="K9" s="124">
        <f>ROUND((K7*1000/K8),2)</f>
        <v>2017.8</v>
      </c>
      <c r="L9" s="124">
        <f>ROUND((L7*1000/L8),2)</f>
        <v>1998.75</v>
      </c>
      <c r="M9" s="780">
        <f>ROUND((M7*1000/M8),2)</f>
        <v>2009.23</v>
      </c>
      <c r="N9" s="771">
        <f t="shared" si="3"/>
        <v>1.1804001973962495</v>
      </c>
      <c r="O9" s="124">
        <f>ROUND((O7*1000/O8),2)</f>
        <v>2030.15</v>
      </c>
      <c r="P9" s="124">
        <f>ROUND((P7*1000/P8),2)</f>
        <v>2223.87</v>
      </c>
      <c r="Q9" s="780">
        <f>ROUND((Q7*1000/Q8),2)</f>
        <v>2117.29</v>
      </c>
      <c r="R9" s="771">
        <f t="shared" si="5"/>
        <v>1.0537817970068135</v>
      </c>
      <c r="S9" s="124">
        <f>ROUND((S7*1000/S8),2)</f>
        <v>2256.36</v>
      </c>
      <c r="T9" s="124">
        <f>ROUND((T7*1000/T8),2)</f>
        <v>2151.2199999999998</v>
      </c>
      <c r="U9" s="780">
        <f>ROUND((U7*1000/U8),2)</f>
        <v>2209.06</v>
      </c>
      <c r="V9" s="771">
        <f t="shared" si="7"/>
        <v>1.0433431414685754</v>
      </c>
      <c r="W9" s="124">
        <f>W7*1000/W8-0.01</f>
        <v>2185.2040001272344</v>
      </c>
      <c r="X9" s="124">
        <f>ROUND((X7*1000/X8),2)</f>
        <v>2476.42</v>
      </c>
      <c r="Y9" s="780">
        <f>ROUND((Y7*1000/Y8),2)</f>
        <v>2316.21</v>
      </c>
      <c r="Z9" s="771">
        <f t="shared" si="9"/>
        <v>1.0485047938942356</v>
      </c>
    </row>
    <row r="10" spans="1:26" s="788" customFormat="1" ht="18.75">
      <c r="A10" s="781"/>
      <c r="B10" s="782" t="s">
        <v>134</v>
      </c>
      <c r="C10" s="783"/>
      <c r="D10" s="785"/>
      <c r="E10" s="784">
        <f>E9/D9</f>
        <v>1.0387393396882778</v>
      </c>
      <c r="F10" s="786"/>
      <c r="G10" s="785"/>
      <c r="H10" s="784">
        <f>H9/G9</f>
        <v>1.3562752208528739</v>
      </c>
      <c r="I10" s="786"/>
      <c r="J10" s="787"/>
      <c r="K10" s="785"/>
      <c r="L10" s="784">
        <f>L9/K9</f>
        <v>0.99055902468034496</v>
      </c>
      <c r="M10" s="786"/>
      <c r="N10" s="787"/>
      <c r="O10" s="785"/>
      <c r="P10" s="784">
        <f>P9/O9</f>
        <v>1.0954215205772972</v>
      </c>
      <c r="Q10" s="786"/>
      <c r="R10" s="787"/>
      <c r="S10" s="785"/>
      <c r="T10" s="784">
        <f>T9/S9</f>
        <v>0.95340282579021063</v>
      </c>
      <c r="U10" s="786"/>
      <c r="V10" s="787"/>
      <c r="W10" s="785"/>
      <c r="X10" s="784">
        <f>X9/W9</f>
        <v>1.1332671914639592</v>
      </c>
      <c r="Y10" s="786"/>
      <c r="Z10" s="787"/>
    </row>
    <row r="11" spans="1:26" s="788" customFormat="1" ht="38.25" customHeight="1" thickBot="1">
      <c r="A11" s="781"/>
      <c r="B11" s="766" t="s">
        <v>519</v>
      </c>
      <c r="C11" s="767"/>
      <c r="D11" s="789"/>
      <c r="E11" s="790"/>
      <c r="F11" s="790"/>
      <c r="G11" s="789"/>
      <c r="H11" s="790"/>
      <c r="I11" s="790"/>
      <c r="J11" s="768"/>
      <c r="K11" s="790"/>
      <c r="L11" s="790"/>
      <c r="M11" s="790"/>
      <c r="N11" s="768"/>
      <c r="O11" s="790"/>
      <c r="P11" s="790"/>
      <c r="Q11" s="790"/>
      <c r="R11" s="768"/>
      <c r="S11" s="790"/>
      <c r="T11" s="790"/>
      <c r="U11" s="790"/>
      <c r="V11" s="768"/>
      <c r="W11" s="790"/>
      <c r="X11" s="790"/>
      <c r="Y11" s="790"/>
      <c r="Z11" s="768"/>
    </row>
    <row r="12" spans="1:26" s="788" customFormat="1" ht="19.5" thickBot="1">
      <c r="A12" s="781"/>
      <c r="B12" s="115" t="s">
        <v>135</v>
      </c>
      <c r="C12" s="116" t="s">
        <v>0</v>
      </c>
      <c r="D12" s="117">
        <v>4417.5600000000004</v>
      </c>
      <c r="E12" s="791">
        <v>3203.2949999999992</v>
      </c>
      <c r="F12" s="119">
        <v>7620.8549999999996</v>
      </c>
      <c r="G12" s="117">
        <f>G19+G40</f>
        <v>4629.72</v>
      </c>
      <c r="H12" s="118">
        <f>H19+H40</f>
        <v>4516.1151880278812</v>
      </c>
      <c r="I12" s="119">
        <f>G12+H12</f>
        <v>9145.8351880278824</v>
      </c>
      <c r="J12" s="771">
        <f>I12/F12</f>
        <v>1.2001061807405971</v>
      </c>
      <c r="K12" s="117">
        <f>K19+K40</f>
        <v>6527.13</v>
      </c>
      <c r="L12" s="118">
        <f>L19+L40</f>
        <v>4567.6115949181367</v>
      </c>
      <c r="M12" s="119">
        <f>K12+L12</f>
        <v>11094.741594918138</v>
      </c>
      <c r="N12" s="771">
        <f t="shared" ref="N12:N14" si="10">M12/I12</f>
        <v>1.2130922290663428</v>
      </c>
      <c r="O12" s="117">
        <f>O19+O40</f>
        <v>6601.56</v>
      </c>
      <c r="P12" s="118">
        <f>P19+P40</f>
        <v>5050.0795917391952</v>
      </c>
      <c r="Q12" s="119">
        <f>O12+P12</f>
        <v>11651.639591739196</v>
      </c>
      <c r="R12" s="771">
        <f t="shared" ref="R12:R14" si="11">Q12/M12</f>
        <v>1.050194769482161</v>
      </c>
      <c r="S12" s="117">
        <f>S19+S40</f>
        <v>7298.85</v>
      </c>
      <c r="T12" s="118">
        <f>T19+T40</f>
        <v>4918.7700000000023</v>
      </c>
      <c r="U12" s="119">
        <f>S12+T12</f>
        <v>12217.620000000003</v>
      </c>
      <c r="V12" s="771">
        <f t="shared" ref="V12:V14" si="12">U12/Q12</f>
        <v>1.0485751729449369</v>
      </c>
      <c r="W12" s="117">
        <f>W19+W40</f>
        <v>7109.07</v>
      </c>
      <c r="X12" s="118">
        <f>X19+X40</f>
        <v>5611.4200000000019</v>
      </c>
      <c r="Y12" s="119">
        <f>W12+X12</f>
        <v>12720.490000000002</v>
      </c>
      <c r="Z12" s="771">
        <f t="shared" ref="Z12:Z14" si="13">Y12/U12</f>
        <v>1.0411594074787069</v>
      </c>
    </row>
    <row r="13" spans="1:26" s="788" customFormat="1" ht="19.5" thickBot="1">
      <c r="A13" s="781"/>
      <c r="B13" s="120" t="s">
        <v>517</v>
      </c>
      <c r="C13" s="121" t="s">
        <v>10</v>
      </c>
      <c r="D13" s="775">
        <v>3000</v>
      </c>
      <c r="E13" s="776">
        <v>2075.6999999999998</v>
      </c>
      <c r="F13" s="777">
        <v>5075.7</v>
      </c>
      <c r="G13" s="792">
        <f>G41</f>
        <v>3000</v>
      </c>
      <c r="H13" s="793">
        <f>H41</f>
        <v>2075.6999999999998</v>
      </c>
      <c r="I13" s="777">
        <f>G13+H13</f>
        <v>5075.7</v>
      </c>
      <c r="J13" s="778">
        <f t="shared" ref="J13:J14" si="14">I13/F13</f>
        <v>1</v>
      </c>
      <c r="K13" s="792">
        <f>K41</f>
        <v>3000</v>
      </c>
      <c r="L13" s="793">
        <f>L41</f>
        <v>2075.6999999999998</v>
      </c>
      <c r="M13" s="777">
        <f>K13+L13</f>
        <v>5075.7</v>
      </c>
      <c r="N13" s="771">
        <f t="shared" si="10"/>
        <v>1</v>
      </c>
      <c r="O13" s="792">
        <f>O41</f>
        <v>3000</v>
      </c>
      <c r="P13" s="793">
        <f>P41</f>
        <v>2075.6999999999998</v>
      </c>
      <c r="Q13" s="777">
        <f>O13+P13</f>
        <v>5075.7</v>
      </c>
      <c r="R13" s="771">
        <f t="shared" si="11"/>
        <v>1</v>
      </c>
      <c r="S13" s="792">
        <f>S41</f>
        <v>3000</v>
      </c>
      <c r="T13" s="793">
        <f>T41</f>
        <v>2075.6999999999998</v>
      </c>
      <c r="U13" s="777">
        <f>S13+T13</f>
        <v>5075.7</v>
      </c>
      <c r="V13" s="771">
        <f t="shared" si="12"/>
        <v>1</v>
      </c>
      <c r="W13" s="792">
        <f>W41</f>
        <v>3000</v>
      </c>
      <c r="X13" s="793">
        <f>X41</f>
        <v>2075.6999999999998</v>
      </c>
      <c r="Y13" s="777">
        <f>W13+X13</f>
        <v>5075.7</v>
      </c>
      <c r="Z13" s="771">
        <f t="shared" si="13"/>
        <v>1</v>
      </c>
    </row>
    <row r="14" spans="1:26" s="788" customFormat="1" ht="19.5" thickBot="1">
      <c r="A14" s="781"/>
      <c r="B14" s="122" t="s">
        <v>518</v>
      </c>
      <c r="C14" s="123" t="s">
        <v>9</v>
      </c>
      <c r="D14" s="124">
        <v>1472.52</v>
      </c>
      <c r="E14" s="124">
        <v>1543.24</v>
      </c>
      <c r="F14" s="125">
        <v>1501.44</v>
      </c>
      <c r="G14" s="124">
        <f>ROUND((G12*1000/G13),2)</f>
        <v>1543.24</v>
      </c>
      <c r="H14" s="124">
        <f>ROUND((H12*1000/H13),2)</f>
        <v>2175.71</v>
      </c>
      <c r="I14" s="125">
        <f>ROUND((I12*1000/I13),2)</f>
        <v>1801.89</v>
      </c>
      <c r="J14" s="779">
        <f t="shared" si="14"/>
        <v>1.2001078964194374</v>
      </c>
      <c r="K14" s="124">
        <f>ROUND((K12*1000/K13),2)</f>
        <v>2175.71</v>
      </c>
      <c r="L14" s="124">
        <f>ROUND((L12*1000/L13),2)</f>
        <v>2200.52</v>
      </c>
      <c r="M14" s="125">
        <f>ROUND((M12*1000/M13),2)</f>
        <v>2185.85</v>
      </c>
      <c r="N14" s="771">
        <f t="shared" si="10"/>
        <v>1.2130873693732691</v>
      </c>
      <c r="O14" s="124">
        <f>ROUND((O12*1000/O13),2)</f>
        <v>2200.52</v>
      </c>
      <c r="P14" s="124">
        <f>ROUND((P12*1000/P13),2)</f>
        <v>2432.9499999999998</v>
      </c>
      <c r="Q14" s="125">
        <f>ROUND((Q12*1000/Q13),2)</f>
        <v>2295.5700000000002</v>
      </c>
      <c r="R14" s="771">
        <f t="shared" si="11"/>
        <v>1.0501955760916808</v>
      </c>
      <c r="S14" s="124">
        <f>ROUND((S12*1000/S13),2)</f>
        <v>2432.9499999999998</v>
      </c>
      <c r="T14" s="124">
        <f>ROUND((T12*1000/T13),2)</f>
        <v>2369.69</v>
      </c>
      <c r="U14" s="125">
        <f>ROUND((U12*1000/U13),2)</f>
        <v>2407.08</v>
      </c>
      <c r="V14" s="771">
        <f t="shared" si="12"/>
        <v>1.0485761706242893</v>
      </c>
      <c r="W14" s="124">
        <f>ROUND((W12*1000/W13),2)</f>
        <v>2369.69</v>
      </c>
      <c r="X14" s="124">
        <f>ROUND((X12*1000/X13),2)</f>
        <v>2703.39</v>
      </c>
      <c r="Y14" s="125">
        <f>ROUND((Y12*1000/Y13),2)</f>
        <v>2506.15</v>
      </c>
      <c r="Z14" s="771">
        <f t="shared" si="13"/>
        <v>1.0411577513003307</v>
      </c>
    </row>
    <row r="15" spans="1:26" s="788" customFormat="1" ht="18.75">
      <c r="A15" s="781"/>
      <c r="B15" s="782" t="s">
        <v>134</v>
      </c>
      <c r="C15" s="783"/>
      <c r="D15" s="785"/>
      <c r="E15" s="784">
        <f>E14/D14</f>
        <v>1.0480265123733463</v>
      </c>
      <c r="F15" s="786"/>
      <c r="G15" s="785"/>
      <c r="H15" s="784">
        <f>H14/G14</f>
        <v>1.4098325600684274</v>
      </c>
      <c r="I15" s="786"/>
      <c r="J15" s="787"/>
      <c r="K15" s="785"/>
      <c r="L15" s="784">
        <f>L14/K14</f>
        <v>1.011403174136259</v>
      </c>
      <c r="M15" s="786"/>
      <c r="N15" s="787"/>
      <c r="O15" s="785"/>
      <c r="P15" s="784">
        <f>P14/O14</f>
        <v>1.1056250340828531</v>
      </c>
      <c r="Q15" s="786"/>
      <c r="R15" s="787"/>
      <c r="S15" s="785"/>
      <c r="T15" s="784">
        <f>T14/S14</f>
        <v>0.97399864362194055</v>
      </c>
      <c r="U15" s="786"/>
      <c r="V15" s="787"/>
      <c r="W15" s="785"/>
      <c r="X15" s="784">
        <f>X14/W14</f>
        <v>1.1408201072714153</v>
      </c>
      <c r="Y15" s="786"/>
      <c r="Z15" s="787"/>
    </row>
    <row r="16" spans="1:26" s="769" customFormat="1" ht="33.75" customHeight="1">
      <c r="A16" s="759"/>
      <c r="B16" s="766" t="s">
        <v>520</v>
      </c>
      <c r="C16" s="767"/>
      <c r="D16" s="767"/>
      <c r="E16" s="767"/>
      <c r="F16" s="767"/>
      <c r="G16" s="767"/>
      <c r="H16" s="767"/>
      <c r="I16" s="767"/>
      <c r="J16" s="768"/>
      <c r="K16" s="767"/>
      <c r="L16" s="767"/>
      <c r="M16" s="767"/>
      <c r="N16" s="768"/>
      <c r="O16" s="767"/>
      <c r="P16" s="767"/>
      <c r="Q16" s="767"/>
      <c r="R16" s="768"/>
      <c r="S16" s="767"/>
      <c r="T16" s="767"/>
      <c r="U16" s="767"/>
      <c r="V16" s="768"/>
      <c r="W16" s="767"/>
      <c r="X16" s="767"/>
      <c r="Y16" s="767"/>
      <c r="Z16" s="768"/>
    </row>
    <row r="17" spans="1:26" s="798" customFormat="1" ht="26.25">
      <c r="A17" s="794"/>
      <c r="B17" s="795" t="s">
        <v>521</v>
      </c>
      <c r="C17" s="796"/>
      <c r="D17" s="796"/>
      <c r="E17" s="796"/>
      <c r="F17" s="796"/>
      <c r="G17" s="796"/>
      <c r="H17" s="796"/>
      <c r="I17" s="796"/>
      <c r="J17" s="797"/>
      <c r="K17" s="796"/>
      <c r="L17" s="796"/>
      <c r="M17" s="796"/>
      <c r="N17" s="797"/>
      <c r="O17" s="796"/>
      <c r="P17" s="796"/>
      <c r="Q17" s="796"/>
      <c r="R17" s="797"/>
      <c r="S17" s="796"/>
      <c r="T17" s="796"/>
      <c r="U17" s="796"/>
      <c r="V17" s="797"/>
      <c r="W17" s="796"/>
      <c r="X17" s="796"/>
      <c r="Y17" s="796"/>
      <c r="Z17" s="797"/>
    </row>
    <row r="18" spans="1:26" s="769" customFormat="1" ht="19.5" thickBot="1">
      <c r="A18" s="759"/>
      <c r="B18" s="799" t="s">
        <v>522</v>
      </c>
      <c r="D18" s="767"/>
      <c r="E18" s="767"/>
      <c r="F18" s="767"/>
      <c r="G18" s="767"/>
      <c r="H18" s="767"/>
      <c r="I18" s="767"/>
      <c r="J18" s="768"/>
      <c r="K18" s="767"/>
      <c r="L18" s="767"/>
      <c r="M18" s="767"/>
      <c r="N18" s="768"/>
      <c r="O18" s="767"/>
      <c r="P18" s="767"/>
      <c r="Q18" s="767"/>
      <c r="R18" s="768"/>
      <c r="S18" s="767"/>
      <c r="T18" s="767"/>
      <c r="U18" s="767"/>
      <c r="V18" s="768"/>
      <c r="W18" s="767"/>
      <c r="X18" s="767"/>
      <c r="Y18" s="767"/>
      <c r="Z18" s="768"/>
    </row>
    <row r="19" spans="1:26" s="788" customFormat="1" ht="19.5" thickBot="1">
      <c r="A19" s="781"/>
      <c r="B19" s="115" t="s">
        <v>135</v>
      </c>
      <c r="C19" s="116" t="s">
        <v>0</v>
      </c>
      <c r="D19" s="117">
        <v>418.87</v>
      </c>
      <c r="E19" s="118">
        <v>433.44999999999993</v>
      </c>
      <c r="F19" s="772">
        <v>852.31999999999994</v>
      </c>
      <c r="G19" s="117">
        <f>ROUND(G20*G21/1000,2)</f>
        <v>783.6</v>
      </c>
      <c r="H19" s="118">
        <f>ROUND(H20*H21/1000,2)</f>
        <v>812.77</v>
      </c>
      <c r="I19" s="119">
        <f>G19+H19</f>
        <v>1596.37</v>
      </c>
      <c r="J19" s="849">
        <f>I19/F19</f>
        <v>1.8729702459170265</v>
      </c>
      <c r="K19" s="117">
        <f>ROUND(K20*K21/1000,2)</f>
        <v>838.61</v>
      </c>
      <c r="L19" s="118">
        <f>ROUND(L20*L21/1000,2)</f>
        <v>869.66</v>
      </c>
      <c r="M19" s="119">
        <f>K19+L19</f>
        <v>1708.27</v>
      </c>
      <c r="N19" s="771">
        <f t="shared" ref="N19:N21" si="15">M19/I19</f>
        <v>1.0700965315058539</v>
      </c>
      <c r="O19" s="117">
        <f>ROUND(O20*O21/1000,2)</f>
        <v>897.3</v>
      </c>
      <c r="P19" s="118">
        <f>ROUND(P20*P21/1000,2)</f>
        <v>904.5</v>
      </c>
      <c r="Q19" s="119">
        <f>O19+P19</f>
        <v>1801.8</v>
      </c>
      <c r="R19" s="771">
        <f t="shared" ref="R19:R21" si="16">Q19/M19</f>
        <v>1.0547512980969049</v>
      </c>
      <c r="S19" s="117">
        <f>ROUND(S20*S21/1000,2)</f>
        <v>933.25</v>
      </c>
      <c r="T19" s="118">
        <f>ROUND(T20*T21/1000,2)</f>
        <v>940.54</v>
      </c>
      <c r="U19" s="119">
        <f>S19+T19</f>
        <v>1873.79</v>
      </c>
      <c r="V19" s="771">
        <f t="shared" ref="V19:V21" si="17">U19/Q19</f>
        <v>1.0399544899544899</v>
      </c>
      <c r="W19" s="117">
        <f>ROUND(W20*W21/1000,2)</f>
        <v>970.44</v>
      </c>
      <c r="X19" s="118">
        <f>ROUND(X20*X21/1000,2)</f>
        <v>978.07</v>
      </c>
      <c r="Y19" s="119">
        <f>W19+X19</f>
        <v>1948.5100000000002</v>
      </c>
      <c r="Z19" s="771">
        <f t="shared" ref="Z19:Z21" si="18">Y19/U19</f>
        <v>1.0398764002369532</v>
      </c>
    </row>
    <row r="20" spans="1:26" s="788" customFormat="1" ht="19.5" thickBot="1">
      <c r="A20" s="781"/>
      <c r="B20" s="120" t="s">
        <v>523</v>
      </c>
      <c r="C20" s="121" t="s">
        <v>18</v>
      </c>
      <c r="D20" s="775">
        <v>17659.03</v>
      </c>
      <c r="E20" s="776">
        <v>16997.900000000001</v>
      </c>
      <c r="F20" s="841">
        <v>34656.93</v>
      </c>
      <c r="G20" s="792">
        <f>'[177]переменные на 5 лет'!H38</f>
        <v>30729.49</v>
      </c>
      <c r="H20" s="793">
        <f>'[177]переменные на 5 лет'!I38</f>
        <v>29782.779999999995</v>
      </c>
      <c r="I20" s="777">
        <v>60512.27</v>
      </c>
      <c r="J20" s="850">
        <f t="shared" ref="J20:J21" si="19">I20/F20</f>
        <v>1.7460366512556074</v>
      </c>
      <c r="K20" s="792">
        <f>G20</f>
        <v>30729.49</v>
      </c>
      <c r="L20" s="793">
        <f>H20</f>
        <v>29782.779999999995</v>
      </c>
      <c r="M20" s="777">
        <f>K20+L20</f>
        <v>60512.27</v>
      </c>
      <c r="N20" s="771">
        <f t="shared" si="15"/>
        <v>1</v>
      </c>
      <c r="O20" s="792">
        <f>K20</f>
        <v>30729.49</v>
      </c>
      <c r="P20" s="793">
        <f>L20</f>
        <v>29782.779999999995</v>
      </c>
      <c r="Q20" s="777">
        <f>O20+P20</f>
        <v>60512.27</v>
      </c>
      <c r="R20" s="771">
        <f t="shared" si="16"/>
        <v>1</v>
      </c>
      <c r="S20" s="792">
        <f>O20</f>
        <v>30729.49</v>
      </c>
      <c r="T20" s="793">
        <f>P20</f>
        <v>29782.779999999995</v>
      </c>
      <c r="U20" s="777">
        <f>S20+T20</f>
        <v>60512.27</v>
      </c>
      <c r="V20" s="771">
        <f t="shared" si="17"/>
        <v>1</v>
      </c>
      <c r="W20" s="792">
        <f>S20</f>
        <v>30729.49</v>
      </c>
      <c r="X20" s="793">
        <f>T20</f>
        <v>29782.779999999995</v>
      </c>
      <c r="Y20" s="777">
        <f>W20+X20</f>
        <v>60512.27</v>
      </c>
      <c r="Z20" s="771">
        <f t="shared" si="18"/>
        <v>1</v>
      </c>
    </row>
    <row r="21" spans="1:26" s="788" customFormat="1" ht="19.5" thickBot="1">
      <c r="A21" s="781"/>
      <c r="B21" s="122" t="s">
        <v>218</v>
      </c>
      <c r="C21" s="123" t="s">
        <v>16</v>
      </c>
      <c r="D21" s="124">
        <v>23.72</v>
      </c>
      <c r="E21" s="124">
        <v>25.5</v>
      </c>
      <c r="F21" s="780">
        <v>24.59</v>
      </c>
      <c r="G21" s="157">
        <f>ROUND(E21,2)</f>
        <v>25.5</v>
      </c>
      <c r="H21" s="124">
        <f>ROUND(G21*[177]индексы!H11,2)</f>
        <v>27.29</v>
      </c>
      <c r="I21" s="125">
        <f>ROUND((I19/I20*1000),2)</f>
        <v>26.38</v>
      </c>
      <c r="J21" s="851">
        <f t="shared" si="19"/>
        <v>1.0727938186254575</v>
      </c>
      <c r="K21" s="124">
        <f>H21</f>
        <v>27.29</v>
      </c>
      <c r="L21" s="124">
        <f>ROUND(K21*[177]индексы!I11,2)</f>
        <v>29.2</v>
      </c>
      <c r="M21" s="125">
        <f>ROUND((M19/M20*1000),2)</f>
        <v>28.23</v>
      </c>
      <c r="N21" s="771">
        <f t="shared" si="15"/>
        <v>1.0701288855193329</v>
      </c>
      <c r="O21" s="124">
        <f>L21</f>
        <v>29.2</v>
      </c>
      <c r="P21" s="124">
        <f>ROUND(O21*[177]индексы!J11,2)</f>
        <v>30.37</v>
      </c>
      <c r="Q21" s="125">
        <f>ROUND((Q19/Q20*1000),2)</f>
        <v>29.78</v>
      </c>
      <c r="R21" s="771">
        <f t="shared" si="16"/>
        <v>1.0549061282323768</v>
      </c>
      <c r="S21" s="124">
        <f>P21</f>
        <v>30.37</v>
      </c>
      <c r="T21" s="124">
        <f>ROUND(S21*[177]индексы!K11,2)</f>
        <v>31.58</v>
      </c>
      <c r="U21" s="125">
        <f>ROUND((U19/U20*1000),2)</f>
        <v>30.97</v>
      </c>
      <c r="V21" s="771">
        <f t="shared" si="17"/>
        <v>1.039959704499664</v>
      </c>
      <c r="W21" s="124">
        <f>T21</f>
        <v>31.58</v>
      </c>
      <c r="X21" s="124">
        <f>ROUND(W21*[177]индексы!L11,2)</f>
        <v>32.840000000000003</v>
      </c>
      <c r="Y21" s="125">
        <f>ROUND((Y19/Y20*1000),2)</f>
        <v>32.200000000000003</v>
      </c>
      <c r="Z21" s="771">
        <f t="shared" si="18"/>
        <v>1.0397158540523088</v>
      </c>
    </row>
    <row r="22" spans="1:26" s="788" customFormat="1" ht="18.75">
      <c r="A22" s="781"/>
      <c r="B22" s="782" t="s">
        <v>134</v>
      </c>
      <c r="C22" s="783"/>
      <c r="D22" s="785"/>
      <c r="E22" s="784">
        <f>E21/D21</f>
        <v>1.0750421585160204</v>
      </c>
      <c r="F22" s="786"/>
      <c r="G22" s="785"/>
      <c r="H22" s="848">
        <f>H21/G21</f>
        <v>1.0701960784313724</v>
      </c>
      <c r="I22" s="786"/>
      <c r="J22" s="787"/>
      <c r="K22" s="785"/>
      <c r="L22" s="784">
        <f>L21/K21</f>
        <v>1.0699890069622573</v>
      </c>
      <c r="M22" s="786"/>
      <c r="N22" s="787"/>
      <c r="O22" s="785"/>
      <c r="P22" s="784">
        <f>P21/O21</f>
        <v>1.0400684931506849</v>
      </c>
      <c r="Q22" s="786"/>
      <c r="R22" s="787"/>
      <c r="S22" s="785"/>
      <c r="T22" s="784">
        <f>T21/S21</f>
        <v>1.0398419492920645</v>
      </c>
      <c r="U22" s="786"/>
      <c r="V22" s="787"/>
      <c r="W22" s="785"/>
      <c r="X22" s="784">
        <f>X21/W21</f>
        <v>1.039898670044332</v>
      </c>
      <c r="Y22" s="786"/>
      <c r="Z22" s="787"/>
    </row>
    <row r="23" spans="1:26" s="788" customFormat="1" ht="18.75">
      <c r="A23" s="781"/>
      <c r="B23" s="801"/>
      <c r="C23" s="801"/>
      <c r="D23" s="801"/>
      <c r="E23" s="801"/>
      <c r="F23" s="801"/>
      <c r="G23" s="801"/>
      <c r="H23" s="801"/>
      <c r="I23" s="801"/>
      <c r="J23" s="801"/>
      <c r="K23" s="801"/>
      <c r="L23" s="801"/>
      <c r="M23" s="801"/>
      <c r="N23" s="801"/>
      <c r="O23" s="801"/>
      <c r="P23" s="801"/>
      <c r="Q23" s="801"/>
      <c r="R23" s="801"/>
      <c r="S23" s="801"/>
      <c r="T23" s="801"/>
      <c r="U23" s="801"/>
      <c r="V23" s="801"/>
      <c r="W23" s="801"/>
      <c r="X23" s="801"/>
      <c r="Y23" s="801"/>
      <c r="Z23" s="801"/>
    </row>
    <row r="24" spans="1:26" s="788" customFormat="1" ht="19.5" thickBot="1">
      <c r="A24" s="781"/>
      <c r="B24" s="799" t="s">
        <v>524</v>
      </c>
      <c r="C24" s="769"/>
      <c r="D24" s="767"/>
      <c r="E24" s="767"/>
      <c r="F24" s="767"/>
      <c r="G24" s="767"/>
      <c r="H24" s="767"/>
      <c r="I24" s="767"/>
      <c r="J24" s="768"/>
      <c r="K24" s="767"/>
      <c r="L24" s="767"/>
      <c r="M24" s="767"/>
      <c r="N24" s="768"/>
      <c r="O24" s="767"/>
      <c r="P24" s="767"/>
      <c r="Q24" s="767"/>
      <c r="R24" s="768"/>
      <c r="S24" s="767"/>
      <c r="T24" s="767"/>
      <c r="U24" s="767"/>
      <c r="V24" s="768"/>
      <c r="W24" s="767"/>
      <c r="X24" s="767"/>
      <c r="Y24" s="767"/>
      <c r="Z24" s="768"/>
    </row>
    <row r="25" spans="1:26" s="788" customFormat="1" ht="19.5" thickBot="1">
      <c r="A25" s="781"/>
      <c r="B25" s="802" t="s">
        <v>525</v>
      </c>
      <c r="C25" s="803" t="s">
        <v>0</v>
      </c>
      <c r="D25" s="804">
        <v>79.099999999999994</v>
      </c>
      <c r="E25" s="804">
        <v>99.65</v>
      </c>
      <c r="F25" s="805">
        <v>178.75</v>
      </c>
      <c r="G25" s="804">
        <f>G26</f>
        <v>103.18</v>
      </c>
      <c r="H25" s="804">
        <f t="shared" ref="H25:I25" si="20">H26</f>
        <v>111.94999999999999</v>
      </c>
      <c r="I25" s="804">
        <f t="shared" si="20"/>
        <v>215.13</v>
      </c>
      <c r="J25" s="771">
        <f t="shared" ref="J25:J29" si="21">I25/F25</f>
        <v>1.2035244755244754</v>
      </c>
      <c r="K25" s="806">
        <f>K26</f>
        <v>110.81716101083565</v>
      </c>
      <c r="L25" s="804">
        <f>L26</f>
        <v>107.4</v>
      </c>
      <c r="M25" s="807">
        <f>M26</f>
        <v>218.22</v>
      </c>
      <c r="N25" s="771">
        <f>M25/I25</f>
        <v>1.0143634081718031</v>
      </c>
      <c r="O25" s="806">
        <f>O26</f>
        <v>110.81716101083565</v>
      </c>
      <c r="P25" s="804">
        <f>P26</f>
        <v>115.17283898916436</v>
      </c>
      <c r="Q25" s="807">
        <f>O25+P25</f>
        <v>225.99</v>
      </c>
      <c r="R25" s="771">
        <f>Q25/M25</f>
        <v>1.0356062689029419</v>
      </c>
      <c r="S25" s="806">
        <f>S26</f>
        <v>118.6</v>
      </c>
      <c r="T25" s="804">
        <f>T26</f>
        <v>114.95</v>
      </c>
      <c r="U25" s="807">
        <f>U26</f>
        <v>233.55</v>
      </c>
      <c r="V25" s="771">
        <f>U25/Q25</f>
        <v>1.0334528076463561</v>
      </c>
      <c r="W25" s="806">
        <f>W26</f>
        <v>118.60260380000001</v>
      </c>
      <c r="X25" s="804">
        <f>X26</f>
        <v>120.58739619999999</v>
      </c>
      <c r="Y25" s="807">
        <f>W25+X25</f>
        <v>239.19</v>
      </c>
      <c r="Z25" s="771">
        <f>Y25/U25</f>
        <v>1.0241490044958252</v>
      </c>
    </row>
    <row r="26" spans="1:26" s="788" customFormat="1" ht="19.5" thickBot="1">
      <c r="A26" s="781"/>
      <c r="B26" s="808" t="s">
        <v>526</v>
      </c>
      <c r="C26" s="809" t="s">
        <v>0</v>
      </c>
      <c r="D26" s="1171">
        <v>79.099999999999994</v>
      </c>
      <c r="E26" s="811">
        <v>99.65</v>
      </c>
      <c r="F26" s="812">
        <v>178.75</v>
      </c>
      <c r="G26" s="814">
        <f>ROUND((G27*G29/1000),2)</f>
        <v>103.18</v>
      </c>
      <c r="H26" s="1171">
        <f>I26-G26</f>
        <v>111.94999999999999</v>
      </c>
      <c r="I26" s="812">
        <f>'[177]переменные на 5 лет'!J46</f>
        <v>215.13</v>
      </c>
      <c r="J26" s="813">
        <f t="shared" si="21"/>
        <v>1.2035244755244754</v>
      </c>
      <c r="K26" s="814">
        <f>K27*K29/1000</f>
        <v>110.81716101083565</v>
      </c>
      <c r="L26" s="814">
        <f>ROUND((L27*L29/1000),2)</f>
        <v>107.4</v>
      </c>
      <c r="M26" s="1172">
        <f>'[177]переменные на 5 лет'!M46</f>
        <v>218.22</v>
      </c>
      <c r="N26" s="771">
        <f t="shared" ref="N26:N29" si="22">M26/I26</f>
        <v>1.0143634081718031</v>
      </c>
      <c r="O26" s="814">
        <f>O27*O29/1000</f>
        <v>110.81716101083565</v>
      </c>
      <c r="P26" s="1171">
        <f>Q26-O26</f>
        <v>115.17283898916436</v>
      </c>
      <c r="Q26" s="1172">
        <f>'[177]переменные на 5 лет'!P46</f>
        <v>225.99</v>
      </c>
      <c r="R26" s="771">
        <f t="shared" ref="R26:R29" si="23">Q26/M26</f>
        <v>1.0356062689029419</v>
      </c>
      <c r="S26" s="814">
        <f>ROUND((S27*S29/1000),2)</f>
        <v>118.6</v>
      </c>
      <c r="T26" s="814">
        <f>ROUND((T27*T29/1000),2)</f>
        <v>114.95</v>
      </c>
      <c r="U26" s="1172">
        <f>'[177]переменные на 5 лет'!S46</f>
        <v>233.55</v>
      </c>
      <c r="V26" s="771">
        <f t="shared" ref="V26:V29" si="24">U26/Q26</f>
        <v>1.0334528076463561</v>
      </c>
      <c r="W26" s="814">
        <f>W27*W29/1000-0.01</f>
        <v>118.60260380000001</v>
      </c>
      <c r="X26" s="1171">
        <f>Y26-W26</f>
        <v>120.58739619999999</v>
      </c>
      <c r="Y26" s="1172">
        <f>'[177]переменные на 5 лет'!V46</f>
        <v>239.19</v>
      </c>
      <c r="Z26" s="771">
        <f t="shared" ref="Z26:Z29" si="25">Y26/U26</f>
        <v>1.0241490044958252</v>
      </c>
    </row>
    <row r="27" spans="1:26" s="788" customFormat="1" ht="19.5" thickBot="1">
      <c r="A27" s="781"/>
      <c r="B27" s="816" t="s">
        <v>527</v>
      </c>
      <c r="C27" s="817" t="s">
        <v>18</v>
      </c>
      <c r="D27" s="1173">
        <v>2684.1</v>
      </c>
      <c r="E27" s="819">
        <v>2583.6200000000003</v>
      </c>
      <c r="F27" s="820">
        <v>5267.72</v>
      </c>
      <c r="G27" s="1173">
        <f>G28</f>
        <v>2675.07</v>
      </c>
      <c r="H27" s="819">
        <f>H28</f>
        <v>2592.6500000000074</v>
      </c>
      <c r="I27" s="820">
        <f>I28</f>
        <v>5267.7200000000075</v>
      </c>
      <c r="J27" s="813">
        <f t="shared" si="21"/>
        <v>1.0000000000000013</v>
      </c>
      <c r="K27" s="821">
        <f>K28</f>
        <v>2675.07</v>
      </c>
      <c r="L27" s="819">
        <f>L28</f>
        <v>2592.6500000000074</v>
      </c>
      <c r="M27" s="1174">
        <f>K27+L27</f>
        <v>5267.7200000000075</v>
      </c>
      <c r="N27" s="771">
        <f t="shared" si="22"/>
        <v>1</v>
      </c>
      <c r="O27" s="821">
        <f>O28</f>
        <v>2675.07</v>
      </c>
      <c r="P27" s="819">
        <f>P28</f>
        <v>2592.6500000000074</v>
      </c>
      <c r="Q27" s="1174">
        <f>O27+P27</f>
        <v>5267.7200000000075</v>
      </c>
      <c r="R27" s="771">
        <f t="shared" si="23"/>
        <v>1</v>
      </c>
      <c r="S27" s="821">
        <f>S28</f>
        <v>2675.07</v>
      </c>
      <c r="T27" s="819">
        <f>T28</f>
        <v>2592.6500000000074</v>
      </c>
      <c r="U27" s="1174">
        <f>S27+T27</f>
        <v>5267.7200000000075</v>
      </c>
      <c r="V27" s="771">
        <f t="shared" si="24"/>
        <v>1</v>
      </c>
      <c r="W27" s="821">
        <f>W28</f>
        <v>2675.07</v>
      </c>
      <c r="X27" s="819">
        <f>X28</f>
        <v>2592.6500000000074</v>
      </c>
      <c r="Y27" s="1174">
        <f>W27+X27</f>
        <v>5267.7200000000075</v>
      </c>
      <c r="Z27" s="771">
        <f t="shared" si="25"/>
        <v>1</v>
      </c>
    </row>
    <row r="28" spans="1:26" s="788" customFormat="1" ht="19.5" thickBot="1">
      <c r="A28" s="781"/>
      <c r="B28" s="823" t="s">
        <v>528</v>
      </c>
      <c r="C28" s="824" t="s">
        <v>18</v>
      </c>
      <c r="D28" s="825">
        <v>2684.1</v>
      </c>
      <c r="E28" s="826">
        <v>2583.6200000000003</v>
      </c>
      <c r="F28" s="827">
        <v>5267.72</v>
      </c>
      <c r="G28" s="825">
        <f>'[177]переменные на 5 лет'!H39</f>
        <v>2675.07</v>
      </c>
      <c r="H28" s="825">
        <f>'[177]переменные на 5 лет'!I39</f>
        <v>2592.6500000000074</v>
      </c>
      <c r="I28" s="827">
        <f>'[177]переменные на 5 лет'!J39</f>
        <v>5267.7200000000075</v>
      </c>
      <c r="J28" s="828">
        <f t="shared" si="21"/>
        <v>1.0000000000000013</v>
      </c>
      <c r="K28" s="829">
        <f>G28</f>
        <v>2675.07</v>
      </c>
      <c r="L28" s="825">
        <f>H28</f>
        <v>2592.6500000000074</v>
      </c>
      <c r="M28" s="830">
        <f>K28+L28</f>
        <v>5267.7200000000075</v>
      </c>
      <c r="N28" s="771">
        <f t="shared" si="22"/>
        <v>1</v>
      </c>
      <c r="O28" s="829">
        <f>K28</f>
        <v>2675.07</v>
      </c>
      <c r="P28" s="825">
        <f>L28</f>
        <v>2592.6500000000074</v>
      </c>
      <c r="Q28" s="830">
        <f>O28+P28</f>
        <v>5267.7200000000075</v>
      </c>
      <c r="R28" s="771">
        <f t="shared" si="23"/>
        <v>1</v>
      </c>
      <c r="S28" s="829">
        <f>O28</f>
        <v>2675.07</v>
      </c>
      <c r="T28" s="825">
        <f>P28</f>
        <v>2592.6500000000074</v>
      </c>
      <c r="U28" s="830">
        <f>S28+T28</f>
        <v>5267.7200000000075</v>
      </c>
      <c r="V28" s="771">
        <f t="shared" si="24"/>
        <v>1</v>
      </c>
      <c r="W28" s="829">
        <f>S28</f>
        <v>2675.07</v>
      </c>
      <c r="X28" s="825">
        <f>T28</f>
        <v>2592.6500000000074</v>
      </c>
      <c r="Y28" s="830">
        <f>W28+X28</f>
        <v>5267.7200000000075</v>
      </c>
      <c r="Z28" s="771">
        <f t="shared" si="25"/>
        <v>1</v>
      </c>
    </row>
    <row r="29" spans="1:26" s="788" customFormat="1" ht="19.5" thickBot="1">
      <c r="A29" s="781"/>
      <c r="B29" s="122" t="s">
        <v>218</v>
      </c>
      <c r="C29" s="123" t="s">
        <v>16</v>
      </c>
      <c r="D29" s="124">
        <v>29.47</v>
      </c>
      <c r="E29" s="124">
        <v>38.57</v>
      </c>
      <c r="F29" s="125">
        <v>33.93</v>
      </c>
      <c r="G29" s="124">
        <f>E29</f>
        <v>38.57</v>
      </c>
      <c r="H29" s="800">
        <f>ROUND(H25/H27*1000,2)</f>
        <v>43.18</v>
      </c>
      <c r="I29" s="780">
        <f>ROUND((I25/I27*1000),2)</f>
        <v>40.840000000000003</v>
      </c>
      <c r="J29" s="779">
        <f t="shared" si="21"/>
        <v>1.2036545829649279</v>
      </c>
      <c r="K29" s="124">
        <f>M29</f>
        <v>41.425892036782457</v>
      </c>
      <c r="L29" s="800">
        <f>M29</f>
        <v>41.425892036782457</v>
      </c>
      <c r="M29" s="780">
        <f>M25/M27*1000</f>
        <v>41.425892036782457</v>
      </c>
      <c r="N29" s="771">
        <f t="shared" si="22"/>
        <v>1.0143460342013333</v>
      </c>
      <c r="O29" s="124">
        <f>L29</f>
        <v>41.425892036782457</v>
      </c>
      <c r="P29" s="800">
        <f>ROUND(P25/P27*1000,2)</f>
        <v>44.42</v>
      </c>
      <c r="Q29" s="780">
        <f>ROUND((Q25/Q27*1000),2)</f>
        <v>42.9</v>
      </c>
      <c r="R29" s="771">
        <f t="shared" si="23"/>
        <v>1.035584217761893</v>
      </c>
      <c r="S29" s="124">
        <f>U29</f>
        <v>44.336069494961713</v>
      </c>
      <c r="T29" s="800">
        <f>U29</f>
        <v>44.336069494961713</v>
      </c>
      <c r="U29" s="780">
        <f>U25/U27*1000</f>
        <v>44.336069494961713</v>
      </c>
      <c r="V29" s="771">
        <f t="shared" si="24"/>
        <v>1.033474813402371</v>
      </c>
      <c r="W29" s="124">
        <f>ROUND(T29,2)</f>
        <v>44.34</v>
      </c>
      <c r="X29" s="800">
        <f>ROUND(X25/X27*1000,2)</f>
        <v>46.51</v>
      </c>
      <c r="Y29" s="780">
        <f>ROUND((Y25/Y27*1000),2)</f>
        <v>45.41</v>
      </c>
      <c r="Z29" s="771">
        <f t="shared" si="25"/>
        <v>1.0242225013915662</v>
      </c>
    </row>
    <row r="30" spans="1:26" s="788" customFormat="1" ht="18.75">
      <c r="A30" s="781"/>
      <c r="B30" s="782" t="s">
        <v>134</v>
      </c>
      <c r="C30" s="783"/>
      <c r="D30" s="785"/>
      <c r="E30" s="784">
        <f>E29/D29</f>
        <v>1.308788598574822</v>
      </c>
      <c r="F30" s="786"/>
      <c r="G30" s="785"/>
      <c r="H30" s="784">
        <f>H29/G29</f>
        <v>1.1195229452942701</v>
      </c>
      <c r="I30" s="786"/>
      <c r="J30" s="787"/>
      <c r="K30" s="785"/>
      <c r="L30" s="784">
        <f>L29/K29</f>
        <v>1</v>
      </c>
      <c r="M30" s="786"/>
      <c r="N30" s="787"/>
      <c r="O30" s="785"/>
      <c r="P30" s="784">
        <f>P29/O29</f>
        <v>1.0722762459902866</v>
      </c>
      <c r="Q30" s="786"/>
      <c r="R30" s="787"/>
      <c r="S30" s="785"/>
      <c r="T30" s="784">
        <f>T29/S29</f>
        <v>1</v>
      </c>
      <c r="U30" s="786"/>
      <c r="V30" s="787"/>
      <c r="W30" s="785"/>
      <c r="X30" s="784">
        <f>X29/W29</f>
        <v>1.0489400090211998</v>
      </c>
      <c r="Y30" s="786"/>
      <c r="Z30" s="787"/>
    </row>
    <row r="31" spans="1:26" s="788" customFormat="1" ht="18.75">
      <c r="A31" s="781"/>
      <c r="B31" s="801"/>
      <c r="C31" s="801"/>
      <c r="D31" s="801"/>
      <c r="E31" s="801"/>
      <c r="F31" s="877">
        <f>F25+F19</f>
        <v>1031.07</v>
      </c>
      <c r="G31" s="801"/>
      <c r="H31" s="801"/>
      <c r="I31" s="877">
        <f>I25+I19</f>
        <v>1811.5</v>
      </c>
      <c r="J31" s="801"/>
      <c r="K31" s="801"/>
      <c r="L31" s="801"/>
      <c r="M31" s="877">
        <f>M25+M19</f>
        <v>1926.49</v>
      </c>
      <c r="N31" s="801"/>
      <c r="O31" s="801"/>
      <c r="P31" s="801"/>
      <c r="Q31" s="877">
        <f>Q25+Q19</f>
        <v>2027.79</v>
      </c>
      <c r="R31" s="801"/>
      <c r="S31" s="801"/>
      <c r="T31" s="801"/>
      <c r="U31" s="877">
        <f>U25+U19</f>
        <v>2107.34</v>
      </c>
      <c r="V31" s="801"/>
      <c r="W31" s="801"/>
      <c r="X31" s="801"/>
      <c r="Y31" s="877">
        <f>Y25+Y19</f>
        <v>2187.7000000000003</v>
      </c>
      <c r="Z31" s="801"/>
    </row>
    <row r="32" spans="1:26" s="833" customFormat="1" ht="26.25">
      <c r="A32" s="831"/>
      <c r="B32" s="766" t="s">
        <v>529</v>
      </c>
      <c r="C32" s="832"/>
      <c r="D32" s="832"/>
      <c r="E32" s="832"/>
      <c r="F32" s="832"/>
      <c r="G32" s="832"/>
      <c r="H32" s="832"/>
      <c r="I32" s="832"/>
      <c r="J32" s="832"/>
      <c r="K32" s="832"/>
      <c r="L32" s="832"/>
      <c r="M32" s="832"/>
      <c r="N32" s="832"/>
      <c r="O32" s="832"/>
      <c r="P32" s="832"/>
      <c r="Q32" s="832"/>
      <c r="R32" s="832"/>
      <c r="S32" s="832"/>
      <c r="T32" s="832"/>
      <c r="U32" s="832"/>
      <c r="V32" s="832"/>
      <c r="W32" s="832"/>
      <c r="X32" s="832"/>
      <c r="Y32" s="832"/>
      <c r="Z32" s="832"/>
    </row>
    <row r="33" spans="1:26" s="833" customFormat="1" ht="22.5" customHeight="1" thickBot="1">
      <c r="A33" s="831"/>
      <c r="B33" s="799" t="s">
        <v>186</v>
      </c>
      <c r="D33" s="834"/>
      <c r="G33" s="834"/>
      <c r="J33" s="1163"/>
      <c r="K33" s="834"/>
      <c r="O33" s="834"/>
      <c r="S33" s="834"/>
      <c r="W33" s="834"/>
    </row>
    <row r="34" spans="1:26" s="833" customFormat="1" ht="18.75" customHeight="1" thickBot="1">
      <c r="A34" s="831"/>
      <c r="B34" s="115" t="s">
        <v>135</v>
      </c>
      <c r="C34" s="116" t="s">
        <v>0</v>
      </c>
      <c r="D34" s="117">
        <v>7462.38</v>
      </c>
      <c r="E34" s="118">
        <v>6252.204999999999</v>
      </c>
      <c r="F34" s="119">
        <v>13714.584999999999</v>
      </c>
      <c r="G34" s="117">
        <f>G40+G46</f>
        <v>7184.3717929999993</v>
      </c>
      <c r="H34" s="118">
        <f>I34-G34</f>
        <v>8025.7019590278824</v>
      </c>
      <c r="I34" s="119">
        <f>'[177]Кальк.2019-2023 (ДИ)'!J96</f>
        <v>15210.073752027882</v>
      </c>
      <c r="J34" s="771">
        <f t="shared" ref="J34:J36" si="26">I34/F34</f>
        <v>1.1090436751843298</v>
      </c>
      <c r="K34" s="117">
        <f>K40+K46</f>
        <v>10151.810000000001</v>
      </c>
      <c r="L34" s="118">
        <f>M34-K34</f>
        <v>8014.0099999999984</v>
      </c>
      <c r="M34" s="119">
        <f>'[177]Кальк.2019-2023 (ДИ)'!N96</f>
        <v>18165.82</v>
      </c>
      <c r="N34" s="771">
        <f>M34/I34</f>
        <v>1.1943281995971942</v>
      </c>
      <c r="O34" s="117">
        <f>O40+O46</f>
        <v>10161.050408260806</v>
      </c>
      <c r="P34" s="118">
        <f>Q34-O34</f>
        <v>8984.0795917391952</v>
      </c>
      <c r="Q34" s="119">
        <f>'[177]Кальк.2019-2023 (ДИ)'!R96</f>
        <v>19145.13</v>
      </c>
      <c r="R34" s="771">
        <f>Q34/M34</f>
        <v>1.0539094849558126</v>
      </c>
      <c r="S34" s="117">
        <f>S40+S46</f>
        <v>11361.87</v>
      </c>
      <c r="T34" s="118">
        <f>U34-S34</f>
        <v>8621.4300000000021</v>
      </c>
      <c r="U34" s="119">
        <f>'[177]Кальк.2019-2023 (ДИ)'!V96</f>
        <v>19983.300000000003</v>
      </c>
      <c r="V34" s="771">
        <f>U34/Q34</f>
        <v>1.0437798019653042</v>
      </c>
      <c r="W34" s="117">
        <f>W40+W46</f>
        <v>10933.24</v>
      </c>
      <c r="X34" s="118">
        <f>Y34-W34</f>
        <v>10041.160000000002</v>
      </c>
      <c r="Y34" s="119">
        <f>'[177]Кальк.2019-2023 (ДИ)'!Z96</f>
        <v>20974.400000000001</v>
      </c>
      <c r="Z34" s="771">
        <f>Y34/U34</f>
        <v>1.049596413004859</v>
      </c>
    </row>
    <row r="35" spans="1:26" s="833" customFormat="1" ht="19.5" customHeight="1" thickBot="1">
      <c r="A35" s="831"/>
      <c r="B35" s="120" t="s">
        <v>517</v>
      </c>
      <c r="C35" s="121" t="s">
        <v>10</v>
      </c>
      <c r="D35" s="775">
        <v>5709.65</v>
      </c>
      <c r="E35" s="835">
        <v>4685.3500000000004</v>
      </c>
      <c r="F35" s="777">
        <v>10395</v>
      </c>
      <c r="G35" s="775">
        <v>5501.65</v>
      </c>
      <c r="H35" s="835">
        <v>4498.3500000000004</v>
      </c>
      <c r="I35" s="777">
        <v>10000</v>
      </c>
      <c r="J35" s="778">
        <f t="shared" si="26"/>
        <v>0.96200096200096197</v>
      </c>
      <c r="K35" s="775">
        <f>G35</f>
        <v>5501.65</v>
      </c>
      <c r="L35" s="776">
        <f>H35</f>
        <v>4498.3500000000004</v>
      </c>
      <c r="M35" s="777">
        <f>K35+L35</f>
        <v>10000</v>
      </c>
      <c r="N35" s="771">
        <f t="shared" ref="N35:N36" si="27">M35/I35</f>
        <v>1</v>
      </c>
      <c r="O35" s="775">
        <f>K35</f>
        <v>5501.65</v>
      </c>
      <c r="P35" s="776">
        <f>L35</f>
        <v>4498.3500000000004</v>
      </c>
      <c r="Q35" s="777">
        <f>O35+P35</f>
        <v>10000</v>
      </c>
      <c r="R35" s="771">
        <f t="shared" ref="R35:R36" si="28">Q35/M35</f>
        <v>1</v>
      </c>
      <c r="S35" s="775">
        <f>O35</f>
        <v>5501.65</v>
      </c>
      <c r="T35" s="776">
        <f>P35</f>
        <v>4498.3500000000004</v>
      </c>
      <c r="U35" s="777">
        <f>S35+T35</f>
        <v>10000</v>
      </c>
      <c r="V35" s="771">
        <f t="shared" ref="V35:V36" si="29">U35/Q35</f>
        <v>1</v>
      </c>
      <c r="W35" s="775">
        <f>S35</f>
        <v>5501.65</v>
      </c>
      <c r="X35" s="776">
        <f>T35</f>
        <v>4498.3500000000004</v>
      </c>
      <c r="Y35" s="777">
        <f>W35+X35</f>
        <v>10000</v>
      </c>
      <c r="Z35" s="771">
        <f t="shared" ref="Z35:Z36" si="30">Y35/U35</f>
        <v>1</v>
      </c>
    </row>
    <row r="36" spans="1:26" s="833" customFormat="1" ht="18.75" customHeight="1" thickBot="1">
      <c r="A36" s="831"/>
      <c r="B36" s="122" t="s">
        <v>518</v>
      </c>
      <c r="C36" s="123" t="s">
        <v>9</v>
      </c>
      <c r="D36" s="124">
        <v>1306.98</v>
      </c>
      <c r="E36" s="124">
        <v>1334.42</v>
      </c>
      <c r="F36" s="125">
        <v>1319.34</v>
      </c>
      <c r="G36" s="124">
        <f>ROUND(G34/G35*1000,2)</f>
        <v>1305.8599999999999</v>
      </c>
      <c r="H36" s="124">
        <f t="shared" ref="H36" si="31">ROUND(H34/H35*1000,2)</f>
        <v>1784.14</v>
      </c>
      <c r="I36" s="124">
        <f>I34/I35*1000</f>
        <v>1521.0073752027881</v>
      </c>
      <c r="J36" s="779">
        <f t="shared" si="26"/>
        <v>1.152854741918526</v>
      </c>
      <c r="K36" s="124">
        <f>ROUND(K34*1000/K35,2)</f>
        <v>1845.23</v>
      </c>
      <c r="L36" s="124">
        <f>L34*1000/L35</f>
        <v>1781.5443440372576</v>
      </c>
      <c r="M36" s="836">
        <f>ROUND(M34*1000/M35,2)</f>
        <v>1816.58</v>
      </c>
      <c r="N36" s="771">
        <f t="shared" si="27"/>
        <v>1.1943268846791781</v>
      </c>
      <c r="O36" s="124">
        <f>ROUND(O34*1000/O35,2)</f>
        <v>1846.91</v>
      </c>
      <c r="P36" s="124">
        <f>P34*1000/P35</f>
        <v>1997.1944361241774</v>
      </c>
      <c r="Q36" s="836">
        <f>ROUND(Q34*1000/Q35,2)</f>
        <v>1914.51</v>
      </c>
      <c r="R36" s="771">
        <f t="shared" si="28"/>
        <v>1.0539089938235586</v>
      </c>
      <c r="S36" s="124">
        <f>ROUND(S34*1000/S35,2)</f>
        <v>2065.17</v>
      </c>
      <c r="T36" s="124">
        <f>ROUND(T34*1000/T35,2)</f>
        <v>1916.58</v>
      </c>
      <c r="U36" s="836">
        <f>ROUND(U34*1000/U35,2)</f>
        <v>1998.33</v>
      </c>
      <c r="V36" s="771">
        <f t="shared" si="29"/>
        <v>1.0437814375479888</v>
      </c>
      <c r="W36" s="124">
        <f>ROUND(W34*1000/W35,2)</f>
        <v>1987.27</v>
      </c>
      <c r="X36" s="124">
        <f>ROUND(X34*1000/X35,2)</f>
        <v>2232.19</v>
      </c>
      <c r="Y36" s="836">
        <f>ROUND(Y34*1000/Y35,2)</f>
        <v>2097.44</v>
      </c>
      <c r="Z36" s="771">
        <f t="shared" si="30"/>
        <v>1.0495964130048592</v>
      </c>
    </row>
    <row r="37" spans="1:26" s="788" customFormat="1" ht="18.75">
      <c r="A37" s="781"/>
      <c r="B37" s="782" t="s">
        <v>134</v>
      </c>
      <c r="C37" s="783"/>
      <c r="D37" s="785"/>
      <c r="E37" s="784">
        <f>E36/D36</f>
        <v>1.0209949654929686</v>
      </c>
      <c r="F37" s="786"/>
      <c r="G37" s="785"/>
      <c r="H37" s="784">
        <f>H36/G36</f>
        <v>1.3662567197096169</v>
      </c>
      <c r="I37" s="786"/>
      <c r="J37" s="787"/>
      <c r="K37" s="785"/>
      <c r="L37" s="784">
        <f>L36/K36</f>
        <v>0.96548633180538879</v>
      </c>
      <c r="M37" s="786"/>
      <c r="N37" s="787"/>
      <c r="O37" s="785"/>
      <c r="P37" s="784">
        <f>P36/O36-0.01</f>
        <v>1.0713707414677365</v>
      </c>
      <c r="Q37" s="786"/>
      <c r="R37" s="787"/>
      <c r="S37" s="785"/>
      <c r="T37" s="784">
        <f>T36/S36</f>
        <v>0.92804950682026166</v>
      </c>
      <c r="U37" s="786"/>
      <c r="V37" s="787"/>
      <c r="W37" s="785"/>
      <c r="X37" s="784">
        <f>X36/W36</f>
        <v>1.1232444509301707</v>
      </c>
      <c r="Y37" s="786"/>
      <c r="Z37" s="787"/>
    </row>
    <row r="38" spans="1:26">
      <c r="D38" s="837"/>
      <c r="E38" s="837"/>
      <c r="F38" s="837"/>
      <c r="G38" s="837"/>
      <c r="H38" s="837"/>
      <c r="I38" s="837"/>
      <c r="K38" s="837"/>
      <c r="L38" s="837"/>
      <c r="M38" s="837"/>
      <c r="O38" s="837"/>
      <c r="P38" s="837"/>
      <c r="Q38" s="837"/>
      <c r="S38" s="837"/>
      <c r="T38" s="837"/>
      <c r="U38" s="837"/>
      <c r="W38" s="837"/>
      <c r="X38" s="837"/>
      <c r="Y38" s="837"/>
    </row>
    <row r="39" spans="1:26" s="769" customFormat="1" ht="19.5" thickBot="1">
      <c r="A39" s="759"/>
      <c r="B39" s="799" t="s">
        <v>530</v>
      </c>
      <c r="C39" s="838" t="s">
        <v>531</v>
      </c>
      <c r="D39" s="839"/>
      <c r="E39" s="767"/>
      <c r="F39" s="767"/>
      <c r="G39" s="839"/>
      <c r="H39" s="767"/>
      <c r="I39" s="767"/>
      <c r="J39" s="768"/>
      <c r="K39" s="839"/>
      <c r="L39" s="767"/>
      <c r="M39" s="767"/>
      <c r="N39" s="768"/>
      <c r="O39" s="839"/>
      <c r="P39" s="767"/>
      <c r="Q39" s="767"/>
      <c r="R39" s="768"/>
      <c r="S39" s="839"/>
      <c r="T39" s="767"/>
      <c r="U39" s="767"/>
      <c r="V39" s="768"/>
      <c r="W39" s="839"/>
      <c r="X39" s="767"/>
      <c r="Y39" s="767"/>
      <c r="Z39" s="768"/>
    </row>
    <row r="40" spans="1:26" s="763" customFormat="1" ht="19.5" thickBot="1">
      <c r="A40" s="759"/>
      <c r="B40" s="115" t="s">
        <v>135</v>
      </c>
      <c r="C40" s="116" t="s">
        <v>0</v>
      </c>
      <c r="D40" s="117">
        <v>3998.69</v>
      </c>
      <c r="E40" s="118">
        <v>2769.8449999999993</v>
      </c>
      <c r="F40" s="119">
        <v>6768.5349999999999</v>
      </c>
      <c r="G40" s="840">
        <v>3846.12</v>
      </c>
      <c r="H40" s="118">
        <f>I40-G40</f>
        <v>3703.3451880278808</v>
      </c>
      <c r="I40" s="119">
        <f>I34-I46-0.01</f>
        <v>7549.4651880278807</v>
      </c>
      <c r="J40" s="771">
        <f t="shared" ref="J40:J42" si="32">I40/F40</f>
        <v>1.1153765457411213</v>
      </c>
      <c r="K40" s="840">
        <v>5688.52</v>
      </c>
      <c r="L40" s="118">
        <f>M40-K40</f>
        <v>3697.9515949181368</v>
      </c>
      <c r="M40" s="119">
        <f>M34-M46</f>
        <v>9386.4715949181373</v>
      </c>
      <c r="N40" s="771">
        <f>M40/I40</f>
        <v>1.2433293433557948</v>
      </c>
      <c r="O40" s="840">
        <v>5704.26</v>
      </c>
      <c r="P40" s="791">
        <f>P34-P46</f>
        <v>4145.5795917391952</v>
      </c>
      <c r="Q40" s="119">
        <f>O40+P40</f>
        <v>9849.8395917391954</v>
      </c>
      <c r="R40" s="771">
        <f>Q40/M40</f>
        <v>1.0493655142015161</v>
      </c>
      <c r="S40" s="840">
        <v>6365.6</v>
      </c>
      <c r="T40" s="791">
        <f>T34-T46</f>
        <v>3978.2300000000023</v>
      </c>
      <c r="U40" s="119">
        <f>S40+T40</f>
        <v>10343.830000000002</v>
      </c>
      <c r="V40" s="771">
        <f>U40/Q40</f>
        <v>1.0501521272158689</v>
      </c>
      <c r="W40" s="840">
        <v>6138.63</v>
      </c>
      <c r="X40" s="791">
        <f>X34-X46</f>
        <v>4633.3500000000022</v>
      </c>
      <c r="Y40" s="119">
        <f>W40+X40</f>
        <v>10771.980000000003</v>
      </c>
      <c r="Z40" s="771">
        <f>Y40/U40</f>
        <v>1.0413918248849798</v>
      </c>
    </row>
    <row r="41" spans="1:26" s="763" customFormat="1" ht="19.5" thickBot="1">
      <c r="A41" s="759"/>
      <c r="B41" s="120" t="s">
        <v>517</v>
      </c>
      <c r="C41" s="121" t="s">
        <v>10</v>
      </c>
      <c r="D41" s="775">
        <v>3000</v>
      </c>
      <c r="E41" s="776">
        <v>2075.6999999999998</v>
      </c>
      <c r="F41" s="777">
        <v>5075.7</v>
      </c>
      <c r="G41" s="775">
        <v>3000</v>
      </c>
      <c r="H41" s="776">
        <v>2075.6999999999998</v>
      </c>
      <c r="I41" s="777">
        <f>G41+H41</f>
        <v>5075.7</v>
      </c>
      <c r="J41" s="778">
        <f t="shared" si="32"/>
        <v>1</v>
      </c>
      <c r="K41" s="792">
        <f>G41</f>
        <v>3000</v>
      </c>
      <c r="L41" s="793">
        <f>H41</f>
        <v>2075.6999999999998</v>
      </c>
      <c r="M41" s="777">
        <f>K41+L41</f>
        <v>5075.7</v>
      </c>
      <c r="N41" s="771">
        <f t="shared" ref="N41:N42" si="33">M41/I41</f>
        <v>1</v>
      </c>
      <c r="O41" s="792">
        <f>K41</f>
        <v>3000</v>
      </c>
      <c r="P41" s="793">
        <f>L41</f>
        <v>2075.6999999999998</v>
      </c>
      <c r="Q41" s="777">
        <f>O41+P41</f>
        <v>5075.7</v>
      </c>
      <c r="R41" s="771">
        <f t="shared" ref="R41:R42" si="34">Q41/M41</f>
        <v>1</v>
      </c>
      <c r="S41" s="792">
        <f>O41</f>
        <v>3000</v>
      </c>
      <c r="T41" s="793">
        <f>P41</f>
        <v>2075.6999999999998</v>
      </c>
      <c r="U41" s="777">
        <f>S41+T41</f>
        <v>5075.7</v>
      </c>
      <c r="V41" s="771">
        <f t="shared" ref="V41:V42" si="35">U41/Q41</f>
        <v>1</v>
      </c>
      <c r="W41" s="792">
        <f>S41</f>
        <v>3000</v>
      </c>
      <c r="X41" s="793">
        <f>T41</f>
        <v>2075.6999999999998</v>
      </c>
      <c r="Y41" s="777">
        <f>W41+X41</f>
        <v>5075.7</v>
      </c>
      <c r="Z41" s="771">
        <f t="shared" ref="Z41:Z42" si="36">Y41/U41</f>
        <v>1</v>
      </c>
    </row>
    <row r="42" spans="1:26" s="763" customFormat="1" ht="19.5" customHeight="1" thickBot="1">
      <c r="A42" s="759"/>
      <c r="B42" s="122" t="s">
        <v>532</v>
      </c>
      <c r="C42" s="123" t="s">
        <v>9</v>
      </c>
      <c r="D42" s="157">
        <v>1332.9</v>
      </c>
      <c r="E42" s="124">
        <v>1334.42</v>
      </c>
      <c r="F42" s="125">
        <v>1333.52</v>
      </c>
      <c r="G42" s="124">
        <f>ROUND(G40/G41*1000,2)</f>
        <v>1282.04</v>
      </c>
      <c r="H42" s="124">
        <f t="shared" ref="H42:I42" si="37">ROUND(H40/H41*1000,2)</f>
        <v>1784.14</v>
      </c>
      <c r="I42" s="124">
        <f t="shared" si="37"/>
        <v>1487.37</v>
      </c>
      <c r="J42" s="779">
        <f t="shared" si="32"/>
        <v>1.1153713480112784</v>
      </c>
      <c r="K42" s="124">
        <f>ROUND(K40/K41*1000,2)</f>
        <v>1896.17</v>
      </c>
      <c r="L42" s="124">
        <f>L36</f>
        <v>1781.5443440372576</v>
      </c>
      <c r="M42" s="836">
        <f>ROUND(M40*1000/M41,2)</f>
        <v>1849.3</v>
      </c>
      <c r="N42" s="771">
        <f t="shared" si="33"/>
        <v>1.2433355520146299</v>
      </c>
      <c r="O42" s="124">
        <f>O40*1000/O41</f>
        <v>1901.42</v>
      </c>
      <c r="P42" s="124">
        <f>P40*1000/P41-0.01</f>
        <v>1997.1859299220484</v>
      </c>
      <c r="Q42" s="836">
        <f>ROUND(Q40*1000/Q41,2)</f>
        <v>1940.59</v>
      </c>
      <c r="R42" s="771">
        <f t="shared" si="34"/>
        <v>1.0493646244524955</v>
      </c>
      <c r="S42" s="124">
        <f>ROUND(S40/S41*1000,2)</f>
        <v>2121.87</v>
      </c>
      <c r="T42" s="124">
        <f>T36</f>
        <v>1916.58</v>
      </c>
      <c r="U42" s="836">
        <f>ROUND(U40*1000/U41,2)</f>
        <v>2037.91</v>
      </c>
      <c r="V42" s="771">
        <f t="shared" si="35"/>
        <v>1.0501496967417128</v>
      </c>
      <c r="W42" s="124">
        <f>ROUND(W40/W41*1000,3)</f>
        <v>2046.21</v>
      </c>
      <c r="X42" s="124">
        <f>ROUND(X36,2)</f>
        <v>2232.19</v>
      </c>
      <c r="Y42" s="836">
        <f>ROUND(Y40*1000/Y41,3)</f>
        <v>2122.2649999999999</v>
      </c>
      <c r="Z42" s="771">
        <f t="shared" si="36"/>
        <v>1.0413928976255085</v>
      </c>
    </row>
    <row r="43" spans="1:26" s="842" customFormat="1" ht="18.75">
      <c r="A43" s="781"/>
      <c r="B43" s="782"/>
      <c r="C43" s="783"/>
      <c r="D43" s="783"/>
      <c r="E43" s="784">
        <f>E42/D42</f>
        <v>1.0011403706204516</v>
      </c>
      <c r="F43" s="783"/>
      <c r="G43" s="783"/>
      <c r="H43" s="784">
        <f>H42/G42</f>
        <v>1.3916414464447289</v>
      </c>
      <c r="I43" s="783"/>
      <c r="J43" s="783"/>
      <c r="K43" s="783"/>
      <c r="L43" s="784">
        <f>L42/K42</f>
        <v>0.93954885059739235</v>
      </c>
      <c r="M43" s="783"/>
      <c r="N43" s="783"/>
      <c r="O43" s="783"/>
      <c r="P43" s="784">
        <f>P42/O42</f>
        <v>1.0503654794427577</v>
      </c>
      <c r="Q43" s="783"/>
      <c r="R43" s="783"/>
      <c r="S43" s="783"/>
      <c r="T43" s="784">
        <f>T42/S42</f>
        <v>0.90325043475802003</v>
      </c>
      <c r="U43" s="783"/>
      <c r="V43" s="783"/>
      <c r="W43" s="783"/>
      <c r="X43" s="784">
        <f>X42/W42</f>
        <v>1.0908899868537443</v>
      </c>
      <c r="Y43" s="783"/>
      <c r="Z43" s="783"/>
    </row>
    <row r="44" spans="1:26">
      <c r="D44" s="837"/>
      <c r="E44" s="837"/>
      <c r="F44" s="837"/>
      <c r="G44" s="837"/>
      <c r="H44" s="837"/>
      <c r="I44" s="837"/>
      <c r="K44" s="837"/>
      <c r="L44" s="837"/>
      <c r="M44" s="837"/>
      <c r="O44" s="837"/>
      <c r="P44" s="837"/>
      <c r="Q44" s="837"/>
      <c r="S44" s="837"/>
      <c r="T44" s="837"/>
      <c r="U44" s="837"/>
      <c r="W44" s="837"/>
      <c r="X44" s="837"/>
      <c r="Y44" s="837"/>
    </row>
    <row r="45" spans="1:26" ht="19.5" thickBot="1">
      <c r="B45" s="799" t="s">
        <v>533</v>
      </c>
      <c r="C45" s="838" t="s">
        <v>531</v>
      </c>
      <c r="D45" s="839"/>
      <c r="E45" s="837"/>
      <c r="F45" s="837"/>
      <c r="G45" s="839"/>
      <c r="H45" s="837"/>
      <c r="I45" s="837"/>
      <c r="K45" s="839"/>
      <c r="L45" s="837"/>
      <c r="M45" s="837"/>
      <c r="O45" s="839"/>
      <c r="P45" s="837"/>
      <c r="Q45" s="837"/>
      <c r="S45" s="839"/>
      <c r="T45" s="837"/>
      <c r="U45" s="837"/>
      <c r="W45" s="839"/>
      <c r="X45" s="837"/>
      <c r="Y45" s="837"/>
    </row>
    <row r="46" spans="1:26" ht="19.5" thickBot="1">
      <c r="B46" s="115" t="s">
        <v>135</v>
      </c>
      <c r="C46" s="116" t="s">
        <v>0</v>
      </c>
      <c r="D46" s="117">
        <v>3463.69</v>
      </c>
      <c r="E46" s="118">
        <v>3482.3599999999997</v>
      </c>
      <c r="F46" s="119">
        <v>6946.0499999999993</v>
      </c>
      <c r="G46" s="117">
        <f>G47*G48/1000</f>
        <v>3338.2517929999995</v>
      </c>
      <c r="H46" s="117">
        <f>H47*H48/1000</f>
        <v>4322.3467710000014</v>
      </c>
      <c r="I46" s="119">
        <f>G46+H46</f>
        <v>7660.5985640000008</v>
      </c>
      <c r="J46" s="771">
        <f t="shared" ref="J46:J48" si="38">I46/F46</f>
        <v>1.1028712093923887</v>
      </c>
      <c r="K46" s="791">
        <f>ROUND(K48*K47/1000,2)</f>
        <v>4463.29</v>
      </c>
      <c r="L46" s="791">
        <f>L36*L47/1000</f>
        <v>4316.0584050818634</v>
      </c>
      <c r="M46" s="119">
        <f>K46+L46</f>
        <v>8779.3484050818624</v>
      </c>
      <c r="N46" s="771">
        <f>M46/I46</f>
        <v>1.146039481345398</v>
      </c>
      <c r="O46" s="791">
        <f>O48*O47/1000-0.01</f>
        <v>4456.7904082608047</v>
      </c>
      <c r="P46" s="791">
        <f>ROUND(P36*P47/1000,1)</f>
        <v>4838.5</v>
      </c>
      <c r="Q46" s="119">
        <f>Q34-Q40</f>
        <v>9295.2904082608056</v>
      </c>
      <c r="R46" s="771">
        <f>Q46/M46</f>
        <v>1.0587676874607566</v>
      </c>
      <c r="S46" s="791">
        <f>ROUND(S48*S47/1000,2)</f>
        <v>4996.2700000000004</v>
      </c>
      <c r="T46" s="791">
        <f>ROUND(T36*T47/1000,2)</f>
        <v>4643.2</v>
      </c>
      <c r="U46" s="119">
        <f>U34-U40</f>
        <v>9639.4700000000012</v>
      </c>
      <c r="V46" s="771">
        <f>U46/Q46</f>
        <v>1.037027309166513</v>
      </c>
      <c r="W46" s="791">
        <f>ROUND(W48*W47/1000,2)</f>
        <v>4794.6099999999997</v>
      </c>
      <c r="X46" s="791">
        <f>ROUND(X36*X47/1000,2)-0.01</f>
        <v>5407.8099999999995</v>
      </c>
      <c r="Y46" s="119">
        <f>Y34-Y40</f>
        <v>10202.419999999998</v>
      </c>
      <c r="Z46" s="771">
        <f>Y46/U46</f>
        <v>1.0584005137211898</v>
      </c>
    </row>
    <row r="47" spans="1:26" ht="19.5" thickBot="1">
      <c r="A47" s="753"/>
      <c r="B47" s="120" t="s">
        <v>517</v>
      </c>
      <c r="C47" s="121" t="s">
        <v>10</v>
      </c>
      <c r="D47" s="775">
        <v>2709.6499999999996</v>
      </c>
      <c r="E47" s="776">
        <v>2609.6500000000005</v>
      </c>
      <c r="F47" s="777">
        <v>5319.3</v>
      </c>
      <c r="G47" s="775">
        <f>G35-G41</f>
        <v>2501.6499999999996</v>
      </c>
      <c r="H47" s="776">
        <f>H35-H41</f>
        <v>2422.6500000000005</v>
      </c>
      <c r="I47" s="777">
        <f>I35-I41</f>
        <v>4924.3</v>
      </c>
      <c r="J47" s="778">
        <f t="shared" si="38"/>
        <v>0.92574210892410658</v>
      </c>
      <c r="K47" s="775">
        <f>K35-K41</f>
        <v>2501.6499999999996</v>
      </c>
      <c r="L47" s="776">
        <f>L35-L41</f>
        <v>2422.6500000000005</v>
      </c>
      <c r="M47" s="777">
        <f>K47+L47</f>
        <v>4924.3</v>
      </c>
      <c r="N47" s="771">
        <f t="shared" ref="N47:N48" si="39">M47/I47</f>
        <v>1</v>
      </c>
      <c r="O47" s="775">
        <f>O35-O41</f>
        <v>2501.6499999999996</v>
      </c>
      <c r="P47" s="776">
        <f>P35-P41</f>
        <v>2422.6500000000005</v>
      </c>
      <c r="Q47" s="777">
        <f>O47+P47</f>
        <v>4924.3</v>
      </c>
      <c r="R47" s="771">
        <f t="shared" ref="R47:R48" si="40">Q47/M47</f>
        <v>1</v>
      </c>
      <c r="S47" s="775">
        <f>S35-S41</f>
        <v>2501.6499999999996</v>
      </c>
      <c r="T47" s="776">
        <f>T35-T41</f>
        <v>2422.6500000000005</v>
      </c>
      <c r="U47" s="777">
        <f>S47+T47</f>
        <v>4924.3</v>
      </c>
      <c r="V47" s="771">
        <f t="shared" ref="V47:V48" si="41">U47/Q47</f>
        <v>1</v>
      </c>
      <c r="W47" s="775">
        <f>W35-W41</f>
        <v>2501.6499999999996</v>
      </c>
      <c r="X47" s="776">
        <f>X35-X41</f>
        <v>2422.6500000000005</v>
      </c>
      <c r="Y47" s="777">
        <f>W47+X47</f>
        <v>4924.3</v>
      </c>
      <c r="Z47" s="771">
        <f t="shared" ref="Z47:Z48" si="42">Y47/U47</f>
        <v>1</v>
      </c>
    </row>
    <row r="48" spans="1:26" ht="19.5" thickBot="1">
      <c r="A48" s="753"/>
      <c r="B48" s="122" t="s">
        <v>518</v>
      </c>
      <c r="C48" s="123" t="s">
        <v>9</v>
      </c>
      <c r="D48" s="157">
        <v>1278.28</v>
      </c>
      <c r="E48" s="124">
        <v>1334.42</v>
      </c>
      <c r="F48" s="125">
        <v>1305.82</v>
      </c>
      <c r="G48" s="157">
        <f>ROUND(E48,2)</f>
        <v>1334.42</v>
      </c>
      <c r="H48" s="124">
        <f>H36</f>
        <v>1784.14</v>
      </c>
      <c r="I48" s="124">
        <f>I46/I47*1000</f>
        <v>1555.6725959019557</v>
      </c>
      <c r="J48" s="779">
        <f t="shared" si="38"/>
        <v>1.1913377003736776</v>
      </c>
      <c r="K48" s="124">
        <f>H48</f>
        <v>1784.14</v>
      </c>
      <c r="L48" s="124">
        <f>L36</f>
        <v>1781.5443440372576</v>
      </c>
      <c r="M48" s="836">
        <f>ROUND(M46*1000/M47,2)</f>
        <v>1782.86</v>
      </c>
      <c r="N48" s="771">
        <f t="shared" si="39"/>
        <v>1.1460380575556288</v>
      </c>
      <c r="O48" s="124">
        <f>L48</f>
        <v>1781.5443440372576</v>
      </c>
      <c r="P48" s="124">
        <f>ROUND(P46*1000/P47,2)</f>
        <v>1997.19</v>
      </c>
      <c r="Q48" s="836">
        <f>ROUND(Q46*1000/Q47,2)</f>
        <v>1887.64</v>
      </c>
      <c r="R48" s="771">
        <f t="shared" si="40"/>
        <v>1.0587707391494565</v>
      </c>
      <c r="S48" s="124">
        <f>P48</f>
        <v>1997.19</v>
      </c>
      <c r="T48" s="124">
        <f>ROUND(T46*1000/T47,2)</f>
        <v>1916.58</v>
      </c>
      <c r="U48" s="836">
        <f>ROUND(U46*1000/U47,2)</f>
        <v>1957.53</v>
      </c>
      <c r="V48" s="771">
        <f t="shared" si="41"/>
        <v>1.0370250683393019</v>
      </c>
      <c r="W48" s="124">
        <f>T48</f>
        <v>1916.58</v>
      </c>
      <c r="X48" s="124">
        <f>ROUND(X46*1000/X47,2)</f>
        <v>2232.19</v>
      </c>
      <c r="Y48" s="836">
        <f>ROUND(Y46*1000/Y47,2)</f>
        <v>2071.85</v>
      </c>
      <c r="Z48" s="771">
        <f t="shared" si="42"/>
        <v>1.0584001266902678</v>
      </c>
    </row>
    <row r="49" spans="1:26" ht="18.75">
      <c r="A49" s="753"/>
      <c r="B49" s="782"/>
      <c r="C49" s="783"/>
      <c r="D49" s="783"/>
      <c r="E49" s="784">
        <f>E48/D48</f>
        <v>1.0439183903370155</v>
      </c>
      <c r="F49" s="783"/>
      <c r="G49" s="783"/>
      <c r="H49" s="784">
        <f>H48/G48</f>
        <v>1.3370153325040093</v>
      </c>
      <c r="I49" s="783"/>
      <c r="J49" s="787"/>
      <c r="K49" s="783"/>
      <c r="L49" s="784">
        <f>L48/K48</f>
        <v>0.99854515006516165</v>
      </c>
      <c r="M49" s="783"/>
      <c r="N49" s="787"/>
      <c r="O49" s="783"/>
      <c r="P49" s="784">
        <f>P48/O48</f>
        <v>1.1210442258619595</v>
      </c>
      <c r="Q49" s="783"/>
      <c r="R49" s="787"/>
      <c r="S49" s="783"/>
      <c r="T49" s="784">
        <f>T48/S48</f>
        <v>0.95963829179997895</v>
      </c>
      <c r="U49" s="783"/>
      <c r="V49" s="787"/>
      <c r="W49" s="783"/>
      <c r="X49" s="784">
        <f>X48/W48</f>
        <v>1.1646735330641038</v>
      </c>
      <c r="Y49" s="783"/>
      <c r="Z49" s="787"/>
    </row>
    <row r="50" spans="1:26">
      <c r="D50" s="837"/>
      <c r="E50" s="837"/>
      <c r="F50" s="837"/>
      <c r="G50" s="837"/>
      <c r="H50" s="837"/>
      <c r="I50" s="837"/>
      <c r="K50" s="837"/>
      <c r="L50" s="837"/>
      <c r="M50" s="837"/>
      <c r="O50" s="837"/>
      <c r="P50" s="837"/>
      <c r="Q50" s="837"/>
      <c r="S50" s="837"/>
      <c r="T50" s="837"/>
      <c r="U50" s="837"/>
      <c r="W50" s="837"/>
      <c r="X50" s="837"/>
      <c r="Y50" s="837"/>
    </row>
    <row r="51" spans="1:26" ht="34.5" customHeight="1" thickBot="1">
      <c r="B51" s="766" t="s">
        <v>534</v>
      </c>
      <c r="D51" s="837"/>
      <c r="E51" s="837"/>
      <c r="F51" s="837"/>
      <c r="G51" s="837"/>
      <c r="H51" s="837"/>
      <c r="I51" s="837"/>
      <c r="K51" s="837"/>
      <c r="L51" s="837"/>
      <c r="M51" s="837"/>
      <c r="O51" s="837"/>
      <c r="P51" s="837"/>
      <c r="Q51" s="837"/>
      <c r="S51" s="837"/>
      <c r="T51" s="837"/>
      <c r="U51" s="837"/>
      <c r="W51" s="837"/>
      <c r="X51" s="837"/>
      <c r="Y51" s="837"/>
    </row>
    <row r="52" spans="1:26" ht="19.5" thickBot="1">
      <c r="B52" s="115" t="s">
        <v>135</v>
      </c>
      <c r="C52" s="116" t="s">
        <v>0</v>
      </c>
      <c r="D52" s="117">
        <v>5432.19</v>
      </c>
      <c r="E52" s="791">
        <v>5432.1900000000014</v>
      </c>
      <c r="F52" s="119">
        <v>10864.380000000001</v>
      </c>
      <c r="G52" s="117">
        <f>G53*G54*6/1000+0.01</f>
        <v>4975.7149535200006</v>
      </c>
      <c r="H52" s="791">
        <f>I52-G52</f>
        <v>4975.6950464799975</v>
      </c>
      <c r="I52" s="119">
        <f>'[177]Кальк.2019-2023 (ДИ)'!L96</f>
        <v>9951.409999999998</v>
      </c>
      <c r="J52" s="771">
        <f t="shared" ref="J52:J53" si="43">I52/F52</f>
        <v>0.9159666727415644</v>
      </c>
      <c r="K52" s="117">
        <f>K53*K54*6/1000+0.01</f>
        <v>4975.7052295599997</v>
      </c>
      <c r="L52" s="791">
        <f>M52-K52</f>
        <v>5223.704770440002</v>
      </c>
      <c r="M52" s="119">
        <f>'[177]Кальк.2019-2023 (ДИ)'!P96</f>
        <v>10199.410000000002</v>
      </c>
      <c r="N52" s="771">
        <f>M52/I52</f>
        <v>1.024921091584007</v>
      </c>
      <c r="O52" s="117">
        <f>O53*O54*6/1000</f>
        <v>5223.7048293600001</v>
      </c>
      <c r="P52" s="791">
        <f>Q52-O52</f>
        <v>5359.5251706399995</v>
      </c>
      <c r="Q52" s="119">
        <f>'[177]Кальк.2019-2023 (ДИ)'!T96</f>
        <v>10583.23</v>
      </c>
      <c r="R52" s="771">
        <f>Q52/M52</f>
        <v>1.0376315884938441</v>
      </c>
      <c r="S52" s="117">
        <f>S53*S54*6/1000</f>
        <v>5359.5242406600009</v>
      </c>
      <c r="T52" s="791">
        <f>U52-S52</f>
        <v>5552.6457593399991</v>
      </c>
      <c r="U52" s="119">
        <f>'[177]Кальк.2019-2023 (ДИ)'!X96</f>
        <v>10912.17</v>
      </c>
      <c r="V52" s="771">
        <f>U52/Q52</f>
        <v>1.0310812483523462</v>
      </c>
      <c r="W52" s="117">
        <f>W53*W54*6/1000</f>
        <v>5550.1700000000019</v>
      </c>
      <c r="X52" s="791">
        <f>Y52-W52</f>
        <v>5550.1699999999983</v>
      </c>
      <c r="Y52" s="119">
        <f>'[177]Кальк.2019-2023 (ДИ)'!AB96</f>
        <v>11100.34</v>
      </c>
      <c r="Z52" s="771">
        <f>Y52/U52</f>
        <v>1.0172440495336859</v>
      </c>
    </row>
    <row r="53" spans="1:26" ht="19.5" thickBot="1">
      <c r="B53" s="843" t="s">
        <v>535</v>
      </c>
      <c r="C53" s="844" t="s">
        <v>75</v>
      </c>
      <c r="D53" s="845">
        <v>27.010999999999999</v>
      </c>
      <c r="E53" s="846">
        <v>27.010999999999999</v>
      </c>
      <c r="F53" s="847">
        <v>27.010999999999999</v>
      </c>
      <c r="G53" s="845">
        <v>27.010999999999999</v>
      </c>
      <c r="H53" s="846">
        <f>$M$53</f>
        <v>27.010999999999999</v>
      </c>
      <c r="I53" s="847">
        <v>27.010999999999999</v>
      </c>
      <c r="J53" s="778">
        <f t="shared" si="43"/>
        <v>1</v>
      </c>
      <c r="K53" s="845">
        <f>$M$53</f>
        <v>27.010999999999999</v>
      </c>
      <c r="L53" s="846">
        <f>$M$53</f>
        <v>27.010999999999999</v>
      </c>
      <c r="M53" s="847">
        <f>I53</f>
        <v>27.010999999999999</v>
      </c>
      <c r="N53" s="771">
        <f t="shared" ref="N53:N54" si="44">M53/I53</f>
        <v>1</v>
      </c>
      <c r="O53" s="845">
        <f>$M$53</f>
        <v>27.010999999999999</v>
      </c>
      <c r="P53" s="846">
        <f>$M$53</f>
        <v>27.010999999999999</v>
      </c>
      <c r="Q53" s="847">
        <f>M53</f>
        <v>27.010999999999999</v>
      </c>
      <c r="R53" s="771">
        <f t="shared" ref="R53:R54" si="45">Q53/M53</f>
        <v>1</v>
      </c>
      <c r="S53" s="845">
        <f>$M$53</f>
        <v>27.010999999999999</v>
      </c>
      <c r="T53" s="846">
        <f>$M$53</f>
        <v>27.010999999999999</v>
      </c>
      <c r="U53" s="847">
        <f>Q53</f>
        <v>27.010999999999999</v>
      </c>
      <c r="V53" s="771">
        <f t="shared" ref="V53:V54" si="46">U53/Q53</f>
        <v>1</v>
      </c>
      <c r="W53" s="845">
        <f>$M$53</f>
        <v>27.010999999999999</v>
      </c>
      <c r="X53" s="846">
        <f>$M$53</f>
        <v>27.010999999999999</v>
      </c>
      <c r="Y53" s="847">
        <f>U53</f>
        <v>27.010999999999999</v>
      </c>
      <c r="Z53" s="771">
        <f t="shared" ref="Z53:Z54" si="47">Y53/U53</f>
        <v>1</v>
      </c>
    </row>
    <row r="54" spans="1:26" ht="19.5" thickBot="1">
      <c r="A54" s="753"/>
      <c r="B54" s="122" t="s">
        <v>536</v>
      </c>
      <c r="C54" s="123" t="s">
        <v>537</v>
      </c>
      <c r="D54" s="124">
        <v>33518.379999999997</v>
      </c>
      <c r="E54" s="124">
        <v>33518.379999999997</v>
      </c>
      <c r="F54" s="125">
        <v>33518.379999999997</v>
      </c>
      <c r="G54" s="124">
        <f>ROUND(I54,2)</f>
        <v>30701.72</v>
      </c>
      <c r="H54" s="124">
        <f>ROUND((H52/H53/6*1000),2)</f>
        <v>30701.66</v>
      </c>
      <c r="I54" s="125">
        <f>I52/I53/12*1000</f>
        <v>30701.720286796732</v>
      </c>
      <c r="J54" s="779">
        <f>I54/F54</f>
        <v>0.91596671100443205</v>
      </c>
      <c r="K54" s="124">
        <f>H54</f>
        <v>30701.66</v>
      </c>
      <c r="L54" s="124">
        <f>L52/L53/6*1000</f>
        <v>32231.959636444422</v>
      </c>
      <c r="M54" s="125">
        <f>ROUND(M52/M53/12*1000,2)</f>
        <v>31466.84</v>
      </c>
      <c r="N54" s="771">
        <f t="shared" si="44"/>
        <v>1.0249210697659932</v>
      </c>
      <c r="O54" s="124">
        <f>ROUND(L54,2)</f>
        <v>32231.96</v>
      </c>
      <c r="P54" s="124">
        <f>ROUND((P52/P53/6*1000),3)-0.01</f>
        <v>33070.006000000001</v>
      </c>
      <c r="Q54" s="125">
        <f>ROUND(Q52/Q53/12*1000,2)</f>
        <v>32650.99</v>
      </c>
      <c r="R54" s="771">
        <f t="shared" si="45"/>
        <v>1.0376316783000772</v>
      </c>
      <c r="S54" s="124">
        <f>ROUND(P54,2)</f>
        <v>33070.01</v>
      </c>
      <c r="T54" s="124">
        <f>ROUND((T52/T53/6*1000),2)</f>
        <v>34261.629999999997</v>
      </c>
      <c r="U54" s="125">
        <f>ROUND(U52/U53/12*1000,2)</f>
        <v>33665.82</v>
      </c>
      <c r="V54" s="771">
        <f t="shared" si="46"/>
        <v>1.0310811402655784</v>
      </c>
      <c r="W54" s="124">
        <f>Y54</f>
        <v>34246.356422691999</v>
      </c>
      <c r="X54" s="124">
        <f>ROUND((X52/X53/6*1000),2)</f>
        <v>34246.36</v>
      </c>
      <c r="Y54" s="124">
        <f>Y52/Y53/12*1000</f>
        <v>34246.356422691999</v>
      </c>
      <c r="Z54" s="771">
        <f t="shared" si="47"/>
        <v>1.0172440897828123</v>
      </c>
    </row>
    <row r="55" spans="1:26" ht="18.75">
      <c r="A55" s="753"/>
      <c r="B55" s="782" t="s">
        <v>134</v>
      </c>
      <c r="C55" s="783"/>
      <c r="D55" s="783"/>
      <c r="E55" s="784">
        <f>E54/D54</f>
        <v>1</v>
      </c>
      <c r="F55" s="783"/>
      <c r="G55" s="783"/>
      <c r="H55" s="784">
        <f>H54/G54</f>
        <v>0.99999804571209683</v>
      </c>
      <c r="I55" s="783"/>
      <c r="J55" s="787"/>
      <c r="K55" s="783"/>
      <c r="L55" s="848">
        <f>L54/K54</f>
        <v>1.04984419853664</v>
      </c>
      <c r="M55" s="783"/>
      <c r="N55" s="787"/>
      <c r="O55" s="783"/>
      <c r="P55" s="848">
        <f>P54/O54</f>
        <v>1.0260004666176057</v>
      </c>
      <c r="Q55" s="783"/>
      <c r="R55" s="787"/>
      <c r="S55" s="783"/>
      <c r="T55" s="848">
        <f>T54/S54</f>
        <v>1.0360332518798754</v>
      </c>
      <c r="U55" s="783"/>
      <c r="V55" s="787"/>
      <c r="W55" s="783"/>
      <c r="X55" s="848">
        <f>X54/W54</f>
        <v>1.0000001044580613</v>
      </c>
      <c r="Y55" s="783"/>
      <c r="Z55" s="787"/>
    </row>
    <row r="58" spans="1:26">
      <c r="G58" s="879"/>
    </row>
    <row r="61" spans="1:26" ht="16.5" thickBot="1"/>
    <row r="62" spans="1:26" ht="31.5">
      <c r="B62" s="164"/>
      <c r="C62" s="164"/>
      <c r="D62" s="1175" t="s">
        <v>539</v>
      </c>
      <c r="E62" s="1253" t="s">
        <v>540</v>
      </c>
      <c r="F62" s="1254"/>
      <c r="G62" s="1254"/>
      <c r="H62" s="1175" t="s">
        <v>554</v>
      </c>
      <c r="I62" s="1253" t="s">
        <v>555</v>
      </c>
      <c r="J62" s="1254"/>
      <c r="K62" s="1254"/>
      <c r="L62" s="1175" t="s">
        <v>556</v>
      </c>
      <c r="M62" s="1253" t="s">
        <v>557</v>
      </c>
      <c r="N62" s="1254"/>
      <c r="O62" s="1254"/>
      <c r="P62" s="1175" t="s">
        <v>559</v>
      </c>
      <c r="Q62" s="1253" t="s">
        <v>560</v>
      </c>
      <c r="R62" s="1254"/>
      <c r="S62" s="1254"/>
      <c r="T62" s="1175" t="s">
        <v>561</v>
      </c>
      <c r="U62" s="1253" t="s">
        <v>562</v>
      </c>
      <c r="V62" s="1254"/>
      <c r="W62" s="1254"/>
    </row>
    <row r="63" spans="1:26" ht="144">
      <c r="B63" s="164"/>
      <c r="C63" s="164"/>
      <c r="D63" s="1243" t="s">
        <v>541</v>
      </c>
      <c r="E63" s="854" t="s">
        <v>542</v>
      </c>
      <c r="F63" s="855" t="s">
        <v>543</v>
      </c>
      <c r="G63" s="1245" t="s">
        <v>544</v>
      </c>
      <c r="H63" s="1243" t="s">
        <v>541</v>
      </c>
      <c r="I63" s="854" t="s">
        <v>542</v>
      </c>
      <c r="J63" s="855" t="s">
        <v>543</v>
      </c>
      <c r="K63" s="1245" t="s">
        <v>544</v>
      </c>
      <c r="L63" s="1243" t="s">
        <v>541</v>
      </c>
      <c r="M63" s="854" t="s">
        <v>542</v>
      </c>
      <c r="N63" s="855" t="s">
        <v>543</v>
      </c>
      <c r="O63" s="1245" t="s">
        <v>544</v>
      </c>
      <c r="P63" s="1243" t="s">
        <v>541</v>
      </c>
      <c r="Q63" s="854" t="s">
        <v>542</v>
      </c>
      <c r="R63" s="855" t="s">
        <v>543</v>
      </c>
      <c r="S63" s="1245" t="s">
        <v>544</v>
      </c>
      <c r="T63" s="1243" t="s">
        <v>541</v>
      </c>
      <c r="U63" s="854" t="s">
        <v>542</v>
      </c>
      <c r="V63" s="855" t="s">
        <v>543</v>
      </c>
      <c r="W63" s="1245" t="s">
        <v>544</v>
      </c>
    </row>
    <row r="64" spans="1:26">
      <c r="B64"/>
      <c r="C64"/>
      <c r="D64" s="1243"/>
      <c r="E64" s="1247" t="s">
        <v>545</v>
      </c>
      <c r="F64" s="1249" t="s">
        <v>546</v>
      </c>
      <c r="G64" s="1245"/>
      <c r="H64" s="1243"/>
      <c r="I64" s="1247" t="s">
        <v>545</v>
      </c>
      <c r="J64" s="1249" t="s">
        <v>546</v>
      </c>
      <c r="K64" s="1245"/>
      <c r="L64" s="1243"/>
      <c r="M64" s="1247" t="s">
        <v>545</v>
      </c>
      <c r="N64" s="1249" t="s">
        <v>546</v>
      </c>
      <c r="O64" s="1245"/>
      <c r="P64" s="1243"/>
      <c r="Q64" s="1247" t="s">
        <v>545</v>
      </c>
      <c r="R64" s="1249" t="s">
        <v>546</v>
      </c>
      <c r="S64" s="1245"/>
      <c r="T64" s="1243"/>
      <c r="U64" s="1247" t="s">
        <v>545</v>
      </c>
      <c r="V64" s="1249" t="s">
        <v>546</v>
      </c>
      <c r="W64" s="1245"/>
    </row>
    <row r="65" spans="2:23" ht="16.5" thickBot="1">
      <c r="B65"/>
      <c r="C65"/>
      <c r="D65" s="1244"/>
      <c r="E65" s="1248"/>
      <c r="F65" s="1250"/>
      <c r="G65" s="1246"/>
      <c r="H65" s="1244"/>
      <c r="I65" s="1248"/>
      <c r="J65" s="1250"/>
      <c r="K65" s="1246"/>
      <c r="L65" s="1244"/>
      <c r="M65" s="1248"/>
      <c r="N65" s="1250"/>
      <c r="O65" s="1246"/>
      <c r="P65" s="1244"/>
      <c r="Q65" s="1248"/>
      <c r="R65" s="1250"/>
      <c r="S65" s="1246"/>
      <c r="T65" s="1244"/>
      <c r="U65" s="1248"/>
      <c r="V65" s="1250"/>
      <c r="W65" s="1246"/>
    </row>
    <row r="66" spans="2:23">
      <c r="B66" s="1240" t="s">
        <v>547</v>
      </c>
      <c r="C66" s="856" t="s">
        <v>548</v>
      </c>
      <c r="D66" s="857">
        <f>ROUND(D68/1.18,2)</f>
        <v>1543.24</v>
      </c>
      <c r="E66" s="858">
        <f>D66</f>
        <v>1543.24</v>
      </c>
      <c r="F66" s="859">
        <f>F71/F69*1000</f>
        <v>1282.0393350000002</v>
      </c>
      <c r="G66" s="860"/>
      <c r="H66" s="857">
        <f>ROUND(H68/1.2,2)</f>
        <v>2175.71</v>
      </c>
      <c r="I66" s="858">
        <f>ROUND(I68/1.2,2)</f>
        <v>2175.71</v>
      </c>
      <c r="J66" s="859">
        <f>ROUND(J71/J69*1000,2)</f>
        <v>1896.17</v>
      </c>
      <c r="K66" s="860"/>
      <c r="L66" s="857">
        <f>ROUND(L68/1.2,2)</f>
        <v>2200.52</v>
      </c>
      <c r="M66" s="858">
        <f>M68/1.2</f>
        <v>2200.5166666666669</v>
      </c>
      <c r="N66" s="859">
        <f>N71/N69*1000</f>
        <v>1901.416666666667</v>
      </c>
      <c r="O66" s="860"/>
      <c r="P66" s="857">
        <f>ROUND(P68/1.2,2)</f>
        <v>2432.9499999999998</v>
      </c>
      <c r="Q66" s="858">
        <f>ROUND(Q68/1.2,2)</f>
        <v>2432.9499999999998</v>
      </c>
      <c r="R66" s="859">
        <f>ROUND(R71/R69*1000,2)</f>
        <v>2121.87</v>
      </c>
      <c r="S66" s="860"/>
      <c r="T66" s="857">
        <f>ROUND(T68/1.2,2)</f>
        <v>2369.69</v>
      </c>
      <c r="U66" s="858">
        <f>ROUND(U68/1.2,2)</f>
        <v>2369.69</v>
      </c>
      <c r="V66" s="859">
        <f>ROUND(V71/V69*1000,2)</f>
        <v>2046.21</v>
      </c>
      <c r="W66" s="860"/>
    </row>
    <row r="67" spans="2:23" ht="16.5">
      <c r="B67" s="1241"/>
      <c r="C67" s="861" t="s">
        <v>549</v>
      </c>
      <c r="D67" s="1176">
        <v>25.5</v>
      </c>
      <c r="E67" s="863"/>
      <c r="F67" s="864"/>
      <c r="G67" s="865">
        <v>25.5</v>
      </c>
      <c r="H67" s="1176">
        <f>K67</f>
        <v>27.29</v>
      </c>
      <c r="I67" s="863"/>
      <c r="J67" s="864"/>
      <c r="K67" s="865">
        <f>H21</f>
        <v>27.29</v>
      </c>
      <c r="L67" s="1176">
        <f>O67</f>
        <v>29.2</v>
      </c>
      <c r="M67" s="863"/>
      <c r="N67" s="864"/>
      <c r="O67" s="865">
        <v>29.2</v>
      </c>
      <c r="P67" s="1176">
        <f>S67</f>
        <v>30.37</v>
      </c>
      <c r="Q67" s="863"/>
      <c r="R67" s="864"/>
      <c r="S67" s="865">
        <v>30.37</v>
      </c>
      <c r="T67" s="1176">
        <f>W67</f>
        <v>31.58</v>
      </c>
      <c r="U67" s="863"/>
      <c r="V67" s="864"/>
      <c r="W67" s="865">
        <v>31.58</v>
      </c>
    </row>
    <row r="68" spans="2:23" ht="28.5">
      <c r="B68" s="1241"/>
      <c r="C68" s="861" t="s">
        <v>550</v>
      </c>
      <c r="D68" s="1177">
        <v>1821.02</v>
      </c>
      <c r="E68" s="867">
        <f>E66*1.2</f>
        <v>1851.8879999999999</v>
      </c>
      <c r="F68" s="864"/>
      <c r="G68" s="868"/>
      <c r="H68" s="1177">
        <f>I68</f>
        <v>2610.85</v>
      </c>
      <c r="I68" s="867">
        <f>ROUND(((H19+H40)/H41)*1.2*1000,2)</f>
        <v>2610.85</v>
      </c>
      <c r="J68" s="864"/>
      <c r="K68" s="868"/>
      <c r="L68" s="1177">
        <f>M68</f>
        <v>2640.62</v>
      </c>
      <c r="M68" s="867">
        <f>ROUND(((L19+L40)/L41)*1.2*1000,2)</f>
        <v>2640.62</v>
      </c>
      <c r="N68" s="864"/>
      <c r="O68" s="868"/>
      <c r="P68" s="1177">
        <f>Q68</f>
        <v>2919.54</v>
      </c>
      <c r="Q68" s="867">
        <f>ROUND(((P19+P40)/P41)*1.2*1000,2)</f>
        <v>2919.54</v>
      </c>
      <c r="R68" s="864"/>
      <c r="S68" s="868"/>
      <c r="T68" s="1177">
        <f>U68</f>
        <v>2843.63</v>
      </c>
      <c r="U68" s="867">
        <f>ROUND(((T19+T40)/T41)*1.2*1000,2)</f>
        <v>2843.63</v>
      </c>
      <c r="V68" s="864"/>
      <c r="W68" s="868"/>
    </row>
    <row r="69" spans="2:23" ht="28.5">
      <c r="B69" s="1241"/>
      <c r="C69" s="869" t="s">
        <v>551</v>
      </c>
      <c r="D69" s="1178"/>
      <c r="E69" s="871">
        <f>F69</f>
        <v>3000</v>
      </c>
      <c r="F69" s="872">
        <f>G41</f>
        <v>3000</v>
      </c>
      <c r="G69" s="872"/>
      <c r="H69" s="1178"/>
      <c r="I69" s="871">
        <f>J69</f>
        <v>3000</v>
      </c>
      <c r="J69" s="872">
        <f>K41</f>
        <v>3000</v>
      </c>
      <c r="K69" s="872"/>
      <c r="L69" s="1178"/>
      <c r="M69" s="871">
        <f>N69</f>
        <v>3000</v>
      </c>
      <c r="N69" s="872">
        <f>O41</f>
        <v>3000</v>
      </c>
      <c r="O69" s="872"/>
      <c r="P69" s="1178"/>
      <c r="Q69" s="871">
        <f>R69</f>
        <v>3000</v>
      </c>
      <c r="R69" s="872">
        <f>S41</f>
        <v>3000</v>
      </c>
      <c r="S69" s="872"/>
      <c r="T69" s="1178"/>
      <c r="U69" s="871">
        <f>V69</f>
        <v>3000</v>
      </c>
      <c r="V69" s="872">
        <f>W41</f>
        <v>3000</v>
      </c>
      <c r="W69" s="872"/>
    </row>
    <row r="70" spans="2:23" ht="16.5">
      <c r="B70" s="1241"/>
      <c r="C70" s="869" t="s">
        <v>552</v>
      </c>
      <c r="D70" s="1178"/>
      <c r="E70" s="871"/>
      <c r="F70" s="872"/>
      <c r="G70" s="872">
        <f>G20</f>
        <v>30729.49</v>
      </c>
      <c r="H70" s="1178"/>
      <c r="I70" s="871"/>
      <c r="J70" s="872"/>
      <c r="K70" s="872">
        <f>G70</f>
        <v>30729.49</v>
      </c>
      <c r="L70" s="1178"/>
      <c r="M70" s="871"/>
      <c r="N70" s="872"/>
      <c r="O70" s="872">
        <f>K70</f>
        <v>30729.49</v>
      </c>
      <c r="P70" s="1178"/>
      <c r="Q70" s="871"/>
      <c r="R70" s="872"/>
      <c r="S70" s="872">
        <f>O70</f>
        <v>30729.49</v>
      </c>
      <c r="T70" s="1178"/>
      <c r="U70" s="871"/>
      <c r="V70" s="872"/>
      <c r="W70" s="872">
        <f>S70</f>
        <v>30729.49</v>
      </c>
    </row>
    <row r="71" spans="2:23" ht="16.5" thickBot="1">
      <c r="B71" s="1242"/>
      <c r="C71" s="873" t="s">
        <v>553</v>
      </c>
      <c r="D71" s="874"/>
      <c r="E71" s="875">
        <f>E66*E69/1000</f>
        <v>4629.72</v>
      </c>
      <c r="F71" s="876">
        <f>E71-G71</f>
        <v>3846.1180050000003</v>
      </c>
      <c r="G71" s="876">
        <f>G67*G70/1000</f>
        <v>783.60199499999999</v>
      </c>
      <c r="H71" s="874"/>
      <c r="I71" s="875">
        <f>ROUND(I66*I69/1000,2)</f>
        <v>6527.13</v>
      </c>
      <c r="J71" s="876">
        <f>I71-K71</f>
        <v>5688.52</v>
      </c>
      <c r="K71" s="876">
        <f>ROUND(K67*K70/1000,2)</f>
        <v>838.61</v>
      </c>
      <c r="L71" s="874"/>
      <c r="M71" s="875">
        <f>M66*M69/1000</f>
        <v>6601.5500000000011</v>
      </c>
      <c r="N71" s="876">
        <f>M71-O71</f>
        <v>5704.2500000000009</v>
      </c>
      <c r="O71" s="876">
        <f>ROUND(O67*O70/1000,2)</f>
        <v>897.3</v>
      </c>
      <c r="P71" s="874"/>
      <c r="Q71" s="875">
        <f>ROUND(Q66*Q69/1000,2)</f>
        <v>7298.85</v>
      </c>
      <c r="R71" s="876">
        <f>Q71-S71</f>
        <v>6365.6</v>
      </c>
      <c r="S71" s="876">
        <f>ROUND(S67*S70/1000,2)</f>
        <v>933.25</v>
      </c>
      <c r="T71" s="874"/>
      <c r="U71" s="875">
        <f>ROUND(U66*U69/1000,2)</f>
        <v>7109.07</v>
      </c>
      <c r="V71" s="876">
        <f>U71-W71</f>
        <v>6138.6299999999992</v>
      </c>
      <c r="W71" s="876">
        <f>ROUND(W67*W70/1000,2)</f>
        <v>970.44</v>
      </c>
    </row>
  </sheetData>
  <mergeCells count="39">
    <mergeCell ref="B4:B5"/>
    <mergeCell ref="C4:C5"/>
    <mergeCell ref="D4:F4"/>
    <mergeCell ref="G4:I4"/>
    <mergeCell ref="J4:J5"/>
    <mergeCell ref="Z4:Z5"/>
    <mergeCell ref="E62:G62"/>
    <mergeCell ref="I62:K62"/>
    <mergeCell ref="M62:O62"/>
    <mergeCell ref="Q62:S62"/>
    <mergeCell ref="U62:W62"/>
    <mergeCell ref="N4:N5"/>
    <mergeCell ref="O4:Q4"/>
    <mergeCell ref="R4:R5"/>
    <mergeCell ref="S4:U4"/>
    <mergeCell ref="V4:V5"/>
    <mergeCell ref="W4:Y4"/>
    <mergeCell ref="K4:M4"/>
    <mergeCell ref="W63:W65"/>
    <mergeCell ref="E64:E65"/>
    <mergeCell ref="F64:F65"/>
    <mergeCell ref="I64:I65"/>
    <mergeCell ref="J64:J65"/>
    <mergeCell ref="M64:M65"/>
    <mergeCell ref="N64:N65"/>
    <mergeCell ref="G63:G65"/>
    <mergeCell ref="H63:H65"/>
    <mergeCell ref="K63:K65"/>
    <mergeCell ref="L63:L65"/>
    <mergeCell ref="O63:O65"/>
    <mergeCell ref="Q64:Q65"/>
    <mergeCell ref="R64:R65"/>
    <mergeCell ref="U64:U65"/>
    <mergeCell ref="V64:V65"/>
    <mergeCell ref="B66:B71"/>
    <mergeCell ref="P63:P65"/>
    <mergeCell ref="S63:S65"/>
    <mergeCell ref="T63:T65"/>
    <mergeCell ref="D63:D65"/>
  </mergeCells>
  <pageMargins left="0.70866141732283472" right="0.23622047244094491" top="0.39370078740157483" bottom="0.55118110236220474" header="0.31496062992125984" footer="0.31496062992125984"/>
  <pageSetup paperSize="8" scale="45" orientation="landscape" blackAndWhite="1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Z71"/>
  <sheetViews>
    <sheetView showGridLines="0" view="pageBreakPreview" zoomScale="60" zoomScaleNormal="65" workbookViewId="0">
      <pane ySplit="5" topLeftCell="A17" activePane="bottomLeft" state="frozen"/>
      <selection pane="bottomLeft" activeCell="K30" sqref="K30"/>
    </sheetView>
  </sheetViews>
  <sheetFormatPr defaultColWidth="9" defaultRowHeight="15.75"/>
  <cols>
    <col min="1" max="1" width="3.375" style="752" customWidth="1"/>
    <col min="2" max="2" width="68.5" style="753" customWidth="1"/>
    <col min="3" max="3" width="20.5" style="753" bestFit="1" customWidth="1"/>
    <col min="4" max="9" width="15.25" style="753" customWidth="1"/>
    <col min="10" max="10" width="12.375" style="753" customWidth="1"/>
    <col min="11" max="13" width="15.25" style="753" customWidth="1"/>
    <col min="14" max="14" width="12.5" style="753" customWidth="1"/>
    <col min="15" max="15" width="14.625" style="753" customWidth="1"/>
    <col min="16" max="16" width="15.75" style="753" customWidth="1"/>
    <col min="17" max="17" width="15.125" style="753" customWidth="1"/>
    <col min="18" max="18" width="13.125" style="753" customWidth="1"/>
    <col min="19" max="19" width="13.625" style="753" customWidth="1"/>
    <col min="20" max="20" width="12.25" style="753" customWidth="1"/>
    <col min="21" max="21" width="12" style="753" customWidth="1"/>
    <col min="22" max="22" width="12.375" style="753" customWidth="1"/>
    <col min="23" max="23" width="12" style="753" customWidth="1"/>
    <col min="24" max="24" width="12.25" style="753" customWidth="1"/>
    <col min="25" max="25" width="11.5" style="753" customWidth="1"/>
    <col min="26" max="26" width="12.375" style="753" customWidth="1"/>
    <col min="27" max="16384" width="9" style="753"/>
  </cols>
  <sheetData>
    <row r="1" spans="1:26" ht="18.75" customHeight="1"/>
    <row r="2" spans="1:26" s="758" customFormat="1" ht="20.25">
      <c r="A2" s="754"/>
      <c r="B2" s="755" t="s">
        <v>538</v>
      </c>
      <c r="C2" s="756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</row>
    <row r="3" spans="1:26" s="763" customFormat="1" ht="19.5" thickBot="1">
      <c r="A3" s="759"/>
      <c r="B3" s="760"/>
      <c r="C3" s="760"/>
      <c r="D3" s="761"/>
      <c r="E3" s="762"/>
      <c r="F3" s="762"/>
      <c r="G3" s="761"/>
      <c r="H3" s="762"/>
      <c r="I3" s="762"/>
      <c r="J3" s="762"/>
      <c r="K3" s="762"/>
    </row>
    <row r="4" spans="1:26" s="763" customFormat="1" ht="41.25" customHeight="1">
      <c r="A4" s="759"/>
      <c r="B4" s="1258" t="s">
        <v>61</v>
      </c>
      <c r="C4" s="1260" t="s">
        <v>133</v>
      </c>
      <c r="D4" s="1262" t="s">
        <v>515</v>
      </c>
      <c r="E4" s="1256"/>
      <c r="F4" s="1257"/>
      <c r="G4" s="1255" t="s">
        <v>148</v>
      </c>
      <c r="H4" s="1256"/>
      <c r="I4" s="1257"/>
      <c r="J4" s="1251" t="s">
        <v>151</v>
      </c>
      <c r="K4" s="1255" t="s">
        <v>149</v>
      </c>
      <c r="L4" s="1256"/>
      <c r="M4" s="1257"/>
      <c r="N4" s="1251" t="s">
        <v>152</v>
      </c>
      <c r="O4" s="1255" t="s">
        <v>150</v>
      </c>
      <c r="P4" s="1256"/>
      <c r="Q4" s="1257"/>
      <c r="R4" s="1251" t="s">
        <v>153</v>
      </c>
      <c r="S4" s="1255" t="s">
        <v>195</v>
      </c>
      <c r="T4" s="1256"/>
      <c r="U4" s="1257"/>
      <c r="V4" s="1251" t="s">
        <v>196</v>
      </c>
      <c r="W4" s="1255" t="s">
        <v>212</v>
      </c>
      <c r="X4" s="1256"/>
      <c r="Y4" s="1257"/>
      <c r="Z4" s="1251" t="s">
        <v>213</v>
      </c>
    </row>
    <row r="5" spans="1:26" s="765" customFormat="1" ht="32.25" thickBot="1">
      <c r="A5" s="764"/>
      <c r="B5" s="1259"/>
      <c r="C5" s="1261"/>
      <c r="D5" s="112" t="s">
        <v>154</v>
      </c>
      <c r="E5" s="113" t="s">
        <v>155</v>
      </c>
      <c r="F5" s="114" t="s">
        <v>156</v>
      </c>
      <c r="G5" s="112" t="s">
        <v>157</v>
      </c>
      <c r="H5" s="113" t="s">
        <v>158</v>
      </c>
      <c r="I5" s="114" t="s">
        <v>159</v>
      </c>
      <c r="J5" s="1252"/>
      <c r="K5" s="112" t="s">
        <v>160</v>
      </c>
      <c r="L5" s="113" t="s">
        <v>161</v>
      </c>
      <c r="M5" s="114" t="s">
        <v>162</v>
      </c>
      <c r="N5" s="1252"/>
      <c r="O5" s="112" t="s">
        <v>163</v>
      </c>
      <c r="P5" s="113" t="s">
        <v>164</v>
      </c>
      <c r="Q5" s="114" t="s">
        <v>165</v>
      </c>
      <c r="R5" s="1252"/>
      <c r="S5" s="112" t="s">
        <v>197</v>
      </c>
      <c r="T5" s="113" t="s">
        <v>198</v>
      </c>
      <c r="U5" s="114" t="s">
        <v>199</v>
      </c>
      <c r="V5" s="1252"/>
      <c r="W5" s="112" t="s">
        <v>214</v>
      </c>
      <c r="X5" s="113" t="s">
        <v>215</v>
      </c>
      <c r="Y5" s="114" t="s">
        <v>216</v>
      </c>
      <c r="Z5" s="1252"/>
    </row>
    <row r="6" spans="1:26" s="769" customFormat="1" ht="34.5" customHeight="1" thickBot="1">
      <c r="A6" s="759"/>
      <c r="B6" s="766" t="s">
        <v>516</v>
      </c>
      <c r="C6" s="767"/>
      <c r="D6" s="767"/>
      <c r="E6" s="767"/>
      <c r="F6" s="767"/>
      <c r="G6" s="767"/>
      <c r="H6" s="767"/>
      <c r="I6" s="767"/>
      <c r="J6" s="768"/>
      <c r="K6" s="767"/>
      <c r="L6" s="767"/>
      <c r="M6" s="767"/>
      <c r="N6" s="768"/>
      <c r="O6" s="767"/>
      <c r="P6" s="767"/>
      <c r="Q6" s="767"/>
      <c r="R6" s="768"/>
      <c r="S6" s="767"/>
      <c r="T6" s="767"/>
      <c r="U6" s="767"/>
      <c r="V6" s="768"/>
      <c r="W6" s="767"/>
      <c r="X6" s="767"/>
      <c r="Y6" s="767"/>
      <c r="Z6" s="768"/>
    </row>
    <row r="7" spans="1:26" s="773" customFormat="1" ht="19.5" thickBot="1">
      <c r="A7" s="770"/>
      <c r="B7" s="115" t="s">
        <v>135</v>
      </c>
      <c r="C7" s="116" t="s">
        <v>0</v>
      </c>
      <c r="D7" s="117">
        <v>7960.35</v>
      </c>
      <c r="E7" s="118">
        <v>6785.3049999999985</v>
      </c>
      <c r="F7" s="119">
        <v>14745.654999999999</v>
      </c>
      <c r="G7" s="117">
        <f>G25+G34+G19</f>
        <v>8071.1597980000006</v>
      </c>
      <c r="H7" s="118">
        <f>H25+H34+H19</f>
        <v>8950.4139540278811</v>
      </c>
      <c r="I7" s="772">
        <f>G7+H7</f>
        <v>17021.573752027882</v>
      </c>
      <c r="J7" s="771">
        <f>I7/F7</f>
        <v>1.154345042795853</v>
      </c>
      <c r="K7" s="117">
        <f>K25+K34+K19</f>
        <v>11019.74</v>
      </c>
      <c r="L7" s="118">
        <f>L25+L34+L19</f>
        <v>9072.57</v>
      </c>
      <c r="M7" s="772">
        <f>K7+L7</f>
        <v>20092.309999999998</v>
      </c>
      <c r="N7" s="771">
        <f>M7/I7</f>
        <v>1.1804026051120144</v>
      </c>
      <c r="O7" s="117">
        <f>O25+O34+O19</f>
        <v>11368.933891999999</v>
      </c>
      <c r="P7" s="118">
        <f>P25+P34+P19</f>
        <v>9803.986108000001</v>
      </c>
      <c r="Q7" s="772">
        <f>O7+P7</f>
        <v>21172.92</v>
      </c>
      <c r="R7" s="771">
        <f>Q7/M7</f>
        <v>1.0537822679423123</v>
      </c>
      <c r="S7" s="117">
        <f>S25+S34+S19</f>
        <v>12166.43</v>
      </c>
      <c r="T7" s="118">
        <f>T25+T34+T19</f>
        <v>9924.2100000000028</v>
      </c>
      <c r="U7" s="772">
        <f>S7+T7</f>
        <v>22090.640000000003</v>
      </c>
      <c r="V7" s="771">
        <f>U7/Q7</f>
        <v>1.0433440451293448</v>
      </c>
      <c r="W7" s="117">
        <f>W25+W34+W19</f>
        <v>12379.91</v>
      </c>
      <c r="X7" s="118">
        <f>X25+X34+X19</f>
        <v>10782.190000000002</v>
      </c>
      <c r="Y7" s="772">
        <f>W7+X7</f>
        <v>23162.100000000002</v>
      </c>
      <c r="Z7" s="771">
        <f>Y7/U7</f>
        <v>1.0485028953439104</v>
      </c>
    </row>
    <row r="8" spans="1:26" s="761" customFormat="1" ht="19.5" thickBot="1">
      <c r="A8" s="774"/>
      <c r="B8" s="120" t="s">
        <v>517</v>
      </c>
      <c r="C8" s="121" t="s">
        <v>10</v>
      </c>
      <c r="D8" s="775">
        <v>5709.65</v>
      </c>
      <c r="E8" s="776">
        <v>4685.3500000000004</v>
      </c>
      <c r="F8" s="777">
        <v>10395</v>
      </c>
      <c r="G8" s="775">
        <f>G35</f>
        <v>5501.65</v>
      </c>
      <c r="H8" s="776">
        <f t="shared" ref="H8:I8" si="0">H35</f>
        <v>4498.3500000000004</v>
      </c>
      <c r="I8" s="777">
        <f t="shared" si="0"/>
        <v>10000</v>
      </c>
      <c r="J8" s="778">
        <f t="shared" ref="J8:J9" si="1">I8/F8</f>
        <v>0.96200096200096197</v>
      </c>
      <c r="K8" s="775">
        <f>K35</f>
        <v>5501.65</v>
      </c>
      <c r="L8" s="776">
        <f t="shared" ref="L8:M8" si="2">L35</f>
        <v>4498.3500000000004</v>
      </c>
      <c r="M8" s="777">
        <f t="shared" si="2"/>
        <v>10000</v>
      </c>
      <c r="N8" s="771">
        <f t="shared" ref="N8:N9" si="3">M8/I8</f>
        <v>1</v>
      </c>
      <c r="O8" s="775">
        <f>O35</f>
        <v>5501.65</v>
      </c>
      <c r="P8" s="776">
        <f t="shared" ref="P8:Q8" si="4">P35</f>
        <v>4498.3500000000004</v>
      </c>
      <c r="Q8" s="777">
        <f t="shared" si="4"/>
        <v>10000</v>
      </c>
      <c r="R8" s="771">
        <f t="shared" ref="R8:R9" si="5">Q8/M8</f>
        <v>1</v>
      </c>
      <c r="S8" s="775">
        <f>S35</f>
        <v>5501.65</v>
      </c>
      <c r="T8" s="776">
        <f t="shared" ref="T8:U8" si="6">T35</f>
        <v>4498.3500000000004</v>
      </c>
      <c r="U8" s="777">
        <f t="shared" si="6"/>
        <v>10000</v>
      </c>
      <c r="V8" s="771">
        <f t="shared" ref="V8:V9" si="7">U8/Q8</f>
        <v>1</v>
      </c>
      <c r="W8" s="775">
        <f>W35</f>
        <v>5501.65</v>
      </c>
      <c r="X8" s="776">
        <f t="shared" ref="X8:Y8" si="8">X35</f>
        <v>4498.3500000000004</v>
      </c>
      <c r="Y8" s="777">
        <f t="shared" si="8"/>
        <v>10000</v>
      </c>
      <c r="Z8" s="771">
        <f t="shared" ref="Z8:Z9" si="9">Y8/U8</f>
        <v>1</v>
      </c>
    </row>
    <row r="9" spans="1:26" s="761" customFormat="1" ht="19.5" thickBot="1">
      <c r="A9" s="774"/>
      <c r="B9" s="122" t="s">
        <v>518</v>
      </c>
      <c r="C9" s="123" t="s">
        <v>9</v>
      </c>
      <c r="D9" s="124">
        <v>1394.19</v>
      </c>
      <c r="E9" s="124">
        <v>1448.2</v>
      </c>
      <c r="F9" s="125">
        <v>1418.53</v>
      </c>
      <c r="G9" s="124">
        <f>ROUND((G7*1000/G8),2)</f>
        <v>1467.04</v>
      </c>
      <c r="H9" s="124">
        <f>ROUND((H7*1000/H8),2)</f>
        <v>1989.71</v>
      </c>
      <c r="I9" s="780">
        <f>ROUND((I7*1000/I8),2)</f>
        <v>1702.16</v>
      </c>
      <c r="J9" s="779">
        <f t="shared" si="1"/>
        <v>1.19994642341015</v>
      </c>
      <c r="K9" s="124">
        <f>ROUND((K7*1000/K8),2)</f>
        <v>2002.99</v>
      </c>
      <c r="L9" s="124">
        <f>ROUND((L7*1000/L8),2)</f>
        <v>2016.87</v>
      </c>
      <c r="M9" s="780">
        <f>ROUND((M7*1000/M8),2)</f>
        <v>2009.23</v>
      </c>
      <c r="N9" s="771">
        <f t="shared" si="3"/>
        <v>1.1804001973962495</v>
      </c>
      <c r="O9" s="124">
        <f>ROUND((O7*1000/O8),2)</f>
        <v>2066.46</v>
      </c>
      <c r="P9" s="124">
        <f>ROUND((P7*1000/P8),2)</f>
        <v>2179.46</v>
      </c>
      <c r="Q9" s="780">
        <f>ROUND((Q7*1000/Q8),2)</f>
        <v>2117.29</v>
      </c>
      <c r="R9" s="771">
        <f t="shared" si="5"/>
        <v>1.0537817970068135</v>
      </c>
      <c r="S9" s="124">
        <f>ROUND((S7*1000/S8),2)</f>
        <v>2211.41</v>
      </c>
      <c r="T9" s="124">
        <f>ROUND((T7*1000/T8),2)</f>
        <v>2206.19</v>
      </c>
      <c r="U9" s="780">
        <f>ROUND((U7*1000/U8),2)</f>
        <v>2209.06</v>
      </c>
      <c r="V9" s="771">
        <f t="shared" si="7"/>
        <v>1.0433431414685754</v>
      </c>
      <c r="W9" s="124">
        <f>ROUND((W7*1000/W8),2)</f>
        <v>2250.2199999999998</v>
      </c>
      <c r="X9" s="124">
        <f>ROUND((X7*1000/X8),2)</f>
        <v>2396.92</v>
      </c>
      <c r="Y9" s="780">
        <f>ROUND((Y7*1000/Y8),2)</f>
        <v>2316.21</v>
      </c>
      <c r="Z9" s="771">
        <f t="shared" si="9"/>
        <v>1.0485047938942356</v>
      </c>
    </row>
    <row r="10" spans="1:26" s="788" customFormat="1" ht="18.75">
      <c r="A10" s="781"/>
      <c r="B10" s="782" t="s">
        <v>134</v>
      </c>
      <c r="C10" s="783"/>
      <c r="D10" s="785"/>
      <c r="E10" s="1160">
        <f>E9/D9</f>
        <v>1.0387393396882778</v>
      </c>
      <c r="F10" s="786"/>
      <c r="G10" s="785"/>
      <c r="H10" s="1160">
        <f>H9/G9</f>
        <v>1.3562752208528739</v>
      </c>
      <c r="I10" s="786"/>
      <c r="J10" s="787"/>
      <c r="K10" s="785"/>
      <c r="L10" s="1160">
        <f>L9/K9</f>
        <v>1.0069296401879191</v>
      </c>
      <c r="M10" s="786"/>
      <c r="N10" s="787"/>
      <c r="O10" s="785"/>
      <c r="P10" s="1160">
        <f>P9/O9</f>
        <v>1.054682887643603</v>
      </c>
      <c r="Q10" s="786"/>
      <c r="R10" s="787"/>
      <c r="S10" s="785"/>
      <c r="T10" s="1160">
        <f>T9/S9</f>
        <v>0.99763951506052706</v>
      </c>
      <c r="U10" s="786"/>
      <c r="V10" s="787"/>
      <c r="W10" s="785"/>
      <c r="X10" s="1160">
        <f>X9/W9</f>
        <v>1.0651936255121723</v>
      </c>
      <c r="Y10" s="786"/>
      <c r="Z10" s="787"/>
    </row>
    <row r="11" spans="1:26" s="788" customFormat="1" ht="38.25" customHeight="1" thickBot="1">
      <c r="A11" s="781"/>
      <c r="B11" s="766" t="s">
        <v>519</v>
      </c>
      <c r="C11" s="767"/>
      <c r="D11" s="789"/>
      <c r="E11" s="790"/>
      <c r="F11" s="790"/>
      <c r="G11" s="789"/>
      <c r="H11" s="790"/>
      <c r="I11" s="790"/>
      <c r="J11" s="768"/>
      <c r="K11" s="790"/>
      <c r="L11" s="790"/>
      <c r="M11" s="790"/>
      <c r="N11" s="768"/>
      <c r="O11" s="790"/>
      <c r="P11" s="790"/>
      <c r="Q11" s="790"/>
      <c r="R11" s="768"/>
      <c r="S11" s="790"/>
      <c r="T11" s="790"/>
      <c r="U11" s="790"/>
      <c r="V11" s="768"/>
      <c r="W11" s="790"/>
      <c r="X11" s="790"/>
      <c r="Y11" s="790"/>
      <c r="Z11" s="768"/>
    </row>
    <row r="12" spans="1:26" s="788" customFormat="1" ht="19.5" thickBot="1">
      <c r="A12" s="781"/>
      <c r="B12" s="115" t="s">
        <v>135</v>
      </c>
      <c r="C12" s="116" t="s">
        <v>0</v>
      </c>
      <c r="D12" s="117">
        <v>4417.5600000000004</v>
      </c>
      <c r="E12" s="791">
        <v>3203.2949999999992</v>
      </c>
      <c r="F12" s="119">
        <v>7620.8549999999996</v>
      </c>
      <c r="G12" s="117">
        <f>G19+G40</f>
        <v>4629.7180050000006</v>
      </c>
      <c r="H12" s="118">
        <f>H19+H40</f>
        <v>4516.1171830278799</v>
      </c>
      <c r="I12" s="119">
        <f>G12+H12</f>
        <v>9145.8351880278806</v>
      </c>
      <c r="J12" s="771">
        <f>I12/F12</f>
        <v>1.2001061807405968</v>
      </c>
      <c r="K12" s="117">
        <f>K19+K40</f>
        <v>6440.94</v>
      </c>
      <c r="L12" s="118">
        <f>L19+L40</f>
        <v>4607.3899999999994</v>
      </c>
      <c r="M12" s="119">
        <f>K12+L12</f>
        <v>11048.329999999998</v>
      </c>
      <c r="N12" s="771">
        <f t="shared" ref="N12:N14" si="10">M12/I12</f>
        <v>1.2080176137945859</v>
      </c>
      <c r="O12" s="117">
        <f>O19+O40</f>
        <v>6758.2238920000009</v>
      </c>
      <c r="P12" s="118">
        <f>P19+P40</f>
        <v>4955.6761080000006</v>
      </c>
      <c r="Q12" s="119">
        <f>O12+P12</f>
        <v>11713.900000000001</v>
      </c>
      <c r="R12" s="771">
        <f t="shared" ref="R12:R14" si="11">Q12/M12</f>
        <v>1.0602416835847592</v>
      </c>
      <c r="S12" s="117">
        <f>S19+S40</f>
        <v>7160.13</v>
      </c>
      <c r="T12" s="118">
        <f>T19+T40</f>
        <v>5035.2700000000023</v>
      </c>
      <c r="U12" s="119">
        <f>S12+T12</f>
        <v>12195.400000000001</v>
      </c>
      <c r="V12" s="771">
        <f t="shared" ref="V12:V14" si="12">U12/Q12</f>
        <v>1.0411050119942973</v>
      </c>
      <c r="W12" s="117">
        <f>W19+W40</f>
        <v>7331.6400000000012</v>
      </c>
      <c r="X12" s="118">
        <f>X19+X40</f>
        <v>5443.9400000000014</v>
      </c>
      <c r="Y12" s="119">
        <f>W12+X12</f>
        <v>12775.580000000002</v>
      </c>
      <c r="Z12" s="771">
        <f t="shared" ref="Z12:Z14" si="13">Y12/U12</f>
        <v>1.0475736753202027</v>
      </c>
    </row>
    <row r="13" spans="1:26" s="788" customFormat="1" ht="19.5" thickBot="1">
      <c r="A13" s="781"/>
      <c r="B13" s="120" t="s">
        <v>517</v>
      </c>
      <c r="C13" s="121" t="s">
        <v>10</v>
      </c>
      <c r="D13" s="775">
        <v>3000</v>
      </c>
      <c r="E13" s="776">
        <v>2075.6999999999998</v>
      </c>
      <c r="F13" s="777">
        <v>5075.7</v>
      </c>
      <c r="G13" s="792">
        <f>G41</f>
        <v>3000</v>
      </c>
      <c r="H13" s="793">
        <f>H41</f>
        <v>2075.6999999999998</v>
      </c>
      <c r="I13" s="777">
        <f>G13+H13</f>
        <v>5075.7</v>
      </c>
      <c r="J13" s="778">
        <f t="shared" ref="J13:J14" si="14">I13/F13</f>
        <v>1</v>
      </c>
      <c r="K13" s="792">
        <f>K41</f>
        <v>3000</v>
      </c>
      <c r="L13" s="793">
        <f>L41</f>
        <v>2075.6999999999998</v>
      </c>
      <c r="M13" s="777">
        <f>K13+L13</f>
        <v>5075.7</v>
      </c>
      <c r="N13" s="771">
        <f t="shared" si="10"/>
        <v>1</v>
      </c>
      <c r="O13" s="792">
        <f>O41</f>
        <v>3000</v>
      </c>
      <c r="P13" s="793">
        <f>P41</f>
        <v>2075.6999999999998</v>
      </c>
      <c r="Q13" s="777">
        <f>O13+P13</f>
        <v>5075.7</v>
      </c>
      <c r="R13" s="771">
        <f t="shared" si="11"/>
        <v>1</v>
      </c>
      <c r="S13" s="792">
        <f>S41</f>
        <v>3000</v>
      </c>
      <c r="T13" s="793">
        <f>T41</f>
        <v>2075.6999999999998</v>
      </c>
      <c r="U13" s="777">
        <f>S13+T13</f>
        <v>5075.7</v>
      </c>
      <c r="V13" s="771">
        <f t="shared" si="12"/>
        <v>1</v>
      </c>
      <c r="W13" s="792">
        <f>W41</f>
        <v>3000</v>
      </c>
      <c r="X13" s="793">
        <f>X41</f>
        <v>2075.6999999999998</v>
      </c>
      <c r="Y13" s="777">
        <f>W13+X13</f>
        <v>5075.7</v>
      </c>
      <c r="Z13" s="771">
        <f t="shared" si="13"/>
        <v>1</v>
      </c>
    </row>
    <row r="14" spans="1:26" s="788" customFormat="1" ht="19.5" thickBot="1">
      <c r="A14" s="781"/>
      <c r="B14" s="122" t="s">
        <v>518</v>
      </c>
      <c r="C14" s="123" t="s">
        <v>9</v>
      </c>
      <c r="D14" s="124">
        <v>1472.52</v>
      </c>
      <c r="E14" s="124">
        <v>1543.24</v>
      </c>
      <c r="F14" s="125">
        <v>1501.44</v>
      </c>
      <c r="G14" s="124">
        <f>ROUND((G12*1000/G13),2)</f>
        <v>1543.24</v>
      </c>
      <c r="H14" s="124">
        <f>ROUND((H12*1000/H13),2)</f>
        <v>2175.71</v>
      </c>
      <c r="I14" s="125">
        <f>ROUND((I12*1000/I13),2)</f>
        <v>1801.89</v>
      </c>
      <c r="J14" s="779">
        <f t="shared" si="14"/>
        <v>1.2001078964194374</v>
      </c>
      <c r="K14" s="124">
        <f>ROUND((K12*1000/K13),2)</f>
        <v>2146.98</v>
      </c>
      <c r="L14" s="124">
        <f>ROUND((L12*1000/L13),2)</f>
        <v>2219.6799999999998</v>
      </c>
      <c r="M14" s="125">
        <f>ROUND((M12*1000/M13),2)</f>
        <v>2176.71</v>
      </c>
      <c r="N14" s="771">
        <f t="shared" si="10"/>
        <v>1.2080149176697801</v>
      </c>
      <c r="O14" s="124">
        <f>ROUND((O12*1000/O13),2)</f>
        <v>2252.7399999999998</v>
      </c>
      <c r="P14" s="124">
        <f>ROUND((P12*1000/P13),2)</f>
        <v>2387.4699999999998</v>
      </c>
      <c r="Q14" s="125">
        <f>ROUND((Q12*1000/Q13),2)</f>
        <v>2307.84</v>
      </c>
      <c r="R14" s="771">
        <f t="shared" si="11"/>
        <v>1.0602422922667696</v>
      </c>
      <c r="S14" s="124">
        <f>ROUND((S12*1000/S13),2)</f>
        <v>2386.71</v>
      </c>
      <c r="T14" s="124">
        <f>ROUND((T12*1000/T13),2)</f>
        <v>2425.8200000000002</v>
      </c>
      <c r="U14" s="125">
        <f>ROUND((U12*1000/U13),2)</f>
        <v>2402.6999999999998</v>
      </c>
      <c r="V14" s="771">
        <f t="shared" si="12"/>
        <v>1.0411033693843592</v>
      </c>
      <c r="W14" s="124">
        <f>ROUND((W12*1000/W13),2)</f>
        <v>2443.88</v>
      </c>
      <c r="X14" s="124">
        <f>ROUND((X12*1000/X13),2)</f>
        <v>2622.7</v>
      </c>
      <c r="Y14" s="125">
        <f>ROUND((Y12*1000/Y13),2)</f>
        <v>2517.0100000000002</v>
      </c>
      <c r="Z14" s="771">
        <f t="shared" si="13"/>
        <v>1.0475756440670914</v>
      </c>
    </row>
    <row r="15" spans="1:26" s="788" customFormat="1" ht="18.75">
      <c r="A15" s="781"/>
      <c r="B15" s="782" t="s">
        <v>134</v>
      </c>
      <c r="C15" s="783"/>
      <c r="D15" s="785"/>
      <c r="E15" s="1160">
        <f>E14/D14</f>
        <v>1.0480265123733463</v>
      </c>
      <c r="F15" s="786"/>
      <c r="G15" s="785"/>
      <c r="H15" s="1160">
        <f>H14/G14</f>
        <v>1.4098325600684274</v>
      </c>
      <c r="I15" s="786"/>
      <c r="J15" s="787"/>
      <c r="K15" s="785"/>
      <c r="L15" s="1160">
        <f>L14/K14</f>
        <v>1.0338615171077512</v>
      </c>
      <c r="M15" s="786"/>
      <c r="N15" s="787"/>
      <c r="O15" s="785"/>
      <c r="P15" s="1160">
        <f>P14/O14</f>
        <v>1.0598071681596632</v>
      </c>
      <c r="Q15" s="786"/>
      <c r="R15" s="787"/>
      <c r="S15" s="785"/>
      <c r="T15" s="1160">
        <f>T14/S14</f>
        <v>1.0163865739867852</v>
      </c>
      <c r="U15" s="786"/>
      <c r="V15" s="787"/>
      <c r="W15" s="785"/>
      <c r="X15" s="1160">
        <f>X14/W14</f>
        <v>1.0731705321046858</v>
      </c>
      <c r="Y15" s="786"/>
      <c r="Z15" s="787"/>
    </row>
    <row r="16" spans="1:26" s="769" customFormat="1" ht="33.75" customHeight="1">
      <c r="A16" s="759"/>
      <c r="B16" s="766" t="s">
        <v>520</v>
      </c>
      <c r="C16" s="767"/>
      <c r="D16" s="767"/>
      <c r="E16" s="767"/>
      <c r="F16" s="767"/>
      <c r="G16" s="767"/>
      <c r="H16" s="767"/>
      <c r="I16" s="767"/>
      <c r="J16" s="768"/>
      <c r="K16" s="767"/>
      <c r="L16" s="767"/>
      <c r="M16" s="767"/>
      <c r="N16" s="768"/>
      <c r="O16" s="767"/>
      <c r="P16" s="767"/>
      <c r="Q16" s="767"/>
      <c r="R16" s="768"/>
      <c r="S16" s="767"/>
      <c r="T16" s="767"/>
      <c r="U16" s="767"/>
      <c r="V16" s="768"/>
      <c r="W16" s="767"/>
      <c r="X16" s="767"/>
      <c r="Y16" s="767"/>
      <c r="Z16" s="768"/>
    </row>
    <row r="17" spans="1:26" s="798" customFormat="1" ht="26.25">
      <c r="A17" s="794"/>
      <c r="B17" s="795" t="s">
        <v>521</v>
      </c>
      <c r="C17" s="796"/>
      <c r="D17" s="796"/>
      <c r="E17" s="796"/>
      <c r="F17" s="796"/>
      <c r="G17" s="796"/>
      <c r="H17" s="796"/>
      <c r="I17" s="796"/>
      <c r="J17" s="797"/>
      <c r="K17" s="796"/>
      <c r="L17" s="796"/>
      <c r="M17" s="796"/>
      <c r="N17" s="797"/>
      <c r="O17" s="796"/>
      <c r="P17" s="796"/>
      <c r="Q17" s="796"/>
      <c r="R17" s="797"/>
      <c r="S17" s="796"/>
      <c r="T17" s="796"/>
      <c r="U17" s="796"/>
      <c r="V17" s="797"/>
      <c r="W17" s="796"/>
      <c r="X17" s="796"/>
      <c r="Y17" s="796"/>
      <c r="Z17" s="797"/>
    </row>
    <row r="18" spans="1:26" s="769" customFormat="1" ht="19.5" thickBot="1">
      <c r="A18" s="759"/>
      <c r="B18" s="799" t="s">
        <v>522</v>
      </c>
      <c r="D18" s="767"/>
      <c r="E18" s="767"/>
      <c r="F18" s="767"/>
      <c r="G18" s="767"/>
      <c r="H18" s="767"/>
      <c r="I18" s="767"/>
      <c r="J18" s="768"/>
      <c r="K18" s="767"/>
      <c r="L18" s="767"/>
      <c r="M18" s="767"/>
      <c r="N18" s="768"/>
      <c r="O18" s="767"/>
      <c r="P18" s="767"/>
      <c r="Q18" s="767"/>
      <c r="R18" s="768"/>
      <c r="S18" s="767"/>
      <c r="T18" s="767"/>
      <c r="U18" s="767"/>
      <c r="V18" s="768"/>
      <c r="W18" s="767"/>
      <c r="X18" s="767"/>
      <c r="Y18" s="767"/>
      <c r="Z18" s="768"/>
    </row>
    <row r="19" spans="1:26" s="788" customFormat="1" ht="19.5" thickBot="1">
      <c r="A19" s="781"/>
      <c r="B19" s="115" t="s">
        <v>135</v>
      </c>
      <c r="C19" s="116" t="s">
        <v>0</v>
      </c>
      <c r="D19" s="117">
        <v>418.87</v>
      </c>
      <c r="E19" s="118">
        <v>433.44999999999993</v>
      </c>
      <c r="F19" s="772">
        <v>852.31999999999994</v>
      </c>
      <c r="G19" s="117">
        <f>ROUND(G20*G21/1000,2)</f>
        <v>783.6</v>
      </c>
      <c r="H19" s="118">
        <f>ROUND(H20*H21/1000,2)</f>
        <v>812.77</v>
      </c>
      <c r="I19" s="119">
        <f>G19+H19</f>
        <v>1596.37</v>
      </c>
      <c r="J19" s="849">
        <f>I19/F19</f>
        <v>1.8729702459170265</v>
      </c>
      <c r="K19" s="117">
        <f>ROUND(K20*K21/1000,2)</f>
        <v>838.61</v>
      </c>
      <c r="L19" s="118">
        <f>ROUND(L20*L21/1000,2)</f>
        <v>869.66</v>
      </c>
      <c r="M19" s="119">
        <f>K19+L19</f>
        <v>1708.27</v>
      </c>
      <c r="N19" s="771">
        <f t="shared" ref="N19:N21" si="15">M19/I19</f>
        <v>1.0700965315058539</v>
      </c>
      <c r="O19" s="117">
        <f>ROUND(O20*O21/1000,2)</f>
        <v>897.3</v>
      </c>
      <c r="P19" s="118">
        <f>ROUND(P20*P21/1000,2)</f>
        <v>904.5</v>
      </c>
      <c r="Q19" s="119">
        <f>O19+P19</f>
        <v>1801.8</v>
      </c>
      <c r="R19" s="771">
        <f t="shared" ref="R19:R21" si="16">Q19/M19</f>
        <v>1.0547512980969049</v>
      </c>
      <c r="S19" s="117">
        <f>ROUND(S20*S21/1000,2)</f>
        <v>933.25</v>
      </c>
      <c r="T19" s="118">
        <f>ROUND(T20*T21/1000,2)</f>
        <v>940.54</v>
      </c>
      <c r="U19" s="119">
        <f>S19+T19</f>
        <v>1873.79</v>
      </c>
      <c r="V19" s="771">
        <f t="shared" ref="V19:V21" si="17">U19/Q19</f>
        <v>1.0399544899544899</v>
      </c>
      <c r="W19" s="117">
        <f>ROUND(W20*W21/1000,2)</f>
        <v>970.44</v>
      </c>
      <c r="X19" s="118">
        <f>ROUND(X20*X21/1000,2)</f>
        <v>978.07</v>
      </c>
      <c r="Y19" s="119">
        <f>W19+X19</f>
        <v>1948.5100000000002</v>
      </c>
      <c r="Z19" s="771">
        <f t="shared" ref="Z19:Z21" si="18">Y19/U19</f>
        <v>1.0398764002369532</v>
      </c>
    </row>
    <row r="20" spans="1:26" s="788" customFormat="1" ht="19.5" thickBot="1">
      <c r="A20" s="781"/>
      <c r="B20" s="120" t="s">
        <v>523</v>
      </c>
      <c r="C20" s="121" t="s">
        <v>18</v>
      </c>
      <c r="D20" s="775">
        <v>17659.03</v>
      </c>
      <c r="E20" s="776">
        <v>16997.900000000001</v>
      </c>
      <c r="F20" s="841">
        <v>34656.93</v>
      </c>
      <c r="G20" s="792">
        <f>'[175]переменные на 5 лет'!H38</f>
        <v>30729.49</v>
      </c>
      <c r="H20" s="793">
        <f>'[175]переменные на 5 лет'!I38</f>
        <v>29782.779999999995</v>
      </c>
      <c r="I20" s="777">
        <v>60512.27</v>
      </c>
      <c r="J20" s="850">
        <f t="shared" ref="J20:J21" si="19">I20/F20</f>
        <v>1.7460366512556074</v>
      </c>
      <c r="K20" s="792">
        <f>G20</f>
        <v>30729.49</v>
      </c>
      <c r="L20" s="793">
        <f>H20</f>
        <v>29782.779999999995</v>
      </c>
      <c r="M20" s="777">
        <f>K20+L20</f>
        <v>60512.27</v>
      </c>
      <c r="N20" s="771">
        <f t="shared" si="15"/>
        <v>1</v>
      </c>
      <c r="O20" s="792">
        <f>K20</f>
        <v>30729.49</v>
      </c>
      <c r="P20" s="793">
        <f>L20</f>
        <v>29782.779999999995</v>
      </c>
      <c r="Q20" s="777">
        <f>O20+P20</f>
        <v>60512.27</v>
      </c>
      <c r="R20" s="771">
        <f t="shared" si="16"/>
        <v>1</v>
      </c>
      <c r="S20" s="792">
        <f>O20</f>
        <v>30729.49</v>
      </c>
      <c r="T20" s="793">
        <f>P20</f>
        <v>29782.779999999995</v>
      </c>
      <c r="U20" s="777">
        <f>S20+T20</f>
        <v>60512.27</v>
      </c>
      <c r="V20" s="771">
        <f t="shared" si="17"/>
        <v>1</v>
      </c>
      <c r="W20" s="792">
        <f>S20</f>
        <v>30729.49</v>
      </c>
      <c r="X20" s="793">
        <f>T20</f>
        <v>29782.779999999995</v>
      </c>
      <c r="Y20" s="777">
        <f>W20+X20</f>
        <v>60512.27</v>
      </c>
      <c r="Z20" s="771">
        <f t="shared" si="18"/>
        <v>1</v>
      </c>
    </row>
    <row r="21" spans="1:26" s="788" customFormat="1" ht="19.5" thickBot="1">
      <c r="A21" s="781"/>
      <c r="B21" s="122" t="s">
        <v>218</v>
      </c>
      <c r="C21" s="123" t="s">
        <v>16</v>
      </c>
      <c r="D21" s="124">
        <v>23.72</v>
      </c>
      <c r="E21" s="124">
        <v>25.5</v>
      </c>
      <c r="F21" s="780">
        <v>24.59</v>
      </c>
      <c r="G21" s="157">
        <f>ROUND(E21,2)</f>
        <v>25.5</v>
      </c>
      <c r="H21" s="124">
        <f>ROUND(G21*[175]индексы!H11,2)</f>
        <v>27.29</v>
      </c>
      <c r="I21" s="125">
        <f>ROUND((I19/I20*1000),2)</f>
        <v>26.38</v>
      </c>
      <c r="J21" s="851">
        <f t="shared" si="19"/>
        <v>1.0727938186254575</v>
      </c>
      <c r="K21" s="124">
        <f>H21</f>
        <v>27.29</v>
      </c>
      <c r="L21" s="124">
        <f>ROUND(K21*[175]индексы!I11,2)</f>
        <v>29.2</v>
      </c>
      <c r="M21" s="125">
        <f>ROUND((M19/M20*1000),2)</f>
        <v>28.23</v>
      </c>
      <c r="N21" s="771">
        <f t="shared" si="15"/>
        <v>1.0701288855193329</v>
      </c>
      <c r="O21" s="124">
        <f>L21</f>
        <v>29.2</v>
      </c>
      <c r="P21" s="124">
        <f>ROUND(O21*[175]индексы!J11,2)</f>
        <v>30.37</v>
      </c>
      <c r="Q21" s="125">
        <f>ROUND((Q19/Q20*1000),2)</f>
        <v>29.78</v>
      </c>
      <c r="R21" s="771">
        <f t="shared" si="16"/>
        <v>1.0549061282323768</v>
      </c>
      <c r="S21" s="124">
        <f>P21</f>
        <v>30.37</v>
      </c>
      <c r="T21" s="124">
        <f>ROUND(S21*[175]индексы!K11,2)</f>
        <v>31.58</v>
      </c>
      <c r="U21" s="125">
        <f>ROUND((U19/U20*1000),2)</f>
        <v>30.97</v>
      </c>
      <c r="V21" s="771">
        <f t="shared" si="17"/>
        <v>1.039959704499664</v>
      </c>
      <c r="W21" s="124">
        <f>T21</f>
        <v>31.58</v>
      </c>
      <c r="X21" s="124">
        <f>ROUND(W21*[175]индексы!L11,2)</f>
        <v>32.840000000000003</v>
      </c>
      <c r="Y21" s="125">
        <f>ROUND((Y19/Y20*1000),2)</f>
        <v>32.200000000000003</v>
      </c>
      <c r="Z21" s="771">
        <f t="shared" si="18"/>
        <v>1.0397158540523088</v>
      </c>
    </row>
    <row r="22" spans="1:26" s="788" customFormat="1" ht="18.75">
      <c r="A22" s="781"/>
      <c r="B22" s="782" t="s">
        <v>134</v>
      </c>
      <c r="C22" s="783"/>
      <c r="D22" s="785"/>
      <c r="E22" s="1160">
        <f>E21/D21</f>
        <v>1.0750421585160204</v>
      </c>
      <c r="F22" s="786"/>
      <c r="G22" s="785"/>
      <c r="H22" s="848">
        <f>H21/G21</f>
        <v>1.0701960784313724</v>
      </c>
      <c r="I22" s="786"/>
      <c r="J22" s="787"/>
      <c r="K22" s="785"/>
      <c r="L22" s="1160">
        <f>L21/K21</f>
        <v>1.0699890069622573</v>
      </c>
      <c r="M22" s="786"/>
      <c r="N22" s="787"/>
      <c r="O22" s="785"/>
      <c r="P22" s="1160">
        <f>P21/O21</f>
        <v>1.0400684931506849</v>
      </c>
      <c r="Q22" s="786"/>
      <c r="R22" s="787"/>
      <c r="S22" s="785"/>
      <c r="T22" s="1160">
        <f>T21/S21</f>
        <v>1.0398419492920645</v>
      </c>
      <c r="U22" s="786"/>
      <c r="V22" s="787"/>
      <c r="W22" s="785"/>
      <c r="X22" s="1160">
        <f>X21/W21</f>
        <v>1.039898670044332</v>
      </c>
      <c r="Y22" s="786"/>
      <c r="Z22" s="787"/>
    </row>
    <row r="23" spans="1:26" s="788" customFormat="1" ht="18.75">
      <c r="A23" s="781"/>
      <c r="B23" s="801"/>
      <c r="C23" s="801"/>
      <c r="D23" s="801"/>
      <c r="E23" s="801"/>
      <c r="F23" s="801"/>
      <c r="G23" s="801"/>
      <c r="H23" s="801"/>
      <c r="I23" s="801"/>
      <c r="J23" s="801"/>
      <c r="K23" s="801"/>
      <c r="L23" s="801"/>
      <c r="M23" s="801"/>
      <c r="N23" s="801"/>
      <c r="O23" s="801"/>
      <c r="P23" s="801"/>
      <c r="Q23" s="801"/>
      <c r="R23" s="801"/>
      <c r="S23" s="801"/>
      <c r="T23" s="801"/>
      <c r="U23" s="801"/>
      <c r="V23" s="801"/>
      <c r="W23" s="801"/>
      <c r="X23" s="801"/>
      <c r="Y23" s="801"/>
      <c r="Z23" s="801"/>
    </row>
    <row r="24" spans="1:26" s="788" customFormat="1" ht="19.5" thickBot="1">
      <c r="A24" s="781"/>
      <c r="B24" s="799" t="s">
        <v>524</v>
      </c>
      <c r="C24" s="769"/>
      <c r="D24" s="767"/>
      <c r="E24" s="767"/>
      <c r="F24" s="767"/>
      <c r="G24" s="767"/>
      <c r="H24" s="767"/>
      <c r="I24" s="767"/>
      <c r="J24" s="768"/>
      <c r="K24" s="767"/>
      <c r="L24" s="767"/>
      <c r="M24" s="767"/>
      <c r="N24" s="768"/>
      <c r="O24" s="767"/>
      <c r="P24" s="767"/>
      <c r="Q24" s="767"/>
      <c r="R24" s="768"/>
      <c r="S24" s="767"/>
      <c r="T24" s="767"/>
      <c r="U24" s="767"/>
      <c r="V24" s="768"/>
      <c r="W24" s="767"/>
      <c r="X24" s="767"/>
      <c r="Y24" s="767"/>
      <c r="Z24" s="768"/>
    </row>
    <row r="25" spans="1:26" s="788" customFormat="1" ht="19.5" thickBot="1">
      <c r="A25" s="781"/>
      <c r="B25" s="802" t="s">
        <v>525</v>
      </c>
      <c r="C25" s="803" t="s">
        <v>0</v>
      </c>
      <c r="D25" s="804">
        <v>79.099999999999994</v>
      </c>
      <c r="E25" s="804">
        <v>99.65</v>
      </c>
      <c r="F25" s="805">
        <v>178.75</v>
      </c>
      <c r="G25" s="804">
        <f>G26</f>
        <v>103.18</v>
      </c>
      <c r="H25" s="804">
        <f t="shared" ref="H25:I25" si="20">H26</f>
        <v>111.94999999999999</v>
      </c>
      <c r="I25" s="804">
        <f t="shared" si="20"/>
        <v>215.13</v>
      </c>
      <c r="J25" s="771">
        <f t="shared" ref="J25:J29" si="21">I25/F25</f>
        <v>1.2035244755244754</v>
      </c>
      <c r="K25" s="806">
        <f>K26</f>
        <v>115.51</v>
      </c>
      <c r="L25" s="804">
        <f>L26</f>
        <v>102.71</v>
      </c>
      <c r="M25" s="807">
        <f>K25+L25</f>
        <v>218.22</v>
      </c>
      <c r="N25" s="771">
        <f>M25/I25</f>
        <v>1.0143634081718031</v>
      </c>
      <c r="O25" s="806">
        <f>O26</f>
        <v>105.99</v>
      </c>
      <c r="P25" s="804">
        <f>P26</f>
        <v>120.00000000000001</v>
      </c>
      <c r="Q25" s="807">
        <f>O25+P25</f>
        <v>225.99</v>
      </c>
      <c r="R25" s="771">
        <f>Q25/M25</f>
        <v>1.0356062689029419</v>
      </c>
      <c r="S25" s="806">
        <f>S26</f>
        <v>123.8</v>
      </c>
      <c r="T25" s="804">
        <f>T26</f>
        <v>109.75000000000001</v>
      </c>
      <c r="U25" s="807">
        <f>S25+T25</f>
        <v>233.55</v>
      </c>
      <c r="V25" s="771">
        <f>U25/Q25</f>
        <v>1.0334528076463561</v>
      </c>
      <c r="W25" s="806">
        <f>W26</f>
        <v>113.24</v>
      </c>
      <c r="X25" s="804">
        <f>X26</f>
        <v>125.95</v>
      </c>
      <c r="Y25" s="807">
        <f>W25+X25</f>
        <v>239.19</v>
      </c>
      <c r="Z25" s="771">
        <f>Y25/U25</f>
        <v>1.0241490044958252</v>
      </c>
    </row>
    <row r="26" spans="1:26" s="788" customFormat="1" ht="19.5" thickBot="1">
      <c r="A26" s="781"/>
      <c r="B26" s="808" t="s">
        <v>526</v>
      </c>
      <c r="C26" s="809" t="s">
        <v>0</v>
      </c>
      <c r="D26" s="810">
        <v>79.099999999999994</v>
      </c>
      <c r="E26" s="1161">
        <v>99.65</v>
      </c>
      <c r="F26" s="812">
        <v>178.75</v>
      </c>
      <c r="G26" s="814">
        <f>ROUND((G27*G29/1000),2)</f>
        <v>103.18</v>
      </c>
      <c r="H26" s="810">
        <f>I26-G26</f>
        <v>111.94999999999999</v>
      </c>
      <c r="I26" s="812">
        <f>'[175]переменные на 5 лет'!J46</f>
        <v>215.13</v>
      </c>
      <c r="J26" s="813">
        <f t="shared" si="21"/>
        <v>1.2035244755244754</v>
      </c>
      <c r="K26" s="814">
        <f>ROUND((K27*K29/1000),2)</f>
        <v>115.51</v>
      </c>
      <c r="L26" s="810">
        <f>M26-K26</f>
        <v>102.71</v>
      </c>
      <c r="M26" s="815">
        <f>'[175]переменные на 5 лет'!M46</f>
        <v>218.22</v>
      </c>
      <c r="N26" s="771">
        <f t="shared" ref="N26:N29" si="22">M26/I26</f>
        <v>1.0143634081718031</v>
      </c>
      <c r="O26" s="814">
        <f>ROUND((O27*O29/1000),2)</f>
        <v>105.99</v>
      </c>
      <c r="P26" s="810">
        <f>Q26-O26</f>
        <v>120.00000000000001</v>
      </c>
      <c r="Q26" s="815">
        <f>'[175]переменные на 5 лет'!P46</f>
        <v>225.99</v>
      </c>
      <c r="R26" s="771">
        <f t="shared" ref="R26:R29" si="23">Q26/M26</f>
        <v>1.0356062689029419</v>
      </c>
      <c r="S26" s="814">
        <f>ROUND((S27*S29/1000),2)</f>
        <v>123.8</v>
      </c>
      <c r="T26" s="810">
        <f>U26-S26</f>
        <v>109.75000000000001</v>
      </c>
      <c r="U26" s="815">
        <f>'[175]переменные на 5 лет'!S46</f>
        <v>233.55</v>
      </c>
      <c r="V26" s="771">
        <f t="shared" ref="V26:V29" si="24">U26/Q26</f>
        <v>1.0334528076463561</v>
      </c>
      <c r="W26" s="814">
        <f>ROUND((W27*W29/1000),2)</f>
        <v>113.24</v>
      </c>
      <c r="X26" s="810">
        <f>Y26-W26</f>
        <v>125.95</v>
      </c>
      <c r="Y26" s="815">
        <f>'[175]переменные на 5 лет'!V46</f>
        <v>239.19</v>
      </c>
      <c r="Z26" s="771">
        <f t="shared" ref="Z26:Z29" si="25">Y26/U26</f>
        <v>1.0241490044958252</v>
      </c>
    </row>
    <row r="27" spans="1:26" s="788" customFormat="1" ht="19.5" thickBot="1">
      <c r="A27" s="781"/>
      <c r="B27" s="816" t="s">
        <v>527</v>
      </c>
      <c r="C27" s="817" t="s">
        <v>18</v>
      </c>
      <c r="D27" s="818">
        <v>2684.1</v>
      </c>
      <c r="E27" s="1162">
        <v>2583.6200000000003</v>
      </c>
      <c r="F27" s="820">
        <v>5267.72</v>
      </c>
      <c r="G27" s="818">
        <f>G28</f>
        <v>2675.07</v>
      </c>
      <c r="H27" s="1162">
        <f>H28</f>
        <v>2592.6500000000074</v>
      </c>
      <c r="I27" s="820">
        <f>I28</f>
        <v>5267.7200000000075</v>
      </c>
      <c r="J27" s="813">
        <f t="shared" si="21"/>
        <v>1.0000000000000013</v>
      </c>
      <c r="K27" s="821">
        <f>K28</f>
        <v>2675.07</v>
      </c>
      <c r="L27" s="1162">
        <f>L28</f>
        <v>2592.6500000000074</v>
      </c>
      <c r="M27" s="822">
        <f>K27+L27</f>
        <v>5267.7200000000075</v>
      </c>
      <c r="N27" s="771">
        <f t="shared" si="22"/>
        <v>1</v>
      </c>
      <c r="O27" s="821">
        <f>O28</f>
        <v>2675.07</v>
      </c>
      <c r="P27" s="1162">
        <f>P28</f>
        <v>2592.6500000000074</v>
      </c>
      <c r="Q27" s="822">
        <f>O27+P27</f>
        <v>5267.7200000000075</v>
      </c>
      <c r="R27" s="771">
        <f t="shared" si="23"/>
        <v>1</v>
      </c>
      <c r="S27" s="821">
        <f>S28</f>
        <v>2675.07</v>
      </c>
      <c r="T27" s="1162">
        <f>T28</f>
        <v>2592.6500000000074</v>
      </c>
      <c r="U27" s="822">
        <f>S27+T27</f>
        <v>5267.7200000000075</v>
      </c>
      <c r="V27" s="771">
        <f t="shared" si="24"/>
        <v>1</v>
      </c>
      <c r="W27" s="821">
        <f>W28</f>
        <v>2675.07</v>
      </c>
      <c r="X27" s="1162">
        <f>X28</f>
        <v>2592.6500000000074</v>
      </c>
      <c r="Y27" s="822">
        <f>W27+X27</f>
        <v>5267.7200000000075</v>
      </c>
      <c r="Z27" s="771">
        <f t="shared" si="25"/>
        <v>1</v>
      </c>
    </row>
    <row r="28" spans="1:26" s="788" customFormat="1" ht="19.5" thickBot="1">
      <c r="A28" s="781"/>
      <c r="B28" s="823" t="s">
        <v>528</v>
      </c>
      <c r="C28" s="824" t="s">
        <v>18</v>
      </c>
      <c r="D28" s="825">
        <v>2684.1</v>
      </c>
      <c r="E28" s="826">
        <v>2583.6200000000003</v>
      </c>
      <c r="F28" s="827">
        <v>5267.72</v>
      </c>
      <c r="G28" s="825">
        <f>'[175]переменные на 5 лет'!H39</f>
        <v>2675.07</v>
      </c>
      <c r="H28" s="825">
        <f>'[175]переменные на 5 лет'!I39</f>
        <v>2592.6500000000074</v>
      </c>
      <c r="I28" s="827">
        <f>'[175]переменные на 5 лет'!J39</f>
        <v>5267.7200000000075</v>
      </c>
      <c r="J28" s="828">
        <f t="shared" si="21"/>
        <v>1.0000000000000013</v>
      </c>
      <c r="K28" s="829">
        <f>G28</f>
        <v>2675.07</v>
      </c>
      <c r="L28" s="825">
        <f>H28</f>
        <v>2592.6500000000074</v>
      </c>
      <c r="M28" s="830">
        <f>K28+L28</f>
        <v>5267.7200000000075</v>
      </c>
      <c r="N28" s="771">
        <f t="shared" si="22"/>
        <v>1</v>
      </c>
      <c r="O28" s="829">
        <f>K28</f>
        <v>2675.07</v>
      </c>
      <c r="P28" s="825">
        <f>L28</f>
        <v>2592.6500000000074</v>
      </c>
      <c r="Q28" s="830">
        <f>O28+P28</f>
        <v>5267.7200000000075</v>
      </c>
      <c r="R28" s="771">
        <f t="shared" si="23"/>
        <v>1</v>
      </c>
      <c r="S28" s="829">
        <f>O28</f>
        <v>2675.07</v>
      </c>
      <c r="T28" s="825">
        <f>P28</f>
        <v>2592.6500000000074</v>
      </c>
      <c r="U28" s="830">
        <f>S28+T28</f>
        <v>5267.7200000000075</v>
      </c>
      <c r="V28" s="771">
        <f t="shared" si="24"/>
        <v>1</v>
      </c>
      <c r="W28" s="829">
        <f>S28</f>
        <v>2675.07</v>
      </c>
      <c r="X28" s="825">
        <f>T28</f>
        <v>2592.6500000000074</v>
      </c>
      <c r="Y28" s="830">
        <f>W28+X28</f>
        <v>5267.7200000000075</v>
      </c>
      <c r="Z28" s="771">
        <f t="shared" si="25"/>
        <v>1</v>
      </c>
    </row>
    <row r="29" spans="1:26" s="788" customFormat="1" ht="19.5" thickBot="1">
      <c r="A29" s="781"/>
      <c r="B29" s="122" t="s">
        <v>218</v>
      </c>
      <c r="C29" s="123" t="s">
        <v>16</v>
      </c>
      <c r="D29" s="124">
        <v>29.47</v>
      </c>
      <c r="E29" s="124">
        <v>38.57</v>
      </c>
      <c r="F29" s="125">
        <v>33.93</v>
      </c>
      <c r="G29" s="124">
        <f>E29</f>
        <v>38.57</v>
      </c>
      <c r="H29" s="800">
        <f>ROUND(H25/H27*1000,2)</f>
        <v>43.18</v>
      </c>
      <c r="I29" s="780">
        <f>ROUND((I25/I27*1000),2)</f>
        <v>40.840000000000003</v>
      </c>
      <c r="J29" s="779">
        <f t="shared" si="21"/>
        <v>1.2036545829649279</v>
      </c>
      <c r="K29" s="124">
        <f>ROUND(H29,2)</f>
        <v>43.18</v>
      </c>
      <c r="L29" s="800">
        <f>ROUND(L25/L27*1000,2)</f>
        <v>39.619999999999997</v>
      </c>
      <c r="M29" s="780">
        <f>ROUND((M25/M27*1000),2)</f>
        <v>41.43</v>
      </c>
      <c r="N29" s="771">
        <f t="shared" si="22"/>
        <v>1.0144466209598433</v>
      </c>
      <c r="O29" s="124">
        <f>ROUND(L29,2)</f>
        <v>39.619999999999997</v>
      </c>
      <c r="P29" s="800">
        <f>ROUND(P25/P27*1000,2)</f>
        <v>46.28</v>
      </c>
      <c r="Q29" s="780">
        <f>ROUND((Q25/Q27*1000),2)</f>
        <v>42.9</v>
      </c>
      <c r="R29" s="771">
        <f t="shared" si="23"/>
        <v>1.0354815351194786</v>
      </c>
      <c r="S29" s="124">
        <f>ROUND(P29,2)</f>
        <v>46.28</v>
      </c>
      <c r="T29" s="800">
        <f>ROUND(T25/T27*1000,2)</f>
        <v>42.33</v>
      </c>
      <c r="U29" s="780">
        <f>ROUND((U25/U27*1000),2)</f>
        <v>44.34</v>
      </c>
      <c r="V29" s="771">
        <f t="shared" si="24"/>
        <v>1.0335664335664336</v>
      </c>
      <c r="W29" s="124">
        <f>ROUND(T29,2)</f>
        <v>42.33</v>
      </c>
      <c r="X29" s="800">
        <f>ROUND(X25/X27*1000,2)</f>
        <v>48.58</v>
      </c>
      <c r="Y29" s="780">
        <f>ROUND((Y25/Y27*1000),2)</f>
        <v>45.41</v>
      </c>
      <c r="Z29" s="771">
        <f t="shared" si="25"/>
        <v>1.0241317095173657</v>
      </c>
    </row>
    <row r="30" spans="1:26" s="788" customFormat="1" ht="18.75">
      <c r="A30" s="781"/>
      <c r="B30" s="782" t="s">
        <v>134</v>
      </c>
      <c r="C30" s="783"/>
      <c r="D30" s="785"/>
      <c r="E30" s="1160">
        <f>E29/D29</f>
        <v>1.308788598574822</v>
      </c>
      <c r="F30" s="786"/>
      <c r="G30" s="785"/>
      <c r="H30" s="1160">
        <f>H29/G29</f>
        <v>1.1195229452942701</v>
      </c>
      <c r="I30" s="786"/>
      <c r="J30" s="787"/>
      <c r="K30" s="785"/>
      <c r="L30" s="1160">
        <f>L29/K29</f>
        <v>0.91755442334414072</v>
      </c>
      <c r="M30" s="786"/>
      <c r="N30" s="787"/>
      <c r="O30" s="785"/>
      <c r="P30" s="1160">
        <f>P29/O29</f>
        <v>1.1680969207470975</v>
      </c>
      <c r="Q30" s="786"/>
      <c r="R30" s="787"/>
      <c r="S30" s="785"/>
      <c r="T30" s="1160">
        <f>T29/S29</f>
        <v>0.91464995678478822</v>
      </c>
      <c r="U30" s="786"/>
      <c r="V30" s="787"/>
      <c r="W30" s="785"/>
      <c r="X30" s="1160">
        <f>X29/W29</f>
        <v>1.1476494212142689</v>
      </c>
      <c r="Y30" s="786"/>
      <c r="Z30" s="787"/>
    </row>
    <row r="31" spans="1:26" s="788" customFormat="1" ht="18.75">
      <c r="A31" s="781"/>
      <c r="B31" s="801"/>
      <c r="C31" s="801"/>
      <c r="D31" s="801"/>
      <c r="E31" s="801"/>
      <c r="F31" s="877">
        <f>F25+F19</f>
        <v>1031.07</v>
      </c>
      <c r="G31" s="801"/>
      <c r="H31" s="801"/>
      <c r="I31" s="877">
        <f>I25+I19</f>
        <v>1811.5</v>
      </c>
      <c r="J31" s="801"/>
      <c r="K31" s="801"/>
      <c r="L31" s="801"/>
      <c r="M31" s="877">
        <f>M25+M19</f>
        <v>1926.49</v>
      </c>
      <c r="N31" s="801"/>
      <c r="O31" s="801"/>
      <c r="P31" s="801"/>
      <c r="Q31" s="877">
        <f>Q25+Q19</f>
        <v>2027.79</v>
      </c>
      <c r="R31" s="801"/>
      <c r="S31" s="801"/>
      <c r="T31" s="801"/>
      <c r="U31" s="877">
        <f>U25+U19</f>
        <v>2107.34</v>
      </c>
      <c r="V31" s="801"/>
      <c r="W31" s="801"/>
      <c r="X31" s="801"/>
      <c r="Y31" s="877">
        <f>Y25+Y19</f>
        <v>2187.7000000000003</v>
      </c>
      <c r="Z31" s="801"/>
    </row>
    <row r="32" spans="1:26" s="833" customFormat="1" ht="26.25">
      <c r="A32" s="831"/>
      <c r="B32" s="766" t="s">
        <v>529</v>
      </c>
      <c r="C32" s="832"/>
      <c r="D32" s="832"/>
      <c r="E32" s="832"/>
      <c r="F32" s="832"/>
      <c r="G32" s="832"/>
      <c r="H32" s="832"/>
      <c r="I32" s="832"/>
      <c r="J32" s="832"/>
      <c r="K32" s="832"/>
      <c r="L32" s="832"/>
      <c r="M32" s="832"/>
      <c r="N32" s="832"/>
      <c r="O32" s="832"/>
      <c r="P32" s="832"/>
      <c r="Q32" s="832"/>
      <c r="R32" s="832"/>
      <c r="S32" s="832"/>
      <c r="T32" s="832"/>
      <c r="U32" s="832"/>
      <c r="V32" s="832"/>
      <c r="W32" s="832"/>
      <c r="X32" s="832"/>
      <c r="Y32" s="832"/>
      <c r="Z32" s="832"/>
    </row>
    <row r="33" spans="1:26" s="833" customFormat="1" ht="22.5" customHeight="1" thickBot="1">
      <c r="A33" s="831"/>
      <c r="B33" s="799" t="s">
        <v>186</v>
      </c>
      <c r="D33" s="834"/>
      <c r="G33" s="834"/>
      <c r="J33" s="1163"/>
      <c r="K33" s="834"/>
      <c r="O33" s="834"/>
      <c r="S33" s="834"/>
      <c r="W33" s="834"/>
    </row>
    <row r="34" spans="1:26" s="833" customFormat="1" ht="18.75" customHeight="1" thickBot="1">
      <c r="A34" s="831"/>
      <c r="B34" s="115" t="s">
        <v>135</v>
      </c>
      <c r="C34" s="116" t="s">
        <v>0</v>
      </c>
      <c r="D34" s="117">
        <v>7462.38</v>
      </c>
      <c r="E34" s="118">
        <v>6252.204999999999</v>
      </c>
      <c r="F34" s="119">
        <v>13714.584999999999</v>
      </c>
      <c r="G34" s="117">
        <f>G40+G46</f>
        <v>7184.3797979999999</v>
      </c>
      <c r="H34" s="118">
        <f>I34-G34</f>
        <v>8025.6939540278818</v>
      </c>
      <c r="I34" s="119">
        <f>'Кальк.2019-2023 (ДИ) (2)'!J96</f>
        <v>15210.073752027882</v>
      </c>
      <c r="J34" s="771">
        <f t="shared" ref="J34:J36" si="26">I34/F34</f>
        <v>1.1090436751843298</v>
      </c>
      <c r="K34" s="117">
        <f>K40+K46</f>
        <v>10065.619999999999</v>
      </c>
      <c r="L34" s="118">
        <f>M34-K34</f>
        <v>8100.2000000000007</v>
      </c>
      <c r="M34" s="119">
        <f>'Кальк.2019-2023 (ДИ) (2)'!N96</f>
        <v>18165.82</v>
      </c>
      <c r="N34" s="771">
        <f>M34/I34</f>
        <v>1.1943281995971942</v>
      </c>
      <c r="O34" s="117">
        <f>O40+O46</f>
        <v>10365.643892</v>
      </c>
      <c r="P34" s="118">
        <f>Q34-O34</f>
        <v>8779.486108000001</v>
      </c>
      <c r="Q34" s="119">
        <f>'Кальк.2019-2023 (ДИ) (2)'!R96</f>
        <v>19145.13</v>
      </c>
      <c r="R34" s="771">
        <f>Q34/M34</f>
        <v>1.0539094849558126</v>
      </c>
      <c r="S34" s="117">
        <f>S40+S46</f>
        <v>11109.380000000001</v>
      </c>
      <c r="T34" s="118">
        <f>U34-S34</f>
        <v>8873.9200000000019</v>
      </c>
      <c r="U34" s="119">
        <f>'Кальк.2019-2023 (ДИ) (2)'!V96</f>
        <v>19983.300000000003</v>
      </c>
      <c r="V34" s="771">
        <f>U34/Q34</f>
        <v>1.0437798019653042</v>
      </c>
      <c r="W34" s="117">
        <f>W40+W46</f>
        <v>11296.23</v>
      </c>
      <c r="X34" s="118">
        <f>Y34-W34</f>
        <v>9678.1700000000019</v>
      </c>
      <c r="Y34" s="119">
        <f>'Кальк.2019-2023 (ДИ) (2)'!Z96</f>
        <v>20974.400000000001</v>
      </c>
      <c r="Z34" s="771">
        <f>Y34/U34</f>
        <v>1.049596413004859</v>
      </c>
    </row>
    <row r="35" spans="1:26" s="833" customFormat="1" ht="19.5" customHeight="1" thickBot="1">
      <c r="A35" s="831"/>
      <c r="B35" s="120" t="s">
        <v>517</v>
      </c>
      <c r="C35" s="121" t="s">
        <v>10</v>
      </c>
      <c r="D35" s="775">
        <v>5709.65</v>
      </c>
      <c r="E35" s="835">
        <v>4685.3500000000004</v>
      </c>
      <c r="F35" s="777">
        <v>10395</v>
      </c>
      <c r="G35" s="775">
        <v>5501.65</v>
      </c>
      <c r="H35" s="835">
        <v>4498.3500000000004</v>
      </c>
      <c r="I35" s="777">
        <v>10000</v>
      </c>
      <c r="J35" s="778">
        <f t="shared" si="26"/>
        <v>0.96200096200096197</v>
      </c>
      <c r="K35" s="775">
        <f>G35</f>
        <v>5501.65</v>
      </c>
      <c r="L35" s="776">
        <f>H35</f>
        <v>4498.3500000000004</v>
      </c>
      <c r="M35" s="777">
        <f>K35+L35</f>
        <v>10000</v>
      </c>
      <c r="N35" s="771">
        <f t="shared" ref="N35:N36" si="27">M35/I35</f>
        <v>1</v>
      </c>
      <c r="O35" s="775">
        <f>K35</f>
        <v>5501.65</v>
      </c>
      <c r="P35" s="776">
        <f>L35</f>
        <v>4498.3500000000004</v>
      </c>
      <c r="Q35" s="777">
        <f>O35+P35</f>
        <v>10000</v>
      </c>
      <c r="R35" s="771">
        <f t="shared" ref="R35:R36" si="28">Q35/M35</f>
        <v>1</v>
      </c>
      <c r="S35" s="775">
        <f>O35</f>
        <v>5501.65</v>
      </c>
      <c r="T35" s="776">
        <f>P35</f>
        <v>4498.3500000000004</v>
      </c>
      <c r="U35" s="777">
        <f>S35+T35</f>
        <v>10000</v>
      </c>
      <c r="V35" s="771">
        <f t="shared" ref="V35:V36" si="29">U35/Q35</f>
        <v>1</v>
      </c>
      <c r="W35" s="775">
        <f>S35</f>
        <v>5501.65</v>
      </c>
      <c r="X35" s="776">
        <f>T35</f>
        <v>4498.3500000000004</v>
      </c>
      <c r="Y35" s="777">
        <f>W35+X35</f>
        <v>10000</v>
      </c>
      <c r="Z35" s="771">
        <f t="shared" ref="Z35:Z36" si="30">Y35/U35</f>
        <v>1</v>
      </c>
    </row>
    <row r="36" spans="1:26" s="833" customFormat="1" ht="18.75" customHeight="1" thickBot="1">
      <c r="A36" s="831"/>
      <c r="B36" s="122" t="s">
        <v>518</v>
      </c>
      <c r="C36" s="123" t="s">
        <v>9</v>
      </c>
      <c r="D36" s="124">
        <v>1306.98</v>
      </c>
      <c r="E36" s="124">
        <v>1334.42</v>
      </c>
      <c r="F36" s="125">
        <v>1319.34</v>
      </c>
      <c r="G36" s="124">
        <f>ROUND(G34/G35*1000,2)</f>
        <v>1305.8599999999999</v>
      </c>
      <c r="H36" s="124">
        <f t="shared" ref="H36" si="31">ROUND(H34/H35*1000,2)</f>
        <v>1784.14</v>
      </c>
      <c r="I36" s="124">
        <f>I34/I35*1000</f>
        <v>1521.0073752027881</v>
      </c>
      <c r="J36" s="779">
        <f t="shared" si="26"/>
        <v>1.152854741918526</v>
      </c>
      <c r="K36" s="124">
        <f>ROUND(K34*1000/K35,2)</f>
        <v>1829.56</v>
      </c>
      <c r="L36" s="124">
        <f>ROUND(L34*1000/L35,2)</f>
        <v>1800.7</v>
      </c>
      <c r="M36" s="836">
        <f>ROUND(M34*1000/M35,2)</f>
        <v>1816.58</v>
      </c>
      <c r="N36" s="771">
        <f t="shared" si="27"/>
        <v>1.1943268846791781</v>
      </c>
      <c r="O36" s="124">
        <f>ROUND(O34*1000/O35,2)</f>
        <v>1884.1</v>
      </c>
      <c r="P36" s="124">
        <f>ROUND(P34*1000/P35,2)</f>
        <v>1951.71</v>
      </c>
      <c r="Q36" s="836">
        <f>ROUND(Q34*1000/Q35,2)</f>
        <v>1914.51</v>
      </c>
      <c r="R36" s="771">
        <f t="shared" si="28"/>
        <v>1.0539089938235586</v>
      </c>
      <c r="S36" s="124">
        <f>ROUND(S34*1000/S35,2)</f>
        <v>2019.28</v>
      </c>
      <c r="T36" s="124">
        <f>ROUND(T34*1000/T35,2)</f>
        <v>1972.71</v>
      </c>
      <c r="U36" s="836">
        <f>ROUND(U34*1000/U35,2)</f>
        <v>1998.33</v>
      </c>
      <c r="V36" s="771">
        <f t="shared" si="29"/>
        <v>1.0437814375479888</v>
      </c>
      <c r="W36" s="124">
        <f>ROUND(W34*1000/W35,2)</f>
        <v>2053.2399999999998</v>
      </c>
      <c r="X36" s="124">
        <f>ROUND(X34*1000/X35,2)</f>
        <v>2151.4899999999998</v>
      </c>
      <c r="Y36" s="836">
        <f>ROUND(Y34*1000/Y35,2)</f>
        <v>2097.44</v>
      </c>
      <c r="Z36" s="771">
        <f t="shared" si="30"/>
        <v>1.0495964130048592</v>
      </c>
    </row>
    <row r="37" spans="1:26" s="788" customFormat="1" ht="18.75">
      <c r="A37" s="781"/>
      <c r="B37" s="782" t="s">
        <v>134</v>
      </c>
      <c r="C37" s="783"/>
      <c r="D37" s="785"/>
      <c r="E37" s="1160">
        <f>E36/D36</f>
        <v>1.0209949654929686</v>
      </c>
      <c r="F37" s="786"/>
      <c r="G37" s="785"/>
      <c r="H37" s="1160">
        <f>H36/G36</f>
        <v>1.3662567197096169</v>
      </c>
      <c r="I37" s="786"/>
      <c r="J37" s="787"/>
      <c r="K37" s="785"/>
      <c r="L37" s="1160">
        <f>L36/K36</f>
        <v>0.98422571547257265</v>
      </c>
      <c r="M37" s="786"/>
      <c r="N37" s="787"/>
      <c r="O37" s="785"/>
      <c r="P37" s="1160">
        <f>P36/O36</f>
        <v>1.0358845071917626</v>
      </c>
      <c r="Q37" s="786"/>
      <c r="R37" s="787"/>
      <c r="S37" s="785"/>
      <c r="T37" s="1160">
        <f>T36/S36</f>
        <v>0.97693732419476254</v>
      </c>
      <c r="U37" s="786"/>
      <c r="V37" s="787"/>
      <c r="W37" s="785"/>
      <c r="X37" s="1160">
        <f>X36/W36</f>
        <v>1.0478512010286183</v>
      </c>
      <c r="Y37" s="786"/>
      <c r="Z37" s="787"/>
    </row>
    <row r="38" spans="1:26">
      <c r="D38" s="837"/>
      <c r="E38" s="837"/>
      <c r="F38" s="837"/>
      <c r="G38" s="837"/>
      <c r="H38" s="837"/>
      <c r="I38" s="837"/>
      <c r="K38" s="837"/>
      <c r="L38" s="837"/>
      <c r="M38" s="837"/>
      <c r="O38" s="837"/>
      <c r="P38" s="837"/>
      <c r="Q38" s="837"/>
      <c r="S38" s="837"/>
      <c r="T38" s="837"/>
      <c r="U38" s="837"/>
      <c r="W38" s="837"/>
      <c r="X38" s="837"/>
      <c r="Y38" s="837"/>
    </row>
    <row r="39" spans="1:26" s="769" customFormat="1" ht="19.5" thickBot="1">
      <c r="A39" s="759"/>
      <c r="B39" s="799" t="s">
        <v>530</v>
      </c>
      <c r="C39" s="838" t="s">
        <v>531</v>
      </c>
      <c r="D39" s="839"/>
      <c r="E39" s="767"/>
      <c r="F39" s="767"/>
      <c r="G39" s="839"/>
      <c r="H39" s="767"/>
      <c r="I39" s="767"/>
      <c r="J39" s="768"/>
      <c r="K39" s="839"/>
      <c r="L39" s="767"/>
      <c r="M39" s="767"/>
      <c r="N39" s="768"/>
      <c r="O39" s="839"/>
      <c r="P39" s="767"/>
      <c r="Q39" s="767"/>
      <c r="R39" s="768"/>
      <c r="S39" s="839"/>
      <c r="T39" s="767"/>
      <c r="U39" s="767"/>
      <c r="V39" s="768"/>
      <c r="W39" s="839"/>
      <c r="X39" s="767"/>
      <c r="Y39" s="767"/>
      <c r="Z39" s="768"/>
    </row>
    <row r="40" spans="1:26" s="763" customFormat="1" ht="19.5" thickBot="1">
      <c r="A40" s="759"/>
      <c r="B40" s="115" t="s">
        <v>135</v>
      </c>
      <c r="C40" s="116" t="s">
        <v>0</v>
      </c>
      <c r="D40" s="117">
        <v>3998.69</v>
      </c>
      <c r="E40" s="118">
        <v>2769.8449999999993</v>
      </c>
      <c r="F40" s="119">
        <v>6768.5349999999999</v>
      </c>
      <c r="G40" s="840">
        <v>3846.1180050000003</v>
      </c>
      <c r="H40" s="118">
        <f>I40-G40</f>
        <v>3703.3471830278804</v>
      </c>
      <c r="I40" s="119">
        <f>I34-I46</f>
        <v>7549.4651880278807</v>
      </c>
      <c r="J40" s="771">
        <f t="shared" ref="J40:J42" si="32">I40/F40</f>
        <v>1.1153765457411213</v>
      </c>
      <c r="K40" s="840">
        <v>5602.33</v>
      </c>
      <c r="L40" s="118">
        <f>M40-K40</f>
        <v>3737.7299999999996</v>
      </c>
      <c r="M40" s="119">
        <f>M34-M46</f>
        <v>9340.06</v>
      </c>
      <c r="N40" s="771">
        <f>M40/I40</f>
        <v>1.2371816767645589</v>
      </c>
      <c r="O40" s="840">
        <v>5860.9238920000007</v>
      </c>
      <c r="P40" s="791">
        <f>P34-P46</f>
        <v>4051.1761080000006</v>
      </c>
      <c r="Q40" s="119">
        <f>O40+P40</f>
        <v>9912.1000000000022</v>
      </c>
      <c r="R40" s="771">
        <f>Q40/M40</f>
        <v>1.0612458592343093</v>
      </c>
      <c r="S40" s="840">
        <v>6226.88</v>
      </c>
      <c r="T40" s="791">
        <f>T34-T46</f>
        <v>4094.7300000000023</v>
      </c>
      <c r="U40" s="119">
        <f>S40+T40</f>
        <v>10321.610000000002</v>
      </c>
      <c r="V40" s="771">
        <f>U40/Q40</f>
        <v>1.0413141513907245</v>
      </c>
      <c r="W40" s="840">
        <v>6361.2000000000007</v>
      </c>
      <c r="X40" s="791">
        <f>X34-X46</f>
        <v>4465.8700000000017</v>
      </c>
      <c r="Y40" s="119">
        <f>W40+X40</f>
        <v>10827.070000000003</v>
      </c>
      <c r="Z40" s="771">
        <f>Y40/U40</f>
        <v>1.0489710423083221</v>
      </c>
    </row>
    <row r="41" spans="1:26" s="763" customFormat="1" ht="19.5" thickBot="1">
      <c r="A41" s="759"/>
      <c r="B41" s="120" t="s">
        <v>517</v>
      </c>
      <c r="C41" s="121" t="s">
        <v>10</v>
      </c>
      <c r="D41" s="775">
        <v>3000</v>
      </c>
      <c r="E41" s="776">
        <v>2075.6999999999998</v>
      </c>
      <c r="F41" s="777">
        <v>5075.7</v>
      </c>
      <c r="G41" s="775">
        <v>3000</v>
      </c>
      <c r="H41" s="776">
        <v>2075.6999999999998</v>
      </c>
      <c r="I41" s="777">
        <f>G41+H41</f>
        <v>5075.7</v>
      </c>
      <c r="J41" s="778">
        <f t="shared" si="32"/>
        <v>1</v>
      </c>
      <c r="K41" s="792">
        <f>G41</f>
        <v>3000</v>
      </c>
      <c r="L41" s="793">
        <f>H41</f>
        <v>2075.6999999999998</v>
      </c>
      <c r="M41" s="777">
        <f>K41+L41</f>
        <v>5075.7</v>
      </c>
      <c r="N41" s="771">
        <f t="shared" ref="N41:N42" si="33">M41/I41</f>
        <v>1</v>
      </c>
      <c r="O41" s="792">
        <f>K41</f>
        <v>3000</v>
      </c>
      <c r="P41" s="793">
        <f>L41</f>
        <v>2075.6999999999998</v>
      </c>
      <c r="Q41" s="777">
        <f>O41+P41</f>
        <v>5075.7</v>
      </c>
      <c r="R41" s="771">
        <f t="shared" ref="R41:R42" si="34">Q41/M41</f>
        <v>1</v>
      </c>
      <c r="S41" s="792">
        <f>O41</f>
        <v>3000</v>
      </c>
      <c r="T41" s="793">
        <f>P41</f>
        <v>2075.6999999999998</v>
      </c>
      <c r="U41" s="777">
        <f>S41+T41</f>
        <v>5075.7</v>
      </c>
      <c r="V41" s="771">
        <f t="shared" ref="V41:V42" si="35">U41/Q41</f>
        <v>1</v>
      </c>
      <c r="W41" s="792">
        <f>S41</f>
        <v>3000</v>
      </c>
      <c r="X41" s="793">
        <f>T41</f>
        <v>2075.6999999999998</v>
      </c>
      <c r="Y41" s="777">
        <f>W41+X41</f>
        <v>5075.7</v>
      </c>
      <c r="Z41" s="771">
        <f t="shared" ref="Z41:Z42" si="36">Y41/U41</f>
        <v>1</v>
      </c>
    </row>
    <row r="42" spans="1:26" s="763" customFormat="1" ht="19.5" customHeight="1" thickBot="1">
      <c r="A42" s="759"/>
      <c r="B42" s="122" t="s">
        <v>532</v>
      </c>
      <c r="C42" s="123" t="s">
        <v>9</v>
      </c>
      <c r="D42" s="157">
        <v>1332.9</v>
      </c>
      <c r="E42" s="124">
        <v>1334.42</v>
      </c>
      <c r="F42" s="125">
        <v>1333.52</v>
      </c>
      <c r="G42" s="124">
        <f>ROUND(G40/G41*1000,2)</f>
        <v>1282.04</v>
      </c>
      <c r="H42" s="124">
        <f t="shared" ref="H42:I42" si="37">ROUND(H40/H41*1000,2)</f>
        <v>1784.14</v>
      </c>
      <c r="I42" s="124">
        <f t="shared" si="37"/>
        <v>1487.37</v>
      </c>
      <c r="J42" s="779">
        <f t="shared" si="32"/>
        <v>1.1153713480112784</v>
      </c>
      <c r="K42" s="124">
        <f>ROUND(K40/K41*1000,2)</f>
        <v>1867.44</v>
      </c>
      <c r="L42" s="124">
        <f>L36</f>
        <v>1800.7</v>
      </c>
      <c r="M42" s="836">
        <f>ROUND(M40*1000/M41,2)</f>
        <v>1840.15</v>
      </c>
      <c r="N42" s="771">
        <f t="shared" si="33"/>
        <v>1.2371837538742883</v>
      </c>
      <c r="O42" s="124">
        <f>ROUND(O40*1000/O41,2)</f>
        <v>1953.64</v>
      </c>
      <c r="P42" s="124">
        <f>ROUND(P40*1000/P41,2)</f>
        <v>1951.72</v>
      </c>
      <c r="Q42" s="836">
        <f>ROUND(Q40*1000/Q41,2)</f>
        <v>1952.85</v>
      </c>
      <c r="R42" s="771">
        <f t="shared" si="34"/>
        <v>1.0612450072005</v>
      </c>
      <c r="S42" s="124">
        <f>ROUND(S40/S41*1000,2)</f>
        <v>2075.63</v>
      </c>
      <c r="T42" s="124">
        <f>T36</f>
        <v>1972.71</v>
      </c>
      <c r="U42" s="836">
        <f>ROUND(U40*1000/U41,2)</f>
        <v>2033.53</v>
      </c>
      <c r="V42" s="771">
        <f t="shared" si="35"/>
        <v>1.0413139770079627</v>
      </c>
      <c r="W42" s="124">
        <f>ROUND(W40/W41*1000,2)</f>
        <v>2120.4</v>
      </c>
      <c r="X42" s="124">
        <f>X36</f>
        <v>2151.4899999999998</v>
      </c>
      <c r="Y42" s="836">
        <f>ROUND(Y40*1000/Y41,2)</f>
        <v>2133.12</v>
      </c>
      <c r="Z42" s="771">
        <f t="shared" si="36"/>
        <v>1.0489739516997536</v>
      </c>
    </row>
    <row r="43" spans="1:26" s="842" customFormat="1" ht="18.75">
      <c r="A43" s="781"/>
      <c r="B43" s="782"/>
      <c r="C43" s="783"/>
      <c r="D43" s="783"/>
      <c r="E43" s="1160">
        <f>E42/D42</f>
        <v>1.0011403706204516</v>
      </c>
      <c r="F43" s="783"/>
      <c r="G43" s="783"/>
      <c r="H43" s="1160">
        <f>H42/G42</f>
        <v>1.3916414464447289</v>
      </c>
      <c r="I43" s="783"/>
      <c r="J43" s="783"/>
      <c r="K43" s="783"/>
      <c r="L43" s="1160">
        <f>L42/K42</f>
        <v>0.96426123463136704</v>
      </c>
      <c r="M43" s="783"/>
      <c r="N43" s="783"/>
      <c r="O43" s="783"/>
      <c r="P43" s="1160">
        <f>P42/O42</f>
        <v>0.99901721913965724</v>
      </c>
      <c r="Q43" s="783"/>
      <c r="R43" s="783"/>
      <c r="S43" s="783"/>
      <c r="T43" s="1160">
        <f>T42/S42</f>
        <v>0.95041505470628196</v>
      </c>
      <c r="U43" s="783"/>
      <c r="V43" s="783"/>
      <c r="W43" s="783"/>
      <c r="X43" s="1160">
        <f>X42/W42</f>
        <v>1.0146623278626672</v>
      </c>
      <c r="Y43" s="783"/>
      <c r="Z43" s="783"/>
    </row>
    <row r="44" spans="1:26">
      <c r="D44" s="837"/>
      <c r="E44" s="837"/>
      <c r="F44" s="837"/>
      <c r="G44" s="837"/>
      <c r="H44" s="837"/>
      <c r="I44" s="837"/>
      <c r="K44" s="837"/>
      <c r="L44" s="837"/>
      <c r="M44" s="837"/>
      <c r="O44" s="837"/>
      <c r="P44" s="837"/>
      <c r="Q44" s="837"/>
      <c r="S44" s="837"/>
      <c r="T44" s="837"/>
      <c r="U44" s="837"/>
      <c r="W44" s="837"/>
      <c r="X44" s="837"/>
      <c r="Y44" s="837"/>
    </row>
    <row r="45" spans="1:26" ht="19.5" thickBot="1">
      <c r="B45" s="799" t="s">
        <v>533</v>
      </c>
      <c r="C45" s="838" t="s">
        <v>531</v>
      </c>
      <c r="D45" s="839"/>
      <c r="E45" s="837"/>
      <c r="F45" s="837"/>
      <c r="G45" s="839"/>
      <c r="H45" s="837"/>
      <c r="I45" s="837"/>
      <c r="K45" s="839"/>
      <c r="L45" s="837"/>
      <c r="M45" s="837"/>
      <c r="O45" s="839"/>
      <c r="P45" s="837"/>
      <c r="Q45" s="837"/>
      <c r="S45" s="839"/>
      <c r="T45" s="837"/>
      <c r="U45" s="837"/>
      <c r="W45" s="839"/>
      <c r="X45" s="837"/>
      <c r="Y45" s="837"/>
    </row>
    <row r="46" spans="1:26" ht="19.5" thickBot="1">
      <c r="B46" s="115" t="s">
        <v>135</v>
      </c>
      <c r="C46" s="116" t="s">
        <v>0</v>
      </c>
      <c r="D46" s="117">
        <v>3463.69</v>
      </c>
      <c r="E46" s="118">
        <v>3482.3599999999997</v>
      </c>
      <c r="F46" s="119">
        <v>6946.0499999999993</v>
      </c>
      <c r="G46" s="117">
        <f>G47*G48/1000+0.01</f>
        <v>3338.2617929999997</v>
      </c>
      <c r="H46" s="117">
        <f>H47*H48/1000</f>
        <v>4322.3467710000014</v>
      </c>
      <c r="I46" s="119">
        <f>G46+H46</f>
        <v>7660.608564000001</v>
      </c>
      <c r="J46" s="771">
        <f t="shared" ref="J46:J48" si="38">I46/F46</f>
        <v>1.1028726490595377</v>
      </c>
      <c r="K46" s="791">
        <f>ROUND(K48*K47/1000,2)</f>
        <v>4463.29</v>
      </c>
      <c r="L46" s="791">
        <f>ROUND(L36*L47/1000,2)</f>
        <v>4362.47</v>
      </c>
      <c r="M46" s="119">
        <f>K46+L46</f>
        <v>8825.76</v>
      </c>
      <c r="N46" s="771">
        <f>M46/I46</f>
        <v>1.1520964589517695</v>
      </c>
      <c r="O46" s="791">
        <f>ROUND(O48*O47/1000,2)</f>
        <v>4504.72</v>
      </c>
      <c r="P46" s="791">
        <f>ROUND(P36*P47/1000,2)</f>
        <v>4728.3100000000004</v>
      </c>
      <c r="Q46" s="119">
        <f>Q34-Q40</f>
        <v>9233.0299999999988</v>
      </c>
      <c r="R46" s="771">
        <f>Q46/M46</f>
        <v>1.0461456010587189</v>
      </c>
      <c r="S46" s="791">
        <f>ROUND(S48*S47/1000,2)</f>
        <v>4882.5</v>
      </c>
      <c r="T46" s="791">
        <f>ROUND(T36*T47/1000,2)</f>
        <v>4779.1899999999996</v>
      </c>
      <c r="U46" s="119">
        <f>U34-U40</f>
        <v>9661.69</v>
      </c>
      <c r="V46" s="771">
        <f>U46/Q46</f>
        <v>1.0464267959705538</v>
      </c>
      <c r="W46" s="791">
        <f>ROUND(W48*W47/1000,2)</f>
        <v>4935.03</v>
      </c>
      <c r="X46" s="791">
        <f>ROUND(X36*X47/1000,2)-0.01</f>
        <v>5212.3</v>
      </c>
      <c r="Y46" s="119">
        <f>Y34-Y40</f>
        <v>10147.329999999998</v>
      </c>
      <c r="Z46" s="771">
        <f>Y46/U46</f>
        <v>1.0502644982399556</v>
      </c>
    </row>
    <row r="47" spans="1:26" ht="19.5" thickBot="1">
      <c r="A47" s="753"/>
      <c r="B47" s="120" t="s">
        <v>517</v>
      </c>
      <c r="C47" s="121" t="s">
        <v>10</v>
      </c>
      <c r="D47" s="775">
        <v>2709.6499999999996</v>
      </c>
      <c r="E47" s="776">
        <v>2609.6500000000005</v>
      </c>
      <c r="F47" s="777">
        <v>5319.3</v>
      </c>
      <c r="G47" s="775">
        <f>G35-G41</f>
        <v>2501.6499999999996</v>
      </c>
      <c r="H47" s="776">
        <f>H35-H41</f>
        <v>2422.6500000000005</v>
      </c>
      <c r="I47" s="777">
        <f>I35-I41</f>
        <v>4924.3</v>
      </c>
      <c r="J47" s="778">
        <f t="shared" si="38"/>
        <v>0.92574210892410658</v>
      </c>
      <c r="K47" s="775">
        <f>K35-K41</f>
        <v>2501.6499999999996</v>
      </c>
      <c r="L47" s="776">
        <f>L35-L41</f>
        <v>2422.6500000000005</v>
      </c>
      <c r="M47" s="777">
        <f>K47+L47</f>
        <v>4924.3</v>
      </c>
      <c r="N47" s="771">
        <f t="shared" ref="N47:N48" si="39">M47/I47</f>
        <v>1</v>
      </c>
      <c r="O47" s="775">
        <f>O35-O41</f>
        <v>2501.6499999999996</v>
      </c>
      <c r="P47" s="776">
        <f>P35-P41</f>
        <v>2422.6500000000005</v>
      </c>
      <c r="Q47" s="777">
        <f>O47+P47</f>
        <v>4924.3</v>
      </c>
      <c r="R47" s="771">
        <f t="shared" ref="R47:R48" si="40">Q47/M47</f>
        <v>1</v>
      </c>
      <c r="S47" s="775">
        <f>S35-S41</f>
        <v>2501.6499999999996</v>
      </c>
      <c r="T47" s="776">
        <f>T35-T41</f>
        <v>2422.6500000000005</v>
      </c>
      <c r="U47" s="777">
        <f>S47+T47</f>
        <v>4924.3</v>
      </c>
      <c r="V47" s="771">
        <f t="shared" ref="V47:V48" si="41">U47/Q47</f>
        <v>1</v>
      </c>
      <c r="W47" s="775">
        <f>W35-W41</f>
        <v>2501.6499999999996</v>
      </c>
      <c r="X47" s="776">
        <f>X35-X41</f>
        <v>2422.6500000000005</v>
      </c>
      <c r="Y47" s="777">
        <f>W47+X47</f>
        <v>4924.3</v>
      </c>
      <c r="Z47" s="771">
        <f t="shared" ref="Z47:Z48" si="42">Y47/U47</f>
        <v>1</v>
      </c>
    </row>
    <row r="48" spans="1:26" ht="19.5" thickBot="1">
      <c r="A48" s="753"/>
      <c r="B48" s="122" t="s">
        <v>518</v>
      </c>
      <c r="C48" s="123" t="s">
        <v>9</v>
      </c>
      <c r="D48" s="157">
        <v>1278.28</v>
      </c>
      <c r="E48" s="124">
        <v>1334.42</v>
      </c>
      <c r="F48" s="125">
        <v>1305.82</v>
      </c>
      <c r="G48" s="157">
        <f>ROUND(E48,2)</f>
        <v>1334.42</v>
      </c>
      <c r="H48" s="124">
        <f>H36</f>
        <v>1784.14</v>
      </c>
      <c r="I48" s="124">
        <f>I36</f>
        <v>1521.0073752027881</v>
      </c>
      <c r="J48" s="779">
        <f t="shared" si="38"/>
        <v>1.1647909935540797</v>
      </c>
      <c r="K48" s="124">
        <f>H48</f>
        <v>1784.14</v>
      </c>
      <c r="L48" s="124">
        <f>L36</f>
        <v>1800.7</v>
      </c>
      <c r="M48" s="836">
        <f>ROUND(M46*1000/M47,2)</f>
        <v>1792.29</v>
      </c>
      <c r="N48" s="771">
        <f t="shared" si="39"/>
        <v>1.1783572053758407</v>
      </c>
      <c r="O48" s="124">
        <f>L48</f>
        <v>1800.7</v>
      </c>
      <c r="P48" s="124">
        <f>ROUND(P46*1000/P47,2)</f>
        <v>1951.71</v>
      </c>
      <c r="Q48" s="836">
        <f>ROUND(Q46*1000/Q47,2)</f>
        <v>1874.99</v>
      </c>
      <c r="R48" s="771">
        <f t="shared" si="40"/>
        <v>1.0461420863811102</v>
      </c>
      <c r="S48" s="124">
        <f>P48</f>
        <v>1951.71</v>
      </c>
      <c r="T48" s="124">
        <f>ROUND(T46*1000/T47,2)</f>
        <v>1972.71</v>
      </c>
      <c r="U48" s="836">
        <f>ROUND(U46*1000/U47,2)</f>
        <v>1962.04</v>
      </c>
      <c r="V48" s="771">
        <f t="shared" si="41"/>
        <v>1.0464269142768761</v>
      </c>
      <c r="W48" s="124">
        <f>T48</f>
        <v>1972.71</v>
      </c>
      <c r="X48" s="124">
        <f>ROUND(X46*1000/X47,2)</f>
        <v>2151.4899999999998</v>
      </c>
      <c r="Y48" s="836">
        <f>ROUND(Y46*1000/Y47,2)</f>
        <v>2060.66</v>
      </c>
      <c r="Z48" s="771">
        <f t="shared" si="42"/>
        <v>1.050264010927402</v>
      </c>
    </row>
    <row r="49" spans="1:26" ht="18.75">
      <c r="A49" s="753"/>
      <c r="B49" s="782"/>
      <c r="C49" s="783"/>
      <c r="D49" s="783"/>
      <c r="E49" s="1160">
        <f>E48/D48</f>
        <v>1.0439183903370155</v>
      </c>
      <c r="F49" s="783"/>
      <c r="G49" s="783"/>
      <c r="H49" s="1160">
        <f>H48/G48</f>
        <v>1.3370153325040093</v>
      </c>
      <c r="I49" s="783"/>
      <c r="J49" s="787"/>
      <c r="K49" s="783"/>
      <c r="L49" s="1160">
        <f>L48/K48</f>
        <v>1.0092817828197338</v>
      </c>
      <c r="M49" s="783"/>
      <c r="N49" s="787"/>
      <c r="O49" s="783"/>
      <c r="P49" s="1160">
        <f>P48/O48</f>
        <v>1.0838618315099684</v>
      </c>
      <c r="Q49" s="783"/>
      <c r="R49" s="787"/>
      <c r="S49" s="783"/>
      <c r="T49" s="1160">
        <f>T48/S48</f>
        <v>1.0107597952564673</v>
      </c>
      <c r="U49" s="783"/>
      <c r="V49" s="787"/>
      <c r="W49" s="783"/>
      <c r="X49" s="1160">
        <f>X48/W48</f>
        <v>1.0906265999564051</v>
      </c>
      <c r="Y49" s="783"/>
      <c r="Z49" s="787"/>
    </row>
    <row r="50" spans="1:26">
      <c r="D50" s="837"/>
      <c r="E50" s="837"/>
      <c r="F50" s="837"/>
      <c r="G50" s="837"/>
      <c r="H50" s="837"/>
      <c r="I50" s="837"/>
      <c r="K50" s="837"/>
      <c r="L50" s="837"/>
      <c r="M50" s="837"/>
      <c r="O50" s="837"/>
      <c r="P50" s="837"/>
      <c r="Q50" s="837"/>
      <c r="S50" s="837"/>
      <c r="T50" s="837"/>
      <c r="U50" s="837"/>
      <c r="W50" s="837"/>
      <c r="X50" s="837"/>
      <c r="Y50" s="837"/>
    </row>
    <row r="51" spans="1:26" ht="34.5" customHeight="1" thickBot="1">
      <c r="B51" s="766" t="s">
        <v>534</v>
      </c>
      <c r="D51" s="837"/>
      <c r="E51" s="837"/>
      <c r="F51" s="837"/>
      <c r="G51" s="837"/>
      <c r="H51" s="837"/>
      <c r="I51" s="837"/>
      <c r="K51" s="837"/>
      <c r="L51" s="837"/>
      <c r="M51" s="837"/>
      <c r="O51" s="837"/>
      <c r="P51" s="837"/>
      <c r="Q51" s="837"/>
      <c r="S51" s="837"/>
      <c r="T51" s="837"/>
      <c r="U51" s="837"/>
      <c r="W51" s="837"/>
      <c r="X51" s="837"/>
      <c r="Y51" s="837"/>
    </row>
    <row r="52" spans="1:26" ht="19.5" thickBot="1">
      <c r="B52" s="115" t="s">
        <v>135</v>
      </c>
      <c r="C52" s="116" t="s">
        <v>0</v>
      </c>
      <c r="D52" s="117">
        <v>5432.19</v>
      </c>
      <c r="E52" s="791">
        <v>5432.1900000000014</v>
      </c>
      <c r="F52" s="119">
        <v>10864.380000000001</v>
      </c>
      <c r="G52" s="117">
        <f>G53*G54*6/1000</f>
        <v>4975.7049535200003</v>
      </c>
      <c r="H52" s="791">
        <f>I52-G52</f>
        <v>4975.7050464799977</v>
      </c>
      <c r="I52" s="119">
        <f>'Кальк.2019-2023 (ДИ) (2)'!L96</f>
        <v>9951.409999999998</v>
      </c>
      <c r="J52" s="771">
        <f t="shared" ref="J52:J53" si="43">I52/F52</f>
        <v>0.9159666727415644</v>
      </c>
      <c r="K52" s="117">
        <f>ROUND(K53*K54*6/1000,2)</f>
        <v>4975.7</v>
      </c>
      <c r="L52" s="791">
        <f>M52-K52</f>
        <v>5223.7100000000019</v>
      </c>
      <c r="M52" s="119">
        <f>'Кальк.2019-2023 (ДИ) (2)'!P96</f>
        <v>10199.410000000002</v>
      </c>
      <c r="N52" s="771">
        <f>M52/I52</f>
        <v>1.024921091584007</v>
      </c>
      <c r="O52" s="117">
        <f>ROUND(O53*O54*6/1000,2)</f>
        <v>5223.71</v>
      </c>
      <c r="P52" s="791">
        <f>Q52-O52</f>
        <v>5359.5199999999995</v>
      </c>
      <c r="Q52" s="119">
        <f>'Кальк.2019-2023 (ДИ) (2)'!T96</f>
        <v>10583.23</v>
      </c>
      <c r="R52" s="771">
        <f>Q52/M52</f>
        <v>1.0376315884938441</v>
      </c>
      <c r="S52" s="117">
        <f>ROUND(S53*S54*6/1000,2)</f>
        <v>5359.52</v>
      </c>
      <c r="T52" s="791">
        <f>U52-S52</f>
        <v>5552.65</v>
      </c>
      <c r="U52" s="119">
        <f>'Кальк.2019-2023 (ДИ) (2)'!X96</f>
        <v>10912.17</v>
      </c>
      <c r="V52" s="771">
        <f>U52/Q52</f>
        <v>1.0310812483523462</v>
      </c>
      <c r="W52" s="117">
        <f>W53*W54*6/1000</f>
        <v>5550.1700000000019</v>
      </c>
      <c r="X52" s="791">
        <f>Y52-W52</f>
        <v>5550.1699999999983</v>
      </c>
      <c r="Y52" s="119">
        <f>'Кальк.2019-2023 (ДИ) (2)'!AB96</f>
        <v>11100.34</v>
      </c>
      <c r="Z52" s="771">
        <f>Y52/U52</f>
        <v>1.0172440495336859</v>
      </c>
    </row>
    <row r="53" spans="1:26" ht="19.5" thickBot="1">
      <c r="B53" s="843" t="s">
        <v>535</v>
      </c>
      <c r="C53" s="844" t="s">
        <v>75</v>
      </c>
      <c r="D53" s="845">
        <v>27.010999999999999</v>
      </c>
      <c r="E53" s="846">
        <v>27.010999999999999</v>
      </c>
      <c r="F53" s="847">
        <v>27.010999999999999</v>
      </c>
      <c r="G53" s="845">
        <v>27.010999999999999</v>
      </c>
      <c r="H53" s="846">
        <f>$M$53</f>
        <v>27.010999999999999</v>
      </c>
      <c r="I53" s="847">
        <v>27.010999999999999</v>
      </c>
      <c r="J53" s="778">
        <f t="shared" si="43"/>
        <v>1</v>
      </c>
      <c r="K53" s="845">
        <f>$M$53</f>
        <v>27.010999999999999</v>
      </c>
      <c r="L53" s="846">
        <f>$M$53</f>
        <v>27.010999999999999</v>
      </c>
      <c r="M53" s="847">
        <f>I53</f>
        <v>27.010999999999999</v>
      </c>
      <c r="N53" s="771">
        <f t="shared" ref="N53:N54" si="44">M53/I53</f>
        <v>1</v>
      </c>
      <c r="O53" s="845">
        <f>$M$53</f>
        <v>27.010999999999999</v>
      </c>
      <c r="P53" s="846">
        <f>$M$53</f>
        <v>27.010999999999999</v>
      </c>
      <c r="Q53" s="847">
        <f>M53</f>
        <v>27.010999999999999</v>
      </c>
      <c r="R53" s="771">
        <f t="shared" ref="R53:R54" si="45">Q53/M53</f>
        <v>1</v>
      </c>
      <c r="S53" s="845">
        <f>$M$53</f>
        <v>27.010999999999999</v>
      </c>
      <c r="T53" s="846">
        <f>$M$53</f>
        <v>27.010999999999999</v>
      </c>
      <c r="U53" s="847">
        <f>Q53</f>
        <v>27.010999999999999</v>
      </c>
      <c r="V53" s="771">
        <f t="shared" ref="V53:V54" si="46">U53/Q53</f>
        <v>1</v>
      </c>
      <c r="W53" s="845">
        <f>$M$53</f>
        <v>27.010999999999999</v>
      </c>
      <c r="X53" s="846">
        <f>$M$53</f>
        <v>27.010999999999999</v>
      </c>
      <c r="Y53" s="847">
        <f>U53</f>
        <v>27.010999999999999</v>
      </c>
      <c r="Z53" s="771">
        <f t="shared" ref="Z53:Z54" si="47">Y53/U53</f>
        <v>1</v>
      </c>
    </row>
    <row r="54" spans="1:26" ht="19.5" thickBot="1">
      <c r="A54" s="753"/>
      <c r="B54" s="122" t="s">
        <v>536</v>
      </c>
      <c r="C54" s="123" t="s">
        <v>537</v>
      </c>
      <c r="D54" s="124">
        <v>33518.379999999997</v>
      </c>
      <c r="E54" s="124">
        <v>33518.379999999997</v>
      </c>
      <c r="F54" s="125">
        <v>33518.379999999997</v>
      </c>
      <c r="G54" s="124">
        <f>ROUND(I54,2)</f>
        <v>30701.72</v>
      </c>
      <c r="H54" s="124">
        <f>ROUND((H52/H53/6*1000),2)</f>
        <v>30701.72</v>
      </c>
      <c r="I54" s="125">
        <f>I52/I53/12*1000</f>
        <v>30701.720286796732</v>
      </c>
      <c r="J54" s="779">
        <f>I54/F54</f>
        <v>0.91596671100443205</v>
      </c>
      <c r="K54" s="124">
        <f>ROUND(H54,2)</f>
        <v>30701.72</v>
      </c>
      <c r="L54" s="124">
        <f>ROUND((L52/L53/6*1000),2)</f>
        <v>32231.99</v>
      </c>
      <c r="M54" s="125">
        <f>ROUND(M52/M53/12*1000,2)</f>
        <v>31466.84</v>
      </c>
      <c r="N54" s="771">
        <f t="shared" si="44"/>
        <v>1.0249210697659932</v>
      </c>
      <c r="O54" s="124">
        <f>ROUND(L54,2)</f>
        <v>32231.99</v>
      </c>
      <c r="P54" s="124">
        <f>ROUND((P52/P53/6*1000),2)</f>
        <v>33069.980000000003</v>
      </c>
      <c r="Q54" s="125">
        <f>ROUND(Q52/Q53/12*1000,2)</f>
        <v>32650.99</v>
      </c>
      <c r="R54" s="771">
        <f t="shared" si="45"/>
        <v>1.0376316783000772</v>
      </c>
      <c r="S54" s="124">
        <f>ROUND(P54,2)</f>
        <v>33069.980000000003</v>
      </c>
      <c r="T54" s="124">
        <f>ROUND((T52/T53/6*1000),2)</f>
        <v>34261.660000000003</v>
      </c>
      <c r="U54" s="125">
        <f>ROUND(U52/U53/12*1000,2)</f>
        <v>33665.82</v>
      </c>
      <c r="V54" s="771">
        <f t="shared" si="46"/>
        <v>1.0310811402655784</v>
      </c>
      <c r="W54" s="124">
        <f>Y54</f>
        <v>34246.356422691999</v>
      </c>
      <c r="X54" s="124">
        <f>ROUND((X52/X53/6*1000),2)</f>
        <v>34246.36</v>
      </c>
      <c r="Y54" s="124">
        <f>Y52/Y53/12*1000</f>
        <v>34246.356422691999</v>
      </c>
      <c r="Z54" s="771">
        <f t="shared" si="47"/>
        <v>1.0172440897828123</v>
      </c>
    </row>
    <row r="55" spans="1:26" ht="18.75">
      <c r="A55" s="753"/>
      <c r="B55" s="782" t="s">
        <v>134</v>
      </c>
      <c r="C55" s="783"/>
      <c r="D55" s="783"/>
      <c r="E55" s="1160">
        <f>E54/D54</f>
        <v>1</v>
      </c>
      <c r="F55" s="783"/>
      <c r="G55" s="783"/>
      <c r="H55" s="1160">
        <f>H54/G54</f>
        <v>1</v>
      </c>
      <c r="I55" s="783"/>
      <c r="J55" s="787"/>
      <c r="K55" s="783"/>
      <c r="L55" s="848">
        <f>L54/K54</f>
        <v>1.0498431358243121</v>
      </c>
      <c r="M55" s="783"/>
      <c r="N55" s="787"/>
      <c r="O55" s="783"/>
      <c r="P55" s="848">
        <f>P54/O54</f>
        <v>1.0259987050132493</v>
      </c>
      <c r="Q55" s="783"/>
      <c r="R55" s="787"/>
      <c r="S55" s="783"/>
      <c r="T55" s="848">
        <f>T54/S54</f>
        <v>1.0360350989023883</v>
      </c>
      <c r="U55" s="783"/>
      <c r="V55" s="787"/>
      <c r="W55" s="783"/>
      <c r="X55" s="848">
        <f>X54/W54</f>
        <v>1.0000001044580613</v>
      </c>
      <c r="Y55" s="783"/>
      <c r="Z55" s="787"/>
    </row>
    <row r="58" spans="1:26">
      <c r="G58" s="879"/>
    </row>
    <row r="61" spans="1:26" ht="16.5" thickBot="1"/>
    <row r="62" spans="1:26" ht="31.5">
      <c r="B62" s="164"/>
      <c r="C62" s="164"/>
      <c r="D62" s="853" t="s">
        <v>539</v>
      </c>
      <c r="E62" s="1253" t="s">
        <v>540</v>
      </c>
      <c r="F62" s="1254"/>
      <c r="G62" s="1254"/>
      <c r="H62" s="853" t="s">
        <v>554</v>
      </c>
      <c r="I62" s="1253" t="s">
        <v>555</v>
      </c>
      <c r="J62" s="1254"/>
      <c r="K62" s="1254"/>
      <c r="L62" s="853" t="s">
        <v>556</v>
      </c>
      <c r="M62" s="1253" t="s">
        <v>557</v>
      </c>
      <c r="N62" s="1254"/>
      <c r="O62" s="1254"/>
      <c r="P62" s="853" t="s">
        <v>559</v>
      </c>
      <c r="Q62" s="1253" t="s">
        <v>560</v>
      </c>
      <c r="R62" s="1254"/>
      <c r="S62" s="1254"/>
      <c r="T62" s="853" t="s">
        <v>561</v>
      </c>
      <c r="U62" s="1253" t="s">
        <v>562</v>
      </c>
      <c r="V62" s="1254"/>
      <c r="W62" s="1254"/>
    </row>
    <row r="63" spans="1:26" ht="144">
      <c r="B63" s="164"/>
      <c r="C63" s="164"/>
      <c r="D63" s="1265" t="s">
        <v>541</v>
      </c>
      <c r="E63" s="854" t="s">
        <v>542</v>
      </c>
      <c r="F63" s="1164" t="s">
        <v>543</v>
      </c>
      <c r="G63" s="1263" t="s">
        <v>544</v>
      </c>
      <c r="H63" s="1265" t="s">
        <v>541</v>
      </c>
      <c r="I63" s="854" t="s">
        <v>542</v>
      </c>
      <c r="J63" s="1164" t="s">
        <v>543</v>
      </c>
      <c r="K63" s="1263" t="s">
        <v>544</v>
      </c>
      <c r="L63" s="1265" t="s">
        <v>541</v>
      </c>
      <c r="M63" s="854" t="s">
        <v>542</v>
      </c>
      <c r="N63" s="1164" t="s">
        <v>543</v>
      </c>
      <c r="O63" s="1263" t="s">
        <v>544</v>
      </c>
      <c r="P63" s="1265" t="s">
        <v>541</v>
      </c>
      <c r="Q63" s="854" t="s">
        <v>542</v>
      </c>
      <c r="R63" s="1164" t="s">
        <v>543</v>
      </c>
      <c r="S63" s="1263" t="s">
        <v>544</v>
      </c>
      <c r="T63" s="1265" t="s">
        <v>541</v>
      </c>
      <c r="U63" s="854" t="s">
        <v>542</v>
      </c>
      <c r="V63" s="1164" t="s">
        <v>543</v>
      </c>
      <c r="W63" s="1263" t="s">
        <v>544</v>
      </c>
    </row>
    <row r="64" spans="1:26">
      <c r="B64"/>
      <c r="C64"/>
      <c r="D64" s="1265"/>
      <c r="E64" s="1247" t="s">
        <v>545</v>
      </c>
      <c r="F64" s="1264" t="s">
        <v>546</v>
      </c>
      <c r="G64" s="1263"/>
      <c r="H64" s="1265"/>
      <c r="I64" s="1247" t="s">
        <v>545</v>
      </c>
      <c r="J64" s="1264" t="s">
        <v>546</v>
      </c>
      <c r="K64" s="1263"/>
      <c r="L64" s="1265"/>
      <c r="M64" s="1247" t="s">
        <v>545</v>
      </c>
      <c r="N64" s="1264" t="s">
        <v>546</v>
      </c>
      <c r="O64" s="1263"/>
      <c r="P64" s="1265"/>
      <c r="Q64" s="1247" t="s">
        <v>545</v>
      </c>
      <c r="R64" s="1264" t="s">
        <v>546</v>
      </c>
      <c r="S64" s="1263"/>
      <c r="T64" s="1265"/>
      <c r="U64" s="1247" t="s">
        <v>545</v>
      </c>
      <c r="V64" s="1264" t="s">
        <v>546</v>
      </c>
      <c r="W64" s="1263"/>
    </row>
    <row r="65" spans="2:23" ht="16.5" thickBot="1">
      <c r="B65"/>
      <c r="C65"/>
      <c r="D65" s="1244"/>
      <c r="E65" s="1248"/>
      <c r="F65" s="1250"/>
      <c r="G65" s="1246"/>
      <c r="H65" s="1244"/>
      <c r="I65" s="1248"/>
      <c r="J65" s="1250"/>
      <c r="K65" s="1246"/>
      <c r="L65" s="1244"/>
      <c r="M65" s="1248"/>
      <c r="N65" s="1250"/>
      <c r="O65" s="1246"/>
      <c r="P65" s="1244"/>
      <c r="Q65" s="1248"/>
      <c r="R65" s="1250"/>
      <c r="S65" s="1246"/>
      <c r="T65" s="1244"/>
      <c r="U65" s="1248"/>
      <c r="V65" s="1250"/>
      <c r="W65" s="1246"/>
    </row>
    <row r="66" spans="2:23">
      <c r="B66" s="1240" t="s">
        <v>547</v>
      </c>
      <c r="C66" s="856" t="s">
        <v>548</v>
      </c>
      <c r="D66" s="857">
        <f>ROUND(D68/1.18,2)</f>
        <v>1543.24</v>
      </c>
      <c r="E66" s="858">
        <f>D66</f>
        <v>1543.24</v>
      </c>
      <c r="F66" s="859">
        <f>F71/F69*1000</f>
        <v>1282.0393350000002</v>
      </c>
      <c r="G66" s="860"/>
      <c r="H66" s="857">
        <f>ROUND(H68/1.2,2)</f>
        <v>2175.71</v>
      </c>
      <c r="I66" s="858">
        <f>ROUND(I68/1.2,2)</f>
        <v>2175.71</v>
      </c>
      <c r="J66" s="859">
        <f>ROUND(J71/J69*1000,2)</f>
        <v>1896.17</v>
      </c>
      <c r="K66" s="860"/>
      <c r="L66" s="857">
        <f>ROUND(L68/1.2,2)</f>
        <v>2219.6799999999998</v>
      </c>
      <c r="M66" s="858">
        <f>M68/1.2</f>
        <v>2219.6833333333334</v>
      </c>
      <c r="N66" s="859">
        <f>N71/N69*1000</f>
        <v>1920.5829640000002</v>
      </c>
      <c r="O66" s="860"/>
      <c r="P66" s="857">
        <f>ROUND(P68/1.2,2)</f>
        <v>2387.48</v>
      </c>
      <c r="Q66" s="858">
        <f>ROUND(Q68/1.2,2)</f>
        <v>2387.48</v>
      </c>
      <c r="R66" s="859">
        <f>ROUND(R71/R69*1000,2)</f>
        <v>2076.4</v>
      </c>
      <c r="S66" s="860"/>
      <c r="T66" s="857">
        <f>ROUND(T68/1.2,2)</f>
        <v>2425.8200000000002</v>
      </c>
      <c r="U66" s="858">
        <f>ROUND(U68/1.2,2)</f>
        <v>2425.8200000000002</v>
      </c>
      <c r="V66" s="859">
        <f>ROUND(V71/V69*1000,2)</f>
        <v>2102.34</v>
      </c>
      <c r="W66" s="860"/>
    </row>
    <row r="67" spans="2:23" ht="16.5">
      <c r="B67" s="1266"/>
      <c r="C67" s="1165" t="s">
        <v>549</v>
      </c>
      <c r="D67" s="862">
        <v>25.5</v>
      </c>
      <c r="E67" s="863"/>
      <c r="F67" s="1166"/>
      <c r="G67" s="1167">
        <v>25.5</v>
      </c>
      <c r="H67" s="862">
        <f>K67</f>
        <v>27.29</v>
      </c>
      <c r="I67" s="863"/>
      <c r="J67" s="1166"/>
      <c r="K67" s="1167">
        <f>H21</f>
        <v>27.29</v>
      </c>
      <c r="L67" s="862">
        <f>O67</f>
        <v>29.2</v>
      </c>
      <c r="M67" s="863"/>
      <c r="N67" s="1166"/>
      <c r="O67" s="1167">
        <v>29.2</v>
      </c>
      <c r="P67" s="862">
        <f>S67</f>
        <v>30.37</v>
      </c>
      <c r="Q67" s="863"/>
      <c r="R67" s="1166"/>
      <c r="S67" s="1167">
        <v>30.37</v>
      </c>
      <c r="T67" s="862">
        <f>W67</f>
        <v>31.58</v>
      </c>
      <c r="U67" s="863"/>
      <c r="V67" s="1166"/>
      <c r="W67" s="1167">
        <v>31.58</v>
      </c>
    </row>
    <row r="68" spans="2:23" ht="28.5">
      <c r="B68" s="1266"/>
      <c r="C68" s="1165" t="s">
        <v>550</v>
      </c>
      <c r="D68" s="866">
        <v>1821.02</v>
      </c>
      <c r="E68" s="867">
        <f>E66*1.2</f>
        <v>1851.8879999999999</v>
      </c>
      <c r="F68" s="1166"/>
      <c r="G68" s="1168"/>
      <c r="H68" s="866">
        <f>I68</f>
        <v>2610.85</v>
      </c>
      <c r="I68" s="867">
        <f>ROUND(((H19+H40)/H41)*1.2*1000,2)</f>
        <v>2610.85</v>
      </c>
      <c r="J68" s="1166"/>
      <c r="K68" s="1168"/>
      <c r="L68" s="866">
        <f>M68</f>
        <v>2663.62</v>
      </c>
      <c r="M68" s="867">
        <f>ROUND(((L19+L40)/L41)*1.2*1000,2)</f>
        <v>2663.62</v>
      </c>
      <c r="N68" s="1166"/>
      <c r="O68" s="1168"/>
      <c r="P68" s="866">
        <f>Q68</f>
        <v>2864.97</v>
      </c>
      <c r="Q68" s="867">
        <f>ROUND(((P19+P40)/P41)*1.2*1000,2)</f>
        <v>2864.97</v>
      </c>
      <c r="R68" s="1166"/>
      <c r="S68" s="1168"/>
      <c r="T68" s="866">
        <f>U68</f>
        <v>2910.98</v>
      </c>
      <c r="U68" s="867">
        <f>ROUND(((T19+T40)/T41)*1.2*1000,2)</f>
        <v>2910.98</v>
      </c>
      <c r="V68" s="1166"/>
      <c r="W68" s="1168"/>
    </row>
    <row r="69" spans="2:23" ht="28.5">
      <c r="B69" s="1266"/>
      <c r="C69" s="1169" t="s">
        <v>551</v>
      </c>
      <c r="D69" s="870"/>
      <c r="E69" s="871">
        <f>F69</f>
        <v>3000</v>
      </c>
      <c r="F69" s="1170">
        <f>G41</f>
        <v>3000</v>
      </c>
      <c r="G69" s="1170"/>
      <c r="H69" s="870"/>
      <c r="I69" s="871">
        <f>J69</f>
        <v>3000</v>
      </c>
      <c r="J69" s="1170">
        <f>K41</f>
        <v>3000</v>
      </c>
      <c r="K69" s="1170"/>
      <c r="L69" s="870"/>
      <c r="M69" s="871">
        <f>N69</f>
        <v>3000</v>
      </c>
      <c r="N69" s="1170">
        <f>O41</f>
        <v>3000</v>
      </c>
      <c r="O69" s="1170"/>
      <c r="P69" s="870"/>
      <c r="Q69" s="871">
        <f>R69</f>
        <v>3000</v>
      </c>
      <c r="R69" s="1170">
        <f>S41</f>
        <v>3000</v>
      </c>
      <c r="S69" s="1170"/>
      <c r="T69" s="870"/>
      <c r="U69" s="871">
        <f>V69</f>
        <v>3000</v>
      </c>
      <c r="V69" s="1170">
        <f>W41</f>
        <v>3000</v>
      </c>
      <c r="W69" s="1170"/>
    </row>
    <row r="70" spans="2:23" ht="16.5">
      <c r="B70" s="1266"/>
      <c r="C70" s="1169" t="s">
        <v>552</v>
      </c>
      <c r="D70" s="870"/>
      <c r="E70" s="871"/>
      <c r="F70" s="1170"/>
      <c r="G70" s="1170">
        <f>G20</f>
        <v>30729.49</v>
      </c>
      <c r="H70" s="870"/>
      <c r="I70" s="871"/>
      <c r="J70" s="1170"/>
      <c r="K70" s="1170">
        <f>G70</f>
        <v>30729.49</v>
      </c>
      <c r="L70" s="870"/>
      <c r="M70" s="871"/>
      <c r="N70" s="1170"/>
      <c r="O70" s="1170">
        <f>K70</f>
        <v>30729.49</v>
      </c>
      <c r="P70" s="870"/>
      <c r="Q70" s="871"/>
      <c r="R70" s="1170"/>
      <c r="S70" s="1170">
        <f>O70</f>
        <v>30729.49</v>
      </c>
      <c r="T70" s="870"/>
      <c r="U70" s="871"/>
      <c r="V70" s="1170"/>
      <c r="W70" s="1170">
        <f>S70</f>
        <v>30729.49</v>
      </c>
    </row>
    <row r="71" spans="2:23" ht="16.5" thickBot="1">
      <c r="B71" s="1242"/>
      <c r="C71" s="873" t="s">
        <v>553</v>
      </c>
      <c r="D71" s="874"/>
      <c r="E71" s="875">
        <f>E66*E69/1000</f>
        <v>4629.72</v>
      </c>
      <c r="F71" s="876">
        <f>E71-G71</f>
        <v>3846.1180050000003</v>
      </c>
      <c r="G71" s="876">
        <f>G67*G70/1000</f>
        <v>783.60199499999999</v>
      </c>
      <c r="H71" s="874"/>
      <c r="I71" s="875">
        <f>ROUND(I66*I69/1000,2)</f>
        <v>6527.13</v>
      </c>
      <c r="J71" s="876">
        <f>I71-K71</f>
        <v>5688.52</v>
      </c>
      <c r="K71" s="876">
        <f>ROUND(K67*K70/1000,2)</f>
        <v>838.61</v>
      </c>
      <c r="L71" s="874"/>
      <c r="M71" s="875">
        <f>M66*M69/1000</f>
        <v>6659.05</v>
      </c>
      <c r="N71" s="876">
        <f>M71-O71</f>
        <v>5761.7488920000005</v>
      </c>
      <c r="O71" s="876">
        <f>O67*O70/1000</f>
        <v>897.301108</v>
      </c>
      <c r="P71" s="874"/>
      <c r="Q71" s="875">
        <f>ROUND(Q66*Q69/1000,2)</f>
        <v>7162.44</v>
      </c>
      <c r="R71" s="876">
        <f>Q71-S71</f>
        <v>6229.19</v>
      </c>
      <c r="S71" s="876">
        <f>ROUND(S67*S70/1000,2)</f>
        <v>933.25</v>
      </c>
      <c r="T71" s="874"/>
      <c r="U71" s="875">
        <f>ROUND(U66*U69/1000,2)</f>
        <v>7277.46</v>
      </c>
      <c r="V71" s="876">
        <f>U71-W71</f>
        <v>6307.02</v>
      </c>
      <c r="W71" s="876">
        <f>ROUND(W67*W70/1000,2)</f>
        <v>970.44</v>
      </c>
    </row>
  </sheetData>
  <mergeCells count="39">
    <mergeCell ref="B66:B71"/>
    <mergeCell ref="P63:P65"/>
    <mergeCell ref="S63:S65"/>
    <mergeCell ref="T63:T65"/>
    <mergeCell ref="D63:D65"/>
    <mergeCell ref="W63:W65"/>
    <mergeCell ref="E64:E65"/>
    <mergeCell ref="F64:F65"/>
    <mergeCell ref="I64:I65"/>
    <mergeCell ref="J64:J65"/>
    <mergeCell ref="M64:M65"/>
    <mergeCell ref="N64:N65"/>
    <mergeCell ref="G63:G65"/>
    <mergeCell ref="H63:H65"/>
    <mergeCell ref="K63:K65"/>
    <mergeCell ref="L63:L65"/>
    <mergeCell ref="O63:O65"/>
    <mergeCell ref="Q64:Q65"/>
    <mergeCell ref="R64:R65"/>
    <mergeCell ref="U64:U65"/>
    <mergeCell ref="V64:V65"/>
    <mergeCell ref="Z4:Z5"/>
    <mergeCell ref="E62:G62"/>
    <mergeCell ref="I62:K62"/>
    <mergeCell ref="M62:O62"/>
    <mergeCell ref="Q62:S62"/>
    <mergeCell ref="U62:W62"/>
    <mergeCell ref="N4:N5"/>
    <mergeCell ref="O4:Q4"/>
    <mergeCell ref="R4:R5"/>
    <mergeCell ref="S4:U4"/>
    <mergeCell ref="V4:V5"/>
    <mergeCell ref="W4:Y4"/>
    <mergeCell ref="K4:M4"/>
    <mergeCell ref="B4:B5"/>
    <mergeCell ref="C4:C5"/>
    <mergeCell ref="D4:F4"/>
    <mergeCell ref="G4:I4"/>
    <mergeCell ref="J4:J5"/>
  </mergeCells>
  <pageMargins left="0.70866141732283472" right="0.23622047244094491" top="0.39370078740157483" bottom="0.55118110236220474" header="0.31496062992125984" footer="0.31496062992125984"/>
  <pageSetup paperSize="8" scale="45" orientation="landscape" blackAndWhite="1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Z71"/>
  <sheetViews>
    <sheetView showGridLines="0" view="pageBreakPreview" zoomScale="60" zoomScaleNormal="65" workbookViewId="0">
      <pane ySplit="5" topLeftCell="A12" activePane="bottomLeft" state="frozen"/>
      <selection pane="bottomLeft" activeCell="G43" sqref="G43"/>
    </sheetView>
  </sheetViews>
  <sheetFormatPr defaultRowHeight="15.75"/>
  <cols>
    <col min="1" max="1" width="3.375" style="752" customWidth="1"/>
    <col min="2" max="2" width="68.5" style="753" customWidth="1"/>
    <col min="3" max="3" width="20.5" style="753" bestFit="1" customWidth="1"/>
    <col min="4" max="9" width="15.25" style="753" customWidth="1"/>
    <col min="10" max="10" width="12.375" style="753" customWidth="1"/>
    <col min="11" max="13" width="15.25" style="753" customWidth="1"/>
    <col min="14" max="14" width="12.5" style="753" customWidth="1"/>
    <col min="15" max="15" width="14.625" style="753" customWidth="1"/>
    <col min="16" max="16" width="15.75" style="753" customWidth="1"/>
    <col min="17" max="17" width="15.125" style="753" customWidth="1"/>
    <col min="18" max="18" width="13.125" style="753" customWidth="1"/>
    <col min="19" max="19" width="13.625" style="753" customWidth="1"/>
    <col min="20" max="20" width="12.25" style="753" customWidth="1"/>
    <col min="21" max="21" width="12" style="753" customWidth="1"/>
    <col min="22" max="22" width="12.375" style="753" customWidth="1"/>
    <col min="23" max="23" width="12" style="753" customWidth="1"/>
    <col min="24" max="24" width="12.25" style="753" customWidth="1"/>
    <col min="25" max="25" width="11.5" style="753" customWidth="1"/>
    <col min="26" max="26" width="12.375" style="753" customWidth="1"/>
    <col min="27" max="16384" width="9" style="753"/>
  </cols>
  <sheetData>
    <row r="1" spans="1:26" ht="18.75" customHeight="1"/>
    <row r="2" spans="1:26" s="758" customFormat="1" ht="20.25">
      <c r="A2" s="754"/>
      <c r="B2" s="755" t="s">
        <v>538</v>
      </c>
      <c r="C2" s="756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</row>
    <row r="3" spans="1:26" s="763" customFormat="1" ht="19.5" thickBot="1">
      <c r="A3" s="759"/>
      <c r="B3" s="760"/>
      <c r="C3" s="760"/>
      <c r="D3" s="761"/>
      <c r="E3" s="762"/>
      <c r="F3" s="762"/>
      <c r="G3" s="761"/>
      <c r="H3" s="762"/>
      <c r="I3" s="762"/>
      <c r="J3" s="762"/>
      <c r="K3" s="762"/>
    </row>
    <row r="4" spans="1:26" s="763" customFormat="1" ht="41.25" customHeight="1">
      <c r="A4" s="759"/>
      <c r="B4" s="1258" t="s">
        <v>61</v>
      </c>
      <c r="C4" s="1260" t="s">
        <v>133</v>
      </c>
      <c r="D4" s="1262" t="s">
        <v>515</v>
      </c>
      <c r="E4" s="1256"/>
      <c r="F4" s="1257"/>
      <c r="G4" s="1255" t="s">
        <v>148</v>
      </c>
      <c r="H4" s="1256"/>
      <c r="I4" s="1257"/>
      <c r="J4" s="1251" t="s">
        <v>151</v>
      </c>
      <c r="K4" s="1255" t="s">
        <v>149</v>
      </c>
      <c r="L4" s="1256"/>
      <c r="M4" s="1257"/>
      <c r="N4" s="1251" t="s">
        <v>152</v>
      </c>
      <c r="O4" s="1255" t="s">
        <v>150</v>
      </c>
      <c r="P4" s="1256"/>
      <c r="Q4" s="1257"/>
      <c r="R4" s="1251" t="s">
        <v>153</v>
      </c>
      <c r="S4" s="1255" t="s">
        <v>195</v>
      </c>
      <c r="T4" s="1256"/>
      <c r="U4" s="1257"/>
      <c r="V4" s="1251" t="s">
        <v>196</v>
      </c>
      <c r="W4" s="1255" t="s">
        <v>212</v>
      </c>
      <c r="X4" s="1256"/>
      <c r="Y4" s="1257"/>
      <c r="Z4" s="1251" t="s">
        <v>213</v>
      </c>
    </row>
    <row r="5" spans="1:26" s="765" customFormat="1" ht="32.25" thickBot="1">
      <c r="A5" s="764"/>
      <c r="B5" s="1259"/>
      <c r="C5" s="1261"/>
      <c r="D5" s="112" t="s">
        <v>154</v>
      </c>
      <c r="E5" s="113" t="s">
        <v>155</v>
      </c>
      <c r="F5" s="114" t="s">
        <v>156</v>
      </c>
      <c r="G5" s="112" t="s">
        <v>157</v>
      </c>
      <c r="H5" s="113" t="s">
        <v>158</v>
      </c>
      <c r="I5" s="114" t="s">
        <v>159</v>
      </c>
      <c r="J5" s="1252"/>
      <c r="K5" s="112" t="s">
        <v>160</v>
      </c>
      <c r="L5" s="113" t="s">
        <v>161</v>
      </c>
      <c r="M5" s="114" t="s">
        <v>162</v>
      </c>
      <c r="N5" s="1252"/>
      <c r="O5" s="112" t="s">
        <v>163</v>
      </c>
      <c r="P5" s="113" t="s">
        <v>164</v>
      </c>
      <c r="Q5" s="114" t="s">
        <v>165</v>
      </c>
      <c r="R5" s="1252"/>
      <c r="S5" s="112" t="s">
        <v>197</v>
      </c>
      <c r="T5" s="113" t="s">
        <v>198</v>
      </c>
      <c r="U5" s="114" t="s">
        <v>199</v>
      </c>
      <c r="V5" s="1252"/>
      <c r="W5" s="112" t="s">
        <v>214</v>
      </c>
      <c r="X5" s="113" t="s">
        <v>215</v>
      </c>
      <c r="Y5" s="114" t="s">
        <v>216</v>
      </c>
      <c r="Z5" s="1252"/>
    </row>
    <row r="6" spans="1:26" s="769" customFormat="1" ht="34.5" customHeight="1" thickBot="1">
      <c r="A6" s="759"/>
      <c r="B6" s="766" t="s">
        <v>516</v>
      </c>
      <c r="C6" s="767"/>
      <c r="D6" s="767"/>
      <c r="E6" s="767"/>
      <c r="F6" s="767"/>
      <c r="G6" s="767"/>
      <c r="H6" s="767"/>
      <c r="I6" s="767"/>
      <c r="J6" s="768"/>
      <c r="K6" s="767"/>
      <c r="L6" s="767"/>
      <c r="M6" s="767"/>
      <c r="N6" s="768"/>
      <c r="O6" s="767"/>
      <c r="P6" s="767"/>
      <c r="Q6" s="767"/>
      <c r="R6" s="768"/>
      <c r="S6" s="767"/>
      <c r="T6" s="767"/>
      <c r="U6" s="767"/>
      <c r="V6" s="768"/>
      <c r="W6" s="767"/>
      <c r="X6" s="767"/>
      <c r="Y6" s="767"/>
      <c r="Z6" s="768"/>
    </row>
    <row r="7" spans="1:26" s="773" customFormat="1" ht="19.5" thickBot="1">
      <c r="A7" s="770"/>
      <c r="B7" s="115" t="s">
        <v>135</v>
      </c>
      <c r="C7" s="116" t="s">
        <v>0</v>
      </c>
      <c r="D7" s="117">
        <v>7960.35</v>
      </c>
      <c r="E7" s="118">
        <v>6785.3049999999985</v>
      </c>
      <c r="F7" s="119">
        <v>14745.654999999999</v>
      </c>
      <c r="G7" s="117">
        <f>G25+G34+G19</f>
        <v>8071.1480050000009</v>
      </c>
      <c r="H7" s="118">
        <f>H25+H34+H19</f>
        <v>8821.211994999996</v>
      </c>
      <c r="I7" s="772">
        <f>G7+H7</f>
        <v>16892.359999999997</v>
      </c>
      <c r="J7" s="771">
        <f>I7/F7</f>
        <v>1.145582207097616</v>
      </c>
      <c r="K7" s="117">
        <f>K25+K34+K19</f>
        <v>10943.208150099999</v>
      </c>
      <c r="L7" s="118">
        <f>L25+L34+L19</f>
        <v>9101.8527779278829</v>
      </c>
      <c r="M7" s="772">
        <f>K7+L7</f>
        <v>20045.06092802788</v>
      </c>
      <c r="N7" s="771">
        <f>M7/I7</f>
        <v>1.1866347229178091</v>
      </c>
      <c r="O7" s="117">
        <f>O25+O34+O19</f>
        <v>11304.659999999998</v>
      </c>
      <c r="P7" s="118">
        <f>P25+P34+P19</f>
        <v>9947.5400000000009</v>
      </c>
      <c r="Q7" s="772">
        <f>O7+P7</f>
        <v>21252.199999999997</v>
      </c>
      <c r="R7" s="771">
        <f>Q7/M7</f>
        <v>1.060221272277813</v>
      </c>
      <c r="S7" s="117">
        <f>S25+S34+S19</f>
        <v>12345.000000000002</v>
      </c>
      <c r="T7" s="118">
        <f>T25+T34+T19</f>
        <v>9824.9200000000019</v>
      </c>
      <c r="U7" s="772">
        <f>S7+T7</f>
        <v>22169.920000000006</v>
      </c>
      <c r="V7" s="771">
        <f>U7/Q7</f>
        <v>1.0431823528858193</v>
      </c>
      <c r="W7" s="117">
        <f>W25+W34+W19</f>
        <v>12203.29</v>
      </c>
      <c r="X7" s="118">
        <f>X25+X34+X19</f>
        <v>10958.810000000001</v>
      </c>
      <c r="Y7" s="772">
        <f>W7+X7</f>
        <v>23162.100000000002</v>
      </c>
      <c r="Z7" s="771">
        <f>Y7/U7</f>
        <v>1.0447534316767944</v>
      </c>
    </row>
    <row r="8" spans="1:26" s="761" customFormat="1" ht="19.5" thickBot="1">
      <c r="A8" s="774"/>
      <c r="B8" s="120" t="s">
        <v>517</v>
      </c>
      <c r="C8" s="121" t="s">
        <v>10</v>
      </c>
      <c r="D8" s="775">
        <v>5709.65</v>
      </c>
      <c r="E8" s="776">
        <v>4685.3500000000004</v>
      </c>
      <c r="F8" s="777">
        <v>10395</v>
      </c>
      <c r="G8" s="775">
        <f>G35</f>
        <v>5501.65</v>
      </c>
      <c r="H8" s="776">
        <f t="shared" ref="H8:I8" si="0">H35</f>
        <v>4498.3500000000004</v>
      </c>
      <c r="I8" s="777">
        <f t="shared" si="0"/>
        <v>10000</v>
      </c>
      <c r="J8" s="778">
        <f t="shared" ref="J8:J9" si="1">I8/F8</f>
        <v>0.96200096200096197</v>
      </c>
      <c r="K8" s="775">
        <f>K35</f>
        <v>5501.65</v>
      </c>
      <c r="L8" s="776">
        <f t="shared" ref="L8:M8" si="2">L35</f>
        <v>4498.3500000000004</v>
      </c>
      <c r="M8" s="777">
        <f t="shared" si="2"/>
        <v>10000</v>
      </c>
      <c r="N8" s="771">
        <f t="shared" ref="N8:N9" si="3">M8/I8</f>
        <v>1</v>
      </c>
      <c r="O8" s="775">
        <f>O35</f>
        <v>5501.65</v>
      </c>
      <c r="P8" s="776">
        <f t="shared" ref="P8:Q8" si="4">P35</f>
        <v>4498.3500000000004</v>
      </c>
      <c r="Q8" s="777">
        <f t="shared" si="4"/>
        <v>10000</v>
      </c>
      <c r="R8" s="771">
        <f t="shared" ref="R8:R9" si="5">Q8/M8</f>
        <v>1</v>
      </c>
      <c r="S8" s="775">
        <f>S35</f>
        <v>5501.65</v>
      </c>
      <c r="T8" s="776">
        <f t="shared" ref="T8:U8" si="6">T35</f>
        <v>4498.3500000000004</v>
      </c>
      <c r="U8" s="777">
        <f t="shared" si="6"/>
        <v>10000</v>
      </c>
      <c r="V8" s="771">
        <f t="shared" ref="V8:V9" si="7">U8/Q8</f>
        <v>1</v>
      </c>
      <c r="W8" s="775">
        <f>W35</f>
        <v>5501.65</v>
      </c>
      <c r="X8" s="776">
        <f t="shared" ref="X8:Y8" si="8">X35</f>
        <v>4498.3500000000004</v>
      </c>
      <c r="Y8" s="777">
        <f t="shared" si="8"/>
        <v>10000</v>
      </c>
      <c r="Z8" s="771">
        <f t="shared" ref="Z8:Z9" si="9">Y8/U8</f>
        <v>1</v>
      </c>
    </row>
    <row r="9" spans="1:26" s="761" customFormat="1" ht="19.5" thickBot="1">
      <c r="A9" s="774"/>
      <c r="B9" s="122" t="s">
        <v>518</v>
      </c>
      <c r="C9" s="123" t="s">
        <v>9</v>
      </c>
      <c r="D9" s="124">
        <v>1394.19</v>
      </c>
      <c r="E9" s="124">
        <v>1448.2</v>
      </c>
      <c r="F9" s="125">
        <v>1418.53</v>
      </c>
      <c r="G9" s="124">
        <f>ROUND((G7*1000/G8),2)</f>
        <v>1467.04</v>
      </c>
      <c r="H9" s="124">
        <f>ROUND((H7*1000/H8),2)</f>
        <v>1960.99</v>
      </c>
      <c r="I9" s="780">
        <f>ROUND((I7*1000/I8),2)</f>
        <v>1689.24</v>
      </c>
      <c r="J9" s="779">
        <f t="shared" si="1"/>
        <v>1.1908384031356405</v>
      </c>
      <c r="K9" s="124">
        <f>ROUND((K7*1000/K8),2)</f>
        <v>1989.08</v>
      </c>
      <c r="L9" s="124">
        <f>ROUND((L7*1000/L8),2)</f>
        <v>2023.38</v>
      </c>
      <c r="M9" s="780">
        <f>ROUND((M7*1000/M8),2)</f>
        <v>2004.51</v>
      </c>
      <c r="N9" s="771">
        <f t="shared" si="3"/>
        <v>1.1866342260424807</v>
      </c>
      <c r="O9" s="124">
        <f>ROUND((O7*1000/O8),2)</f>
        <v>2054.7800000000002</v>
      </c>
      <c r="P9" s="124">
        <f>ROUND((P7*1000/P8),2)</f>
        <v>2211.38</v>
      </c>
      <c r="Q9" s="780">
        <f>ROUND((Q7*1000/Q8),2)</f>
        <v>2125.2199999999998</v>
      </c>
      <c r="R9" s="771">
        <f t="shared" si="5"/>
        <v>1.0602192056911663</v>
      </c>
      <c r="S9" s="124">
        <f>ROUND((S7*1000/S8),2)</f>
        <v>2243.87</v>
      </c>
      <c r="T9" s="124">
        <f>ROUND((T7*1000/T8),2)</f>
        <v>2184.12</v>
      </c>
      <c r="U9" s="780">
        <f>ROUND((U7*1000/U8),2)</f>
        <v>2216.9899999999998</v>
      </c>
      <c r="V9" s="771">
        <f t="shared" si="7"/>
        <v>1.0431814118067777</v>
      </c>
      <c r="W9" s="124">
        <f>ROUND((W7*1000/W8),2)</f>
        <v>2218.11</v>
      </c>
      <c r="X9" s="124">
        <f>ROUND((X7*1000/X8),2)</f>
        <v>2436.1799999999998</v>
      </c>
      <c r="Y9" s="780">
        <f>ROUND((Y7*1000/Y8),2)</f>
        <v>2316.21</v>
      </c>
      <c r="Z9" s="771">
        <f t="shared" si="9"/>
        <v>1.0447543741739929</v>
      </c>
    </row>
    <row r="10" spans="1:26" s="788" customFormat="1" ht="18.75">
      <c r="A10" s="781"/>
      <c r="B10" s="782" t="s">
        <v>134</v>
      </c>
      <c r="C10" s="783"/>
      <c r="D10" s="785"/>
      <c r="E10" s="784">
        <f>E9/D9</f>
        <v>1.0387393396882778</v>
      </c>
      <c r="F10" s="786"/>
      <c r="G10" s="785"/>
      <c r="H10" s="784">
        <f>H9/G9</f>
        <v>1.336698385865416</v>
      </c>
      <c r="I10" s="786"/>
      <c r="J10" s="787"/>
      <c r="K10" s="785"/>
      <c r="L10" s="784">
        <f>L9/K9</f>
        <v>1.0172441530757939</v>
      </c>
      <c r="M10" s="786"/>
      <c r="N10" s="787"/>
      <c r="O10" s="785"/>
      <c r="P10" s="784">
        <f>P9/O9</f>
        <v>1.0762125385686059</v>
      </c>
      <c r="Q10" s="786"/>
      <c r="R10" s="787"/>
      <c r="S10" s="785"/>
      <c r="T10" s="784">
        <f>T9/S9</f>
        <v>0.97337189765895527</v>
      </c>
      <c r="U10" s="786"/>
      <c r="V10" s="787"/>
      <c r="W10" s="785"/>
      <c r="X10" s="784">
        <f>X9/W9</f>
        <v>1.0983134290003651</v>
      </c>
      <c r="Y10" s="786"/>
      <c r="Z10" s="787"/>
    </row>
    <row r="11" spans="1:26" s="788" customFormat="1" ht="38.25" customHeight="1" thickBot="1">
      <c r="A11" s="781"/>
      <c r="B11" s="766" t="s">
        <v>519</v>
      </c>
      <c r="C11" s="767"/>
      <c r="D11" s="789"/>
      <c r="E11" s="790"/>
      <c r="F11" s="790"/>
      <c r="G11" s="789"/>
      <c r="H11" s="790"/>
      <c r="I11" s="790"/>
      <c r="J11" s="768"/>
      <c r="K11" s="790"/>
      <c r="L11" s="790"/>
      <c r="M11" s="790"/>
      <c r="N11" s="768"/>
      <c r="O11" s="790"/>
      <c r="P11" s="790"/>
      <c r="Q11" s="790"/>
      <c r="R11" s="768"/>
      <c r="S11" s="790"/>
      <c r="T11" s="790"/>
      <c r="U11" s="790"/>
      <c r="V11" s="768"/>
      <c r="W11" s="790"/>
      <c r="X11" s="790"/>
      <c r="Y11" s="790"/>
      <c r="Z11" s="768"/>
    </row>
    <row r="12" spans="1:26" s="788" customFormat="1" ht="19.5" thickBot="1">
      <c r="A12" s="781"/>
      <c r="B12" s="115" t="s">
        <v>135</v>
      </c>
      <c r="C12" s="116" t="s">
        <v>0</v>
      </c>
      <c r="D12" s="117">
        <v>4417.5600000000004</v>
      </c>
      <c r="E12" s="791">
        <v>3203.2949999999992</v>
      </c>
      <c r="F12" s="119">
        <v>7620.8549999999996</v>
      </c>
      <c r="G12" s="117">
        <f>G19+G40</f>
        <v>4629.7180050000006</v>
      </c>
      <c r="H12" s="118">
        <f>H19+H40</f>
        <v>4456.4919949999967</v>
      </c>
      <c r="I12" s="119">
        <f>G12+H12</f>
        <v>9086.2099999999973</v>
      </c>
      <c r="J12" s="771">
        <f>I12/F12</f>
        <v>1.1922822307995622</v>
      </c>
      <c r="K12" s="117">
        <f>K19+K40</f>
        <v>6440.94</v>
      </c>
      <c r="L12" s="118">
        <f>L19+L40</f>
        <v>4618.7309280278814</v>
      </c>
      <c r="M12" s="119">
        <f>K12+L12</f>
        <v>11059.670928027881</v>
      </c>
      <c r="N12" s="771">
        <f t="shared" ref="N12:N14" si="10">M12/I12</f>
        <v>1.2171929691288099</v>
      </c>
      <c r="O12" s="117">
        <f>O19+O40</f>
        <v>6675.42</v>
      </c>
      <c r="P12" s="118">
        <f>P19+P40</f>
        <v>5024.1500000000015</v>
      </c>
      <c r="Q12" s="119">
        <f>O12+P12</f>
        <v>11699.570000000002</v>
      </c>
      <c r="R12" s="771">
        <f t="shared" ref="R12:R14" si="11">Q12/M12</f>
        <v>1.0578587804407871</v>
      </c>
      <c r="S12" s="117">
        <f>S19+S40</f>
        <v>7261.38</v>
      </c>
      <c r="T12" s="118">
        <f>T19+T40</f>
        <v>4987.0600000000004</v>
      </c>
      <c r="U12" s="119">
        <f>S12+T12</f>
        <v>12248.44</v>
      </c>
      <c r="V12" s="771">
        <f t="shared" ref="V12:V14" si="12">U12/Q12</f>
        <v>1.0469136899903158</v>
      </c>
      <c r="W12" s="117">
        <f>W19+W40</f>
        <v>7207.77</v>
      </c>
      <c r="X12" s="118">
        <f>X19+X40</f>
        <v>5527.9000000000015</v>
      </c>
      <c r="Y12" s="119">
        <f>W12+X12</f>
        <v>12735.670000000002</v>
      </c>
      <c r="Z12" s="771">
        <f t="shared" ref="Z12:Z14" si="13">Y12/U12</f>
        <v>1.0397789432776747</v>
      </c>
    </row>
    <row r="13" spans="1:26" s="788" customFormat="1" ht="19.5" thickBot="1">
      <c r="A13" s="781"/>
      <c r="B13" s="120" t="s">
        <v>517</v>
      </c>
      <c r="C13" s="121" t="s">
        <v>10</v>
      </c>
      <c r="D13" s="775">
        <v>3000</v>
      </c>
      <c r="E13" s="776">
        <v>2075.6999999999998</v>
      </c>
      <c r="F13" s="777">
        <v>5075.7</v>
      </c>
      <c r="G13" s="792">
        <f>G41</f>
        <v>3000</v>
      </c>
      <c r="H13" s="793">
        <f>H41</f>
        <v>2075.6999999999998</v>
      </c>
      <c r="I13" s="777">
        <f>G13+H13</f>
        <v>5075.7</v>
      </c>
      <c r="J13" s="778">
        <f t="shared" ref="J13:J14" si="14">I13/F13</f>
        <v>1</v>
      </c>
      <c r="K13" s="792">
        <f>K41</f>
        <v>3000</v>
      </c>
      <c r="L13" s="793">
        <f>L41</f>
        <v>2075.6999999999998</v>
      </c>
      <c r="M13" s="777">
        <f>K13+L13</f>
        <v>5075.7</v>
      </c>
      <c r="N13" s="771">
        <f t="shared" si="10"/>
        <v>1</v>
      </c>
      <c r="O13" s="792">
        <f>O41</f>
        <v>3000</v>
      </c>
      <c r="P13" s="793">
        <f>P41</f>
        <v>2075.6999999999998</v>
      </c>
      <c r="Q13" s="777">
        <f>O13+P13</f>
        <v>5075.7</v>
      </c>
      <c r="R13" s="771">
        <f t="shared" si="11"/>
        <v>1</v>
      </c>
      <c r="S13" s="792">
        <f>S41</f>
        <v>3000</v>
      </c>
      <c r="T13" s="793">
        <f>T41</f>
        <v>2075.6999999999998</v>
      </c>
      <c r="U13" s="777">
        <f>S13+T13</f>
        <v>5075.7</v>
      </c>
      <c r="V13" s="771">
        <f t="shared" si="12"/>
        <v>1</v>
      </c>
      <c r="W13" s="792">
        <f>W41</f>
        <v>3000</v>
      </c>
      <c r="X13" s="793">
        <f>X41</f>
        <v>2075.6999999999998</v>
      </c>
      <c r="Y13" s="777">
        <f>W13+X13</f>
        <v>5075.7</v>
      </c>
      <c r="Z13" s="771">
        <f t="shared" si="13"/>
        <v>1</v>
      </c>
    </row>
    <row r="14" spans="1:26" s="788" customFormat="1" ht="19.5" thickBot="1">
      <c r="A14" s="781"/>
      <c r="B14" s="122" t="s">
        <v>518</v>
      </c>
      <c r="C14" s="123" t="s">
        <v>9</v>
      </c>
      <c r="D14" s="124">
        <v>1472.52</v>
      </c>
      <c r="E14" s="124">
        <v>1543.24</v>
      </c>
      <c r="F14" s="125">
        <v>1501.44</v>
      </c>
      <c r="G14" s="124">
        <f>ROUND((G12*1000/G13),2)</f>
        <v>1543.24</v>
      </c>
      <c r="H14" s="124">
        <f>ROUND((H12*1000/H13),2)</f>
        <v>2146.98</v>
      </c>
      <c r="I14" s="125">
        <f>ROUND((I12*1000/I13),2)</f>
        <v>1790.14</v>
      </c>
      <c r="J14" s="779">
        <f t="shared" si="14"/>
        <v>1.1922820758738277</v>
      </c>
      <c r="K14" s="124">
        <f>ROUND((K12*1000/K13),2)</f>
        <v>2146.98</v>
      </c>
      <c r="L14" s="124">
        <f>(L12*1000/L13)</f>
        <v>2225.1437722348519</v>
      </c>
      <c r="M14" s="125">
        <f>ROUND((M12*1000/M13),3)</f>
        <v>2178.9450000000002</v>
      </c>
      <c r="N14" s="771">
        <f t="shared" si="10"/>
        <v>1.2171925100830103</v>
      </c>
      <c r="O14" s="124">
        <f>ROUND((O12*1000/O13),2)</f>
        <v>2225.14</v>
      </c>
      <c r="P14" s="124">
        <f>ROUND((P12*1000/P13),2)</f>
        <v>2420.46</v>
      </c>
      <c r="Q14" s="125">
        <f>ROUND((Q12*1000/Q13),2)</f>
        <v>2305.02</v>
      </c>
      <c r="R14" s="771">
        <f t="shared" si="11"/>
        <v>1.0578605701383008</v>
      </c>
      <c r="S14" s="124">
        <f>ROUND((S12*1000/S13),2)</f>
        <v>2420.46</v>
      </c>
      <c r="T14" s="124">
        <f>ROUND((T12*1000/T13),2)</f>
        <v>2402.59</v>
      </c>
      <c r="U14" s="125">
        <f>ROUND((U12*1000/U13),2)</f>
        <v>2413.15</v>
      </c>
      <c r="V14" s="771">
        <f t="shared" si="12"/>
        <v>1.0469106558728341</v>
      </c>
      <c r="W14" s="124">
        <f>ROUND((W12*1000/W13),2)</f>
        <v>2402.59</v>
      </c>
      <c r="X14" s="124">
        <f>ROUND((X12*1000/X13),2)</f>
        <v>2663.15</v>
      </c>
      <c r="Y14" s="125">
        <f>ROUND((Y12*1000/Y13),2)</f>
        <v>2509.15</v>
      </c>
      <c r="Z14" s="771">
        <f t="shared" si="13"/>
        <v>1.0397820276402212</v>
      </c>
    </row>
    <row r="15" spans="1:26" s="788" customFormat="1" ht="18.75">
      <c r="A15" s="781"/>
      <c r="B15" s="782" t="s">
        <v>134</v>
      </c>
      <c r="C15" s="783"/>
      <c r="D15" s="785"/>
      <c r="E15" s="784">
        <f>E14/D14</f>
        <v>1.0480265123733463</v>
      </c>
      <c r="F15" s="786"/>
      <c r="G15" s="785"/>
      <c r="H15" s="784">
        <f>H14/G14</f>
        <v>1.3912158834659547</v>
      </c>
      <c r="I15" s="786"/>
      <c r="J15" s="787"/>
      <c r="K15" s="785"/>
      <c r="L15" s="784">
        <f>L14/K14</f>
        <v>1.0364063811655684</v>
      </c>
      <c r="M15" s="786"/>
      <c r="N15" s="787"/>
      <c r="O15" s="785"/>
      <c r="P15" s="784">
        <f>P14/O14</f>
        <v>1.0877787465058379</v>
      </c>
      <c r="Q15" s="786"/>
      <c r="R15" s="787"/>
      <c r="S15" s="785"/>
      <c r="T15" s="784">
        <f>T14/S14</f>
        <v>0.99261710583938589</v>
      </c>
      <c r="U15" s="786"/>
      <c r="V15" s="787"/>
      <c r="W15" s="785"/>
      <c r="X15" s="784">
        <f>X14/W14</f>
        <v>1.108449631439405</v>
      </c>
      <c r="Y15" s="786"/>
      <c r="Z15" s="787"/>
    </row>
    <row r="16" spans="1:26" s="769" customFormat="1" ht="33.75" customHeight="1">
      <c r="A16" s="759"/>
      <c r="B16" s="766" t="s">
        <v>520</v>
      </c>
      <c r="C16" s="767"/>
      <c r="D16" s="767"/>
      <c r="E16" s="767"/>
      <c r="F16" s="767"/>
      <c r="G16" s="767"/>
      <c r="H16" s="767"/>
      <c r="I16" s="767"/>
      <c r="J16" s="768"/>
      <c r="K16" s="767"/>
      <c r="L16" s="767"/>
      <c r="M16" s="767"/>
      <c r="N16" s="768"/>
      <c r="O16" s="767"/>
      <c r="P16" s="767"/>
      <c r="Q16" s="767"/>
      <c r="R16" s="768"/>
      <c r="S16" s="767"/>
      <c r="T16" s="767"/>
      <c r="U16" s="767"/>
      <c r="V16" s="768"/>
      <c r="W16" s="767"/>
      <c r="X16" s="767"/>
      <c r="Y16" s="767"/>
      <c r="Z16" s="768"/>
    </row>
    <row r="17" spans="1:26" s="798" customFormat="1" ht="26.25">
      <c r="A17" s="794"/>
      <c r="B17" s="795" t="s">
        <v>521</v>
      </c>
      <c r="C17" s="796"/>
      <c r="D17" s="796"/>
      <c r="E17" s="796"/>
      <c r="F17" s="796"/>
      <c r="G17" s="796"/>
      <c r="H17" s="796"/>
      <c r="I17" s="796"/>
      <c r="J17" s="797"/>
      <c r="K17" s="796"/>
      <c r="L17" s="796"/>
      <c r="M17" s="796"/>
      <c r="N17" s="797"/>
      <c r="O17" s="796"/>
      <c r="P17" s="796"/>
      <c r="Q17" s="796"/>
      <c r="R17" s="797"/>
      <c r="S17" s="796"/>
      <c r="T17" s="796"/>
      <c r="U17" s="796"/>
      <c r="V17" s="797"/>
      <c r="W17" s="796"/>
      <c r="X17" s="796"/>
      <c r="Y17" s="796"/>
      <c r="Z17" s="797"/>
    </row>
    <row r="18" spans="1:26" s="769" customFormat="1" ht="19.5" thickBot="1">
      <c r="A18" s="759"/>
      <c r="B18" s="799" t="s">
        <v>522</v>
      </c>
      <c r="D18" s="767"/>
      <c r="E18" s="767"/>
      <c r="F18" s="767"/>
      <c r="G18" s="767"/>
      <c r="H18" s="767"/>
      <c r="I18" s="767"/>
      <c r="J18" s="768"/>
      <c r="K18" s="767"/>
      <c r="L18" s="767"/>
      <c r="M18" s="767"/>
      <c r="N18" s="768"/>
      <c r="O18" s="767"/>
      <c r="P18" s="767"/>
      <c r="Q18" s="767"/>
      <c r="R18" s="768"/>
      <c r="S18" s="767"/>
      <c r="T18" s="767"/>
      <c r="U18" s="767"/>
      <c r="V18" s="768"/>
      <c r="W18" s="767"/>
      <c r="X18" s="767"/>
      <c r="Y18" s="767"/>
      <c r="Z18" s="768"/>
    </row>
    <row r="19" spans="1:26" s="788" customFormat="1" ht="19.5" thickBot="1">
      <c r="A19" s="781"/>
      <c r="B19" s="115" t="s">
        <v>135</v>
      </c>
      <c r="C19" s="116" t="s">
        <v>0</v>
      </c>
      <c r="D19" s="117">
        <v>418.87</v>
      </c>
      <c r="E19" s="118">
        <v>433.44999999999993</v>
      </c>
      <c r="F19" s="772">
        <v>852.31999999999994</v>
      </c>
      <c r="G19" s="117">
        <f>ROUND(G20*G21/1000,2)</f>
        <v>783.6</v>
      </c>
      <c r="H19" s="118">
        <f>ROUND(H20*H21/1000,2)</f>
        <v>812.77</v>
      </c>
      <c r="I19" s="119">
        <f>G19+H19</f>
        <v>1596.37</v>
      </c>
      <c r="J19" s="849">
        <f>I19/F19</f>
        <v>1.8729702459170265</v>
      </c>
      <c r="K19" s="117">
        <f>ROUND(K20*K21/1000,2)</f>
        <v>838.61</v>
      </c>
      <c r="L19" s="118">
        <f>L20*L21/1000</f>
        <v>869.65717599999982</v>
      </c>
      <c r="M19" s="119">
        <f>K19+L19</f>
        <v>1708.2671759999998</v>
      </c>
      <c r="N19" s="771">
        <f t="shared" ref="N19:N21" si="15">M19/I19</f>
        <v>1.0700947624924046</v>
      </c>
      <c r="O19" s="117">
        <f>ROUND(O20*O21/1000,2)</f>
        <v>897.3</v>
      </c>
      <c r="P19" s="118">
        <f>ROUND(P20*P21/1000,2)</f>
        <v>904.5</v>
      </c>
      <c r="Q19" s="119">
        <f>O19+P19</f>
        <v>1801.8</v>
      </c>
      <c r="R19" s="771">
        <f t="shared" ref="R19:R21" si="16">Q19/M19</f>
        <v>1.0547530417455027</v>
      </c>
      <c r="S19" s="117">
        <f>ROUND(S20*S21/1000,2)</f>
        <v>933.25</v>
      </c>
      <c r="T19" s="118">
        <f>ROUND(T20*T21/1000,2)</f>
        <v>940.54</v>
      </c>
      <c r="U19" s="119">
        <f>S19+T19</f>
        <v>1873.79</v>
      </c>
      <c r="V19" s="771">
        <f t="shared" ref="V19:V21" si="17">U19/Q19</f>
        <v>1.0399544899544899</v>
      </c>
      <c r="W19" s="117">
        <f>ROUND(W20*W21/1000,2)</f>
        <v>970.44</v>
      </c>
      <c r="X19" s="118">
        <f>ROUND(X20*X21/1000,2)</f>
        <v>978.07</v>
      </c>
      <c r="Y19" s="119">
        <f>W19+X19</f>
        <v>1948.5100000000002</v>
      </c>
      <c r="Z19" s="771">
        <f t="shared" ref="Z19:Z21" si="18">Y19/U19</f>
        <v>1.0398764002369532</v>
      </c>
    </row>
    <row r="20" spans="1:26" s="788" customFormat="1" ht="19.5" thickBot="1">
      <c r="A20" s="781"/>
      <c r="B20" s="120" t="s">
        <v>523</v>
      </c>
      <c r="C20" s="121" t="s">
        <v>18</v>
      </c>
      <c r="D20" s="775">
        <v>17659.03</v>
      </c>
      <c r="E20" s="776">
        <v>16997.900000000001</v>
      </c>
      <c r="F20" s="841">
        <v>34656.93</v>
      </c>
      <c r="G20" s="792">
        <f>'переменные на 5 лет'!H38</f>
        <v>30729.49</v>
      </c>
      <c r="H20" s="793">
        <f>'переменные на 5 лет'!I38</f>
        <v>29782.779999999995</v>
      </c>
      <c r="I20" s="777">
        <v>60512.27</v>
      </c>
      <c r="J20" s="850">
        <f t="shared" ref="J20:J21" si="19">I20/F20</f>
        <v>1.7460366512556074</v>
      </c>
      <c r="K20" s="792">
        <f>G20</f>
        <v>30729.49</v>
      </c>
      <c r="L20" s="793">
        <f>H20</f>
        <v>29782.779999999995</v>
      </c>
      <c r="M20" s="777">
        <f>K20+L20</f>
        <v>60512.27</v>
      </c>
      <c r="N20" s="771">
        <f t="shared" si="15"/>
        <v>1</v>
      </c>
      <c r="O20" s="792">
        <f>K20</f>
        <v>30729.49</v>
      </c>
      <c r="P20" s="793">
        <f>L20</f>
        <v>29782.779999999995</v>
      </c>
      <c r="Q20" s="777">
        <f>O20+P20</f>
        <v>60512.27</v>
      </c>
      <c r="R20" s="771">
        <f t="shared" si="16"/>
        <v>1</v>
      </c>
      <c r="S20" s="792">
        <f>O20</f>
        <v>30729.49</v>
      </c>
      <c r="T20" s="793">
        <f>P20</f>
        <v>29782.779999999995</v>
      </c>
      <c r="U20" s="777">
        <f>S20+T20</f>
        <v>60512.27</v>
      </c>
      <c r="V20" s="771">
        <f t="shared" si="17"/>
        <v>1</v>
      </c>
      <c r="W20" s="792">
        <f>S20</f>
        <v>30729.49</v>
      </c>
      <c r="X20" s="793">
        <f>T20</f>
        <v>29782.779999999995</v>
      </c>
      <c r="Y20" s="777">
        <f>W20+X20</f>
        <v>60512.27</v>
      </c>
      <c r="Z20" s="771">
        <f t="shared" si="18"/>
        <v>1</v>
      </c>
    </row>
    <row r="21" spans="1:26" s="788" customFormat="1" ht="19.5" thickBot="1">
      <c r="A21" s="781"/>
      <c r="B21" s="122" t="s">
        <v>218</v>
      </c>
      <c r="C21" s="123" t="s">
        <v>16</v>
      </c>
      <c r="D21" s="124">
        <v>23.72</v>
      </c>
      <c r="E21" s="124">
        <v>25.5</v>
      </c>
      <c r="F21" s="780">
        <v>24.59</v>
      </c>
      <c r="G21" s="157">
        <f>ROUND(E21,2)</f>
        <v>25.5</v>
      </c>
      <c r="H21" s="124">
        <f>ROUND(G21*индексы!H11,2)</f>
        <v>27.29</v>
      </c>
      <c r="I21" s="125">
        <f>ROUND((I19/I20*1000),2)</f>
        <v>26.38</v>
      </c>
      <c r="J21" s="851">
        <f t="shared" si="19"/>
        <v>1.0727938186254575</v>
      </c>
      <c r="K21" s="124">
        <f>H21</f>
        <v>27.29</v>
      </c>
      <c r="L21" s="124">
        <f>ROUND(K21*индексы!I11,2)</f>
        <v>29.2</v>
      </c>
      <c r="M21" s="125">
        <f>ROUND((M19/M20*1000),2)</f>
        <v>28.23</v>
      </c>
      <c r="N21" s="771">
        <f t="shared" si="15"/>
        <v>1.0701288855193329</v>
      </c>
      <c r="O21" s="124">
        <f>L21</f>
        <v>29.2</v>
      </c>
      <c r="P21" s="124">
        <f>ROUND(O21*индексы!J11,2)</f>
        <v>30.37</v>
      </c>
      <c r="Q21" s="125">
        <f>ROUND((Q19/Q20*1000),2)</f>
        <v>29.78</v>
      </c>
      <c r="R21" s="771">
        <f t="shared" si="16"/>
        <v>1.0549061282323768</v>
      </c>
      <c r="S21" s="124">
        <f>P21</f>
        <v>30.37</v>
      </c>
      <c r="T21" s="124">
        <f>ROUND(S21*индексы!K11,2)</f>
        <v>31.58</v>
      </c>
      <c r="U21" s="125">
        <f>ROUND((U19/U20*1000),2)</f>
        <v>30.97</v>
      </c>
      <c r="V21" s="771">
        <f t="shared" si="17"/>
        <v>1.039959704499664</v>
      </c>
      <c r="W21" s="124">
        <f>T21</f>
        <v>31.58</v>
      </c>
      <c r="X21" s="124">
        <f>ROUND(W21*индексы!L11,2)</f>
        <v>32.840000000000003</v>
      </c>
      <c r="Y21" s="125">
        <f>ROUND((Y19/Y20*1000),2)</f>
        <v>32.200000000000003</v>
      </c>
      <c r="Z21" s="771">
        <f t="shared" si="18"/>
        <v>1.0397158540523088</v>
      </c>
    </row>
    <row r="22" spans="1:26" s="788" customFormat="1" ht="18.75">
      <c r="A22" s="781"/>
      <c r="B22" s="782" t="s">
        <v>134</v>
      </c>
      <c r="C22" s="783"/>
      <c r="D22" s="785"/>
      <c r="E22" s="784">
        <f>E21/D21</f>
        <v>1.0750421585160204</v>
      </c>
      <c r="F22" s="786"/>
      <c r="G22" s="785"/>
      <c r="H22" s="848">
        <f>H21/G21</f>
        <v>1.0701960784313724</v>
      </c>
      <c r="I22" s="786"/>
      <c r="J22" s="787"/>
      <c r="K22" s="785"/>
      <c r="L22" s="784">
        <f>L21/K21</f>
        <v>1.0699890069622573</v>
      </c>
      <c r="M22" s="786"/>
      <c r="N22" s="787"/>
      <c r="O22" s="785"/>
      <c r="P22" s="784">
        <f>P21/O21</f>
        <v>1.0400684931506849</v>
      </c>
      <c r="Q22" s="786"/>
      <c r="R22" s="787"/>
      <c r="S22" s="785"/>
      <c r="T22" s="784">
        <f>T21/S21</f>
        <v>1.0398419492920645</v>
      </c>
      <c r="U22" s="786"/>
      <c r="V22" s="787"/>
      <c r="W22" s="785"/>
      <c r="X22" s="784">
        <f>X21/W21</f>
        <v>1.039898670044332</v>
      </c>
      <c r="Y22" s="786"/>
      <c r="Z22" s="787"/>
    </row>
    <row r="23" spans="1:26" s="788" customFormat="1" ht="18.75">
      <c r="A23" s="781"/>
      <c r="B23" s="801"/>
      <c r="C23" s="801"/>
      <c r="D23" s="801"/>
      <c r="E23" s="801"/>
      <c r="F23" s="801"/>
      <c r="G23" s="801"/>
      <c r="H23" s="801"/>
      <c r="I23" s="801"/>
      <c r="J23" s="801"/>
      <c r="K23" s="801"/>
      <c r="L23" s="801"/>
      <c r="M23" s="801"/>
      <c r="N23" s="801"/>
      <c r="O23" s="801"/>
      <c r="P23" s="801"/>
      <c r="Q23" s="801"/>
      <c r="R23" s="801"/>
      <c r="S23" s="801"/>
      <c r="T23" s="801"/>
      <c r="U23" s="801"/>
      <c r="V23" s="801"/>
      <c r="W23" s="801"/>
      <c r="X23" s="801"/>
      <c r="Y23" s="801"/>
      <c r="Z23" s="801"/>
    </row>
    <row r="24" spans="1:26" s="788" customFormat="1" ht="19.5" thickBot="1">
      <c r="A24" s="781"/>
      <c r="B24" s="799" t="s">
        <v>524</v>
      </c>
      <c r="C24" s="769"/>
      <c r="D24" s="767"/>
      <c r="E24" s="767"/>
      <c r="F24" s="767"/>
      <c r="G24" s="767"/>
      <c r="H24" s="767"/>
      <c r="I24" s="767"/>
      <c r="J24" s="768"/>
      <c r="K24" s="767"/>
      <c r="L24" s="767"/>
      <c r="M24" s="767"/>
      <c r="N24" s="768"/>
      <c r="O24" s="767"/>
      <c r="P24" s="767"/>
      <c r="Q24" s="767"/>
      <c r="R24" s="768"/>
      <c r="S24" s="767"/>
      <c r="T24" s="767"/>
      <c r="U24" s="767"/>
      <c r="V24" s="768"/>
      <c r="W24" s="767"/>
      <c r="X24" s="767"/>
      <c r="Y24" s="767"/>
      <c r="Z24" s="768"/>
    </row>
    <row r="25" spans="1:26" s="788" customFormat="1" ht="19.5" thickBot="1">
      <c r="A25" s="781"/>
      <c r="B25" s="802" t="s">
        <v>525</v>
      </c>
      <c r="C25" s="803" t="s">
        <v>0</v>
      </c>
      <c r="D25" s="804">
        <v>79.099999999999994</v>
      </c>
      <c r="E25" s="804">
        <v>99.65</v>
      </c>
      <c r="F25" s="805">
        <v>178.75</v>
      </c>
      <c r="G25" s="804">
        <f>G26</f>
        <v>103.18</v>
      </c>
      <c r="H25" s="804">
        <f t="shared" ref="H25:I25" si="20">H26</f>
        <v>111.94999999999999</v>
      </c>
      <c r="I25" s="804">
        <f t="shared" si="20"/>
        <v>215.13</v>
      </c>
      <c r="J25" s="771">
        <f t="shared" ref="J25:J29" si="21">I25/F25</f>
        <v>1.2035244755244754</v>
      </c>
      <c r="K25" s="806">
        <f>K26</f>
        <v>110.8181501</v>
      </c>
      <c r="L25" s="804">
        <f>L26</f>
        <v>107.4018499</v>
      </c>
      <c r="M25" s="807">
        <f>K25+L25</f>
        <v>218.22</v>
      </c>
      <c r="N25" s="771">
        <f>M25/I25</f>
        <v>1.0143634081718031</v>
      </c>
      <c r="O25" s="806">
        <f>O26</f>
        <v>110.83</v>
      </c>
      <c r="P25" s="804">
        <f>P26</f>
        <v>115.16000000000001</v>
      </c>
      <c r="Q25" s="807">
        <f>O25+P25</f>
        <v>225.99</v>
      </c>
      <c r="R25" s="771">
        <f>Q25/M25</f>
        <v>1.0356062689029419</v>
      </c>
      <c r="S25" s="806">
        <f>S26</f>
        <v>118.6</v>
      </c>
      <c r="T25" s="804">
        <f>T26</f>
        <v>114.95000000000002</v>
      </c>
      <c r="U25" s="807">
        <f>S25+T25</f>
        <v>233.55</v>
      </c>
      <c r="V25" s="771">
        <f>U25/Q25</f>
        <v>1.0334528076463561</v>
      </c>
      <c r="W25" s="806">
        <f>W26</f>
        <v>118.6</v>
      </c>
      <c r="X25" s="804">
        <f>X26</f>
        <v>120.59</v>
      </c>
      <c r="Y25" s="807">
        <f>W25+X25</f>
        <v>239.19</v>
      </c>
      <c r="Z25" s="771">
        <f>Y25/U25</f>
        <v>1.0241490044958252</v>
      </c>
    </row>
    <row r="26" spans="1:26" s="788" customFormat="1" ht="19.5" thickBot="1">
      <c r="A26" s="781"/>
      <c r="B26" s="808" t="s">
        <v>526</v>
      </c>
      <c r="C26" s="809" t="s">
        <v>0</v>
      </c>
      <c r="D26" s="810">
        <v>79.099999999999994</v>
      </c>
      <c r="E26" s="811">
        <v>99.65</v>
      </c>
      <c r="F26" s="812">
        <v>178.75</v>
      </c>
      <c r="G26" s="814">
        <f>ROUND((G27*G29/1000),2)</f>
        <v>103.18</v>
      </c>
      <c r="H26" s="810">
        <f>I26-G26</f>
        <v>111.94999999999999</v>
      </c>
      <c r="I26" s="812">
        <f>'переменные на 5 лет'!J46</f>
        <v>215.13</v>
      </c>
      <c r="J26" s="813">
        <f t="shared" si="21"/>
        <v>1.2035244755244754</v>
      </c>
      <c r="K26" s="814">
        <f>K27*K29/1000-0.01</f>
        <v>110.8181501</v>
      </c>
      <c r="L26" s="810">
        <f>M26-K26</f>
        <v>107.4018499</v>
      </c>
      <c r="M26" s="815">
        <f>'переменные на 5 лет'!M46</f>
        <v>218.22</v>
      </c>
      <c r="N26" s="771">
        <f t="shared" ref="N26:N29" si="22">M26/I26</f>
        <v>1.0143634081718031</v>
      </c>
      <c r="O26" s="814">
        <f>ROUND((O27*O29/1000),2)</f>
        <v>110.83</v>
      </c>
      <c r="P26" s="810">
        <f>Q26-O26</f>
        <v>115.16000000000001</v>
      </c>
      <c r="Q26" s="815">
        <f>'переменные на 5 лет'!P46</f>
        <v>225.99</v>
      </c>
      <c r="R26" s="771">
        <f t="shared" ref="R26:R29" si="23">Q26/M26</f>
        <v>1.0356062689029419</v>
      </c>
      <c r="S26" s="814">
        <f>ROUND((S27*S29/1000),1)</f>
        <v>118.6</v>
      </c>
      <c r="T26" s="810">
        <f>U26-S26</f>
        <v>114.95000000000002</v>
      </c>
      <c r="U26" s="815">
        <f>'переменные на 5 лет'!S46</f>
        <v>233.55</v>
      </c>
      <c r="V26" s="771">
        <f t="shared" ref="V26:V29" si="24">U26/Q26</f>
        <v>1.0334528076463561</v>
      </c>
      <c r="W26" s="814">
        <f>ROUND((W27*W29/1000),1)</f>
        <v>118.6</v>
      </c>
      <c r="X26" s="810">
        <f>Y26-W26</f>
        <v>120.59</v>
      </c>
      <c r="Y26" s="815">
        <f>'переменные на 5 лет'!V46</f>
        <v>239.19</v>
      </c>
      <c r="Z26" s="771">
        <f t="shared" ref="Z26:Z29" si="25">Y26/U26</f>
        <v>1.0241490044958252</v>
      </c>
    </row>
    <row r="27" spans="1:26" s="788" customFormat="1" ht="19.5" thickBot="1">
      <c r="A27" s="781"/>
      <c r="B27" s="816" t="s">
        <v>527</v>
      </c>
      <c r="C27" s="817" t="s">
        <v>18</v>
      </c>
      <c r="D27" s="818">
        <v>2684.1</v>
      </c>
      <c r="E27" s="819">
        <v>2583.6200000000003</v>
      </c>
      <c r="F27" s="820">
        <v>5267.72</v>
      </c>
      <c r="G27" s="818">
        <f>G28</f>
        <v>2675.07</v>
      </c>
      <c r="H27" s="819">
        <f>H28</f>
        <v>2592.6500000000074</v>
      </c>
      <c r="I27" s="820">
        <f>I28</f>
        <v>5267.7200000000075</v>
      </c>
      <c r="J27" s="813">
        <f t="shared" si="21"/>
        <v>1.0000000000000013</v>
      </c>
      <c r="K27" s="821">
        <f>K28</f>
        <v>2675.07</v>
      </c>
      <c r="L27" s="819">
        <f>L28</f>
        <v>2592.6500000000074</v>
      </c>
      <c r="M27" s="822">
        <f>K27+L27</f>
        <v>5267.7200000000075</v>
      </c>
      <c r="N27" s="771">
        <f t="shared" si="22"/>
        <v>1</v>
      </c>
      <c r="O27" s="821">
        <f>O28</f>
        <v>2675.07</v>
      </c>
      <c r="P27" s="819">
        <f>P28</f>
        <v>2592.6500000000074</v>
      </c>
      <c r="Q27" s="822">
        <f>O27+P27</f>
        <v>5267.7200000000075</v>
      </c>
      <c r="R27" s="771">
        <f t="shared" si="23"/>
        <v>1</v>
      </c>
      <c r="S27" s="821">
        <f>S28</f>
        <v>2675.07</v>
      </c>
      <c r="T27" s="819">
        <f>T28</f>
        <v>2592.6500000000074</v>
      </c>
      <c r="U27" s="822">
        <f>S27+T27</f>
        <v>5267.7200000000075</v>
      </c>
      <c r="V27" s="771">
        <f t="shared" si="24"/>
        <v>1</v>
      </c>
      <c r="W27" s="821">
        <f>W28</f>
        <v>2675.07</v>
      </c>
      <c r="X27" s="819">
        <f>X28</f>
        <v>2592.6500000000074</v>
      </c>
      <c r="Y27" s="822">
        <f>W27+X27</f>
        <v>5267.7200000000075</v>
      </c>
      <c r="Z27" s="771">
        <f t="shared" si="25"/>
        <v>1</v>
      </c>
    </row>
    <row r="28" spans="1:26" s="788" customFormat="1" ht="19.5" thickBot="1">
      <c r="A28" s="781"/>
      <c r="B28" s="823" t="s">
        <v>528</v>
      </c>
      <c r="C28" s="824" t="s">
        <v>18</v>
      </c>
      <c r="D28" s="825">
        <v>2684.1</v>
      </c>
      <c r="E28" s="826">
        <v>2583.6200000000003</v>
      </c>
      <c r="F28" s="827">
        <v>5267.72</v>
      </c>
      <c r="G28" s="825">
        <f>'переменные на 5 лет'!H39</f>
        <v>2675.07</v>
      </c>
      <c r="H28" s="825">
        <f>'переменные на 5 лет'!I39</f>
        <v>2592.6500000000074</v>
      </c>
      <c r="I28" s="827">
        <f>'переменные на 5 лет'!J39</f>
        <v>5267.7200000000075</v>
      </c>
      <c r="J28" s="828">
        <f t="shared" si="21"/>
        <v>1.0000000000000013</v>
      </c>
      <c r="K28" s="829">
        <f>G28</f>
        <v>2675.07</v>
      </c>
      <c r="L28" s="825">
        <f>H28</f>
        <v>2592.6500000000074</v>
      </c>
      <c r="M28" s="830">
        <f>K28+L28</f>
        <v>5267.7200000000075</v>
      </c>
      <c r="N28" s="771">
        <f t="shared" si="22"/>
        <v>1</v>
      </c>
      <c r="O28" s="829">
        <f>K28</f>
        <v>2675.07</v>
      </c>
      <c r="P28" s="825">
        <f>L28</f>
        <v>2592.6500000000074</v>
      </c>
      <c r="Q28" s="830">
        <f>O28+P28</f>
        <v>5267.7200000000075</v>
      </c>
      <c r="R28" s="771">
        <f t="shared" si="23"/>
        <v>1</v>
      </c>
      <c r="S28" s="829">
        <f>O28</f>
        <v>2675.07</v>
      </c>
      <c r="T28" s="825">
        <f>P28</f>
        <v>2592.6500000000074</v>
      </c>
      <c r="U28" s="830">
        <f>S28+T28</f>
        <v>5267.7200000000075</v>
      </c>
      <c r="V28" s="771">
        <f t="shared" si="24"/>
        <v>1</v>
      </c>
      <c r="W28" s="829">
        <f>S28</f>
        <v>2675.07</v>
      </c>
      <c r="X28" s="825">
        <f>T28</f>
        <v>2592.6500000000074</v>
      </c>
      <c r="Y28" s="830">
        <f>W28+X28</f>
        <v>5267.7200000000075</v>
      </c>
      <c r="Z28" s="771">
        <f t="shared" si="25"/>
        <v>1</v>
      </c>
    </row>
    <row r="29" spans="1:26" s="788" customFormat="1" ht="19.5" thickBot="1">
      <c r="A29" s="781"/>
      <c r="B29" s="122" t="s">
        <v>218</v>
      </c>
      <c r="C29" s="123" t="s">
        <v>16</v>
      </c>
      <c r="D29" s="124">
        <v>29.47</v>
      </c>
      <c r="E29" s="124">
        <v>38.57</v>
      </c>
      <c r="F29" s="125">
        <v>33.93</v>
      </c>
      <c r="G29" s="124">
        <f>E29</f>
        <v>38.57</v>
      </c>
      <c r="H29" s="800">
        <f>ROUND(H25/H27*1000,2)</f>
        <v>43.18</v>
      </c>
      <c r="I29" s="780">
        <f>ROUND((I25/I27*1000),2)</f>
        <v>40.840000000000003</v>
      </c>
      <c r="J29" s="779">
        <f t="shared" si="21"/>
        <v>1.2036545829649279</v>
      </c>
      <c r="K29" s="124">
        <f>M29</f>
        <v>41.43</v>
      </c>
      <c r="L29" s="800">
        <f>L25/L27*1000</f>
        <v>41.425510539409373</v>
      </c>
      <c r="M29" s="780">
        <f>ROUND((M26/M27*1000),2)</f>
        <v>41.43</v>
      </c>
      <c r="N29" s="771">
        <f t="shared" si="22"/>
        <v>1.0144466209598433</v>
      </c>
      <c r="O29" s="124">
        <f>ROUND(L29,2)</f>
        <v>41.43</v>
      </c>
      <c r="P29" s="800">
        <f>ROUND(P25/P27*1000,2)</f>
        <v>44.42</v>
      </c>
      <c r="Q29" s="780">
        <f>ROUND((Q25/Q27*1000),2)</f>
        <v>42.9</v>
      </c>
      <c r="R29" s="771">
        <f t="shared" si="23"/>
        <v>1.0354815351194786</v>
      </c>
      <c r="S29" s="124">
        <f>U29</f>
        <v>44.34</v>
      </c>
      <c r="T29" s="800">
        <f>ROUND(T25/T27*1000,2)</f>
        <v>44.34</v>
      </c>
      <c r="U29" s="780">
        <f>ROUND((U26/U27*1000),2)</f>
        <v>44.34</v>
      </c>
      <c r="V29" s="771">
        <f t="shared" si="24"/>
        <v>1.0335664335664336</v>
      </c>
      <c r="W29" s="124">
        <f>ROUND(T29,2)</f>
        <v>44.34</v>
      </c>
      <c r="X29" s="800">
        <f>ROUND(X25/X27*1000,2)</f>
        <v>46.51</v>
      </c>
      <c r="Y29" s="780">
        <f>ROUND((Y25/Y27*1000),2)</f>
        <v>45.41</v>
      </c>
      <c r="Z29" s="771">
        <f t="shared" si="25"/>
        <v>1.0241317095173657</v>
      </c>
    </row>
    <row r="30" spans="1:26" s="788" customFormat="1" ht="18.75">
      <c r="A30" s="781"/>
      <c r="B30" s="782" t="s">
        <v>134</v>
      </c>
      <c r="C30" s="783"/>
      <c r="D30" s="785"/>
      <c r="E30" s="784">
        <f>E29/D29</f>
        <v>1.308788598574822</v>
      </c>
      <c r="F30" s="786"/>
      <c r="G30" s="785"/>
      <c r="H30" s="784">
        <f>H29/G29</f>
        <v>1.1195229452942701</v>
      </c>
      <c r="I30" s="786"/>
      <c r="J30" s="787"/>
      <c r="K30" s="785"/>
      <c r="L30" s="784">
        <f>L29/K29</f>
        <v>0.99989163744652121</v>
      </c>
      <c r="M30" s="786"/>
      <c r="N30" s="787"/>
      <c r="O30" s="785"/>
      <c r="P30" s="784">
        <f>P29/O29</f>
        <v>1.0721699251749941</v>
      </c>
      <c r="Q30" s="786"/>
      <c r="R30" s="787"/>
      <c r="S30" s="785"/>
      <c r="T30" s="784">
        <f>T29/S29</f>
        <v>1</v>
      </c>
      <c r="U30" s="786"/>
      <c r="V30" s="787"/>
      <c r="W30" s="785"/>
      <c r="X30" s="784">
        <f>X29/W29</f>
        <v>1.0489400090211998</v>
      </c>
      <c r="Y30" s="786"/>
      <c r="Z30" s="787"/>
    </row>
    <row r="31" spans="1:26" s="788" customFormat="1" ht="18.75">
      <c r="A31" s="781"/>
      <c r="B31" s="801"/>
      <c r="C31" s="801"/>
      <c r="D31" s="801"/>
      <c r="E31" s="801"/>
      <c r="F31" s="877">
        <f>F25+F19</f>
        <v>1031.07</v>
      </c>
      <c r="G31" s="801"/>
      <c r="H31" s="801"/>
      <c r="I31" s="877">
        <f>I25+I19</f>
        <v>1811.5</v>
      </c>
      <c r="J31" s="801"/>
      <c r="K31" s="801"/>
      <c r="L31" s="801"/>
      <c r="M31" s="877">
        <f>M25+M19</f>
        <v>1926.4871759999999</v>
      </c>
      <c r="N31" s="801"/>
      <c r="O31" s="801"/>
      <c r="P31" s="801"/>
      <c r="Q31" s="877">
        <f>Q25+Q19</f>
        <v>2027.79</v>
      </c>
      <c r="R31" s="801"/>
      <c r="S31" s="801"/>
      <c r="T31" s="801"/>
      <c r="U31" s="877">
        <f>U25+U19</f>
        <v>2107.34</v>
      </c>
      <c r="V31" s="801"/>
      <c r="W31" s="801"/>
      <c r="X31" s="801"/>
      <c r="Y31" s="877">
        <f>Y25+Y19</f>
        <v>2187.7000000000003</v>
      </c>
      <c r="Z31" s="801"/>
    </row>
    <row r="32" spans="1:26" s="833" customFormat="1" ht="26.25">
      <c r="A32" s="831"/>
      <c r="B32" s="766" t="s">
        <v>529</v>
      </c>
      <c r="C32" s="832"/>
      <c r="D32" s="832"/>
      <c r="E32" s="832"/>
      <c r="F32" s="832"/>
      <c r="G32" s="832"/>
      <c r="H32" s="832"/>
      <c r="I32" s="832"/>
      <c r="J32" s="832"/>
      <c r="K32" s="832"/>
      <c r="L32" s="832"/>
      <c r="M32" s="832"/>
      <c r="N32" s="832"/>
      <c r="O32" s="832"/>
      <c r="P32" s="832"/>
      <c r="Q32" s="832"/>
      <c r="R32" s="832"/>
      <c r="S32" s="832"/>
      <c r="T32" s="832"/>
      <c r="U32" s="832"/>
      <c r="V32" s="832"/>
      <c r="W32" s="832"/>
      <c r="X32" s="832"/>
      <c r="Y32" s="832"/>
      <c r="Z32" s="832"/>
    </row>
    <row r="33" spans="1:26" s="833" customFormat="1" ht="22.5" customHeight="1" thickBot="1">
      <c r="A33" s="831"/>
      <c r="B33" s="799" t="s">
        <v>186</v>
      </c>
      <c r="D33" s="834"/>
      <c r="G33" s="834"/>
      <c r="K33" s="834"/>
      <c r="O33" s="834"/>
      <c r="S33" s="834"/>
      <c r="W33" s="834"/>
    </row>
    <row r="34" spans="1:26" s="833" customFormat="1" ht="18.75" customHeight="1" thickBot="1">
      <c r="A34" s="831"/>
      <c r="B34" s="115" t="s">
        <v>135</v>
      </c>
      <c r="C34" s="116" t="s">
        <v>0</v>
      </c>
      <c r="D34" s="117">
        <v>7462.38</v>
      </c>
      <c r="E34" s="118">
        <v>6252.204999999999</v>
      </c>
      <c r="F34" s="119">
        <v>13714.584999999999</v>
      </c>
      <c r="G34" s="117">
        <f>G40+G46</f>
        <v>7184.3680050000003</v>
      </c>
      <c r="H34" s="118">
        <f>I34-G34</f>
        <v>7896.4919949999967</v>
      </c>
      <c r="I34" s="119">
        <f>'Кальк.2019-2023 (ДИ)'!J96</f>
        <v>15080.859999999997</v>
      </c>
      <c r="J34" s="771">
        <f t="shared" ref="J34:J36" si="26">I34/F34</f>
        <v>1.09962204470642</v>
      </c>
      <c r="K34" s="117">
        <f>K40+K46</f>
        <v>9993.7799999999988</v>
      </c>
      <c r="L34" s="118">
        <f>M34-K34</f>
        <v>8124.7937520278829</v>
      </c>
      <c r="M34" s="119">
        <f>'Кальк.2019-2023 (ДИ)'!N96</f>
        <v>18118.573752027882</v>
      </c>
      <c r="N34" s="771">
        <f>M34/I34</f>
        <v>1.2014284166836564</v>
      </c>
      <c r="O34" s="117">
        <f>O40+O46</f>
        <v>10296.529999999999</v>
      </c>
      <c r="P34" s="118">
        <f>Q34-O34</f>
        <v>8927.880000000001</v>
      </c>
      <c r="Q34" s="119">
        <f>'Кальк.2019-2023 (ДИ)'!R96</f>
        <v>19224.41</v>
      </c>
      <c r="R34" s="771">
        <f>Q34/M34</f>
        <v>1.0610332945135017</v>
      </c>
      <c r="S34" s="117">
        <f>S40+S46</f>
        <v>11293.150000000001</v>
      </c>
      <c r="T34" s="118">
        <f>U34-S34</f>
        <v>8769.43</v>
      </c>
      <c r="U34" s="119">
        <f>'Кальк.2019-2023 (ДИ)'!V96</f>
        <v>20062.580000000002</v>
      </c>
      <c r="V34" s="771">
        <f>U34/Q34</f>
        <v>1.043599257402438</v>
      </c>
      <c r="W34" s="117">
        <f>W40+W46</f>
        <v>11114.25</v>
      </c>
      <c r="X34" s="118">
        <f>Y34-W34</f>
        <v>9860.1500000000015</v>
      </c>
      <c r="Y34" s="119">
        <f>'Кальк.2019-2023 (ДИ)'!Z96</f>
        <v>20974.400000000001</v>
      </c>
      <c r="Z34" s="771">
        <f>Y34/U34</f>
        <v>1.0454487907337939</v>
      </c>
    </row>
    <row r="35" spans="1:26" s="833" customFormat="1" ht="19.5" customHeight="1" thickBot="1">
      <c r="A35" s="831"/>
      <c r="B35" s="120" t="s">
        <v>517</v>
      </c>
      <c r="C35" s="121" t="s">
        <v>10</v>
      </c>
      <c r="D35" s="775">
        <v>5709.65</v>
      </c>
      <c r="E35" s="835">
        <v>4685.3500000000004</v>
      </c>
      <c r="F35" s="777">
        <v>10395</v>
      </c>
      <c r="G35" s="775">
        <v>5501.65</v>
      </c>
      <c r="H35" s="835">
        <v>4498.3500000000004</v>
      </c>
      <c r="I35" s="777">
        <v>10000</v>
      </c>
      <c r="J35" s="778">
        <f t="shared" si="26"/>
        <v>0.96200096200096197</v>
      </c>
      <c r="K35" s="775">
        <f>G35</f>
        <v>5501.65</v>
      </c>
      <c r="L35" s="776">
        <f>H35</f>
        <v>4498.3500000000004</v>
      </c>
      <c r="M35" s="777">
        <f>K35+L35</f>
        <v>10000</v>
      </c>
      <c r="N35" s="771">
        <f t="shared" ref="N35:N36" si="27">M35/I35</f>
        <v>1</v>
      </c>
      <c r="O35" s="775">
        <f>K35</f>
        <v>5501.65</v>
      </c>
      <c r="P35" s="776">
        <f>L35</f>
        <v>4498.3500000000004</v>
      </c>
      <c r="Q35" s="777">
        <f>O35+P35</f>
        <v>10000</v>
      </c>
      <c r="R35" s="771">
        <f t="shared" ref="R35:R36" si="28">Q35/M35</f>
        <v>1</v>
      </c>
      <c r="S35" s="775">
        <f>O35</f>
        <v>5501.65</v>
      </c>
      <c r="T35" s="776">
        <f>P35</f>
        <v>4498.3500000000004</v>
      </c>
      <c r="U35" s="777">
        <f>S35+T35</f>
        <v>10000</v>
      </c>
      <c r="V35" s="771">
        <f t="shared" ref="V35:V36" si="29">U35/Q35</f>
        <v>1</v>
      </c>
      <c r="W35" s="775">
        <f>S35</f>
        <v>5501.65</v>
      </c>
      <c r="X35" s="776">
        <f>T35</f>
        <v>4498.3500000000004</v>
      </c>
      <c r="Y35" s="777">
        <f>W35+X35</f>
        <v>10000</v>
      </c>
      <c r="Z35" s="771">
        <f t="shared" ref="Z35:Z36" si="30">Y35/U35</f>
        <v>1</v>
      </c>
    </row>
    <row r="36" spans="1:26" s="833" customFormat="1" ht="18.75" customHeight="1" thickBot="1">
      <c r="A36" s="831"/>
      <c r="B36" s="122" t="s">
        <v>518</v>
      </c>
      <c r="C36" s="123" t="s">
        <v>9</v>
      </c>
      <c r="D36" s="124">
        <v>1306.98</v>
      </c>
      <c r="E36" s="124">
        <v>1334.42</v>
      </c>
      <c r="F36" s="125">
        <v>1319.34</v>
      </c>
      <c r="G36" s="124">
        <f>ROUND(G34/G35*1000,2)</f>
        <v>1305.8599999999999</v>
      </c>
      <c r="H36" s="124">
        <f t="shared" ref="H36" si="31">ROUND(H34/H35*1000,2)</f>
        <v>1755.42</v>
      </c>
      <c r="I36" s="124">
        <f>I34/I35*1000</f>
        <v>1508.0859999999996</v>
      </c>
      <c r="J36" s="779">
        <f t="shared" si="26"/>
        <v>1.1430609244015946</v>
      </c>
      <c r="K36" s="124">
        <f>ROUND(K34*1000/K35,2)</f>
        <v>1816.51</v>
      </c>
      <c r="L36" s="124">
        <f>ROUND(L34*1000/L35,2)</f>
        <v>1806.17</v>
      </c>
      <c r="M36" s="836">
        <f>ROUND(M34*1000/M35,2)</f>
        <v>1811.86</v>
      </c>
      <c r="N36" s="771">
        <f t="shared" si="27"/>
        <v>1.2014301571661035</v>
      </c>
      <c r="O36" s="124">
        <f>ROUND(O34*1000/O35,2)</f>
        <v>1871.53</v>
      </c>
      <c r="P36" s="124">
        <f>ROUND(P34*1000/P35,2)</f>
        <v>1984.7</v>
      </c>
      <c r="Q36" s="836">
        <f>ROUND(Q34*1000/Q35,2)</f>
        <v>1922.44</v>
      </c>
      <c r="R36" s="771">
        <f t="shared" si="28"/>
        <v>1.061031205501529</v>
      </c>
      <c r="S36" s="124">
        <f>ROUND(S34*1000/S35,2)</f>
        <v>2052.6799999999998</v>
      </c>
      <c r="T36" s="124">
        <f>ROUND(T34*1000/T35,2)</f>
        <v>1949.48</v>
      </c>
      <c r="U36" s="836">
        <f>ROUND(U34*1000/U35,2)</f>
        <v>2006.26</v>
      </c>
      <c r="V36" s="771">
        <f t="shared" si="29"/>
        <v>1.0436008405984061</v>
      </c>
      <c r="W36" s="124">
        <f>ROUND(W34*1000/W35,2)</f>
        <v>2020.17</v>
      </c>
      <c r="X36" s="124">
        <f>ROUND(X34*1000/X35,2)</f>
        <v>2191.9499999999998</v>
      </c>
      <c r="Y36" s="836">
        <f>ROUND(Y34*1000/Y35,2)</f>
        <v>2097.44</v>
      </c>
      <c r="Z36" s="771">
        <f t="shared" si="30"/>
        <v>1.0454477485470477</v>
      </c>
    </row>
    <row r="37" spans="1:26" s="788" customFormat="1" ht="18.75">
      <c r="A37" s="781"/>
      <c r="B37" s="782" t="s">
        <v>134</v>
      </c>
      <c r="C37" s="783"/>
      <c r="D37" s="785"/>
      <c r="E37" s="784">
        <f>E36/D36</f>
        <v>1.0209949654929686</v>
      </c>
      <c r="F37" s="786"/>
      <c r="G37" s="785"/>
      <c r="H37" s="784">
        <f>H36/G36</f>
        <v>1.3442635504571701</v>
      </c>
      <c r="I37" s="786"/>
      <c r="J37" s="787"/>
      <c r="K37" s="785"/>
      <c r="L37" s="784">
        <f>L36/K36</f>
        <v>0.9943077659908286</v>
      </c>
      <c r="M37" s="786"/>
      <c r="N37" s="787"/>
      <c r="O37" s="785"/>
      <c r="P37" s="784">
        <f>P36/O36</f>
        <v>1.0604692417433865</v>
      </c>
      <c r="Q37" s="786"/>
      <c r="R37" s="787"/>
      <c r="S37" s="785"/>
      <c r="T37" s="784">
        <f>T36/S36</f>
        <v>0.94972426291482359</v>
      </c>
      <c r="U37" s="786"/>
      <c r="V37" s="787"/>
      <c r="W37" s="785"/>
      <c r="X37" s="784">
        <f>X36/W36</f>
        <v>1.085032447764297</v>
      </c>
      <c r="Y37" s="786"/>
      <c r="Z37" s="787"/>
    </row>
    <row r="38" spans="1:26">
      <c r="D38" s="837"/>
      <c r="E38" s="837"/>
      <c r="F38" s="837"/>
      <c r="G38" s="837"/>
      <c r="H38" s="837"/>
      <c r="I38" s="837"/>
      <c r="K38" s="837"/>
      <c r="L38" s="837"/>
      <c r="M38" s="837"/>
      <c r="O38" s="837"/>
      <c r="P38" s="837"/>
      <c r="Q38" s="837"/>
      <c r="S38" s="837"/>
      <c r="T38" s="837"/>
      <c r="U38" s="837"/>
      <c r="W38" s="837"/>
      <c r="X38" s="837"/>
      <c r="Y38" s="837"/>
    </row>
    <row r="39" spans="1:26" s="769" customFormat="1" ht="19.5" thickBot="1">
      <c r="A39" s="759"/>
      <c r="B39" s="799" t="s">
        <v>530</v>
      </c>
      <c r="C39" s="838" t="s">
        <v>531</v>
      </c>
      <c r="D39" s="839"/>
      <c r="E39" s="767"/>
      <c r="F39" s="767"/>
      <c r="G39" s="839"/>
      <c r="H39" s="767"/>
      <c r="I39" s="767"/>
      <c r="J39" s="768"/>
      <c r="K39" s="839"/>
      <c r="L39" s="767"/>
      <c r="M39" s="767"/>
      <c r="N39" s="768"/>
      <c r="O39" s="839"/>
      <c r="P39" s="767"/>
      <c r="Q39" s="767"/>
      <c r="R39" s="768"/>
      <c r="S39" s="839"/>
      <c r="T39" s="767"/>
      <c r="U39" s="767"/>
      <c r="V39" s="768"/>
      <c r="W39" s="839"/>
      <c r="X39" s="767"/>
      <c r="Y39" s="767"/>
      <c r="Z39" s="768"/>
    </row>
    <row r="40" spans="1:26" s="763" customFormat="1" ht="19.5" thickBot="1">
      <c r="A40" s="759"/>
      <c r="B40" s="115" t="s">
        <v>135</v>
      </c>
      <c r="C40" s="116" t="s">
        <v>0</v>
      </c>
      <c r="D40" s="117">
        <v>3998.69</v>
      </c>
      <c r="E40" s="118">
        <v>2769.8449999999993</v>
      </c>
      <c r="F40" s="119">
        <v>6768.5349999999999</v>
      </c>
      <c r="G40" s="840">
        <v>3846.1180050000003</v>
      </c>
      <c r="H40" s="118">
        <f>I40-G40</f>
        <v>3643.7219949999962</v>
      </c>
      <c r="I40" s="119">
        <f>I34-I46</f>
        <v>7489.8399999999965</v>
      </c>
      <c r="J40" s="771">
        <f t="shared" ref="J40:J42" si="32">I40/F40</f>
        <v>1.1065673738851902</v>
      </c>
      <c r="K40" s="840">
        <v>5602.33</v>
      </c>
      <c r="L40" s="118">
        <f>M40-K40</f>
        <v>3749.0737520278817</v>
      </c>
      <c r="M40" s="119">
        <f>M34-M46</f>
        <v>9351.4037520278816</v>
      </c>
      <c r="N40" s="771">
        <f>M40/I40</f>
        <v>1.2485451961627867</v>
      </c>
      <c r="O40" s="840">
        <v>5778.12</v>
      </c>
      <c r="P40" s="791">
        <f>P34-P46</f>
        <v>4119.6500000000015</v>
      </c>
      <c r="Q40" s="119">
        <f>O40+P40</f>
        <v>9897.77</v>
      </c>
      <c r="R40" s="771">
        <f>Q40/M40</f>
        <v>1.0584261210894288</v>
      </c>
      <c r="S40" s="840">
        <v>6328.13</v>
      </c>
      <c r="T40" s="791">
        <f>T34-T46</f>
        <v>4046.5200000000004</v>
      </c>
      <c r="U40" s="119">
        <f>S40+T40</f>
        <v>10374.650000000001</v>
      </c>
      <c r="V40" s="771">
        <f>U40/Q40</f>
        <v>1.0481805497601986</v>
      </c>
      <c r="W40" s="840">
        <v>6237.33</v>
      </c>
      <c r="X40" s="791">
        <f>X34-X46</f>
        <v>4549.8300000000017</v>
      </c>
      <c r="Y40" s="119">
        <f>W40+X40</f>
        <v>10787.160000000002</v>
      </c>
      <c r="Z40" s="771">
        <f>Y40/U40</f>
        <v>1.039761341346455</v>
      </c>
    </row>
    <row r="41" spans="1:26" s="763" customFormat="1" ht="19.5" thickBot="1">
      <c r="A41" s="759"/>
      <c r="B41" s="120" t="s">
        <v>517</v>
      </c>
      <c r="C41" s="121" t="s">
        <v>10</v>
      </c>
      <c r="D41" s="775">
        <v>3000</v>
      </c>
      <c r="E41" s="776">
        <v>2075.6999999999998</v>
      </c>
      <c r="F41" s="777">
        <v>5075.7</v>
      </c>
      <c r="G41" s="775">
        <v>3000</v>
      </c>
      <c r="H41" s="776">
        <v>2075.6999999999998</v>
      </c>
      <c r="I41" s="777">
        <f>G41+H41</f>
        <v>5075.7</v>
      </c>
      <c r="J41" s="778">
        <f t="shared" si="32"/>
        <v>1</v>
      </c>
      <c r="K41" s="792">
        <f>G41</f>
        <v>3000</v>
      </c>
      <c r="L41" s="793">
        <f>H41</f>
        <v>2075.6999999999998</v>
      </c>
      <c r="M41" s="777">
        <f>K41+L41</f>
        <v>5075.7</v>
      </c>
      <c r="N41" s="771">
        <f t="shared" ref="N41:N42" si="33">M41/I41</f>
        <v>1</v>
      </c>
      <c r="O41" s="792">
        <f>K41</f>
        <v>3000</v>
      </c>
      <c r="P41" s="793">
        <f>L41</f>
        <v>2075.6999999999998</v>
      </c>
      <c r="Q41" s="777">
        <f>O41+P41</f>
        <v>5075.7</v>
      </c>
      <c r="R41" s="771">
        <f t="shared" ref="R41:R42" si="34">Q41/M41</f>
        <v>1</v>
      </c>
      <c r="S41" s="792">
        <f>O41</f>
        <v>3000</v>
      </c>
      <c r="T41" s="793">
        <f>P41</f>
        <v>2075.6999999999998</v>
      </c>
      <c r="U41" s="777">
        <f>S41+T41</f>
        <v>5075.7</v>
      </c>
      <c r="V41" s="771">
        <f t="shared" ref="V41:V42" si="35">U41/Q41</f>
        <v>1</v>
      </c>
      <c r="W41" s="792">
        <f>S41</f>
        <v>3000</v>
      </c>
      <c r="X41" s="793">
        <f>T41</f>
        <v>2075.6999999999998</v>
      </c>
      <c r="Y41" s="777">
        <f>W41+X41</f>
        <v>5075.7</v>
      </c>
      <c r="Z41" s="771">
        <f t="shared" ref="Z41:Z42" si="36">Y41/U41</f>
        <v>1</v>
      </c>
    </row>
    <row r="42" spans="1:26" s="763" customFormat="1" ht="19.5" customHeight="1" thickBot="1">
      <c r="A42" s="759"/>
      <c r="B42" s="122" t="s">
        <v>532</v>
      </c>
      <c r="C42" s="123" t="s">
        <v>9</v>
      </c>
      <c r="D42" s="157">
        <v>1332.9</v>
      </c>
      <c r="E42" s="124">
        <v>1334.42</v>
      </c>
      <c r="F42" s="125">
        <v>1333.52</v>
      </c>
      <c r="G42" s="124">
        <f>ROUND(G40/G41*1000,2)</f>
        <v>1282.04</v>
      </c>
      <c r="H42" s="124">
        <f t="shared" ref="H42:I42" si="37">ROUND(H40/H41*1000,2)</f>
        <v>1755.42</v>
      </c>
      <c r="I42" s="124">
        <f t="shared" si="37"/>
        <v>1475.63</v>
      </c>
      <c r="J42" s="779">
        <f t="shared" si="32"/>
        <v>1.1065675805387247</v>
      </c>
      <c r="K42" s="124">
        <f>ROUND(K40/K41*1000,2)</f>
        <v>1867.44</v>
      </c>
      <c r="L42" s="124">
        <f>L36</f>
        <v>1806.17</v>
      </c>
      <c r="M42" s="836">
        <f>ROUND(M40*1000/M41,2)</f>
        <v>1842.39</v>
      </c>
      <c r="N42" s="771">
        <f t="shared" si="33"/>
        <v>1.2485446893869059</v>
      </c>
      <c r="O42" s="124">
        <f>ROUND(O40*1000/O41,2)</f>
        <v>1926.04</v>
      </c>
      <c r="P42" s="124">
        <f>ROUND(P40*1000/P41,2)</f>
        <v>1984.7</v>
      </c>
      <c r="Q42" s="836">
        <f>ROUND(Q40*1000/Q41,2)</f>
        <v>1950.03</v>
      </c>
      <c r="R42" s="771">
        <f t="shared" si="34"/>
        <v>1.0584241121586635</v>
      </c>
      <c r="S42" s="124">
        <f>ROUND(S40/S41*1000,2)</f>
        <v>2109.38</v>
      </c>
      <c r="T42" s="124">
        <f>T36</f>
        <v>1949.48</v>
      </c>
      <c r="U42" s="836">
        <f>ROUND(U40*1000/U41,2)</f>
        <v>2043.98</v>
      </c>
      <c r="V42" s="771">
        <f t="shared" si="35"/>
        <v>1.0481787459680107</v>
      </c>
      <c r="W42" s="124">
        <f>ROUND(W40/W41*1000,2)</f>
        <v>2079.11</v>
      </c>
      <c r="X42" s="124">
        <f>X36</f>
        <v>2191.9499999999998</v>
      </c>
      <c r="Y42" s="836">
        <f>ROUND(Y40*1000/Y41,2)</f>
        <v>2125.2600000000002</v>
      </c>
      <c r="Z42" s="771">
        <f t="shared" si="36"/>
        <v>1.0397655554359633</v>
      </c>
    </row>
    <row r="43" spans="1:26" s="842" customFormat="1" ht="18.75">
      <c r="A43" s="781"/>
      <c r="B43" s="782"/>
      <c r="C43" s="783"/>
      <c r="D43" s="783"/>
      <c r="E43" s="784">
        <f>E42/D42</f>
        <v>1.0011403706204516</v>
      </c>
      <c r="F43" s="783"/>
      <c r="G43" s="783"/>
      <c r="H43" s="784">
        <f>H42/G42</f>
        <v>1.3692396493089141</v>
      </c>
      <c r="I43" s="783"/>
      <c r="J43" s="783"/>
      <c r="K43" s="783"/>
      <c r="L43" s="784">
        <f>L42/K42</f>
        <v>0.96719037827185883</v>
      </c>
      <c r="M43" s="783"/>
      <c r="N43" s="783"/>
      <c r="O43" s="783"/>
      <c r="P43" s="784">
        <f>P42/O42</f>
        <v>1.0304562729746007</v>
      </c>
      <c r="Q43" s="783"/>
      <c r="R43" s="783"/>
      <c r="S43" s="783"/>
      <c r="T43" s="784">
        <f>T42/S42</f>
        <v>0.92419573523973864</v>
      </c>
      <c r="U43" s="783"/>
      <c r="V43" s="783"/>
      <c r="W43" s="783"/>
      <c r="X43" s="784">
        <f>X42/W42</f>
        <v>1.0542732226770106</v>
      </c>
      <c r="Y43" s="783"/>
      <c r="Z43" s="783"/>
    </row>
    <row r="44" spans="1:26">
      <c r="D44" s="837"/>
      <c r="E44" s="837"/>
      <c r="F44" s="837"/>
      <c r="G44" s="837"/>
      <c r="H44" s="837"/>
      <c r="I44" s="837"/>
      <c r="K44" s="837"/>
      <c r="L44" s="837"/>
      <c r="M44" s="837"/>
      <c r="O44" s="837"/>
      <c r="P44" s="837"/>
      <c r="Q44" s="837"/>
      <c r="S44" s="837"/>
      <c r="T44" s="837"/>
      <c r="U44" s="837"/>
      <c r="W44" s="837"/>
      <c r="X44" s="837"/>
      <c r="Y44" s="837"/>
    </row>
    <row r="45" spans="1:26" ht="19.5" thickBot="1">
      <c r="B45" s="799" t="s">
        <v>533</v>
      </c>
      <c r="C45" s="838" t="s">
        <v>531</v>
      </c>
      <c r="D45" s="839"/>
      <c r="E45" s="837"/>
      <c r="F45" s="837"/>
      <c r="G45" s="839"/>
      <c r="H45" s="837"/>
      <c r="I45" s="837"/>
      <c r="K45" s="839"/>
      <c r="L45" s="837"/>
      <c r="M45" s="837"/>
      <c r="O45" s="839"/>
      <c r="P45" s="837"/>
      <c r="Q45" s="837"/>
      <c r="S45" s="839"/>
      <c r="T45" s="837"/>
      <c r="U45" s="837"/>
      <c r="W45" s="839"/>
      <c r="X45" s="837"/>
      <c r="Y45" s="837"/>
    </row>
    <row r="46" spans="1:26" ht="19.5" thickBot="1">
      <c r="B46" s="115" t="s">
        <v>135</v>
      </c>
      <c r="C46" s="116" t="s">
        <v>0</v>
      </c>
      <c r="D46" s="117">
        <v>3463.69</v>
      </c>
      <c r="E46" s="118">
        <v>3482.3599999999997</v>
      </c>
      <c r="F46" s="119">
        <v>6946.0499999999993</v>
      </c>
      <c r="G46" s="117">
        <f>ROUND(G47*G48/1000,2)</f>
        <v>3338.25</v>
      </c>
      <c r="H46" s="117">
        <f>ROUND(H47*H48/1000,2)</f>
        <v>4252.7700000000004</v>
      </c>
      <c r="I46" s="119">
        <f>G46+H46</f>
        <v>7591.02</v>
      </c>
      <c r="J46" s="771">
        <f t="shared" ref="J46:J48" si="38">I46/F46</f>
        <v>1.0928542121061613</v>
      </c>
      <c r="K46" s="791">
        <f>ROUND(K48*K47/1000,2)</f>
        <v>4391.45</v>
      </c>
      <c r="L46" s="791">
        <f>ROUND(L36*L47/1000,2)</f>
        <v>4375.72</v>
      </c>
      <c r="M46" s="119">
        <f>K46+L46</f>
        <v>8767.17</v>
      </c>
      <c r="N46" s="771">
        <f>M46/I46</f>
        <v>1.1549396523787316</v>
      </c>
      <c r="O46" s="791">
        <f>ROUND(O48*O47/1000,2)</f>
        <v>4518.41</v>
      </c>
      <c r="P46" s="791">
        <f>ROUND(P36*P47/1000,2)</f>
        <v>4808.2299999999996</v>
      </c>
      <c r="Q46" s="119">
        <f>Q34-Q40</f>
        <v>9326.64</v>
      </c>
      <c r="R46" s="771">
        <f>Q46/M46</f>
        <v>1.063814206864929</v>
      </c>
      <c r="S46" s="791">
        <f>ROUND(S48*S47/1000,2)</f>
        <v>4965.0200000000004</v>
      </c>
      <c r="T46" s="791">
        <f>ROUND(T36*T47/1000,2)</f>
        <v>4722.91</v>
      </c>
      <c r="U46" s="119">
        <f>U34-U40</f>
        <v>9687.93</v>
      </c>
      <c r="V46" s="771">
        <f>U46/Q46</f>
        <v>1.0387374231234401</v>
      </c>
      <c r="W46" s="791">
        <f>ROUND(W48*W47/1000,2)</f>
        <v>4876.92</v>
      </c>
      <c r="X46" s="791">
        <f>ROUND(X36*X47/1000,2)-0.01</f>
        <v>5310.32</v>
      </c>
      <c r="Y46" s="119">
        <f>Y34-Y40</f>
        <v>10187.24</v>
      </c>
      <c r="Z46" s="771">
        <f>Y46/U46</f>
        <v>1.051539389735475</v>
      </c>
    </row>
    <row r="47" spans="1:26" ht="19.5" thickBot="1">
      <c r="A47" s="753"/>
      <c r="B47" s="120" t="s">
        <v>517</v>
      </c>
      <c r="C47" s="121" t="s">
        <v>10</v>
      </c>
      <c r="D47" s="775">
        <v>2709.6499999999996</v>
      </c>
      <c r="E47" s="776">
        <v>2609.6500000000005</v>
      </c>
      <c r="F47" s="777">
        <v>5319.3</v>
      </c>
      <c r="G47" s="775">
        <f>G35-G41</f>
        <v>2501.6499999999996</v>
      </c>
      <c r="H47" s="776">
        <f>H35-H41</f>
        <v>2422.6500000000005</v>
      </c>
      <c r="I47" s="777">
        <f>I35-I41</f>
        <v>4924.3</v>
      </c>
      <c r="J47" s="778">
        <f t="shared" si="38"/>
        <v>0.92574210892410658</v>
      </c>
      <c r="K47" s="775">
        <f>K35-K41</f>
        <v>2501.6499999999996</v>
      </c>
      <c r="L47" s="776">
        <f>L35-L41</f>
        <v>2422.6500000000005</v>
      </c>
      <c r="M47" s="777">
        <f>K47+L47</f>
        <v>4924.3</v>
      </c>
      <c r="N47" s="771">
        <f t="shared" ref="N47:N48" si="39">M47/I47</f>
        <v>1</v>
      </c>
      <c r="O47" s="775">
        <f>O35-O41</f>
        <v>2501.6499999999996</v>
      </c>
      <c r="P47" s="776">
        <f>P35-P41</f>
        <v>2422.6500000000005</v>
      </c>
      <c r="Q47" s="777">
        <f>O47+P47</f>
        <v>4924.3</v>
      </c>
      <c r="R47" s="771">
        <f t="shared" ref="R47:R48" si="40">Q47/M47</f>
        <v>1</v>
      </c>
      <c r="S47" s="775">
        <f>S35-S41</f>
        <v>2501.6499999999996</v>
      </c>
      <c r="T47" s="776">
        <f>T35-T41</f>
        <v>2422.6500000000005</v>
      </c>
      <c r="U47" s="777">
        <f>S47+T47</f>
        <v>4924.3</v>
      </c>
      <c r="V47" s="771">
        <f t="shared" ref="V47:V48" si="41">U47/Q47</f>
        <v>1</v>
      </c>
      <c r="W47" s="775">
        <f>W35-W41</f>
        <v>2501.6499999999996</v>
      </c>
      <c r="X47" s="776">
        <f>X35-X41</f>
        <v>2422.6500000000005</v>
      </c>
      <c r="Y47" s="777">
        <f>W47+X47</f>
        <v>4924.3</v>
      </c>
      <c r="Z47" s="771">
        <f t="shared" ref="Z47:Z48" si="42">Y47/U47</f>
        <v>1</v>
      </c>
    </row>
    <row r="48" spans="1:26" ht="19.5" thickBot="1">
      <c r="A48" s="753"/>
      <c r="B48" s="122" t="s">
        <v>518</v>
      </c>
      <c r="C48" s="123" t="s">
        <v>9</v>
      </c>
      <c r="D48" s="157">
        <v>1278.28</v>
      </c>
      <c r="E48" s="124">
        <v>1334.42</v>
      </c>
      <c r="F48" s="125">
        <v>1305.82</v>
      </c>
      <c r="G48" s="157">
        <f>ROUND(E48,2)</f>
        <v>1334.42</v>
      </c>
      <c r="H48" s="124">
        <f>H36</f>
        <v>1755.42</v>
      </c>
      <c r="I48" s="124">
        <f>I46/I47*1000</f>
        <v>1541.5429604207704</v>
      </c>
      <c r="J48" s="779">
        <f t="shared" si="38"/>
        <v>1.1805171925845603</v>
      </c>
      <c r="K48" s="124">
        <f>H48</f>
        <v>1755.42</v>
      </c>
      <c r="L48" s="124">
        <f>L36</f>
        <v>1806.17</v>
      </c>
      <c r="M48" s="836">
        <f>ROUND(M46*1000/M47,2)</f>
        <v>1780.39</v>
      </c>
      <c r="N48" s="771">
        <f t="shared" si="39"/>
        <v>1.1549402421545458</v>
      </c>
      <c r="O48" s="124">
        <f>L48</f>
        <v>1806.17</v>
      </c>
      <c r="P48" s="124">
        <f>ROUND(P46*1000/P47,2)</f>
        <v>1984.7</v>
      </c>
      <c r="Q48" s="836">
        <f>ROUND(Q46*1000/Q47,2)</f>
        <v>1894</v>
      </c>
      <c r="R48" s="771">
        <f t="shared" si="40"/>
        <v>1.0638118614460876</v>
      </c>
      <c r="S48" s="124">
        <f>P48</f>
        <v>1984.7</v>
      </c>
      <c r="T48" s="124">
        <f>ROUND(T46*1000/T47,2)</f>
        <v>1949.48</v>
      </c>
      <c r="U48" s="836">
        <f>ROUND(U46*1000/U47,2)</f>
        <v>1967.37</v>
      </c>
      <c r="V48" s="771">
        <f t="shared" si="41"/>
        <v>1.0387381203801478</v>
      </c>
      <c r="W48" s="124">
        <f>T48</f>
        <v>1949.48</v>
      </c>
      <c r="X48" s="124">
        <f>ROUND(X46*1000/X47,2)</f>
        <v>2191.9499999999998</v>
      </c>
      <c r="Y48" s="836">
        <f>ROUND(Y46*1000/Y47,2)</f>
        <v>2068.77</v>
      </c>
      <c r="Z48" s="771">
        <f t="shared" si="42"/>
        <v>1.0515408896140532</v>
      </c>
    </row>
    <row r="49" spans="1:26" ht="18.75">
      <c r="A49" s="753"/>
      <c r="B49" s="782"/>
      <c r="C49" s="783"/>
      <c r="D49" s="783"/>
      <c r="E49" s="784">
        <f>E48/D48</f>
        <v>1.0439183903370155</v>
      </c>
      <c r="F49" s="783"/>
      <c r="G49" s="783"/>
      <c r="H49" s="784">
        <f>H48/G48</f>
        <v>1.3154928733082538</v>
      </c>
      <c r="I49" s="783"/>
      <c r="J49" s="787"/>
      <c r="K49" s="783"/>
      <c r="L49" s="784">
        <f>L48/K48</f>
        <v>1.0289104601747729</v>
      </c>
      <c r="M49" s="783"/>
      <c r="N49" s="787"/>
      <c r="O49" s="783"/>
      <c r="P49" s="784">
        <f>P48/O48</f>
        <v>1.0988445162969156</v>
      </c>
      <c r="Q49" s="783"/>
      <c r="R49" s="787"/>
      <c r="S49" s="783"/>
      <c r="T49" s="784">
        <f>T48/S48</f>
        <v>0.98225424497405145</v>
      </c>
      <c r="U49" s="783"/>
      <c r="V49" s="787"/>
      <c r="W49" s="783"/>
      <c r="X49" s="784">
        <f>X48/W48</f>
        <v>1.1243767568787573</v>
      </c>
      <c r="Y49" s="783"/>
      <c r="Z49" s="787"/>
    </row>
    <row r="50" spans="1:26">
      <c r="D50" s="837"/>
      <c r="E50" s="837"/>
      <c r="F50" s="837"/>
      <c r="G50" s="837"/>
      <c r="H50" s="837"/>
      <c r="I50" s="837"/>
      <c r="K50" s="837"/>
      <c r="L50" s="837"/>
      <c r="M50" s="837"/>
      <c r="O50" s="837"/>
      <c r="P50" s="837"/>
      <c r="Q50" s="837"/>
      <c r="S50" s="837"/>
      <c r="T50" s="837"/>
      <c r="U50" s="837"/>
      <c r="W50" s="837"/>
      <c r="X50" s="837"/>
      <c r="Y50" s="837"/>
    </row>
    <row r="51" spans="1:26" ht="34.5" customHeight="1" thickBot="1">
      <c r="B51" s="766" t="s">
        <v>534</v>
      </c>
      <c r="D51" s="837"/>
      <c r="E51" s="837"/>
      <c r="F51" s="837"/>
      <c r="G51" s="837"/>
      <c r="H51" s="837"/>
      <c r="I51" s="837"/>
      <c r="K51" s="837"/>
      <c r="L51" s="837"/>
      <c r="M51" s="837"/>
      <c r="O51" s="837"/>
      <c r="P51" s="837"/>
      <c r="Q51" s="837"/>
      <c r="S51" s="837"/>
      <c r="T51" s="837"/>
      <c r="U51" s="837"/>
      <c r="W51" s="837"/>
      <c r="X51" s="837"/>
      <c r="Y51" s="837"/>
    </row>
    <row r="52" spans="1:26" ht="19.5" thickBot="1">
      <c r="B52" s="115" t="s">
        <v>135</v>
      </c>
      <c r="C52" s="116" t="s">
        <v>0</v>
      </c>
      <c r="D52" s="117">
        <v>5432.19</v>
      </c>
      <c r="E52" s="791">
        <v>5432.1900000000014</v>
      </c>
      <c r="F52" s="119">
        <v>10864.380000000001</v>
      </c>
      <c r="G52" s="117">
        <f>G53*G54*6/1000</f>
        <v>4975.704999999999</v>
      </c>
      <c r="H52" s="791">
        <f>I52-G52</f>
        <v>4975.704999999999</v>
      </c>
      <c r="I52" s="119">
        <f>'Кальк.2019-2023 (ДИ)'!L96</f>
        <v>9951.409999999998</v>
      </c>
      <c r="J52" s="771">
        <f t="shared" ref="J52:J53" si="43">I52/F52</f>
        <v>0.9159666727415644</v>
      </c>
      <c r="K52" s="117">
        <f>ROUND(K53*K54*6/1000,3)</f>
        <v>4975.7049999999999</v>
      </c>
      <c r="L52" s="791">
        <f>M52-K52</f>
        <v>5223.7050000000017</v>
      </c>
      <c r="M52" s="119">
        <f>'Кальк.2019-2023 (ДИ)'!P96</f>
        <v>10199.410000000002</v>
      </c>
      <c r="N52" s="771">
        <f>M52/I52</f>
        <v>1.024921091584007</v>
      </c>
      <c r="O52" s="117">
        <f>ROUND(O53*O54*6/1000,3)</f>
        <v>5223.7049999999999</v>
      </c>
      <c r="P52" s="791">
        <f>Q52-O52</f>
        <v>5359.5249999999996</v>
      </c>
      <c r="Q52" s="119">
        <f>'Кальк.2019-2023 (ДИ)'!T96</f>
        <v>10583.23</v>
      </c>
      <c r="R52" s="771">
        <f>Q52/M52</f>
        <v>1.0376315884938441</v>
      </c>
      <c r="S52" s="117">
        <f>S53*S54*6/1000+0.01</f>
        <v>5359.5342406600012</v>
      </c>
      <c r="T52" s="791">
        <f>U52-S52+0.01</f>
        <v>5552.6457593399991</v>
      </c>
      <c r="U52" s="119">
        <f>'Кальк.2019-2023 (ДИ)'!X96</f>
        <v>10912.17</v>
      </c>
      <c r="V52" s="771">
        <f>U52/Q52</f>
        <v>1.0310812483523462</v>
      </c>
      <c r="W52" s="117">
        <f>W53*W54*6/1000</f>
        <v>5550.1700000000019</v>
      </c>
      <c r="X52" s="791">
        <f>Y52-W52</f>
        <v>5550.1699999999983</v>
      </c>
      <c r="Y52" s="119">
        <f>'Кальк.2019-2023 (ДИ)'!AB96</f>
        <v>11100.34</v>
      </c>
      <c r="Z52" s="771">
        <f>Y52/U52</f>
        <v>1.0172440495336859</v>
      </c>
    </row>
    <row r="53" spans="1:26" ht="19.5" thickBot="1">
      <c r="B53" s="843" t="s">
        <v>535</v>
      </c>
      <c r="C53" s="844" t="s">
        <v>75</v>
      </c>
      <c r="D53" s="845">
        <v>27.010999999999999</v>
      </c>
      <c r="E53" s="846">
        <v>27.010999999999999</v>
      </c>
      <c r="F53" s="847">
        <v>27.010999999999999</v>
      </c>
      <c r="G53" s="845">
        <v>27.010999999999999</v>
      </c>
      <c r="H53" s="846">
        <f>$M$53</f>
        <v>27.010999999999999</v>
      </c>
      <c r="I53" s="847">
        <v>27.010999999999999</v>
      </c>
      <c r="J53" s="778">
        <f t="shared" si="43"/>
        <v>1</v>
      </c>
      <c r="K53" s="845">
        <f>$M$53</f>
        <v>27.010999999999999</v>
      </c>
      <c r="L53" s="846">
        <f>$M$53</f>
        <v>27.010999999999999</v>
      </c>
      <c r="M53" s="847">
        <f>I53</f>
        <v>27.010999999999999</v>
      </c>
      <c r="N53" s="771">
        <f t="shared" ref="N53:N54" si="44">M53/I53</f>
        <v>1</v>
      </c>
      <c r="O53" s="845">
        <f>$M$53</f>
        <v>27.010999999999999</v>
      </c>
      <c r="P53" s="846">
        <f>$M$53</f>
        <v>27.010999999999999</v>
      </c>
      <c r="Q53" s="847">
        <f>M53</f>
        <v>27.010999999999999</v>
      </c>
      <c r="R53" s="771">
        <f t="shared" ref="R53:R54" si="45">Q53/M53</f>
        <v>1</v>
      </c>
      <c r="S53" s="845">
        <f>$M$53</f>
        <v>27.010999999999999</v>
      </c>
      <c r="T53" s="846">
        <f>$M$53</f>
        <v>27.010999999999999</v>
      </c>
      <c r="U53" s="847">
        <f>Q53</f>
        <v>27.010999999999999</v>
      </c>
      <c r="V53" s="771">
        <f t="shared" ref="V53:V54" si="46">U53/Q53</f>
        <v>1</v>
      </c>
      <c r="W53" s="845">
        <f>$M$53</f>
        <v>27.010999999999999</v>
      </c>
      <c r="X53" s="846">
        <f>$M$53</f>
        <v>27.010999999999999</v>
      </c>
      <c r="Y53" s="847">
        <f>U53</f>
        <v>27.010999999999999</v>
      </c>
      <c r="Z53" s="771">
        <f t="shared" ref="Z53:Z54" si="47">Y53/U53</f>
        <v>1</v>
      </c>
    </row>
    <row r="54" spans="1:26" ht="19.5" thickBot="1">
      <c r="A54" s="753"/>
      <c r="B54" s="122" t="s">
        <v>536</v>
      </c>
      <c r="C54" s="123" t="s">
        <v>537</v>
      </c>
      <c r="D54" s="124">
        <v>33518.379999999997</v>
      </c>
      <c r="E54" s="124">
        <v>33518.379999999997</v>
      </c>
      <c r="F54" s="125">
        <v>33518.379999999997</v>
      </c>
      <c r="G54" s="124">
        <f>I54</f>
        <v>30701.720286796732</v>
      </c>
      <c r="H54" s="124">
        <f>ROUND((H52/H53/6*1000),2)</f>
        <v>30701.72</v>
      </c>
      <c r="I54" s="125">
        <f>I52/I53/12*1000</f>
        <v>30701.720286796732</v>
      </c>
      <c r="J54" s="779">
        <f>I54/F54</f>
        <v>0.91596671100443205</v>
      </c>
      <c r="K54" s="124">
        <f>ROUND(H54,2)</f>
        <v>30701.72</v>
      </c>
      <c r="L54" s="124">
        <f>ROUND((L52/L53/6*1000),2)</f>
        <v>32231.96</v>
      </c>
      <c r="M54" s="125">
        <f>ROUND(M52/M53/12*1000,2)</f>
        <v>31466.84</v>
      </c>
      <c r="N54" s="771">
        <f t="shared" si="44"/>
        <v>1.0249210697659932</v>
      </c>
      <c r="O54" s="124">
        <f>ROUND(L54,2)</f>
        <v>32231.96</v>
      </c>
      <c r="P54" s="124">
        <f>ROUND((P52/P53/6*1000),2)</f>
        <v>33070.01</v>
      </c>
      <c r="Q54" s="125">
        <f>ROUND(Q52/Q53/12*1000,2)</f>
        <v>32650.99</v>
      </c>
      <c r="R54" s="771">
        <f t="shared" si="45"/>
        <v>1.0376316783000772</v>
      </c>
      <c r="S54" s="124">
        <f>P54</f>
        <v>33070.01</v>
      </c>
      <c r="T54" s="124">
        <f>T52/T53/6*1000</f>
        <v>34261.632664099809</v>
      </c>
      <c r="U54" s="125">
        <f>ROUND(U52/U53/12*1000,2)</f>
        <v>33665.82</v>
      </c>
      <c r="V54" s="771">
        <f t="shared" si="46"/>
        <v>1.0310811402655784</v>
      </c>
      <c r="W54" s="124">
        <f>Y54</f>
        <v>34246.356422691999</v>
      </c>
      <c r="X54" s="124">
        <f>ROUND((X52/X53/6*1000),2)</f>
        <v>34246.36</v>
      </c>
      <c r="Y54" s="124">
        <f>Y52/Y53/12*1000</f>
        <v>34246.356422691999</v>
      </c>
      <c r="Z54" s="771">
        <f t="shared" si="47"/>
        <v>1.0172440897828123</v>
      </c>
    </row>
    <row r="55" spans="1:26" ht="18.75">
      <c r="A55" s="753"/>
      <c r="B55" s="782" t="s">
        <v>134</v>
      </c>
      <c r="C55" s="783"/>
      <c r="D55" s="783"/>
      <c r="E55" s="784">
        <f>E54/D54</f>
        <v>1</v>
      </c>
      <c r="F55" s="783"/>
      <c r="G55" s="783"/>
      <c r="H55" s="784">
        <f>H54/G54</f>
        <v>0.99999999065861045</v>
      </c>
      <c r="I55" s="783"/>
      <c r="J55" s="787"/>
      <c r="K55" s="783"/>
      <c r="L55" s="848">
        <f>L54/K54</f>
        <v>1.0498421586803606</v>
      </c>
      <c r="M55" s="783"/>
      <c r="N55" s="787"/>
      <c r="O55" s="783"/>
      <c r="P55" s="848">
        <f>P54/O54</f>
        <v>1.0260005907180327</v>
      </c>
      <c r="Q55" s="783"/>
      <c r="R55" s="787"/>
      <c r="S55" s="783"/>
      <c r="T55" s="848">
        <f>T54/S54</f>
        <v>1.0360333324392648</v>
      </c>
      <c r="U55" s="783"/>
      <c r="V55" s="787"/>
      <c r="W55" s="783"/>
      <c r="X55" s="848">
        <f>X54/W54</f>
        <v>1.0000001044580613</v>
      </c>
      <c r="Y55" s="783"/>
      <c r="Z55" s="787"/>
    </row>
    <row r="58" spans="1:26">
      <c r="G58" s="879"/>
    </row>
    <row r="61" spans="1:26" ht="16.5" thickBot="1"/>
    <row r="62" spans="1:26" ht="31.5">
      <c r="B62" s="164"/>
      <c r="C62" s="164"/>
      <c r="D62" s="853" t="s">
        <v>539</v>
      </c>
      <c r="E62" s="1253" t="s">
        <v>540</v>
      </c>
      <c r="F62" s="1254"/>
      <c r="G62" s="1254"/>
      <c r="H62" s="853" t="s">
        <v>554</v>
      </c>
      <c r="I62" s="1253" t="s">
        <v>555</v>
      </c>
      <c r="J62" s="1254"/>
      <c r="K62" s="1254"/>
      <c r="L62" s="853" t="s">
        <v>556</v>
      </c>
      <c r="M62" s="1253" t="s">
        <v>557</v>
      </c>
      <c r="N62" s="1254"/>
      <c r="O62" s="1254"/>
      <c r="P62" s="853" t="s">
        <v>559</v>
      </c>
      <c r="Q62" s="1253" t="s">
        <v>560</v>
      </c>
      <c r="R62" s="1254"/>
      <c r="S62" s="1254"/>
      <c r="T62" s="853" t="s">
        <v>561</v>
      </c>
      <c r="U62" s="1253" t="s">
        <v>562</v>
      </c>
      <c r="V62" s="1254"/>
      <c r="W62" s="1254"/>
    </row>
    <row r="63" spans="1:26" ht="144">
      <c r="B63" s="164"/>
      <c r="C63" s="164"/>
      <c r="D63" s="1265" t="s">
        <v>541</v>
      </c>
      <c r="E63" s="854" t="s">
        <v>542</v>
      </c>
      <c r="F63" s="855" t="s">
        <v>543</v>
      </c>
      <c r="G63" s="1245" t="s">
        <v>544</v>
      </c>
      <c r="H63" s="1265" t="s">
        <v>541</v>
      </c>
      <c r="I63" s="854" t="s">
        <v>542</v>
      </c>
      <c r="J63" s="855" t="s">
        <v>543</v>
      </c>
      <c r="K63" s="1245" t="s">
        <v>544</v>
      </c>
      <c r="L63" s="1265" t="s">
        <v>541</v>
      </c>
      <c r="M63" s="854" t="s">
        <v>542</v>
      </c>
      <c r="N63" s="855" t="s">
        <v>543</v>
      </c>
      <c r="O63" s="1245" t="s">
        <v>544</v>
      </c>
      <c r="P63" s="1265" t="s">
        <v>541</v>
      </c>
      <c r="Q63" s="854" t="s">
        <v>542</v>
      </c>
      <c r="R63" s="855" t="s">
        <v>543</v>
      </c>
      <c r="S63" s="1245" t="s">
        <v>544</v>
      </c>
      <c r="T63" s="1265" t="s">
        <v>541</v>
      </c>
      <c r="U63" s="854" t="s">
        <v>542</v>
      </c>
      <c r="V63" s="855" t="s">
        <v>543</v>
      </c>
      <c r="W63" s="1245" t="s">
        <v>544</v>
      </c>
    </row>
    <row r="64" spans="1:26">
      <c r="B64"/>
      <c r="C64"/>
      <c r="D64" s="1265"/>
      <c r="E64" s="1247" t="s">
        <v>545</v>
      </c>
      <c r="F64" s="1249" t="s">
        <v>546</v>
      </c>
      <c r="G64" s="1245"/>
      <c r="H64" s="1265"/>
      <c r="I64" s="1247" t="s">
        <v>545</v>
      </c>
      <c r="J64" s="1249" t="s">
        <v>546</v>
      </c>
      <c r="K64" s="1245"/>
      <c r="L64" s="1265"/>
      <c r="M64" s="1247" t="s">
        <v>545</v>
      </c>
      <c r="N64" s="1249" t="s">
        <v>546</v>
      </c>
      <c r="O64" s="1245"/>
      <c r="P64" s="1265"/>
      <c r="Q64" s="1247" t="s">
        <v>545</v>
      </c>
      <c r="R64" s="1249" t="s">
        <v>546</v>
      </c>
      <c r="S64" s="1245"/>
      <c r="T64" s="1265"/>
      <c r="U64" s="1247" t="s">
        <v>545</v>
      </c>
      <c r="V64" s="1249" t="s">
        <v>546</v>
      </c>
      <c r="W64" s="1245"/>
    </row>
    <row r="65" spans="2:23" ht="16.5" thickBot="1">
      <c r="B65"/>
      <c r="C65"/>
      <c r="D65" s="1244"/>
      <c r="E65" s="1248"/>
      <c r="F65" s="1250"/>
      <c r="G65" s="1246"/>
      <c r="H65" s="1244"/>
      <c r="I65" s="1248"/>
      <c r="J65" s="1250"/>
      <c r="K65" s="1246"/>
      <c r="L65" s="1244"/>
      <c r="M65" s="1248"/>
      <c r="N65" s="1250"/>
      <c r="O65" s="1246"/>
      <c r="P65" s="1244"/>
      <c r="Q65" s="1248"/>
      <c r="R65" s="1250"/>
      <c r="S65" s="1246"/>
      <c r="T65" s="1244"/>
      <c r="U65" s="1248"/>
      <c r="V65" s="1250"/>
      <c r="W65" s="1246"/>
    </row>
    <row r="66" spans="2:23">
      <c r="B66" s="1240" t="s">
        <v>547</v>
      </c>
      <c r="C66" s="856" t="s">
        <v>548</v>
      </c>
      <c r="D66" s="857">
        <f>ROUND(D68/1.18,2)</f>
        <v>1543.24</v>
      </c>
      <c r="E66" s="858">
        <f>D66</f>
        <v>1543.24</v>
      </c>
      <c r="F66" s="859">
        <f>F71/F69*1000</f>
        <v>1282.0393350000002</v>
      </c>
      <c r="G66" s="860"/>
      <c r="H66" s="857">
        <f>ROUND(H68/1.2,2)</f>
        <v>2146.98</v>
      </c>
      <c r="I66" s="858">
        <f>ROUND(I68/1.2,2)</f>
        <v>2146.98</v>
      </c>
      <c r="J66" s="859">
        <f>ROUND(J71/J69*1000,2)</f>
        <v>1867.44</v>
      </c>
      <c r="K66" s="860"/>
      <c r="L66" s="857">
        <f>ROUND(L68/1.2,2)</f>
        <v>2225.14</v>
      </c>
      <c r="M66" s="858">
        <f>ROUND(M68/1.2,2)</f>
        <v>2225.14</v>
      </c>
      <c r="N66" s="859">
        <f>ROUND(N71/N69*1000,2)</f>
        <v>1926.04</v>
      </c>
      <c r="O66" s="860"/>
      <c r="P66" s="857">
        <f>ROUND(P68/1.2,2)</f>
        <v>2420.46</v>
      </c>
      <c r="Q66" s="858">
        <f>ROUND(Q68/1.2,2)</f>
        <v>2420.46</v>
      </c>
      <c r="R66" s="859">
        <f>ROUND(R71/R69*1000,2)</f>
        <v>2109.38</v>
      </c>
      <c r="S66" s="860"/>
      <c r="T66" s="857">
        <f>ROUND(T68/1.2,2)</f>
        <v>2402.59</v>
      </c>
      <c r="U66" s="858">
        <f>ROUND(U68/1.2,2)</f>
        <v>2402.59</v>
      </c>
      <c r="V66" s="859">
        <f>ROUND(V71/V69*1000,2)</f>
        <v>2079.11</v>
      </c>
      <c r="W66" s="860"/>
    </row>
    <row r="67" spans="2:23" ht="16.5">
      <c r="B67" s="1241"/>
      <c r="C67" s="861" t="s">
        <v>549</v>
      </c>
      <c r="D67" s="862">
        <v>25.5</v>
      </c>
      <c r="E67" s="863"/>
      <c r="F67" s="864"/>
      <c r="G67" s="865">
        <v>25.5</v>
      </c>
      <c r="H67" s="862">
        <f>K67</f>
        <v>27.29</v>
      </c>
      <c r="I67" s="863"/>
      <c r="J67" s="864"/>
      <c r="K67" s="865">
        <f>H21</f>
        <v>27.29</v>
      </c>
      <c r="L67" s="862">
        <f>O67</f>
        <v>29.2</v>
      </c>
      <c r="M67" s="863"/>
      <c r="N67" s="864"/>
      <c r="O67" s="865">
        <v>29.2</v>
      </c>
      <c r="P67" s="862">
        <f>S67</f>
        <v>30.37</v>
      </c>
      <c r="Q67" s="863"/>
      <c r="R67" s="864"/>
      <c r="S67" s="865">
        <v>30.37</v>
      </c>
      <c r="T67" s="862">
        <f>W67</f>
        <v>31.58</v>
      </c>
      <c r="U67" s="863"/>
      <c r="V67" s="864"/>
      <c r="W67" s="865">
        <v>31.58</v>
      </c>
    </row>
    <row r="68" spans="2:23" ht="28.5">
      <c r="B68" s="1241"/>
      <c r="C68" s="861" t="s">
        <v>550</v>
      </c>
      <c r="D68" s="866">
        <v>1821.02</v>
      </c>
      <c r="E68" s="867">
        <f>E66*1.2</f>
        <v>1851.8879999999999</v>
      </c>
      <c r="F68" s="864"/>
      <c r="G68" s="868"/>
      <c r="H68" s="866">
        <f>I68</f>
        <v>2576.38</v>
      </c>
      <c r="I68" s="867">
        <f>ROUND(((H19+H40)/H41)*1.2*1000,2)</f>
        <v>2576.38</v>
      </c>
      <c r="J68" s="864"/>
      <c r="K68" s="868"/>
      <c r="L68" s="866">
        <f>M68</f>
        <v>2670.17</v>
      </c>
      <c r="M68" s="867">
        <f>ROUND(((L19+L40)/L41)*1.2*1000,2)</f>
        <v>2670.17</v>
      </c>
      <c r="N68" s="864"/>
      <c r="O68" s="868"/>
      <c r="P68" s="866">
        <f>Q68</f>
        <v>2904.55</v>
      </c>
      <c r="Q68" s="867">
        <f>ROUND(((P19+P40)/P41)*1.2*1000,2)</f>
        <v>2904.55</v>
      </c>
      <c r="R68" s="864"/>
      <c r="S68" s="868"/>
      <c r="T68" s="866">
        <f>U68</f>
        <v>2883.11</v>
      </c>
      <c r="U68" s="867">
        <f>ROUND(((T19+T40)/T41)*1.2*1000,2)</f>
        <v>2883.11</v>
      </c>
      <c r="V68" s="864"/>
      <c r="W68" s="868"/>
    </row>
    <row r="69" spans="2:23" ht="28.5">
      <c r="B69" s="1241"/>
      <c r="C69" s="869" t="s">
        <v>551</v>
      </c>
      <c r="D69" s="870"/>
      <c r="E69" s="871">
        <f>F69</f>
        <v>3000</v>
      </c>
      <c r="F69" s="872">
        <f>G41</f>
        <v>3000</v>
      </c>
      <c r="G69" s="872"/>
      <c r="H69" s="870"/>
      <c r="I69" s="871">
        <f>J69</f>
        <v>3000</v>
      </c>
      <c r="J69" s="872">
        <f>K41</f>
        <v>3000</v>
      </c>
      <c r="K69" s="872"/>
      <c r="L69" s="870"/>
      <c r="M69" s="871">
        <f>N69</f>
        <v>3000</v>
      </c>
      <c r="N69" s="872">
        <f>O41</f>
        <v>3000</v>
      </c>
      <c r="O69" s="872"/>
      <c r="P69" s="870"/>
      <c r="Q69" s="871">
        <f>R69</f>
        <v>3000</v>
      </c>
      <c r="R69" s="872">
        <f>S41</f>
        <v>3000</v>
      </c>
      <c r="S69" s="872"/>
      <c r="T69" s="870"/>
      <c r="U69" s="871">
        <f>V69</f>
        <v>3000</v>
      </c>
      <c r="V69" s="872">
        <f>W41</f>
        <v>3000</v>
      </c>
      <c r="W69" s="872"/>
    </row>
    <row r="70" spans="2:23" ht="16.5">
      <c r="B70" s="1241"/>
      <c r="C70" s="869" t="s">
        <v>552</v>
      </c>
      <c r="D70" s="870"/>
      <c r="E70" s="871"/>
      <c r="F70" s="872"/>
      <c r="G70" s="872">
        <f>G20</f>
        <v>30729.49</v>
      </c>
      <c r="H70" s="870"/>
      <c r="I70" s="871"/>
      <c r="J70" s="872"/>
      <c r="K70" s="872">
        <f>G70</f>
        <v>30729.49</v>
      </c>
      <c r="L70" s="870"/>
      <c r="M70" s="871"/>
      <c r="N70" s="872"/>
      <c r="O70" s="872">
        <f>K70</f>
        <v>30729.49</v>
      </c>
      <c r="P70" s="870"/>
      <c r="Q70" s="871"/>
      <c r="R70" s="872"/>
      <c r="S70" s="872">
        <f>O70</f>
        <v>30729.49</v>
      </c>
      <c r="T70" s="870"/>
      <c r="U70" s="871"/>
      <c r="V70" s="872"/>
      <c r="W70" s="872">
        <f>S70</f>
        <v>30729.49</v>
      </c>
    </row>
    <row r="71" spans="2:23" ht="16.5" thickBot="1">
      <c r="B71" s="1242"/>
      <c r="C71" s="873" t="s">
        <v>553</v>
      </c>
      <c r="D71" s="874"/>
      <c r="E71" s="875">
        <f>E66*E69/1000</f>
        <v>4629.72</v>
      </c>
      <c r="F71" s="876">
        <f>E71-G71</f>
        <v>3846.1180050000003</v>
      </c>
      <c r="G71" s="876">
        <f>G67*G70/1000</f>
        <v>783.60199499999999</v>
      </c>
      <c r="H71" s="874"/>
      <c r="I71" s="875">
        <f>ROUND(I66*I69/1000,2)</f>
        <v>6440.94</v>
      </c>
      <c r="J71" s="876">
        <f>I71-K71</f>
        <v>5602.33</v>
      </c>
      <c r="K71" s="876">
        <f>ROUND(K67*K70/1000,2)</f>
        <v>838.61</v>
      </c>
      <c r="L71" s="874"/>
      <c r="M71" s="875">
        <f>ROUND(M66*M69/1000,2)</f>
        <v>6675.42</v>
      </c>
      <c r="N71" s="876">
        <f>M71-O71</f>
        <v>5778.12</v>
      </c>
      <c r="O71" s="876">
        <f>ROUND(O67*O70/1000,2)</f>
        <v>897.3</v>
      </c>
      <c r="P71" s="874"/>
      <c r="Q71" s="875">
        <f>ROUND(Q66*Q69/1000,2)</f>
        <v>7261.38</v>
      </c>
      <c r="R71" s="876">
        <f>Q71-S71</f>
        <v>6328.13</v>
      </c>
      <c r="S71" s="876">
        <f>ROUND(S67*S70/1000,2)</f>
        <v>933.25</v>
      </c>
      <c r="T71" s="874"/>
      <c r="U71" s="875">
        <f>ROUND(U66*U69/1000,2)</f>
        <v>7207.77</v>
      </c>
      <c r="V71" s="876">
        <f>U71-W71</f>
        <v>6237.33</v>
      </c>
      <c r="W71" s="876">
        <f>ROUND(W67*W70/1000,2)</f>
        <v>970.44</v>
      </c>
    </row>
  </sheetData>
  <mergeCells count="39">
    <mergeCell ref="W4:Y4"/>
    <mergeCell ref="Z4:Z5"/>
    <mergeCell ref="Q62:S62"/>
    <mergeCell ref="P63:P65"/>
    <mergeCell ref="S63:S65"/>
    <mergeCell ref="Q64:Q65"/>
    <mergeCell ref="R64:R65"/>
    <mergeCell ref="U62:W62"/>
    <mergeCell ref="T63:T65"/>
    <mergeCell ref="W63:W65"/>
    <mergeCell ref="U64:U65"/>
    <mergeCell ref="V64:V65"/>
    <mergeCell ref="I64:I65"/>
    <mergeCell ref="J64:J65"/>
    <mergeCell ref="R4:R5"/>
    <mergeCell ref="S4:U4"/>
    <mergeCell ref="V4:V5"/>
    <mergeCell ref="O4:Q4"/>
    <mergeCell ref="L63:L65"/>
    <mergeCell ref="O63:O65"/>
    <mergeCell ref="M64:M65"/>
    <mergeCell ref="N64:N65"/>
    <mergeCell ref="M62:O62"/>
    <mergeCell ref="B66:B71"/>
    <mergeCell ref="K4:M4"/>
    <mergeCell ref="N4:N5"/>
    <mergeCell ref="B4:B5"/>
    <mergeCell ref="C4:C5"/>
    <mergeCell ref="D4:F4"/>
    <mergeCell ref="G4:I4"/>
    <mergeCell ref="J4:J5"/>
    <mergeCell ref="E62:G62"/>
    <mergeCell ref="D63:D65"/>
    <mergeCell ref="G63:G65"/>
    <mergeCell ref="E64:E65"/>
    <mergeCell ref="F64:F65"/>
    <mergeCell ref="I62:K62"/>
    <mergeCell ref="H63:H65"/>
    <mergeCell ref="K63:K65"/>
  </mergeCells>
  <pageMargins left="0.70866141732283472" right="0.23622047244094491" top="0.39370078740157483" bottom="0.55118110236220474" header="0.31496062992125984" footer="0.31496062992125984"/>
  <pageSetup paperSize="8" scale="45" orientation="landscape" blackAndWhite="1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79"/>
  <sheetViews>
    <sheetView zoomScale="80" zoomScaleNormal="80" workbookViewId="0">
      <selection activeCell="H7" sqref="H7"/>
    </sheetView>
  </sheetViews>
  <sheetFormatPr defaultRowHeight="15.75"/>
  <cols>
    <col min="2" max="2" width="4.875" customWidth="1"/>
    <col min="3" max="3" width="37.5" customWidth="1"/>
    <col min="4" max="4" width="12.875" style="132" customWidth="1"/>
    <col min="5" max="5" width="12.375" style="129" customWidth="1"/>
    <col min="6" max="6" width="11.5" customWidth="1"/>
    <col min="7" max="7" width="14.5" customWidth="1"/>
    <col min="8" max="8" width="12.75" customWidth="1"/>
    <col min="9" max="9" width="17.125" customWidth="1"/>
    <col min="10" max="10" width="10.875" customWidth="1"/>
    <col min="11" max="13" width="14.75" customWidth="1"/>
    <col min="15" max="15" width="12.375" bestFit="1" customWidth="1"/>
  </cols>
  <sheetData>
    <row r="1" spans="2:23">
      <c r="D1" s="128" t="e">
        <f>'Кальк.2019-2023 (ДИ)'!#REF!</f>
        <v>#REF!</v>
      </c>
      <c r="G1" s="128">
        <f>'Кальк.2019-2023 (ДИ)'!I20</f>
        <v>6191.32</v>
      </c>
      <c r="H1" s="128" t="e">
        <f>'Кальк.2019-2023 (ДИ)'!#REF!</f>
        <v>#REF!</v>
      </c>
      <c r="I1" s="130"/>
      <c r="K1" s="156" t="e">
        <f>G1-K4</f>
        <v>#REF!</v>
      </c>
      <c r="L1" s="156" t="e">
        <f>H1-L4</f>
        <v>#REF!</v>
      </c>
    </row>
    <row r="2" spans="2:23" ht="31.5" customHeight="1">
      <c r="B2" s="1269" t="s">
        <v>62</v>
      </c>
      <c r="C2" s="1269" t="s">
        <v>7</v>
      </c>
      <c r="D2" s="1269" t="s">
        <v>143</v>
      </c>
      <c r="E2" s="1269" t="s">
        <v>144</v>
      </c>
      <c r="F2" s="1267" t="s">
        <v>145</v>
      </c>
      <c r="G2" s="1268"/>
      <c r="H2" s="1268"/>
      <c r="I2" s="1268"/>
      <c r="J2" s="1269" t="s">
        <v>146</v>
      </c>
      <c r="K2" s="1269"/>
      <c r="L2" s="1269"/>
      <c r="M2" s="1269"/>
    </row>
    <row r="3" spans="2:23" ht="22.5" customHeight="1">
      <c r="B3" s="1269"/>
      <c r="C3" s="1269"/>
      <c r="D3" s="1269"/>
      <c r="E3" s="1269"/>
      <c r="F3" s="131" t="s">
        <v>79</v>
      </c>
      <c r="G3" s="132" t="s">
        <v>69</v>
      </c>
      <c r="H3" s="132" t="s">
        <v>27</v>
      </c>
      <c r="I3" s="132" t="s">
        <v>63</v>
      </c>
      <c r="J3" s="132" t="s">
        <v>79</v>
      </c>
      <c r="K3" s="132" t="s">
        <v>69</v>
      </c>
      <c r="L3" s="132" t="s">
        <v>27</v>
      </c>
      <c r="M3" s="132" t="str">
        <f>I3</f>
        <v>Теплоноситель</v>
      </c>
    </row>
    <row r="4" spans="2:23" ht="27" customHeight="1">
      <c r="B4" s="1270" t="s">
        <v>137</v>
      </c>
      <c r="C4" s="1271"/>
      <c r="D4" s="133" t="e">
        <f t="shared" ref="D4:M4" si="0">SUM(D5,D6:D7,D11:D12,D19:D23)</f>
        <v>#REF!</v>
      </c>
      <c r="E4" s="133" t="e">
        <f t="shared" si="0"/>
        <v>#REF!</v>
      </c>
      <c r="F4" s="133" t="e">
        <f t="shared" si="0"/>
        <v>#REF!</v>
      </c>
      <c r="G4" s="133" t="e">
        <f t="shared" si="0"/>
        <v>#REF!</v>
      </c>
      <c r="H4" s="133" t="e">
        <f t="shared" si="0"/>
        <v>#REF!</v>
      </c>
      <c r="I4" s="133">
        <f t="shared" si="0"/>
        <v>0</v>
      </c>
      <c r="J4" s="133" t="e">
        <f t="shared" si="0"/>
        <v>#REF!</v>
      </c>
      <c r="K4" s="133" t="e">
        <f t="shared" si="0"/>
        <v>#REF!</v>
      </c>
      <c r="L4" s="133" t="e">
        <f t="shared" si="0"/>
        <v>#REF!</v>
      </c>
      <c r="M4" s="133" t="e">
        <f t="shared" si="0"/>
        <v>#REF!</v>
      </c>
    </row>
    <row r="5" spans="2:23">
      <c r="B5" s="134">
        <v>1</v>
      </c>
      <c r="C5" s="135" t="s">
        <v>91</v>
      </c>
      <c r="D5" s="136" t="e">
        <f>'Кальк.2019-2023 (ДИ)'!#REF!</f>
        <v>#REF!</v>
      </c>
      <c r="E5" s="136" t="e">
        <f>'Кальк.2019-2023 (ДИ)'!#REF!</f>
        <v>#REF!</v>
      </c>
      <c r="F5" s="137" t="e">
        <f t="shared" ref="F5:F15" si="1">G5+H5+I5</f>
        <v>#REF!</v>
      </c>
      <c r="G5" s="136"/>
      <c r="H5" s="136" t="e">
        <f>ROUND(#REF!*(1/2+1/2*индексы!$E$8),2)</f>
        <v>#REF!</v>
      </c>
      <c r="I5" s="136"/>
      <c r="J5" s="137" t="e">
        <f t="shared" ref="J5:J24" si="2">K5+L5+M5</f>
        <v>#REF!</v>
      </c>
      <c r="K5" s="136" t="e">
        <f>ROUND(G5*$D$36,2)</f>
        <v>#REF!</v>
      </c>
      <c r="L5" s="136" t="e">
        <f>ROUND(H5*$D$36,2)</f>
        <v>#REF!</v>
      </c>
      <c r="M5" s="136" t="e">
        <f>ROUND(I5*$D$36,2)</f>
        <v>#REF!</v>
      </c>
      <c r="N5" s="138"/>
      <c r="O5" s="156" t="e">
        <f>#REF!</f>
        <v>#REF!</v>
      </c>
      <c r="Q5" s="154" t="e">
        <f>J4/D4</f>
        <v>#REF!</v>
      </c>
      <c r="U5" s="8"/>
      <c r="W5" s="8"/>
    </row>
    <row r="6" spans="2:23">
      <c r="B6" s="134">
        <v>2</v>
      </c>
      <c r="C6" s="135" t="s">
        <v>92</v>
      </c>
      <c r="D6" s="136" t="e">
        <f>'Кальк.2019-2023 (ДИ)'!#REF!</f>
        <v>#REF!</v>
      </c>
      <c r="E6" s="136" t="e">
        <f>'Кальк.2019-2023 (ДИ)'!#REF!</f>
        <v>#REF!</v>
      </c>
      <c r="F6" s="137" t="e">
        <f t="shared" si="1"/>
        <v>#REF!</v>
      </c>
      <c r="G6" s="139"/>
      <c r="H6" s="136" t="e">
        <f>ROUND(#REF!*(1/2+1/2*индексы!$E$8),2)</f>
        <v>#REF!</v>
      </c>
      <c r="I6" s="136"/>
      <c r="J6" s="137" t="e">
        <f t="shared" si="2"/>
        <v>#REF!</v>
      </c>
      <c r="K6" s="136" t="e">
        <f t="shared" ref="K6:M6" si="3">ROUND(G6*$D$36,2)</f>
        <v>#REF!</v>
      </c>
      <c r="L6" s="136" t="e">
        <f t="shared" si="3"/>
        <v>#REF!</v>
      </c>
      <c r="M6" s="136" t="e">
        <f t="shared" si="3"/>
        <v>#REF!</v>
      </c>
      <c r="N6" s="138"/>
      <c r="O6" s="156" t="e">
        <f>#REF!</f>
        <v>#REF!</v>
      </c>
      <c r="U6" s="8"/>
    </row>
    <row r="7" spans="2:23">
      <c r="B7" s="134">
        <v>3</v>
      </c>
      <c r="C7" s="135" t="s">
        <v>93</v>
      </c>
      <c r="D7" s="137" t="e">
        <f t="shared" ref="D7:E7" si="4">SUM(D8:D10)</f>
        <v>#REF!</v>
      </c>
      <c r="E7" s="137" t="e">
        <f t="shared" si="4"/>
        <v>#REF!</v>
      </c>
      <c r="F7" s="137" t="e">
        <f t="shared" si="1"/>
        <v>#REF!</v>
      </c>
      <c r="G7" s="137" t="e">
        <f>SUM(G8:G10)</f>
        <v>#REF!</v>
      </c>
      <c r="H7" s="137" t="e">
        <f>SUM(H8:H10)</f>
        <v>#REF!</v>
      </c>
      <c r="I7" s="137"/>
      <c r="J7" s="137" t="e">
        <f t="shared" si="2"/>
        <v>#REF!</v>
      </c>
      <c r="K7" s="137" t="e">
        <f>SUM(K8:K10)</f>
        <v>#REF!</v>
      </c>
      <c r="L7" s="137" t="e">
        <f>SUM(L8:L10)</f>
        <v>#REF!</v>
      </c>
      <c r="M7" s="137" t="e">
        <f t="shared" ref="M7" si="5">SUM(M8:M10)</f>
        <v>#REF!</v>
      </c>
      <c r="N7" s="138"/>
      <c r="O7" s="156" t="e">
        <f>#REF!</f>
        <v>#REF!</v>
      </c>
      <c r="U7" s="8"/>
    </row>
    <row r="8" spans="2:23">
      <c r="B8" s="134"/>
      <c r="C8" s="140" t="str">
        <f>[178]Кальк_2014_ЭОР!B17</f>
        <v>основной производственный  персонал</v>
      </c>
      <c r="D8" s="136" t="e">
        <f>'Кальк.2019-2023 (ДИ)'!#REF!</f>
        <v>#REF!</v>
      </c>
      <c r="E8" s="136" t="e">
        <f>'Кальк.2019-2023 (ДИ)'!#REF!</f>
        <v>#REF!</v>
      </c>
      <c r="F8" s="137" t="e">
        <f t="shared" si="1"/>
        <v>#REF!</v>
      </c>
      <c r="G8" s="136" t="e">
        <f>ROUND(G27*G$31*12/1000,2)</f>
        <v>#REF!</v>
      </c>
      <c r="H8" s="136" t="e">
        <f>ROUND(H27*H$31*12/1000,2)</f>
        <v>#REF!</v>
      </c>
      <c r="I8" s="136"/>
      <c r="J8" s="137" t="e">
        <f t="shared" si="2"/>
        <v>#REF!</v>
      </c>
      <c r="K8" s="136" t="e">
        <f t="shared" ref="K8:K11" si="6">ROUND(G8*$D$36,2)</f>
        <v>#REF!</v>
      </c>
      <c r="L8" s="136" t="e">
        <f t="shared" ref="L8:L11" si="7">ROUND(H8*$D$36,2)</f>
        <v>#REF!</v>
      </c>
      <c r="M8" s="136" t="e">
        <f t="shared" ref="M8:M11" si="8">ROUND(I8*$D$36,2)</f>
        <v>#REF!</v>
      </c>
      <c r="N8" s="138"/>
    </row>
    <row r="9" spans="2:23">
      <c r="B9" s="134"/>
      <c r="C9" s="140" t="str">
        <f>[178]Кальк_2014_ЭОР!B19</f>
        <v>цеховый  персонал</v>
      </c>
      <c r="D9" s="136" t="e">
        <f>'Кальк.2019-2023 (ДИ)'!#REF!</f>
        <v>#REF!</v>
      </c>
      <c r="E9" s="136" t="e">
        <f>'Кальк.2019-2023 (ДИ)'!#REF!</f>
        <v>#REF!</v>
      </c>
      <c r="F9" s="137" t="e">
        <f t="shared" si="1"/>
        <v>#REF!</v>
      </c>
      <c r="G9" s="136" t="e">
        <f t="shared" ref="G9:H9" si="9">ROUND(G28*G$31*12/1000,2)</f>
        <v>#REF!</v>
      </c>
      <c r="H9" s="136" t="e">
        <f t="shared" si="9"/>
        <v>#REF!</v>
      </c>
      <c r="I9" s="136"/>
      <c r="J9" s="137" t="e">
        <f t="shared" si="2"/>
        <v>#REF!</v>
      </c>
      <c r="K9" s="136" t="e">
        <f t="shared" si="6"/>
        <v>#REF!</v>
      </c>
      <c r="L9" s="136" t="e">
        <f t="shared" si="7"/>
        <v>#REF!</v>
      </c>
      <c r="M9" s="136" t="e">
        <f t="shared" si="8"/>
        <v>#REF!</v>
      </c>
      <c r="N9" s="138"/>
      <c r="U9" s="8"/>
    </row>
    <row r="10" spans="2:23">
      <c r="B10" s="134"/>
      <c r="C10" s="140" t="str">
        <f>[178]Кальк_2014_ЭОР!B20</f>
        <v>административно-управленческий персонал</v>
      </c>
      <c r="D10" s="136" t="e">
        <f>'Кальк.2019-2023 (ДИ)'!#REF!</f>
        <v>#REF!</v>
      </c>
      <c r="E10" s="136" t="e">
        <f>'Кальк.2019-2023 (ДИ)'!#REF!</f>
        <v>#REF!</v>
      </c>
      <c r="F10" s="137" t="e">
        <f t="shared" si="1"/>
        <v>#REF!</v>
      </c>
      <c r="G10" s="136" t="e">
        <f t="shared" ref="G10:H10" si="10">ROUND(G29*G$31*12/1000,2)</f>
        <v>#REF!</v>
      </c>
      <c r="H10" s="136" t="e">
        <f t="shared" si="10"/>
        <v>#REF!</v>
      </c>
      <c r="I10" s="136"/>
      <c r="J10" s="137" t="e">
        <f t="shared" si="2"/>
        <v>#REF!</v>
      </c>
      <c r="K10" s="136" t="e">
        <f t="shared" si="6"/>
        <v>#REF!</v>
      </c>
      <c r="L10" s="136" t="e">
        <f t="shared" si="7"/>
        <v>#REF!</v>
      </c>
      <c r="M10" s="136" t="e">
        <f t="shared" si="8"/>
        <v>#REF!</v>
      </c>
      <c r="N10" s="138"/>
      <c r="U10" s="8"/>
    </row>
    <row r="11" spans="2:23" ht="38.25">
      <c r="B11" s="134">
        <v>4</v>
      </c>
      <c r="C11" s="135" t="s">
        <v>100</v>
      </c>
      <c r="D11" s="136" t="e">
        <f>'Кальк.2019-2023 (ДИ)'!#REF!</f>
        <v>#REF!</v>
      </c>
      <c r="E11" s="136" t="e">
        <f>'Кальк.2019-2023 (ДИ)'!#REF!</f>
        <v>#REF!</v>
      </c>
      <c r="F11" s="137">
        <f t="shared" si="1"/>
        <v>0</v>
      </c>
      <c r="G11" s="136">
        <v>0</v>
      </c>
      <c r="H11" s="136">
        <v>0</v>
      </c>
      <c r="I11" s="136"/>
      <c r="J11" s="137" t="e">
        <f t="shared" si="2"/>
        <v>#REF!</v>
      </c>
      <c r="K11" s="136" t="e">
        <f t="shared" si="6"/>
        <v>#REF!</v>
      </c>
      <c r="L11" s="136" t="e">
        <f t="shared" si="7"/>
        <v>#REF!</v>
      </c>
      <c r="M11" s="136" t="e">
        <f t="shared" si="8"/>
        <v>#REF!</v>
      </c>
      <c r="N11" s="138"/>
      <c r="Q11" s="8" t="e">
        <f>G1-K4</f>
        <v>#REF!</v>
      </c>
      <c r="U11" s="8"/>
    </row>
    <row r="12" spans="2:23" ht="25.5">
      <c r="B12" s="134">
        <v>5</v>
      </c>
      <c r="C12" s="135" t="s">
        <v>138</v>
      </c>
      <c r="D12" s="137" t="e">
        <f>SUM(D13:D18)</f>
        <v>#REF!</v>
      </c>
      <c r="E12" s="137" t="e">
        <f>SUM(E13:E18)</f>
        <v>#REF!</v>
      </c>
      <c r="F12" s="137" t="e">
        <f t="shared" si="1"/>
        <v>#REF!</v>
      </c>
      <c r="G12" s="137" t="e">
        <f t="shared" ref="G12:I12" si="11">SUM(G13:G18)</f>
        <v>#REF!</v>
      </c>
      <c r="H12" s="137" t="e">
        <f t="shared" si="11"/>
        <v>#REF!</v>
      </c>
      <c r="I12" s="137">
        <f t="shared" si="11"/>
        <v>0</v>
      </c>
      <c r="J12" s="137" t="e">
        <f t="shared" si="2"/>
        <v>#REF!</v>
      </c>
      <c r="K12" s="137" t="e">
        <f t="shared" ref="K12:M12" si="12">SUM(K13:K18)</f>
        <v>#REF!</v>
      </c>
      <c r="L12" s="137" t="e">
        <f t="shared" si="12"/>
        <v>#REF!</v>
      </c>
      <c r="M12" s="137" t="e">
        <f t="shared" si="12"/>
        <v>#REF!</v>
      </c>
      <c r="N12" s="138"/>
      <c r="U12" s="8"/>
    </row>
    <row r="13" spans="2:23" ht="27.75" customHeight="1">
      <c r="B13" s="141"/>
      <c r="C13" s="140" t="s">
        <v>64</v>
      </c>
      <c r="D13" s="136" t="e">
        <f>'Кальк.2019-2023 (ДИ)'!#REF!</f>
        <v>#REF!</v>
      </c>
      <c r="E13" s="136" t="e">
        <f>'Кальк.2019-2023 (ДИ)'!#REF!</f>
        <v>#REF!</v>
      </c>
      <c r="F13" s="137" t="e">
        <f t="shared" si="1"/>
        <v>#REF!</v>
      </c>
      <c r="G13" s="136" t="e">
        <f>ROUND(#REF!*(1/2+1/2*индексы!$E$8),2)</f>
        <v>#REF!</v>
      </c>
      <c r="H13" s="136" t="e">
        <f>ROUND(#REF!*(1/2+1/2*индексы!$E$8),2)</f>
        <v>#REF!</v>
      </c>
      <c r="I13" s="136"/>
      <c r="J13" s="137" t="e">
        <f t="shared" si="2"/>
        <v>#REF!</v>
      </c>
      <c r="K13" s="136" t="e">
        <f t="shared" ref="K13:K22" si="13">ROUND(G13*$D$36,2)</f>
        <v>#REF!</v>
      </c>
      <c r="L13" s="136" t="e">
        <f t="shared" ref="L13:L22" si="14">ROUND(H13*$D$36,2)</f>
        <v>#REF!</v>
      </c>
      <c r="M13" s="136" t="e">
        <f t="shared" ref="M13:M22" si="15">ROUND(I13*$D$36,2)</f>
        <v>#REF!</v>
      </c>
      <c r="N13" s="138"/>
      <c r="O13" s="156" t="e">
        <f>#REF!</f>
        <v>#REF!</v>
      </c>
      <c r="U13" s="8"/>
    </row>
    <row r="14" spans="2:23" ht="27.75" customHeight="1">
      <c r="B14" s="141"/>
      <c r="C14" s="140" t="s">
        <v>65</v>
      </c>
      <c r="D14" s="136" t="e">
        <f>'Кальк.2019-2023 (ДИ)'!#REF!</f>
        <v>#REF!</v>
      </c>
      <c r="E14" s="136" t="e">
        <f>'Кальк.2019-2023 (ДИ)'!#REF!</f>
        <v>#REF!</v>
      </c>
      <c r="F14" s="137" t="e">
        <f t="shared" si="1"/>
        <v>#REF!</v>
      </c>
      <c r="G14" s="136" t="e">
        <f>ROUND(#REF!*(1/2+1/2*индексы!$E$8),2)</f>
        <v>#REF!</v>
      </c>
      <c r="H14" s="136" t="e">
        <f>ROUND(#REF!*(1/2+1/2*индексы!$E$8),2)</f>
        <v>#REF!</v>
      </c>
      <c r="I14" s="136"/>
      <c r="J14" s="137" t="e">
        <f t="shared" si="2"/>
        <v>#REF!</v>
      </c>
      <c r="K14" s="136" t="e">
        <f t="shared" si="13"/>
        <v>#REF!</v>
      </c>
      <c r="L14" s="136" t="e">
        <f t="shared" si="14"/>
        <v>#REF!</v>
      </c>
      <c r="M14" s="136" t="e">
        <f t="shared" si="15"/>
        <v>#REF!</v>
      </c>
      <c r="N14" s="138"/>
      <c r="O14" s="156" t="e">
        <f>#REF!</f>
        <v>#REF!</v>
      </c>
      <c r="U14" s="8"/>
    </row>
    <row r="15" spans="2:23">
      <c r="B15" s="141"/>
      <c r="C15" s="140" t="s">
        <v>66</v>
      </c>
      <c r="D15" s="136" t="e">
        <f>'Кальк.2019-2023 (ДИ)'!#REF!</f>
        <v>#REF!</v>
      </c>
      <c r="E15" s="136" t="e">
        <f>'Кальк.2019-2023 (ДИ)'!#REF!</f>
        <v>#REF!</v>
      </c>
      <c r="F15" s="137" t="e">
        <f t="shared" si="1"/>
        <v>#REF!</v>
      </c>
      <c r="G15" s="136" t="e">
        <f>ROUND(#REF!*(1/2+1/2*индексы!$E$8),2)</f>
        <v>#REF!</v>
      </c>
      <c r="H15" s="136" t="e">
        <f>ROUND(#REF!*(1/2+1/2*индексы!$E$8),2)</f>
        <v>#REF!</v>
      </c>
      <c r="I15" s="136"/>
      <c r="J15" s="137" t="e">
        <f t="shared" si="2"/>
        <v>#REF!</v>
      </c>
      <c r="K15" s="136" t="e">
        <f t="shared" si="13"/>
        <v>#REF!</v>
      </c>
      <c r="L15" s="136" t="e">
        <f t="shared" si="14"/>
        <v>#REF!</v>
      </c>
      <c r="M15" s="136" t="e">
        <f t="shared" si="15"/>
        <v>#REF!</v>
      </c>
      <c r="N15" s="138"/>
      <c r="O15" s="156" t="e">
        <f>#REF!</f>
        <v>#REF!</v>
      </c>
    </row>
    <row r="16" spans="2:23">
      <c r="B16" s="141"/>
      <c r="C16" s="140" t="s">
        <v>67</v>
      </c>
      <c r="D16" s="136" t="e">
        <f>'Кальк.2019-2023 (ДИ)'!#REF!</f>
        <v>#REF!</v>
      </c>
      <c r="E16" s="136" t="e">
        <f>'Кальк.2019-2023 (ДИ)'!#REF!</f>
        <v>#REF!</v>
      </c>
      <c r="F16" s="137" t="e">
        <f t="shared" ref="F16:F17" si="16">G16+H16+I16</f>
        <v>#REF!</v>
      </c>
      <c r="G16" s="136" t="e">
        <f>ROUND(#REF!*(1/2+1/2*индексы!$E$8),2)</f>
        <v>#REF!</v>
      </c>
      <c r="H16" s="136" t="e">
        <f>ROUND(#REF!*(1/2+1/2*индексы!$E$8),2)</f>
        <v>#REF!</v>
      </c>
      <c r="I16" s="136"/>
      <c r="J16" s="137" t="e">
        <f t="shared" si="2"/>
        <v>#REF!</v>
      </c>
      <c r="K16" s="136" t="e">
        <f t="shared" si="13"/>
        <v>#REF!</v>
      </c>
      <c r="L16" s="136" t="e">
        <f t="shared" si="14"/>
        <v>#REF!</v>
      </c>
      <c r="M16" s="136" t="e">
        <f t="shared" si="15"/>
        <v>#REF!</v>
      </c>
      <c r="N16" s="138"/>
      <c r="O16" s="156" t="e">
        <f>#REF!</f>
        <v>#REF!</v>
      </c>
    </row>
    <row r="17" spans="2:16">
      <c r="B17" s="141"/>
      <c r="C17" s="140" t="s">
        <v>68</v>
      </c>
      <c r="D17" s="136" t="e">
        <f>'Кальк.2019-2023 (ДИ)'!#REF!</f>
        <v>#REF!</v>
      </c>
      <c r="E17" s="136" t="e">
        <f>'Кальк.2019-2023 (ДИ)'!#REF!</f>
        <v>#REF!</v>
      </c>
      <c r="F17" s="137" t="e">
        <f t="shared" si="16"/>
        <v>#REF!</v>
      </c>
      <c r="G17" s="136" t="e">
        <f>ROUND(#REF!*(1/2+1/2*индексы!$E$8),2)</f>
        <v>#REF!</v>
      </c>
      <c r="H17" s="136" t="e">
        <f>ROUND(#REF!*(1/2+1/2*индексы!$E$8),2)</f>
        <v>#REF!</v>
      </c>
      <c r="I17" s="136"/>
      <c r="J17" s="137" t="e">
        <f t="shared" si="2"/>
        <v>#REF!</v>
      </c>
      <c r="K17" s="136" t="e">
        <f t="shared" si="13"/>
        <v>#REF!</v>
      </c>
      <c r="L17" s="136" t="e">
        <f t="shared" si="14"/>
        <v>#REF!</v>
      </c>
      <c r="M17" s="136" t="e">
        <f t="shared" si="15"/>
        <v>#REF!</v>
      </c>
      <c r="N17" s="138"/>
      <c r="O17" s="156" t="e">
        <f>#REF!</f>
        <v>#REF!</v>
      </c>
    </row>
    <row r="18" spans="2:16" ht="25.5">
      <c r="B18" s="141"/>
      <c r="C18" s="140" t="s">
        <v>60</v>
      </c>
      <c r="D18" s="136" t="e">
        <f>'Кальк.2019-2023 (ДИ)'!#REF!</f>
        <v>#REF!</v>
      </c>
      <c r="E18" s="136" t="e">
        <f>'Кальк.2019-2023 (ДИ)'!#REF!</f>
        <v>#REF!</v>
      </c>
      <c r="F18" s="137" t="e">
        <f t="shared" ref="F18:F24" si="17">G18+H18+I18</f>
        <v>#REF!</v>
      </c>
      <c r="G18" s="136" t="e">
        <f>#REF!</f>
        <v>#REF!</v>
      </c>
      <c r="H18" s="136" t="e">
        <f>#REF!</f>
        <v>#REF!</v>
      </c>
      <c r="I18" s="136"/>
      <c r="J18" s="137" t="e">
        <f t="shared" si="2"/>
        <v>#REF!</v>
      </c>
      <c r="K18" s="136" t="e">
        <f t="shared" si="13"/>
        <v>#REF!</v>
      </c>
      <c r="L18" s="136" t="e">
        <f t="shared" si="14"/>
        <v>#REF!</v>
      </c>
      <c r="M18" s="136" t="e">
        <f t="shared" si="15"/>
        <v>#REF!</v>
      </c>
      <c r="N18" s="138"/>
      <c r="O18" s="156" t="e">
        <f>#REF!</f>
        <v>#REF!</v>
      </c>
    </row>
    <row r="19" spans="2:16">
      <c r="B19" s="141">
        <v>6</v>
      </c>
      <c r="C19" s="142" t="s">
        <v>102</v>
      </c>
      <c r="D19" s="136"/>
      <c r="E19" s="136"/>
      <c r="F19" s="137">
        <f t="shared" si="17"/>
        <v>0</v>
      </c>
      <c r="G19" s="136"/>
      <c r="H19" s="136"/>
      <c r="I19" s="136"/>
      <c r="J19" s="137" t="e">
        <f t="shared" si="2"/>
        <v>#REF!</v>
      </c>
      <c r="K19" s="136" t="e">
        <f t="shared" si="13"/>
        <v>#REF!</v>
      </c>
      <c r="L19" s="136" t="e">
        <f t="shared" si="14"/>
        <v>#REF!</v>
      </c>
      <c r="M19" s="136" t="e">
        <f t="shared" si="15"/>
        <v>#REF!</v>
      </c>
      <c r="N19" s="138"/>
      <c r="P19" s="155"/>
    </row>
    <row r="20" spans="2:16">
      <c r="B20" s="141" t="s">
        <v>23</v>
      </c>
      <c r="C20" s="142" t="s">
        <v>103</v>
      </c>
      <c r="D20" s="136"/>
      <c r="E20" s="136"/>
      <c r="F20" s="137">
        <f t="shared" si="17"/>
        <v>0</v>
      </c>
      <c r="G20" s="136"/>
      <c r="H20" s="136"/>
      <c r="I20" s="136"/>
      <c r="J20" s="137" t="e">
        <f t="shared" si="2"/>
        <v>#REF!</v>
      </c>
      <c r="K20" s="136" t="e">
        <f t="shared" si="13"/>
        <v>#REF!</v>
      </c>
      <c r="L20" s="136" t="e">
        <f t="shared" si="14"/>
        <v>#REF!</v>
      </c>
      <c r="M20" s="136" t="e">
        <f t="shared" si="15"/>
        <v>#REF!</v>
      </c>
      <c r="N20" s="138"/>
    </row>
    <row r="21" spans="2:16">
      <c r="B21" s="141" t="s">
        <v>45</v>
      </c>
      <c r="C21" s="142" t="s">
        <v>104</v>
      </c>
      <c r="D21" s="136"/>
      <c r="E21" s="136"/>
      <c r="F21" s="137">
        <f t="shared" si="17"/>
        <v>0</v>
      </c>
      <c r="G21" s="136"/>
      <c r="H21" s="136"/>
      <c r="I21" s="136"/>
      <c r="J21" s="137" t="e">
        <f t="shared" si="2"/>
        <v>#REF!</v>
      </c>
      <c r="K21" s="136" t="e">
        <f t="shared" si="13"/>
        <v>#REF!</v>
      </c>
      <c r="L21" s="136" t="e">
        <f t="shared" si="14"/>
        <v>#REF!</v>
      </c>
      <c r="M21" s="136" t="e">
        <f t="shared" si="15"/>
        <v>#REF!</v>
      </c>
      <c r="N21" s="138"/>
    </row>
    <row r="22" spans="2:16">
      <c r="B22" s="141" t="s">
        <v>52</v>
      </c>
      <c r="C22" s="142" t="s">
        <v>105</v>
      </c>
      <c r="D22" s="136" t="e">
        <f>'Кальк.2019-2023 (ДИ)'!#REF!</f>
        <v>#REF!</v>
      </c>
      <c r="E22" s="136" t="e">
        <f>'Кальк.2019-2023 (ДИ)'!#REF!</f>
        <v>#REF!</v>
      </c>
      <c r="F22" s="137" t="e">
        <f t="shared" si="17"/>
        <v>#REF!</v>
      </c>
      <c r="G22" s="136" t="e">
        <f>ROUND(#REF!*(1/2+1/2*индексы!$E$8),2)</f>
        <v>#REF!</v>
      </c>
      <c r="H22" s="136" t="e">
        <f>ROUND(#REF!*(1/2+1/2*индексы!$E$8),2)</f>
        <v>#REF!</v>
      </c>
      <c r="I22" s="136"/>
      <c r="J22" s="137" t="e">
        <f t="shared" si="2"/>
        <v>#REF!</v>
      </c>
      <c r="K22" s="136" t="e">
        <f t="shared" si="13"/>
        <v>#REF!</v>
      </c>
      <c r="L22" s="136" t="e">
        <f t="shared" si="14"/>
        <v>#REF!</v>
      </c>
      <c r="M22" s="136" t="e">
        <f t="shared" si="15"/>
        <v>#REF!</v>
      </c>
      <c r="N22" s="138"/>
    </row>
    <row r="23" spans="2:16" ht="25.5">
      <c r="B23" s="143" t="s">
        <v>53</v>
      </c>
      <c r="C23" s="142" t="s">
        <v>139</v>
      </c>
      <c r="D23" s="137">
        <f>D24</f>
        <v>0</v>
      </c>
      <c r="E23" s="137">
        <f>E24</f>
        <v>0</v>
      </c>
      <c r="F23" s="137">
        <f t="shared" si="17"/>
        <v>0</v>
      </c>
      <c r="G23" s="137">
        <f t="shared" ref="G23:I23" si="18">G24</f>
        <v>0</v>
      </c>
      <c r="H23" s="137">
        <f t="shared" si="18"/>
        <v>0</v>
      </c>
      <c r="I23" s="137">
        <f t="shared" si="18"/>
        <v>0</v>
      </c>
      <c r="J23" s="137" t="e">
        <f t="shared" si="2"/>
        <v>#REF!</v>
      </c>
      <c r="K23" s="137" t="e">
        <f t="shared" ref="K23:L23" si="19">K24</f>
        <v>#REF!</v>
      </c>
      <c r="L23" s="137" t="e">
        <f t="shared" si="19"/>
        <v>#REF!</v>
      </c>
      <c r="M23" s="137"/>
      <c r="N23" s="138"/>
    </row>
    <row r="24" spans="2:16">
      <c r="B24" s="143"/>
      <c r="C24" s="140" t="str">
        <f>'[179]Кальк_2014-2016'!B30</f>
        <v>услуги банка</v>
      </c>
      <c r="D24" s="136"/>
      <c r="E24" s="136"/>
      <c r="F24" s="137">
        <f t="shared" si="17"/>
        <v>0</v>
      </c>
      <c r="G24" s="136"/>
      <c r="H24" s="136"/>
      <c r="I24" s="136"/>
      <c r="J24" s="137" t="e">
        <f t="shared" si="2"/>
        <v>#REF!</v>
      </c>
      <c r="K24" s="136" t="e">
        <f>ROUND(G24*$D$36,2)</f>
        <v>#REF!</v>
      </c>
      <c r="L24" s="136" t="e">
        <f>ROUND(H24*$D$36,2)</f>
        <v>#REF!</v>
      </c>
      <c r="M24" s="136" t="e">
        <f>ROUND(I24*$D$36,2)</f>
        <v>#REF!</v>
      </c>
      <c r="N24" s="138"/>
    </row>
    <row r="25" spans="2:16" s="148" customFormat="1">
      <c r="B25" s="144"/>
      <c r="C25" s="145"/>
      <c r="D25" s="146"/>
      <c r="E25" s="146"/>
      <c r="F25" s="147"/>
      <c r="G25" s="147"/>
      <c r="H25" s="147"/>
      <c r="I25" s="147"/>
    </row>
    <row r="26" spans="2:16" s="148" customFormat="1">
      <c r="B26" s="144"/>
      <c r="C26" s="149" t="s">
        <v>19</v>
      </c>
      <c r="D26" s="146"/>
      <c r="E26" s="146"/>
      <c r="F26" s="147"/>
      <c r="G26" s="147"/>
      <c r="H26" s="147"/>
      <c r="I26" s="147"/>
    </row>
    <row r="27" spans="2:16">
      <c r="B27" s="150"/>
      <c r="C27" s="151" t="s">
        <v>3</v>
      </c>
      <c r="D27" s="136" t="e">
        <f>'Кальк.2019-2023 (ДИ)'!#REF!</f>
        <v>#REF!</v>
      </c>
      <c r="E27" s="136" t="e">
        <f>'Кальк.2019-2023 (ДИ)'!#REF!</f>
        <v>#REF!</v>
      </c>
      <c r="F27" s="137" t="e">
        <f>G27+H27</f>
        <v>#REF!</v>
      </c>
      <c r="G27" s="136" t="e">
        <f>#REF!</f>
        <v>#REF!</v>
      </c>
      <c r="H27" s="136" t="e">
        <f>#REF!</f>
        <v>#REF!</v>
      </c>
      <c r="I27" s="136"/>
      <c r="J27" s="137" t="e">
        <f>K27+L27</f>
        <v>#REF!</v>
      </c>
      <c r="K27" s="136" t="e">
        <f>G27</f>
        <v>#REF!</v>
      </c>
      <c r="L27" s="136" t="e">
        <f>H27</f>
        <v>#REF!</v>
      </c>
      <c r="M27" s="136"/>
    </row>
    <row r="28" spans="2:16">
      <c r="B28" s="150"/>
      <c r="C28" s="151" t="s">
        <v>26</v>
      </c>
      <c r="D28" s="136" t="e">
        <f>'Кальк.2019-2023 (ДИ)'!#REF!</f>
        <v>#REF!</v>
      </c>
      <c r="E28" s="136" t="e">
        <f>'Кальк.2019-2023 (ДИ)'!#REF!</f>
        <v>#REF!</v>
      </c>
      <c r="F28" s="137" t="e">
        <f t="shared" ref="F28:F30" si="20">G28+H28</f>
        <v>#REF!</v>
      </c>
      <c r="G28" s="136" t="e">
        <f>#REF!</f>
        <v>#REF!</v>
      </c>
      <c r="H28" s="136" t="e">
        <f>#REF!</f>
        <v>#REF!</v>
      </c>
      <c r="I28" s="136"/>
      <c r="J28" s="137" t="e">
        <f t="shared" ref="J28:J30" si="21">K28+L28</f>
        <v>#REF!</v>
      </c>
      <c r="K28" s="136" t="e">
        <f t="shared" ref="K28:L29" si="22">G28</f>
        <v>#REF!</v>
      </c>
      <c r="L28" s="136" t="e">
        <f t="shared" si="22"/>
        <v>#REF!</v>
      </c>
      <c r="M28" s="136"/>
    </row>
    <row r="29" spans="2:16">
      <c r="B29" s="150"/>
      <c r="C29" s="151" t="s">
        <v>44</v>
      </c>
      <c r="D29" s="136" t="e">
        <f>'Кальк.2019-2023 (ДИ)'!#REF!</f>
        <v>#REF!</v>
      </c>
      <c r="E29" s="136" t="e">
        <f>'Кальк.2019-2023 (ДИ)'!#REF!</f>
        <v>#REF!</v>
      </c>
      <c r="F29" s="137" t="e">
        <f t="shared" si="20"/>
        <v>#REF!</v>
      </c>
      <c r="G29" s="136" t="e">
        <f>#REF!</f>
        <v>#REF!</v>
      </c>
      <c r="H29" s="136" t="e">
        <f>#REF!</f>
        <v>#REF!</v>
      </c>
      <c r="I29" s="136"/>
      <c r="J29" s="137" t="e">
        <f t="shared" si="21"/>
        <v>#REF!</v>
      </c>
      <c r="K29" s="136" t="e">
        <f t="shared" si="22"/>
        <v>#REF!</v>
      </c>
      <c r="L29" s="136" t="e">
        <f t="shared" si="22"/>
        <v>#REF!</v>
      </c>
      <c r="M29" s="136"/>
    </row>
    <row r="30" spans="2:16">
      <c r="B30" s="150"/>
      <c r="C30" s="152" t="s">
        <v>4</v>
      </c>
      <c r="D30" s="137" t="e">
        <f>D27+D28+D29</f>
        <v>#REF!</v>
      </c>
      <c r="E30" s="137" t="e">
        <f>E27+E28+E29</f>
        <v>#REF!</v>
      </c>
      <c r="F30" s="137" t="e">
        <f t="shared" si="20"/>
        <v>#REF!</v>
      </c>
      <c r="G30" s="137" t="e">
        <f>SUM(G27:G29)</f>
        <v>#REF!</v>
      </c>
      <c r="H30" s="137" t="e">
        <f>SUM(H27:H29)</f>
        <v>#REF!</v>
      </c>
      <c r="I30" s="137"/>
      <c r="J30" s="137" t="e">
        <f t="shared" si="21"/>
        <v>#REF!</v>
      </c>
      <c r="K30" s="137" t="e">
        <f>SUM(K27:K29)</f>
        <v>#REF!</v>
      </c>
      <c r="L30" s="137" t="e">
        <f>SUM(L27:L29)</f>
        <v>#REF!</v>
      </c>
      <c r="M30" s="137"/>
    </row>
    <row r="31" spans="2:16">
      <c r="B31" s="150"/>
      <c r="C31" s="152" t="s">
        <v>5</v>
      </c>
      <c r="D31" s="136" t="e">
        <f>D7*1000/12/D30</f>
        <v>#REF!</v>
      </c>
      <c r="E31" s="136" t="e">
        <f t="shared" ref="E31" si="23">E7*1000/12/E30</f>
        <v>#REF!</v>
      </c>
      <c r="F31" s="136" t="e">
        <f>F7*1000/12/F30</f>
        <v>#REF!</v>
      </c>
      <c r="G31" s="136" t="e">
        <f>ROUND(D31*(1/2+1/2*индексы!$E$8),2)</f>
        <v>#REF!</v>
      </c>
      <c r="H31" s="136" t="e">
        <f>G31</f>
        <v>#REF!</v>
      </c>
      <c r="I31" s="136"/>
      <c r="J31" s="136" t="e">
        <f t="shared" ref="J31:L31" si="24">J7*1000/12/J30</f>
        <v>#REF!</v>
      </c>
      <c r="K31" s="136" t="e">
        <f t="shared" si="24"/>
        <v>#REF!</v>
      </c>
      <c r="L31" s="136" t="e">
        <f t="shared" si="24"/>
        <v>#REF!</v>
      </c>
      <c r="M31" s="136"/>
    </row>
    <row r="32" spans="2:16">
      <c r="D32"/>
      <c r="E32"/>
    </row>
    <row r="33" spans="3:7" ht="25.5">
      <c r="C33" s="142" t="s">
        <v>140</v>
      </c>
      <c r="D33" s="153" t="e">
        <f>#REF!/#REF!</f>
        <v>#REF!</v>
      </c>
      <c r="E33"/>
    </row>
    <row r="34" spans="3:7">
      <c r="C34" s="142" t="s">
        <v>141</v>
      </c>
      <c r="D34" s="153">
        <v>1.07</v>
      </c>
      <c r="E34"/>
    </row>
    <row r="35" spans="3:7" ht="25.5">
      <c r="C35" s="142" t="s">
        <v>147</v>
      </c>
      <c r="D35" s="136" t="e">
        <f>ROUND(D4*D33*D34,2)</f>
        <v>#REF!</v>
      </c>
      <c r="E35"/>
    </row>
    <row r="36" spans="3:7">
      <c r="C36" s="142" t="s">
        <v>142</v>
      </c>
      <c r="D36" s="153" t="e">
        <f>D35/F4</f>
        <v>#REF!</v>
      </c>
      <c r="E36" s="154"/>
    </row>
    <row r="37" spans="3:7">
      <c r="D37"/>
      <c r="E37"/>
    </row>
    <row r="38" spans="3:7">
      <c r="D38"/>
      <c r="E38"/>
      <c r="F38" t="s">
        <v>136</v>
      </c>
      <c r="G38">
        <v>50591.714285714283</v>
      </c>
    </row>
    <row r="39" spans="3:7">
      <c r="D39"/>
      <c r="E39"/>
    </row>
    <row r="40" spans="3:7">
      <c r="D40"/>
      <c r="E40"/>
    </row>
    <row r="41" spans="3:7">
      <c r="D41"/>
      <c r="E41"/>
    </row>
    <row r="42" spans="3:7">
      <c r="D42"/>
      <c r="E42"/>
    </row>
    <row r="43" spans="3:7">
      <c r="D43"/>
      <c r="E43"/>
    </row>
    <row r="44" spans="3:7">
      <c r="D44"/>
      <c r="E44"/>
    </row>
    <row r="45" spans="3:7">
      <c r="D45"/>
      <c r="E45"/>
    </row>
    <row r="46" spans="3:7">
      <c r="D46"/>
      <c r="E46"/>
    </row>
    <row r="47" spans="3:7">
      <c r="D47"/>
      <c r="E47"/>
    </row>
    <row r="48" spans="3:7">
      <c r="D48"/>
      <c r="E48"/>
    </row>
    <row r="49" spans="4:5">
      <c r="D49"/>
      <c r="E49"/>
    </row>
    <row r="50" spans="4:5">
      <c r="D50"/>
      <c r="E50"/>
    </row>
    <row r="51" spans="4:5">
      <c r="D51"/>
      <c r="E51"/>
    </row>
    <row r="52" spans="4:5">
      <c r="D52"/>
      <c r="E52"/>
    </row>
    <row r="53" spans="4:5">
      <c r="D53"/>
      <c r="E53"/>
    </row>
    <row r="54" spans="4:5">
      <c r="D54"/>
      <c r="E54"/>
    </row>
    <row r="55" spans="4:5">
      <c r="D55"/>
      <c r="E55"/>
    </row>
    <row r="56" spans="4:5">
      <c r="D56"/>
      <c r="E56"/>
    </row>
    <row r="57" spans="4:5">
      <c r="D57"/>
      <c r="E57"/>
    </row>
    <row r="58" spans="4:5">
      <c r="D58"/>
      <c r="E58"/>
    </row>
    <row r="59" spans="4:5">
      <c r="D59"/>
      <c r="E59"/>
    </row>
    <row r="60" spans="4:5">
      <c r="D60"/>
      <c r="E60"/>
    </row>
    <row r="61" spans="4:5">
      <c r="D61"/>
      <c r="E61"/>
    </row>
    <row r="62" spans="4:5">
      <c r="D62"/>
      <c r="E62"/>
    </row>
    <row r="63" spans="4:5">
      <c r="D63"/>
      <c r="E63"/>
    </row>
    <row r="64" spans="4:5">
      <c r="D64"/>
      <c r="E64"/>
    </row>
    <row r="65" spans="4:5">
      <c r="D65"/>
      <c r="E65"/>
    </row>
    <row r="66" spans="4:5">
      <c r="D66"/>
      <c r="E66"/>
    </row>
    <row r="67" spans="4:5">
      <c r="D67"/>
      <c r="E67"/>
    </row>
    <row r="68" spans="4:5">
      <c r="D68"/>
      <c r="E68"/>
    </row>
    <row r="69" spans="4:5">
      <c r="D69"/>
      <c r="E69"/>
    </row>
    <row r="70" spans="4:5">
      <c r="D70"/>
      <c r="E70"/>
    </row>
    <row r="71" spans="4:5">
      <c r="D71"/>
      <c r="E71"/>
    </row>
    <row r="72" spans="4:5">
      <c r="D72"/>
      <c r="E72"/>
    </row>
    <row r="73" spans="4:5">
      <c r="D73"/>
      <c r="E73"/>
    </row>
    <row r="74" spans="4:5">
      <c r="D74"/>
      <c r="E74"/>
    </row>
    <row r="75" spans="4:5">
      <c r="D75"/>
      <c r="E75"/>
    </row>
    <row r="76" spans="4:5">
      <c r="D76"/>
      <c r="E76"/>
    </row>
    <row r="77" spans="4:5">
      <c r="D77"/>
      <c r="E77"/>
    </row>
    <row r="78" spans="4:5">
      <c r="D78"/>
      <c r="E78"/>
    </row>
    <row r="79" spans="4:5">
      <c r="D79"/>
      <c r="E79"/>
    </row>
    <row r="80" spans="4:5">
      <c r="D80"/>
      <c r="E80"/>
    </row>
    <row r="81" spans="4:5">
      <c r="D81"/>
      <c r="E81"/>
    </row>
    <row r="82" spans="4:5">
      <c r="D82"/>
      <c r="E82"/>
    </row>
    <row r="83" spans="4:5">
      <c r="D83"/>
      <c r="E83"/>
    </row>
    <row r="84" spans="4:5">
      <c r="D84"/>
      <c r="E84"/>
    </row>
    <row r="85" spans="4:5">
      <c r="D85"/>
      <c r="E85"/>
    </row>
    <row r="86" spans="4:5">
      <c r="D86"/>
      <c r="E86"/>
    </row>
    <row r="87" spans="4:5">
      <c r="D87"/>
      <c r="E87"/>
    </row>
    <row r="88" spans="4:5">
      <c r="D88"/>
      <c r="E88"/>
    </row>
    <row r="89" spans="4:5">
      <c r="D89"/>
      <c r="E89"/>
    </row>
    <row r="90" spans="4:5">
      <c r="D90"/>
      <c r="E90"/>
    </row>
    <row r="91" spans="4:5">
      <c r="D91"/>
      <c r="E91"/>
    </row>
    <row r="92" spans="4:5">
      <c r="D92"/>
      <c r="E92"/>
    </row>
    <row r="93" spans="4:5">
      <c r="D93"/>
      <c r="E93"/>
    </row>
    <row r="94" spans="4:5">
      <c r="D94"/>
      <c r="E94"/>
    </row>
    <row r="95" spans="4:5">
      <c r="D95"/>
      <c r="E95"/>
    </row>
    <row r="96" spans="4:5">
      <c r="D96"/>
      <c r="E96"/>
    </row>
    <row r="97" spans="4:5">
      <c r="D97"/>
      <c r="E97"/>
    </row>
    <row r="98" spans="4:5">
      <c r="D98"/>
      <c r="E98"/>
    </row>
    <row r="99" spans="4:5">
      <c r="D99"/>
      <c r="E99"/>
    </row>
    <row r="100" spans="4:5">
      <c r="D100"/>
      <c r="E100"/>
    </row>
    <row r="101" spans="4:5">
      <c r="D101"/>
      <c r="E101"/>
    </row>
    <row r="102" spans="4:5">
      <c r="D102"/>
      <c r="E102"/>
    </row>
    <row r="103" spans="4:5">
      <c r="D103"/>
      <c r="E103"/>
    </row>
    <row r="104" spans="4:5">
      <c r="D104"/>
      <c r="E104"/>
    </row>
    <row r="105" spans="4:5">
      <c r="D105"/>
      <c r="E105"/>
    </row>
    <row r="106" spans="4:5">
      <c r="D106"/>
      <c r="E106"/>
    </row>
    <row r="107" spans="4:5">
      <c r="D107"/>
      <c r="E107"/>
    </row>
    <row r="108" spans="4:5">
      <c r="D108"/>
      <c r="E108"/>
    </row>
    <row r="109" spans="4:5">
      <c r="D109"/>
      <c r="E109"/>
    </row>
    <row r="110" spans="4:5">
      <c r="D110"/>
      <c r="E110"/>
    </row>
    <row r="111" spans="4:5">
      <c r="D111"/>
      <c r="E111"/>
    </row>
    <row r="112" spans="4:5">
      <c r="D112"/>
      <c r="E112"/>
    </row>
    <row r="113" spans="4:5">
      <c r="D113"/>
      <c r="E113"/>
    </row>
    <row r="114" spans="4:5">
      <c r="D114"/>
      <c r="E114"/>
    </row>
    <row r="115" spans="4:5">
      <c r="D115"/>
      <c r="E115"/>
    </row>
    <row r="116" spans="4:5">
      <c r="D116"/>
      <c r="E116"/>
    </row>
    <row r="117" spans="4:5">
      <c r="D117"/>
      <c r="E117"/>
    </row>
    <row r="118" spans="4:5">
      <c r="D118"/>
      <c r="E118"/>
    </row>
    <row r="119" spans="4:5">
      <c r="D119"/>
      <c r="E119"/>
    </row>
    <row r="120" spans="4:5">
      <c r="D120"/>
      <c r="E120"/>
    </row>
    <row r="121" spans="4:5">
      <c r="D121"/>
      <c r="E121"/>
    </row>
    <row r="122" spans="4:5">
      <c r="D122"/>
      <c r="E122"/>
    </row>
    <row r="123" spans="4:5">
      <c r="D123"/>
      <c r="E123"/>
    </row>
    <row r="124" spans="4:5">
      <c r="D124"/>
      <c r="E124"/>
    </row>
    <row r="125" spans="4:5">
      <c r="D125"/>
      <c r="E125"/>
    </row>
    <row r="126" spans="4:5">
      <c r="D126"/>
      <c r="E126"/>
    </row>
    <row r="127" spans="4:5">
      <c r="D127"/>
      <c r="E127"/>
    </row>
    <row r="128" spans="4:5">
      <c r="D128"/>
      <c r="E128"/>
    </row>
    <row r="129" spans="4:5">
      <c r="D129"/>
      <c r="E129"/>
    </row>
    <row r="130" spans="4:5">
      <c r="D130"/>
      <c r="E130"/>
    </row>
    <row r="131" spans="4:5">
      <c r="D131"/>
      <c r="E131"/>
    </row>
    <row r="132" spans="4:5">
      <c r="D132"/>
      <c r="E132"/>
    </row>
    <row r="133" spans="4:5">
      <c r="D133"/>
      <c r="E133"/>
    </row>
    <row r="134" spans="4:5">
      <c r="D134"/>
      <c r="E134"/>
    </row>
    <row r="135" spans="4:5">
      <c r="D135"/>
      <c r="E135"/>
    </row>
    <row r="136" spans="4:5">
      <c r="D136"/>
      <c r="E136"/>
    </row>
    <row r="137" spans="4:5">
      <c r="D137"/>
      <c r="E137"/>
    </row>
    <row r="138" spans="4:5">
      <c r="D138"/>
      <c r="E138"/>
    </row>
    <row r="139" spans="4:5">
      <c r="D139"/>
      <c r="E139"/>
    </row>
    <row r="140" spans="4:5">
      <c r="D140"/>
      <c r="E140"/>
    </row>
    <row r="141" spans="4:5">
      <c r="D141"/>
      <c r="E141"/>
    </row>
    <row r="142" spans="4:5">
      <c r="D142"/>
      <c r="E142"/>
    </row>
    <row r="143" spans="4:5">
      <c r="D143"/>
      <c r="E143"/>
    </row>
    <row r="144" spans="4:5">
      <c r="D144"/>
      <c r="E144"/>
    </row>
    <row r="145" spans="4:5">
      <c r="D145"/>
      <c r="E145"/>
    </row>
    <row r="146" spans="4:5">
      <c r="D146"/>
      <c r="E146"/>
    </row>
    <row r="147" spans="4:5">
      <c r="D147"/>
      <c r="E147"/>
    </row>
    <row r="148" spans="4:5">
      <c r="D148"/>
      <c r="E148"/>
    </row>
    <row r="149" spans="4:5">
      <c r="D149"/>
      <c r="E149"/>
    </row>
    <row r="150" spans="4:5">
      <c r="D150"/>
      <c r="E150"/>
    </row>
    <row r="151" spans="4:5">
      <c r="D151"/>
      <c r="E151"/>
    </row>
    <row r="152" spans="4:5">
      <c r="D152"/>
      <c r="E152"/>
    </row>
    <row r="153" spans="4:5">
      <c r="D153"/>
      <c r="E153"/>
    </row>
    <row r="154" spans="4:5">
      <c r="D154"/>
      <c r="E154"/>
    </row>
    <row r="155" spans="4:5">
      <c r="D155"/>
      <c r="E155"/>
    </row>
    <row r="156" spans="4:5">
      <c r="D156"/>
      <c r="E156"/>
    </row>
    <row r="157" spans="4:5">
      <c r="D157"/>
      <c r="E157"/>
    </row>
    <row r="158" spans="4:5">
      <c r="D158"/>
      <c r="E158"/>
    </row>
    <row r="159" spans="4:5">
      <c r="D159"/>
      <c r="E159"/>
    </row>
    <row r="160" spans="4:5">
      <c r="D160"/>
      <c r="E160"/>
    </row>
    <row r="161" spans="4:5">
      <c r="D161"/>
      <c r="E161"/>
    </row>
    <row r="162" spans="4:5">
      <c r="D162"/>
      <c r="E162"/>
    </row>
    <row r="163" spans="4:5">
      <c r="D163"/>
      <c r="E163"/>
    </row>
    <row r="164" spans="4:5">
      <c r="D164"/>
      <c r="E164"/>
    </row>
    <row r="165" spans="4:5">
      <c r="D165"/>
      <c r="E165"/>
    </row>
    <row r="166" spans="4:5">
      <c r="D166"/>
      <c r="E166"/>
    </row>
    <row r="167" spans="4:5">
      <c r="D167"/>
      <c r="E167"/>
    </row>
    <row r="168" spans="4:5">
      <c r="D168"/>
      <c r="E168"/>
    </row>
    <row r="169" spans="4:5">
      <c r="D169"/>
      <c r="E169"/>
    </row>
    <row r="170" spans="4:5">
      <c r="D170"/>
      <c r="E170"/>
    </row>
    <row r="171" spans="4:5">
      <c r="D171"/>
      <c r="E171"/>
    </row>
    <row r="172" spans="4:5">
      <c r="D172"/>
      <c r="E172"/>
    </row>
    <row r="173" spans="4:5">
      <c r="D173"/>
      <c r="E173"/>
    </row>
    <row r="174" spans="4:5">
      <c r="D174"/>
      <c r="E174"/>
    </row>
    <row r="175" spans="4:5">
      <c r="D175"/>
      <c r="E175"/>
    </row>
    <row r="176" spans="4:5">
      <c r="D176"/>
      <c r="E176"/>
    </row>
    <row r="177" spans="4:5">
      <c r="D177"/>
      <c r="E177"/>
    </row>
    <row r="178" spans="4:5">
      <c r="D178"/>
      <c r="E178"/>
    </row>
    <row r="179" spans="4:5">
      <c r="D179"/>
      <c r="E179"/>
    </row>
    <row r="180" spans="4:5">
      <c r="D180"/>
      <c r="E180"/>
    </row>
    <row r="181" spans="4:5">
      <c r="D181"/>
      <c r="E181"/>
    </row>
    <row r="182" spans="4:5">
      <c r="D182"/>
      <c r="E182"/>
    </row>
    <row r="183" spans="4:5">
      <c r="D183"/>
      <c r="E183"/>
    </row>
    <row r="184" spans="4:5">
      <c r="D184"/>
      <c r="E184"/>
    </row>
    <row r="185" spans="4:5">
      <c r="D185"/>
      <c r="E185"/>
    </row>
    <row r="186" spans="4:5">
      <c r="D186"/>
      <c r="E186"/>
    </row>
    <row r="187" spans="4:5">
      <c r="D187"/>
      <c r="E187"/>
    </row>
    <row r="188" spans="4:5">
      <c r="D188"/>
      <c r="E188"/>
    </row>
    <row r="189" spans="4:5">
      <c r="D189"/>
      <c r="E189"/>
    </row>
    <row r="190" spans="4:5">
      <c r="D190"/>
      <c r="E190"/>
    </row>
    <row r="191" spans="4:5">
      <c r="D191"/>
      <c r="E191"/>
    </row>
    <row r="192" spans="4:5">
      <c r="D192"/>
      <c r="E192"/>
    </row>
    <row r="193" spans="4:5">
      <c r="D193"/>
      <c r="E193"/>
    </row>
    <row r="194" spans="4:5">
      <c r="D194"/>
      <c r="E194"/>
    </row>
    <row r="195" spans="4:5">
      <c r="D195"/>
      <c r="E195"/>
    </row>
    <row r="196" spans="4:5">
      <c r="D196"/>
      <c r="E196"/>
    </row>
    <row r="197" spans="4:5">
      <c r="D197"/>
      <c r="E197"/>
    </row>
    <row r="198" spans="4:5">
      <c r="D198"/>
      <c r="E198"/>
    </row>
    <row r="199" spans="4:5">
      <c r="D199"/>
      <c r="E199"/>
    </row>
    <row r="200" spans="4:5">
      <c r="D200"/>
      <c r="E200"/>
    </row>
    <row r="201" spans="4:5">
      <c r="D201"/>
      <c r="E201"/>
    </row>
    <row r="202" spans="4:5">
      <c r="D202"/>
      <c r="E202"/>
    </row>
    <row r="203" spans="4:5">
      <c r="D203"/>
      <c r="E203"/>
    </row>
    <row r="204" spans="4:5">
      <c r="D204"/>
      <c r="E204"/>
    </row>
    <row r="205" spans="4:5">
      <c r="D205"/>
      <c r="E205"/>
    </row>
    <row r="206" spans="4:5">
      <c r="D206"/>
      <c r="E206"/>
    </row>
    <row r="207" spans="4:5">
      <c r="D207"/>
      <c r="E207"/>
    </row>
    <row r="208" spans="4:5">
      <c r="D208"/>
      <c r="E208"/>
    </row>
    <row r="209" spans="4:5">
      <c r="D209"/>
      <c r="E209"/>
    </row>
    <row r="210" spans="4:5">
      <c r="D210"/>
      <c r="E210"/>
    </row>
    <row r="211" spans="4:5">
      <c r="D211"/>
      <c r="E211"/>
    </row>
    <row r="212" spans="4:5">
      <c r="D212"/>
      <c r="E212"/>
    </row>
    <row r="213" spans="4:5">
      <c r="D213"/>
      <c r="E213"/>
    </row>
    <row r="214" spans="4:5">
      <c r="D214"/>
      <c r="E214"/>
    </row>
    <row r="215" spans="4:5">
      <c r="D215"/>
      <c r="E215"/>
    </row>
    <row r="216" spans="4:5">
      <c r="D216"/>
      <c r="E216"/>
    </row>
    <row r="217" spans="4:5">
      <c r="D217"/>
      <c r="E217"/>
    </row>
    <row r="218" spans="4:5">
      <c r="D218"/>
      <c r="E218"/>
    </row>
    <row r="219" spans="4:5">
      <c r="D219"/>
      <c r="E219"/>
    </row>
    <row r="220" spans="4:5">
      <c r="D220"/>
      <c r="E220"/>
    </row>
    <row r="221" spans="4:5">
      <c r="D221"/>
      <c r="E221"/>
    </row>
    <row r="222" spans="4:5">
      <c r="D222"/>
      <c r="E222"/>
    </row>
    <row r="223" spans="4:5">
      <c r="D223"/>
      <c r="E223"/>
    </row>
    <row r="224" spans="4:5">
      <c r="D224"/>
      <c r="E224"/>
    </row>
    <row r="225" spans="4:5">
      <c r="D225"/>
      <c r="E225"/>
    </row>
    <row r="226" spans="4:5">
      <c r="D226"/>
      <c r="E226"/>
    </row>
    <row r="227" spans="4:5">
      <c r="D227"/>
      <c r="E227"/>
    </row>
    <row r="228" spans="4:5">
      <c r="D228"/>
      <c r="E228"/>
    </row>
    <row r="229" spans="4:5">
      <c r="D229"/>
      <c r="E229"/>
    </row>
    <row r="230" spans="4:5">
      <c r="D230"/>
      <c r="E230"/>
    </row>
    <row r="231" spans="4:5">
      <c r="D231"/>
      <c r="E231"/>
    </row>
    <row r="232" spans="4:5">
      <c r="D232"/>
      <c r="E232"/>
    </row>
    <row r="233" spans="4:5">
      <c r="D233"/>
      <c r="E233"/>
    </row>
    <row r="234" spans="4:5">
      <c r="D234"/>
      <c r="E234"/>
    </row>
    <row r="235" spans="4:5">
      <c r="D235"/>
      <c r="E235"/>
    </row>
    <row r="236" spans="4:5">
      <c r="D236"/>
      <c r="E236"/>
    </row>
    <row r="237" spans="4:5">
      <c r="D237"/>
      <c r="E237"/>
    </row>
    <row r="238" spans="4:5">
      <c r="D238"/>
      <c r="E238"/>
    </row>
    <row r="239" spans="4:5">
      <c r="D239"/>
      <c r="E239"/>
    </row>
    <row r="240" spans="4:5">
      <c r="D240"/>
      <c r="E240"/>
    </row>
    <row r="241" spans="4:5">
      <c r="D241"/>
      <c r="E241"/>
    </row>
    <row r="242" spans="4:5">
      <c r="D242"/>
      <c r="E242"/>
    </row>
    <row r="243" spans="4:5">
      <c r="D243"/>
      <c r="E243"/>
    </row>
    <row r="244" spans="4:5">
      <c r="D244"/>
      <c r="E244"/>
    </row>
    <row r="245" spans="4:5">
      <c r="D245"/>
      <c r="E245"/>
    </row>
    <row r="246" spans="4:5">
      <c r="D246"/>
      <c r="E246"/>
    </row>
    <row r="247" spans="4:5">
      <c r="D247"/>
      <c r="E247"/>
    </row>
    <row r="248" spans="4:5">
      <c r="D248"/>
      <c r="E248"/>
    </row>
    <row r="249" spans="4:5">
      <c r="D249"/>
      <c r="E249"/>
    </row>
    <row r="250" spans="4:5">
      <c r="D250"/>
      <c r="E250"/>
    </row>
    <row r="251" spans="4:5">
      <c r="D251"/>
      <c r="E251"/>
    </row>
    <row r="252" spans="4:5">
      <c r="D252"/>
      <c r="E252"/>
    </row>
    <row r="253" spans="4:5">
      <c r="D253"/>
      <c r="E253"/>
    </row>
    <row r="254" spans="4:5">
      <c r="D254"/>
      <c r="E254"/>
    </row>
    <row r="255" spans="4:5">
      <c r="D255"/>
      <c r="E255"/>
    </row>
    <row r="256" spans="4:5">
      <c r="D256"/>
      <c r="E256"/>
    </row>
    <row r="257" spans="4:5">
      <c r="D257"/>
      <c r="E257"/>
    </row>
    <row r="258" spans="4:5">
      <c r="D258"/>
      <c r="E258"/>
    </row>
    <row r="259" spans="4:5">
      <c r="D259"/>
      <c r="E259"/>
    </row>
    <row r="260" spans="4:5">
      <c r="D260"/>
      <c r="E260"/>
    </row>
    <row r="261" spans="4:5">
      <c r="D261"/>
      <c r="E261"/>
    </row>
    <row r="262" spans="4:5">
      <c r="D262"/>
      <c r="E262"/>
    </row>
    <row r="263" spans="4:5">
      <c r="D263"/>
      <c r="E263"/>
    </row>
    <row r="264" spans="4:5">
      <c r="D264"/>
      <c r="E264"/>
    </row>
    <row r="265" spans="4:5">
      <c r="D265"/>
      <c r="E265"/>
    </row>
    <row r="266" spans="4:5">
      <c r="D266"/>
      <c r="E266"/>
    </row>
    <row r="267" spans="4:5">
      <c r="D267"/>
      <c r="E267"/>
    </row>
    <row r="268" spans="4:5">
      <c r="D268"/>
      <c r="E268"/>
    </row>
    <row r="269" spans="4:5">
      <c r="D269"/>
      <c r="E269"/>
    </row>
    <row r="270" spans="4:5">
      <c r="D270"/>
      <c r="E270"/>
    </row>
    <row r="271" spans="4:5">
      <c r="D271"/>
      <c r="E271"/>
    </row>
    <row r="272" spans="4:5">
      <c r="D272"/>
      <c r="E272"/>
    </row>
    <row r="273" spans="4:5">
      <c r="D273"/>
      <c r="E273"/>
    </row>
    <row r="274" spans="4:5">
      <c r="D274"/>
      <c r="E274"/>
    </row>
    <row r="275" spans="4:5">
      <c r="D275"/>
      <c r="E275"/>
    </row>
    <row r="276" spans="4:5">
      <c r="D276"/>
      <c r="E276"/>
    </row>
    <row r="277" spans="4:5">
      <c r="D277"/>
      <c r="E277"/>
    </row>
    <row r="278" spans="4:5">
      <c r="D278"/>
      <c r="E278"/>
    </row>
    <row r="279" spans="4:5">
      <c r="D279"/>
      <c r="E279"/>
    </row>
    <row r="280" spans="4:5">
      <c r="D280"/>
      <c r="E280"/>
    </row>
    <row r="281" spans="4:5">
      <c r="D281"/>
      <c r="E281"/>
    </row>
    <row r="282" spans="4:5">
      <c r="D282"/>
      <c r="E282"/>
    </row>
    <row r="283" spans="4:5">
      <c r="D283"/>
      <c r="E283"/>
    </row>
    <row r="284" spans="4:5">
      <c r="D284"/>
      <c r="E284"/>
    </row>
    <row r="285" spans="4:5">
      <c r="D285"/>
      <c r="E285"/>
    </row>
    <row r="286" spans="4:5">
      <c r="D286"/>
      <c r="E286"/>
    </row>
    <row r="287" spans="4:5">
      <c r="D287"/>
      <c r="E287"/>
    </row>
    <row r="288" spans="4:5">
      <c r="D288"/>
      <c r="E288"/>
    </row>
    <row r="289" spans="4:5">
      <c r="D289"/>
      <c r="E289"/>
    </row>
    <row r="290" spans="4:5">
      <c r="D290"/>
      <c r="E290"/>
    </row>
    <row r="291" spans="4:5">
      <c r="D291"/>
      <c r="E291"/>
    </row>
    <row r="292" spans="4:5">
      <c r="D292"/>
      <c r="E292"/>
    </row>
    <row r="293" spans="4:5">
      <c r="D293"/>
      <c r="E293"/>
    </row>
    <row r="294" spans="4:5">
      <c r="D294"/>
      <c r="E294"/>
    </row>
    <row r="295" spans="4:5">
      <c r="D295"/>
      <c r="E295"/>
    </row>
    <row r="296" spans="4:5">
      <c r="D296"/>
      <c r="E296"/>
    </row>
    <row r="297" spans="4:5">
      <c r="D297"/>
      <c r="E297"/>
    </row>
    <row r="298" spans="4:5">
      <c r="D298"/>
      <c r="E298"/>
    </row>
    <row r="299" spans="4:5">
      <c r="D299"/>
      <c r="E299"/>
    </row>
    <row r="300" spans="4:5">
      <c r="D300"/>
      <c r="E300"/>
    </row>
    <row r="301" spans="4:5">
      <c r="D301"/>
      <c r="E301"/>
    </row>
    <row r="302" spans="4:5">
      <c r="D302"/>
      <c r="E302"/>
    </row>
    <row r="303" spans="4:5">
      <c r="D303"/>
      <c r="E303"/>
    </row>
    <row r="304" spans="4:5">
      <c r="D304"/>
      <c r="E304"/>
    </row>
    <row r="305" spans="4:5">
      <c r="D305"/>
      <c r="E305"/>
    </row>
    <row r="306" spans="4:5">
      <c r="D306"/>
      <c r="E306"/>
    </row>
    <row r="307" spans="4:5">
      <c r="D307"/>
      <c r="E307"/>
    </row>
    <row r="308" spans="4:5">
      <c r="D308"/>
      <c r="E308"/>
    </row>
    <row r="309" spans="4:5">
      <c r="D309"/>
      <c r="E309"/>
    </row>
    <row r="310" spans="4:5">
      <c r="D310"/>
      <c r="E310"/>
    </row>
    <row r="311" spans="4:5">
      <c r="D311"/>
      <c r="E311"/>
    </row>
    <row r="312" spans="4:5">
      <c r="D312"/>
      <c r="E312"/>
    </row>
    <row r="313" spans="4:5">
      <c r="D313"/>
      <c r="E313"/>
    </row>
    <row r="314" spans="4:5">
      <c r="D314"/>
      <c r="E314"/>
    </row>
    <row r="315" spans="4:5">
      <c r="D315"/>
      <c r="E315"/>
    </row>
    <row r="316" spans="4:5">
      <c r="D316"/>
      <c r="E316"/>
    </row>
    <row r="317" spans="4:5">
      <c r="D317"/>
      <c r="E317"/>
    </row>
    <row r="318" spans="4:5">
      <c r="D318"/>
      <c r="E318"/>
    </row>
    <row r="319" spans="4:5">
      <c r="D319"/>
      <c r="E319"/>
    </row>
    <row r="320" spans="4:5">
      <c r="D320"/>
      <c r="E320"/>
    </row>
    <row r="321" spans="4:5">
      <c r="D321"/>
      <c r="E321"/>
    </row>
    <row r="322" spans="4:5">
      <c r="D322"/>
      <c r="E322"/>
    </row>
    <row r="323" spans="4:5">
      <c r="D323"/>
      <c r="E323"/>
    </row>
    <row r="324" spans="4:5">
      <c r="D324"/>
      <c r="E324"/>
    </row>
    <row r="325" spans="4:5">
      <c r="D325"/>
      <c r="E325"/>
    </row>
    <row r="326" spans="4:5">
      <c r="D326"/>
      <c r="E326"/>
    </row>
    <row r="327" spans="4:5">
      <c r="D327"/>
      <c r="E327"/>
    </row>
    <row r="328" spans="4:5">
      <c r="D328"/>
      <c r="E328"/>
    </row>
    <row r="329" spans="4:5">
      <c r="D329"/>
      <c r="E329"/>
    </row>
    <row r="330" spans="4:5">
      <c r="D330"/>
      <c r="E330"/>
    </row>
    <row r="331" spans="4:5">
      <c r="D331"/>
      <c r="E331"/>
    </row>
    <row r="332" spans="4:5">
      <c r="D332"/>
      <c r="E332"/>
    </row>
    <row r="333" spans="4:5">
      <c r="D333"/>
      <c r="E333"/>
    </row>
    <row r="334" spans="4:5">
      <c r="D334"/>
      <c r="E334"/>
    </row>
    <row r="335" spans="4:5">
      <c r="D335"/>
      <c r="E335"/>
    </row>
    <row r="336" spans="4:5">
      <c r="D336"/>
      <c r="E336"/>
    </row>
    <row r="337" spans="4:5">
      <c r="D337"/>
      <c r="E337"/>
    </row>
    <row r="338" spans="4:5">
      <c r="D338"/>
      <c r="E338"/>
    </row>
    <row r="339" spans="4:5">
      <c r="D339"/>
      <c r="E339"/>
    </row>
    <row r="340" spans="4:5">
      <c r="D340"/>
      <c r="E340"/>
    </row>
    <row r="341" spans="4:5">
      <c r="D341"/>
      <c r="E341"/>
    </row>
    <row r="342" spans="4:5">
      <c r="D342"/>
      <c r="E342"/>
    </row>
    <row r="343" spans="4:5">
      <c r="D343"/>
      <c r="E343"/>
    </row>
    <row r="344" spans="4:5">
      <c r="D344"/>
      <c r="E344"/>
    </row>
    <row r="345" spans="4:5">
      <c r="D345"/>
      <c r="E345"/>
    </row>
    <row r="346" spans="4:5">
      <c r="D346"/>
      <c r="E346"/>
    </row>
    <row r="347" spans="4:5">
      <c r="D347"/>
      <c r="E347"/>
    </row>
    <row r="348" spans="4:5">
      <c r="D348"/>
      <c r="E348"/>
    </row>
    <row r="349" spans="4:5">
      <c r="D349"/>
      <c r="E349"/>
    </row>
    <row r="350" spans="4:5">
      <c r="D350"/>
      <c r="E350"/>
    </row>
    <row r="351" spans="4:5">
      <c r="D351"/>
      <c r="E351"/>
    </row>
    <row r="352" spans="4:5">
      <c r="D352"/>
      <c r="E352"/>
    </row>
    <row r="353" spans="4:5">
      <c r="D353"/>
      <c r="E353"/>
    </row>
    <row r="354" spans="4:5">
      <c r="D354"/>
      <c r="E354"/>
    </row>
    <row r="355" spans="4:5">
      <c r="D355"/>
      <c r="E355"/>
    </row>
    <row r="356" spans="4:5">
      <c r="D356"/>
      <c r="E356"/>
    </row>
    <row r="357" spans="4:5">
      <c r="D357"/>
      <c r="E357"/>
    </row>
    <row r="358" spans="4:5">
      <c r="D358"/>
      <c r="E358"/>
    </row>
    <row r="359" spans="4:5">
      <c r="D359"/>
      <c r="E359"/>
    </row>
    <row r="360" spans="4:5">
      <c r="D360"/>
      <c r="E360"/>
    </row>
    <row r="361" spans="4:5">
      <c r="D361"/>
      <c r="E361"/>
    </row>
    <row r="362" spans="4:5">
      <c r="D362"/>
      <c r="E362"/>
    </row>
    <row r="363" spans="4:5">
      <c r="D363"/>
      <c r="E363"/>
    </row>
    <row r="364" spans="4:5">
      <c r="D364"/>
      <c r="E364"/>
    </row>
    <row r="365" spans="4:5">
      <c r="D365"/>
      <c r="E365"/>
    </row>
    <row r="366" spans="4:5">
      <c r="D366"/>
      <c r="E366"/>
    </row>
    <row r="367" spans="4:5">
      <c r="D367"/>
      <c r="E367"/>
    </row>
    <row r="368" spans="4:5">
      <c r="D368"/>
      <c r="E368"/>
    </row>
    <row r="369" spans="4:5">
      <c r="D369"/>
      <c r="E369"/>
    </row>
    <row r="370" spans="4:5">
      <c r="D370"/>
      <c r="E370"/>
    </row>
    <row r="371" spans="4:5">
      <c r="D371"/>
      <c r="E371"/>
    </row>
    <row r="372" spans="4:5">
      <c r="D372"/>
      <c r="E372"/>
    </row>
    <row r="373" spans="4:5">
      <c r="D373"/>
      <c r="E373"/>
    </row>
    <row r="374" spans="4:5">
      <c r="D374"/>
      <c r="E374"/>
    </row>
    <row r="375" spans="4:5">
      <c r="D375"/>
      <c r="E375"/>
    </row>
    <row r="376" spans="4:5">
      <c r="D376"/>
      <c r="E376"/>
    </row>
    <row r="377" spans="4:5">
      <c r="D377"/>
      <c r="E377"/>
    </row>
    <row r="378" spans="4:5">
      <c r="D378"/>
      <c r="E378"/>
    </row>
    <row r="379" spans="4:5">
      <c r="D379"/>
      <c r="E379"/>
    </row>
    <row r="380" spans="4:5">
      <c r="D380"/>
      <c r="E380"/>
    </row>
    <row r="381" spans="4:5">
      <c r="D381"/>
      <c r="E381"/>
    </row>
    <row r="382" spans="4:5">
      <c r="D382"/>
      <c r="E382"/>
    </row>
    <row r="383" spans="4:5">
      <c r="D383"/>
      <c r="E383"/>
    </row>
    <row r="384" spans="4:5">
      <c r="D384"/>
      <c r="E384"/>
    </row>
    <row r="385" spans="4:5">
      <c r="D385"/>
      <c r="E385"/>
    </row>
    <row r="386" spans="4:5">
      <c r="D386"/>
      <c r="E386"/>
    </row>
    <row r="387" spans="4:5">
      <c r="D387"/>
      <c r="E387"/>
    </row>
    <row r="388" spans="4:5">
      <c r="D388"/>
      <c r="E388"/>
    </row>
    <row r="389" spans="4:5">
      <c r="D389"/>
      <c r="E389"/>
    </row>
    <row r="390" spans="4:5">
      <c r="D390"/>
      <c r="E390"/>
    </row>
    <row r="391" spans="4:5">
      <c r="D391"/>
      <c r="E391"/>
    </row>
    <row r="392" spans="4:5">
      <c r="D392"/>
      <c r="E392"/>
    </row>
    <row r="393" spans="4:5">
      <c r="D393"/>
      <c r="E393"/>
    </row>
    <row r="394" spans="4:5">
      <c r="D394"/>
      <c r="E394"/>
    </row>
    <row r="395" spans="4:5">
      <c r="D395"/>
      <c r="E395"/>
    </row>
    <row r="396" spans="4:5">
      <c r="D396"/>
      <c r="E396"/>
    </row>
    <row r="397" spans="4:5">
      <c r="D397"/>
      <c r="E397"/>
    </row>
    <row r="398" spans="4:5">
      <c r="D398"/>
      <c r="E398"/>
    </row>
    <row r="399" spans="4:5">
      <c r="D399"/>
      <c r="E399"/>
    </row>
    <row r="400" spans="4:5">
      <c r="D400"/>
      <c r="E400"/>
    </row>
    <row r="401" spans="4:5">
      <c r="D401"/>
      <c r="E401"/>
    </row>
    <row r="402" spans="4:5">
      <c r="D402"/>
      <c r="E402"/>
    </row>
    <row r="403" spans="4:5">
      <c r="D403"/>
      <c r="E403"/>
    </row>
    <row r="404" spans="4:5">
      <c r="D404"/>
      <c r="E404"/>
    </row>
    <row r="405" spans="4:5">
      <c r="D405"/>
      <c r="E405"/>
    </row>
    <row r="406" spans="4:5">
      <c r="D406"/>
      <c r="E406"/>
    </row>
    <row r="407" spans="4:5">
      <c r="D407"/>
      <c r="E407"/>
    </row>
    <row r="408" spans="4:5">
      <c r="D408"/>
      <c r="E408"/>
    </row>
    <row r="409" spans="4:5">
      <c r="D409"/>
      <c r="E409"/>
    </row>
    <row r="410" spans="4:5">
      <c r="D410"/>
      <c r="E410"/>
    </row>
    <row r="411" spans="4:5">
      <c r="D411"/>
      <c r="E411"/>
    </row>
    <row r="412" spans="4:5">
      <c r="D412"/>
      <c r="E412"/>
    </row>
    <row r="413" spans="4:5">
      <c r="D413"/>
      <c r="E413"/>
    </row>
    <row r="414" spans="4:5">
      <c r="D414"/>
      <c r="E414"/>
    </row>
    <row r="415" spans="4:5">
      <c r="D415"/>
      <c r="E415"/>
    </row>
    <row r="416" spans="4:5">
      <c r="D416"/>
      <c r="E416"/>
    </row>
    <row r="417" spans="4:5">
      <c r="D417"/>
      <c r="E417"/>
    </row>
    <row r="418" spans="4:5">
      <c r="D418"/>
      <c r="E418"/>
    </row>
    <row r="419" spans="4:5">
      <c r="D419"/>
      <c r="E419"/>
    </row>
    <row r="420" spans="4:5">
      <c r="D420"/>
      <c r="E420"/>
    </row>
    <row r="421" spans="4:5">
      <c r="D421"/>
      <c r="E421"/>
    </row>
    <row r="422" spans="4:5">
      <c r="D422"/>
      <c r="E422"/>
    </row>
    <row r="423" spans="4:5">
      <c r="D423"/>
      <c r="E423"/>
    </row>
    <row r="424" spans="4:5">
      <c r="D424"/>
      <c r="E424"/>
    </row>
    <row r="425" spans="4:5">
      <c r="D425"/>
      <c r="E425"/>
    </row>
    <row r="426" spans="4:5">
      <c r="D426"/>
      <c r="E426"/>
    </row>
    <row r="427" spans="4:5">
      <c r="D427"/>
      <c r="E427"/>
    </row>
    <row r="428" spans="4:5">
      <c r="D428"/>
      <c r="E428"/>
    </row>
    <row r="429" spans="4:5">
      <c r="D429"/>
      <c r="E429"/>
    </row>
    <row r="430" spans="4:5">
      <c r="D430"/>
      <c r="E430"/>
    </row>
    <row r="431" spans="4:5">
      <c r="D431"/>
      <c r="E431"/>
    </row>
    <row r="432" spans="4:5">
      <c r="D432"/>
      <c r="E432"/>
    </row>
    <row r="433" spans="4:5">
      <c r="D433"/>
      <c r="E433"/>
    </row>
    <row r="434" spans="4:5">
      <c r="D434"/>
      <c r="E434"/>
    </row>
    <row r="435" spans="4:5">
      <c r="D435"/>
      <c r="E435"/>
    </row>
    <row r="436" spans="4:5">
      <c r="D436"/>
      <c r="E436"/>
    </row>
    <row r="437" spans="4:5">
      <c r="D437"/>
      <c r="E437"/>
    </row>
    <row r="438" spans="4:5">
      <c r="D438"/>
      <c r="E438"/>
    </row>
    <row r="439" spans="4:5">
      <c r="D439"/>
      <c r="E439"/>
    </row>
    <row r="440" spans="4:5">
      <c r="D440"/>
      <c r="E440"/>
    </row>
    <row r="441" spans="4:5">
      <c r="D441"/>
      <c r="E441"/>
    </row>
    <row r="442" spans="4:5">
      <c r="D442"/>
      <c r="E442"/>
    </row>
    <row r="443" spans="4:5">
      <c r="D443"/>
      <c r="E443"/>
    </row>
    <row r="444" spans="4:5">
      <c r="D444"/>
      <c r="E444"/>
    </row>
    <row r="445" spans="4:5">
      <c r="D445"/>
      <c r="E445"/>
    </row>
    <row r="446" spans="4:5">
      <c r="D446"/>
      <c r="E446"/>
    </row>
    <row r="447" spans="4:5">
      <c r="D447"/>
      <c r="E447"/>
    </row>
    <row r="448" spans="4:5">
      <c r="D448"/>
      <c r="E448"/>
    </row>
    <row r="449" spans="4:5">
      <c r="D449"/>
      <c r="E449"/>
    </row>
    <row r="450" spans="4:5">
      <c r="D450"/>
      <c r="E450"/>
    </row>
    <row r="451" spans="4:5">
      <c r="D451"/>
      <c r="E451"/>
    </row>
    <row r="452" spans="4:5">
      <c r="D452"/>
      <c r="E452"/>
    </row>
    <row r="453" spans="4:5">
      <c r="D453"/>
      <c r="E453"/>
    </row>
    <row r="454" spans="4:5">
      <c r="D454"/>
      <c r="E454"/>
    </row>
    <row r="455" spans="4:5">
      <c r="D455"/>
      <c r="E455"/>
    </row>
    <row r="456" spans="4:5">
      <c r="D456"/>
      <c r="E456"/>
    </row>
    <row r="457" spans="4:5">
      <c r="D457"/>
      <c r="E457"/>
    </row>
    <row r="458" spans="4:5">
      <c r="D458"/>
      <c r="E458"/>
    </row>
    <row r="459" spans="4:5">
      <c r="D459"/>
      <c r="E459"/>
    </row>
    <row r="460" spans="4:5">
      <c r="D460"/>
      <c r="E460"/>
    </row>
    <row r="461" spans="4:5">
      <c r="D461"/>
      <c r="E461"/>
    </row>
    <row r="462" spans="4:5">
      <c r="D462"/>
      <c r="E462"/>
    </row>
    <row r="463" spans="4:5">
      <c r="D463"/>
      <c r="E463"/>
    </row>
    <row r="464" spans="4:5">
      <c r="D464"/>
      <c r="E464"/>
    </row>
    <row r="465" spans="4:5">
      <c r="D465"/>
      <c r="E465"/>
    </row>
    <row r="466" spans="4:5">
      <c r="D466"/>
      <c r="E466"/>
    </row>
    <row r="467" spans="4:5">
      <c r="D467"/>
      <c r="E467"/>
    </row>
    <row r="468" spans="4:5">
      <c r="D468"/>
      <c r="E468"/>
    </row>
    <row r="469" spans="4:5">
      <c r="D469"/>
      <c r="E469"/>
    </row>
    <row r="470" spans="4:5">
      <c r="D470"/>
      <c r="E470"/>
    </row>
    <row r="471" spans="4:5">
      <c r="D471"/>
      <c r="E471"/>
    </row>
    <row r="472" spans="4:5">
      <c r="D472"/>
      <c r="E472"/>
    </row>
    <row r="473" spans="4:5">
      <c r="D473"/>
      <c r="E473"/>
    </row>
    <row r="474" spans="4:5">
      <c r="D474"/>
      <c r="E474"/>
    </row>
    <row r="475" spans="4:5">
      <c r="D475"/>
      <c r="E475"/>
    </row>
    <row r="476" spans="4:5">
      <c r="D476"/>
      <c r="E476"/>
    </row>
    <row r="477" spans="4:5">
      <c r="D477"/>
      <c r="E477"/>
    </row>
    <row r="478" spans="4:5">
      <c r="D478"/>
      <c r="E478"/>
    </row>
    <row r="479" spans="4:5">
      <c r="D479"/>
      <c r="E479"/>
    </row>
    <row r="480" spans="4:5">
      <c r="D480"/>
      <c r="E480"/>
    </row>
    <row r="481" spans="4:5">
      <c r="D481"/>
      <c r="E481"/>
    </row>
    <row r="482" spans="4:5">
      <c r="D482"/>
      <c r="E482"/>
    </row>
    <row r="483" spans="4:5">
      <c r="D483"/>
      <c r="E483"/>
    </row>
    <row r="484" spans="4:5">
      <c r="D484"/>
      <c r="E484"/>
    </row>
    <row r="485" spans="4:5">
      <c r="D485"/>
      <c r="E485"/>
    </row>
    <row r="486" spans="4:5">
      <c r="D486"/>
      <c r="E486"/>
    </row>
    <row r="487" spans="4:5">
      <c r="D487"/>
      <c r="E487"/>
    </row>
    <row r="488" spans="4:5">
      <c r="D488"/>
      <c r="E488"/>
    </row>
    <row r="489" spans="4:5">
      <c r="D489"/>
      <c r="E489"/>
    </row>
    <row r="490" spans="4:5">
      <c r="D490"/>
      <c r="E490"/>
    </row>
    <row r="491" spans="4:5">
      <c r="D491"/>
      <c r="E491"/>
    </row>
    <row r="492" spans="4:5">
      <c r="D492"/>
      <c r="E492"/>
    </row>
    <row r="493" spans="4:5">
      <c r="D493"/>
      <c r="E493"/>
    </row>
    <row r="494" spans="4:5">
      <c r="D494"/>
      <c r="E494"/>
    </row>
    <row r="495" spans="4:5">
      <c r="D495"/>
      <c r="E495"/>
    </row>
    <row r="496" spans="4:5">
      <c r="D496"/>
      <c r="E496"/>
    </row>
    <row r="497" spans="4:5">
      <c r="D497"/>
      <c r="E497"/>
    </row>
    <row r="498" spans="4:5">
      <c r="D498"/>
      <c r="E498"/>
    </row>
    <row r="499" spans="4:5">
      <c r="D499"/>
      <c r="E499"/>
    </row>
    <row r="500" spans="4:5">
      <c r="D500"/>
      <c r="E500"/>
    </row>
    <row r="501" spans="4:5">
      <c r="D501"/>
      <c r="E501"/>
    </row>
    <row r="502" spans="4:5">
      <c r="D502"/>
      <c r="E502"/>
    </row>
    <row r="503" spans="4:5">
      <c r="D503"/>
      <c r="E503"/>
    </row>
    <row r="504" spans="4:5">
      <c r="D504"/>
      <c r="E504"/>
    </row>
    <row r="505" spans="4:5">
      <c r="D505"/>
      <c r="E505"/>
    </row>
    <row r="506" spans="4:5">
      <c r="D506"/>
      <c r="E506"/>
    </row>
    <row r="507" spans="4:5">
      <c r="D507"/>
      <c r="E507"/>
    </row>
    <row r="508" spans="4:5">
      <c r="D508"/>
      <c r="E508"/>
    </row>
    <row r="509" spans="4:5">
      <c r="D509"/>
      <c r="E509"/>
    </row>
    <row r="510" spans="4:5">
      <c r="D510"/>
      <c r="E510"/>
    </row>
    <row r="511" spans="4:5">
      <c r="D511"/>
      <c r="E511"/>
    </row>
    <row r="512" spans="4:5">
      <c r="D512"/>
      <c r="E512"/>
    </row>
    <row r="513" spans="4:5">
      <c r="D513"/>
      <c r="E513"/>
    </row>
    <row r="514" spans="4:5">
      <c r="D514"/>
      <c r="E514"/>
    </row>
    <row r="515" spans="4:5">
      <c r="D515"/>
      <c r="E515"/>
    </row>
    <row r="516" spans="4:5">
      <c r="D516"/>
      <c r="E516"/>
    </row>
    <row r="517" spans="4:5">
      <c r="D517"/>
      <c r="E517"/>
    </row>
    <row r="518" spans="4:5">
      <c r="D518"/>
      <c r="E518"/>
    </row>
    <row r="519" spans="4:5">
      <c r="D519"/>
      <c r="E519"/>
    </row>
    <row r="520" spans="4:5">
      <c r="D520"/>
      <c r="E520"/>
    </row>
    <row r="521" spans="4:5">
      <c r="D521"/>
      <c r="E521"/>
    </row>
    <row r="522" spans="4:5">
      <c r="D522"/>
      <c r="E522"/>
    </row>
    <row r="523" spans="4:5">
      <c r="D523"/>
      <c r="E523"/>
    </row>
    <row r="524" spans="4:5">
      <c r="D524"/>
      <c r="E524"/>
    </row>
    <row r="525" spans="4:5">
      <c r="D525"/>
      <c r="E525"/>
    </row>
    <row r="526" spans="4:5">
      <c r="D526"/>
      <c r="E526"/>
    </row>
    <row r="527" spans="4:5">
      <c r="D527"/>
      <c r="E527"/>
    </row>
    <row r="528" spans="4:5">
      <c r="D528"/>
      <c r="E528"/>
    </row>
    <row r="529" spans="4:5">
      <c r="D529"/>
      <c r="E529"/>
    </row>
    <row r="530" spans="4:5">
      <c r="D530"/>
      <c r="E530"/>
    </row>
    <row r="531" spans="4:5">
      <c r="D531"/>
      <c r="E531"/>
    </row>
    <row r="532" spans="4:5">
      <c r="D532"/>
      <c r="E532"/>
    </row>
    <row r="533" spans="4:5">
      <c r="D533"/>
      <c r="E533"/>
    </row>
    <row r="534" spans="4:5">
      <c r="D534"/>
      <c r="E534"/>
    </row>
    <row r="535" spans="4:5">
      <c r="D535"/>
      <c r="E535"/>
    </row>
    <row r="536" spans="4:5">
      <c r="D536"/>
      <c r="E536"/>
    </row>
    <row r="537" spans="4:5">
      <c r="D537"/>
      <c r="E537"/>
    </row>
    <row r="538" spans="4:5">
      <c r="D538"/>
      <c r="E538"/>
    </row>
    <row r="539" spans="4:5">
      <c r="D539"/>
      <c r="E539"/>
    </row>
    <row r="540" spans="4:5">
      <c r="D540"/>
      <c r="E540"/>
    </row>
    <row r="541" spans="4:5">
      <c r="D541"/>
      <c r="E541"/>
    </row>
    <row r="542" spans="4:5">
      <c r="D542"/>
      <c r="E542"/>
    </row>
    <row r="543" spans="4:5">
      <c r="D543"/>
      <c r="E543"/>
    </row>
    <row r="544" spans="4:5">
      <c r="D544"/>
      <c r="E544"/>
    </row>
    <row r="545" spans="4:5">
      <c r="D545"/>
      <c r="E545"/>
    </row>
    <row r="546" spans="4:5">
      <c r="D546"/>
      <c r="E546"/>
    </row>
    <row r="547" spans="4:5">
      <c r="D547"/>
      <c r="E547"/>
    </row>
    <row r="548" spans="4:5">
      <c r="D548"/>
      <c r="E548"/>
    </row>
    <row r="549" spans="4:5">
      <c r="D549"/>
      <c r="E549"/>
    </row>
    <row r="550" spans="4:5">
      <c r="D550"/>
      <c r="E550"/>
    </row>
    <row r="551" spans="4:5">
      <c r="D551"/>
      <c r="E551"/>
    </row>
    <row r="552" spans="4:5">
      <c r="D552"/>
      <c r="E552"/>
    </row>
    <row r="553" spans="4:5">
      <c r="D553"/>
      <c r="E553"/>
    </row>
    <row r="554" spans="4:5">
      <c r="D554"/>
      <c r="E554"/>
    </row>
    <row r="555" spans="4:5">
      <c r="D555"/>
      <c r="E555"/>
    </row>
    <row r="556" spans="4:5">
      <c r="D556"/>
      <c r="E556"/>
    </row>
    <row r="557" spans="4:5">
      <c r="D557"/>
      <c r="E557"/>
    </row>
    <row r="558" spans="4:5">
      <c r="D558"/>
      <c r="E558"/>
    </row>
    <row r="559" spans="4:5">
      <c r="D559"/>
      <c r="E559"/>
    </row>
    <row r="560" spans="4:5">
      <c r="D560"/>
      <c r="E560"/>
    </row>
    <row r="561" spans="4:5">
      <c r="D561"/>
      <c r="E561"/>
    </row>
    <row r="562" spans="4:5">
      <c r="D562"/>
      <c r="E562"/>
    </row>
    <row r="563" spans="4:5">
      <c r="D563"/>
      <c r="E563"/>
    </row>
    <row r="564" spans="4:5">
      <c r="D564"/>
      <c r="E564"/>
    </row>
    <row r="565" spans="4:5">
      <c r="D565"/>
      <c r="E565"/>
    </row>
    <row r="566" spans="4:5">
      <c r="D566"/>
      <c r="E566"/>
    </row>
    <row r="567" spans="4:5">
      <c r="D567"/>
      <c r="E567"/>
    </row>
    <row r="568" spans="4:5">
      <c r="D568"/>
      <c r="E568"/>
    </row>
    <row r="569" spans="4:5">
      <c r="D569"/>
      <c r="E569"/>
    </row>
    <row r="570" spans="4:5">
      <c r="D570"/>
      <c r="E570"/>
    </row>
    <row r="571" spans="4:5">
      <c r="D571"/>
      <c r="E571"/>
    </row>
    <row r="572" spans="4:5">
      <c r="D572"/>
      <c r="E572"/>
    </row>
    <row r="573" spans="4:5">
      <c r="D573"/>
      <c r="E573"/>
    </row>
    <row r="574" spans="4:5">
      <c r="D574"/>
      <c r="E574"/>
    </row>
    <row r="575" spans="4:5">
      <c r="D575"/>
      <c r="E575"/>
    </row>
    <row r="576" spans="4:5">
      <c r="D576"/>
      <c r="E576"/>
    </row>
    <row r="577" spans="4:5">
      <c r="D577"/>
      <c r="E577"/>
    </row>
    <row r="578" spans="4:5">
      <c r="D578"/>
      <c r="E578"/>
    </row>
    <row r="579" spans="4:5">
      <c r="D579"/>
      <c r="E579"/>
    </row>
    <row r="580" spans="4:5">
      <c r="D580"/>
      <c r="E580"/>
    </row>
    <row r="581" spans="4:5">
      <c r="D581"/>
      <c r="E581"/>
    </row>
    <row r="582" spans="4:5">
      <c r="D582"/>
      <c r="E582"/>
    </row>
    <row r="583" spans="4:5">
      <c r="D583"/>
      <c r="E583"/>
    </row>
    <row r="584" spans="4:5">
      <c r="D584"/>
      <c r="E584"/>
    </row>
    <row r="585" spans="4:5">
      <c r="D585"/>
      <c r="E585"/>
    </row>
    <row r="586" spans="4:5">
      <c r="D586"/>
      <c r="E586"/>
    </row>
    <row r="587" spans="4:5">
      <c r="D587"/>
      <c r="E587"/>
    </row>
    <row r="588" spans="4:5">
      <c r="D588"/>
      <c r="E588"/>
    </row>
    <row r="589" spans="4:5">
      <c r="D589"/>
      <c r="E589"/>
    </row>
    <row r="590" spans="4:5">
      <c r="D590"/>
      <c r="E590"/>
    </row>
    <row r="591" spans="4:5">
      <c r="D591"/>
      <c r="E591"/>
    </row>
    <row r="592" spans="4:5">
      <c r="D592"/>
      <c r="E592"/>
    </row>
    <row r="593" spans="4:5">
      <c r="D593"/>
      <c r="E593"/>
    </row>
    <row r="594" spans="4:5">
      <c r="D594"/>
      <c r="E594"/>
    </row>
    <row r="595" spans="4:5">
      <c r="D595"/>
      <c r="E595"/>
    </row>
    <row r="596" spans="4:5">
      <c r="D596"/>
      <c r="E596"/>
    </row>
    <row r="597" spans="4:5">
      <c r="D597"/>
      <c r="E597"/>
    </row>
    <row r="598" spans="4:5">
      <c r="D598"/>
      <c r="E598"/>
    </row>
    <row r="599" spans="4:5">
      <c r="D599"/>
      <c r="E599"/>
    </row>
    <row r="600" spans="4:5">
      <c r="D600"/>
      <c r="E600"/>
    </row>
    <row r="601" spans="4:5">
      <c r="D601"/>
      <c r="E601"/>
    </row>
    <row r="602" spans="4:5">
      <c r="D602"/>
      <c r="E602"/>
    </row>
    <row r="603" spans="4:5">
      <c r="D603"/>
      <c r="E603"/>
    </row>
    <row r="604" spans="4:5">
      <c r="D604"/>
      <c r="E604"/>
    </row>
    <row r="605" spans="4:5">
      <c r="D605"/>
      <c r="E605"/>
    </row>
    <row r="606" spans="4:5">
      <c r="D606"/>
      <c r="E606"/>
    </row>
    <row r="607" spans="4:5">
      <c r="D607"/>
      <c r="E607"/>
    </row>
    <row r="608" spans="4:5">
      <c r="D608"/>
      <c r="E608"/>
    </row>
    <row r="609" spans="4:5">
      <c r="D609"/>
      <c r="E609"/>
    </row>
    <row r="610" spans="4:5">
      <c r="D610"/>
      <c r="E610"/>
    </row>
    <row r="611" spans="4:5">
      <c r="D611"/>
      <c r="E611"/>
    </row>
    <row r="612" spans="4:5">
      <c r="D612"/>
      <c r="E612"/>
    </row>
    <row r="613" spans="4:5">
      <c r="D613"/>
      <c r="E613"/>
    </row>
    <row r="614" spans="4:5">
      <c r="D614"/>
      <c r="E614"/>
    </row>
    <row r="615" spans="4:5">
      <c r="D615"/>
      <c r="E615"/>
    </row>
    <row r="616" spans="4:5">
      <c r="D616"/>
      <c r="E616"/>
    </row>
    <row r="617" spans="4:5">
      <c r="D617"/>
      <c r="E617"/>
    </row>
    <row r="618" spans="4:5">
      <c r="D618"/>
      <c r="E618"/>
    </row>
    <row r="619" spans="4:5">
      <c r="D619"/>
      <c r="E619"/>
    </row>
    <row r="620" spans="4:5">
      <c r="D620"/>
      <c r="E620"/>
    </row>
    <row r="621" spans="4:5">
      <c r="D621"/>
      <c r="E621"/>
    </row>
    <row r="622" spans="4:5">
      <c r="D622"/>
      <c r="E622"/>
    </row>
    <row r="623" spans="4:5">
      <c r="D623"/>
      <c r="E623"/>
    </row>
    <row r="624" spans="4:5">
      <c r="D624"/>
      <c r="E624"/>
    </row>
    <row r="625" spans="4:5">
      <c r="D625"/>
      <c r="E625"/>
    </row>
    <row r="626" spans="4:5">
      <c r="D626"/>
      <c r="E626"/>
    </row>
    <row r="627" spans="4:5">
      <c r="D627"/>
      <c r="E627"/>
    </row>
    <row r="628" spans="4:5">
      <c r="D628"/>
      <c r="E628"/>
    </row>
    <row r="629" spans="4:5">
      <c r="D629"/>
      <c r="E629"/>
    </row>
    <row r="630" spans="4:5">
      <c r="D630"/>
      <c r="E630"/>
    </row>
    <row r="631" spans="4:5">
      <c r="D631"/>
      <c r="E631"/>
    </row>
    <row r="632" spans="4:5">
      <c r="D632"/>
      <c r="E632"/>
    </row>
    <row r="633" spans="4:5">
      <c r="D633"/>
      <c r="E633"/>
    </row>
    <row r="634" spans="4:5">
      <c r="D634"/>
      <c r="E634"/>
    </row>
    <row r="635" spans="4:5">
      <c r="D635"/>
      <c r="E635"/>
    </row>
    <row r="636" spans="4:5">
      <c r="D636"/>
      <c r="E636"/>
    </row>
    <row r="637" spans="4:5">
      <c r="D637"/>
      <c r="E637"/>
    </row>
    <row r="638" spans="4:5">
      <c r="D638"/>
      <c r="E638"/>
    </row>
    <row r="639" spans="4:5">
      <c r="D639"/>
      <c r="E639"/>
    </row>
    <row r="640" spans="4:5">
      <c r="D640"/>
      <c r="E640"/>
    </row>
    <row r="641" spans="4:5">
      <c r="D641"/>
      <c r="E641"/>
    </row>
    <row r="642" spans="4:5">
      <c r="D642"/>
      <c r="E642"/>
    </row>
    <row r="643" spans="4:5">
      <c r="D643"/>
      <c r="E643"/>
    </row>
    <row r="644" spans="4:5">
      <c r="D644"/>
      <c r="E644"/>
    </row>
    <row r="645" spans="4:5">
      <c r="D645"/>
      <c r="E645"/>
    </row>
    <row r="646" spans="4:5">
      <c r="D646"/>
      <c r="E646"/>
    </row>
    <row r="647" spans="4:5">
      <c r="D647"/>
      <c r="E647"/>
    </row>
    <row r="648" spans="4:5">
      <c r="D648"/>
      <c r="E648"/>
    </row>
    <row r="649" spans="4:5">
      <c r="D649"/>
      <c r="E649"/>
    </row>
    <row r="650" spans="4:5">
      <c r="D650"/>
      <c r="E650"/>
    </row>
    <row r="651" spans="4:5">
      <c r="D651"/>
      <c r="E651"/>
    </row>
    <row r="652" spans="4:5">
      <c r="D652"/>
      <c r="E652"/>
    </row>
    <row r="653" spans="4:5">
      <c r="D653"/>
      <c r="E653"/>
    </row>
    <row r="654" spans="4:5">
      <c r="D654"/>
      <c r="E654"/>
    </row>
    <row r="655" spans="4:5">
      <c r="D655"/>
      <c r="E655"/>
    </row>
    <row r="656" spans="4:5">
      <c r="D656"/>
      <c r="E656"/>
    </row>
    <row r="657" spans="4:5">
      <c r="D657"/>
      <c r="E657"/>
    </row>
    <row r="658" spans="4:5">
      <c r="D658"/>
      <c r="E658"/>
    </row>
    <row r="659" spans="4:5">
      <c r="D659"/>
      <c r="E659"/>
    </row>
    <row r="660" spans="4:5">
      <c r="D660"/>
      <c r="E660"/>
    </row>
    <row r="661" spans="4:5">
      <c r="D661"/>
      <c r="E661"/>
    </row>
    <row r="662" spans="4:5">
      <c r="D662"/>
      <c r="E662"/>
    </row>
    <row r="663" spans="4:5">
      <c r="D663"/>
      <c r="E663"/>
    </row>
    <row r="664" spans="4:5">
      <c r="D664"/>
      <c r="E664"/>
    </row>
    <row r="665" spans="4:5">
      <c r="D665"/>
      <c r="E665"/>
    </row>
    <row r="666" spans="4:5">
      <c r="D666"/>
      <c r="E666"/>
    </row>
    <row r="667" spans="4:5">
      <c r="D667"/>
      <c r="E667"/>
    </row>
    <row r="668" spans="4:5">
      <c r="D668"/>
      <c r="E668"/>
    </row>
    <row r="669" spans="4:5">
      <c r="D669"/>
      <c r="E669"/>
    </row>
    <row r="670" spans="4:5">
      <c r="D670"/>
      <c r="E670"/>
    </row>
    <row r="671" spans="4:5">
      <c r="D671"/>
      <c r="E671"/>
    </row>
    <row r="672" spans="4:5">
      <c r="D672"/>
      <c r="E672"/>
    </row>
    <row r="673" spans="4:5">
      <c r="D673"/>
      <c r="E673"/>
    </row>
    <row r="674" spans="4:5">
      <c r="D674"/>
      <c r="E674"/>
    </row>
    <row r="675" spans="4:5">
      <c r="D675"/>
      <c r="E675"/>
    </row>
    <row r="676" spans="4:5">
      <c r="D676"/>
      <c r="E676"/>
    </row>
    <row r="677" spans="4:5">
      <c r="D677"/>
      <c r="E677"/>
    </row>
    <row r="678" spans="4:5">
      <c r="D678"/>
      <c r="E678"/>
    </row>
    <row r="679" spans="4:5">
      <c r="D679"/>
      <c r="E679"/>
    </row>
    <row r="680" spans="4:5">
      <c r="D680"/>
      <c r="E680"/>
    </row>
    <row r="681" spans="4:5">
      <c r="D681"/>
      <c r="E681"/>
    </row>
    <row r="682" spans="4:5">
      <c r="D682"/>
      <c r="E682"/>
    </row>
    <row r="683" spans="4:5">
      <c r="D683"/>
      <c r="E683"/>
    </row>
    <row r="684" spans="4:5">
      <c r="D684"/>
      <c r="E684"/>
    </row>
    <row r="685" spans="4:5">
      <c r="D685"/>
      <c r="E685"/>
    </row>
    <row r="686" spans="4:5">
      <c r="D686"/>
      <c r="E686"/>
    </row>
    <row r="687" spans="4:5">
      <c r="D687"/>
      <c r="E687"/>
    </row>
    <row r="688" spans="4:5">
      <c r="D688"/>
      <c r="E688"/>
    </row>
    <row r="689" spans="4:5">
      <c r="D689"/>
      <c r="E689"/>
    </row>
    <row r="690" spans="4:5">
      <c r="D690"/>
      <c r="E690"/>
    </row>
    <row r="691" spans="4:5">
      <c r="D691"/>
      <c r="E691"/>
    </row>
    <row r="692" spans="4:5">
      <c r="D692"/>
      <c r="E692"/>
    </row>
    <row r="693" spans="4:5">
      <c r="D693"/>
      <c r="E693"/>
    </row>
    <row r="694" spans="4:5">
      <c r="D694"/>
      <c r="E694"/>
    </row>
    <row r="695" spans="4:5">
      <c r="D695"/>
      <c r="E695"/>
    </row>
    <row r="696" spans="4:5">
      <c r="D696"/>
      <c r="E696"/>
    </row>
    <row r="697" spans="4:5">
      <c r="D697"/>
      <c r="E697"/>
    </row>
    <row r="698" spans="4:5">
      <c r="D698"/>
      <c r="E698"/>
    </row>
    <row r="699" spans="4:5">
      <c r="D699"/>
      <c r="E699"/>
    </row>
    <row r="700" spans="4:5">
      <c r="D700"/>
      <c r="E700"/>
    </row>
    <row r="701" spans="4:5">
      <c r="D701"/>
      <c r="E701"/>
    </row>
    <row r="702" spans="4:5">
      <c r="D702"/>
      <c r="E702"/>
    </row>
    <row r="703" spans="4:5">
      <c r="D703"/>
      <c r="E703"/>
    </row>
    <row r="704" spans="4:5">
      <c r="D704"/>
      <c r="E704"/>
    </row>
    <row r="705" spans="4:5">
      <c r="D705"/>
      <c r="E705"/>
    </row>
    <row r="706" spans="4:5">
      <c r="D706"/>
      <c r="E706"/>
    </row>
    <row r="707" spans="4:5">
      <c r="D707"/>
      <c r="E707"/>
    </row>
    <row r="708" spans="4:5">
      <c r="D708"/>
      <c r="E708"/>
    </row>
    <row r="709" spans="4:5">
      <c r="D709"/>
      <c r="E709"/>
    </row>
    <row r="710" spans="4:5">
      <c r="D710"/>
      <c r="E710"/>
    </row>
    <row r="711" spans="4:5">
      <c r="D711"/>
      <c r="E711"/>
    </row>
    <row r="712" spans="4:5">
      <c r="D712"/>
      <c r="E712"/>
    </row>
    <row r="713" spans="4:5">
      <c r="D713"/>
      <c r="E713"/>
    </row>
    <row r="714" spans="4:5">
      <c r="D714"/>
      <c r="E714"/>
    </row>
    <row r="715" spans="4:5">
      <c r="D715"/>
      <c r="E715"/>
    </row>
    <row r="716" spans="4:5">
      <c r="D716"/>
      <c r="E716"/>
    </row>
    <row r="717" spans="4:5">
      <c r="D717"/>
      <c r="E717"/>
    </row>
    <row r="718" spans="4:5">
      <c r="D718"/>
      <c r="E718"/>
    </row>
    <row r="719" spans="4:5">
      <c r="D719"/>
      <c r="E719"/>
    </row>
    <row r="720" spans="4:5">
      <c r="D720"/>
      <c r="E720"/>
    </row>
    <row r="721" spans="4:5">
      <c r="D721"/>
      <c r="E721"/>
    </row>
    <row r="722" spans="4:5">
      <c r="D722"/>
      <c r="E722"/>
    </row>
    <row r="723" spans="4:5">
      <c r="D723"/>
      <c r="E723"/>
    </row>
    <row r="724" spans="4:5">
      <c r="D724"/>
      <c r="E724"/>
    </row>
    <row r="725" spans="4:5">
      <c r="D725"/>
      <c r="E725"/>
    </row>
    <row r="726" spans="4:5">
      <c r="D726"/>
      <c r="E726"/>
    </row>
    <row r="727" spans="4:5">
      <c r="D727"/>
      <c r="E727"/>
    </row>
    <row r="728" spans="4:5">
      <c r="D728"/>
      <c r="E728"/>
    </row>
    <row r="729" spans="4:5">
      <c r="D729"/>
      <c r="E729"/>
    </row>
    <row r="730" spans="4:5">
      <c r="D730"/>
      <c r="E730"/>
    </row>
    <row r="731" spans="4:5">
      <c r="D731"/>
      <c r="E731"/>
    </row>
    <row r="732" spans="4:5">
      <c r="D732"/>
      <c r="E732"/>
    </row>
    <row r="733" spans="4:5">
      <c r="D733"/>
      <c r="E733"/>
    </row>
    <row r="734" spans="4:5">
      <c r="D734"/>
      <c r="E734"/>
    </row>
    <row r="735" spans="4:5">
      <c r="D735"/>
      <c r="E735"/>
    </row>
    <row r="736" spans="4:5">
      <c r="D736"/>
      <c r="E736"/>
    </row>
    <row r="737" spans="4:5">
      <c r="D737"/>
      <c r="E737"/>
    </row>
    <row r="738" spans="4:5">
      <c r="D738"/>
      <c r="E738"/>
    </row>
    <row r="739" spans="4:5">
      <c r="D739"/>
      <c r="E739"/>
    </row>
    <row r="740" spans="4:5">
      <c r="D740"/>
      <c r="E740"/>
    </row>
    <row r="741" spans="4:5">
      <c r="D741"/>
      <c r="E741"/>
    </row>
    <row r="742" spans="4:5">
      <c r="D742"/>
      <c r="E742"/>
    </row>
    <row r="743" spans="4:5">
      <c r="D743"/>
      <c r="E743"/>
    </row>
    <row r="744" spans="4:5">
      <c r="D744"/>
      <c r="E744"/>
    </row>
    <row r="745" spans="4:5">
      <c r="D745"/>
      <c r="E745"/>
    </row>
    <row r="746" spans="4:5">
      <c r="D746"/>
      <c r="E746"/>
    </row>
    <row r="747" spans="4:5">
      <c r="D747"/>
      <c r="E747"/>
    </row>
    <row r="748" spans="4:5">
      <c r="D748"/>
      <c r="E748"/>
    </row>
    <row r="749" spans="4:5">
      <c r="D749"/>
      <c r="E749"/>
    </row>
    <row r="750" spans="4:5">
      <c r="D750"/>
      <c r="E750"/>
    </row>
    <row r="751" spans="4:5">
      <c r="D751"/>
      <c r="E751"/>
    </row>
    <row r="752" spans="4:5">
      <c r="D752"/>
      <c r="E752"/>
    </row>
    <row r="753" spans="4:5">
      <c r="D753"/>
      <c r="E753"/>
    </row>
    <row r="754" spans="4:5">
      <c r="D754"/>
      <c r="E754"/>
    </row>
    <row r="755" spans="4:5">
      <c r="D755"/>
      <c r="E755"/>
    </row>
    <row r="756" spans="4:5">
      <c r="D756"/>
      <c r="E756"/>
    </row>
    <row r="757" spans="4:5">
      <c r="D757"/>
      <c r="E757"/>
    </row>
    <row r="758" spans="4:5">
      <c r="D758"/>
      <c r="E758"/>
    </row>
    <row r="759" spans="4:5">
      <c r="D759"/>
      <c r="E759"/>
    </row>
    <row r="760" spans="4:5">
      <c r="D760"/>
      <c r="E760"/>
    </row>
    <row r="761" spans="4:5">
      <c r="D761"/>
      <c r="E761"/>
    </row>
    <row r="762" spans="4:5">
      <c r="D762"/>
      <c r="E762"/>
    </row>
    <row r="763" spans="4:5">
      <c r="D763"/>
      <c r="E763"/>
    </row>
    <row r="764" spans="4:5">
      <c r="D764"/>
      <c r="E764"/>
    </row>
    <row r="765" spans="4:5">
      <c r="D765"/>
      <c r="E765"/>
    </row>
    <row r="766" spans="4:5">
      <c r="D766"/>
      <c r="E766"/>
    </row>
    <row r="767" spans="4:5">
      <c r="D767"/>
      <c r="E767"/>
    </row>
    <row r="768" spans="4:5">
      <c r="D768"/>
      <c r="E768"/>
    </row>
    <row r="769" spans="4:5">
      <c r="D769"/>
      <c r="E769"/>
    </row>
    <row r="770" spans="4:5">
      <c r="D770"/>
      <c r="E770"/>
    </row>
    <row r="771" spans="4:5">
      <c r="D771"/>
      <c r="E771"/>
    </row>
    <row r="772" spans="4:5">
      <c r="D772"/>
      <c r="E772"/>
    </row>
    <row r="773" spans="4:5">
      <c r="D773"/>
      <c r="E773"/>
    </row>
    <row r="774" spans="4:5">
      <c r="D774"/>
      <c r="E774"/>
    </row>
    <row r="775" spans="4:5">
      <c r="D775"/>
      <c r="E775"/>
    </row>
    <row r="776" spans="4:5">
      <c r="D776"/>
      <c r="E776"/>
    </row>
    <row r="777" spans="4:5">
      <c r="D777"/>
      <c r="E777"/>
    </row>
    <row r="778" spans="4:5">
      <c r="D778"/>
      <c r="E778"/>
    </row>
    <row r="779" spans="4:5">
      <c r="D779"/>
      <c r="E779"/>
    </row>
    <row r="780" spans="4:5">
      <c r="D780"/>
      <c r="E780"/>
    </row>
    <row r="781" spans="4:5">
      <c r="D781"/>
      <c r="E781"/>
    </row>
    <row r="782" spans="4:5">
      <c r="D782"/>
      <c r="E782"/>
    </row>
    <row r="783" spans="4:5">
      <c r="D783"/>
      <c r="E783"/>
    </row>
    <row r="784" spans="4:5">
      <c r="D784"/>
      <c r="E784"/>
    </row>
    <row r="785" spans="4:5">
      <c r="D785"/>
      <c r="E785"/>
    </row>
    <row r="786" spans="4:5">
      <c r="D786"/>
      <c r="E786"/>
    </row>
    <row r="787" spans="4:5">
      <c r="D787"/>
      <c r="E787"/>
    </row>
    <row r="788" spans="4:5">
      <c r="D788"/>
      <c r="E788"/>
    </row>
    <row r="789" spans="4:5">
      <c r="D789"/>
      <c r="E789"/>
    </row>
    <row r="790" spans="4:5">
      <c r="D790"/>
      <c r="E790"/>
    </row>
    <row r="791" spans="4:5">
      <c r="D791"/>
      <c r="E791"/>
    </row>
    <row r="792" spans="4:5">
      <c r="D792"/>
      <c r="E792"/>
    </row>
    <row r="793" spans="4:5">
      <c r="D793"/>
      <c r="E793"/>
    </row>
    <row r="794" spans="4:5">
      <c r="D794"/>
      <c r="E794"/>
    </row>
    <row r="795" spans="4:5">
      <c r="D795"/>
      <c r="E795"/>
    </row>
    <row r="796" spans="4:5">
      <c r="D796"/>
      <c r="E796"/>
    </row>
    <row r="797" spans="4:5">
      <c r="D797"/>
      <c r="E797"/>
    </row>
    <row r="798" spans="4:5">
      <c r="D798"/>
      <c r="E798"/>
    </row>
    <row r="799" spans="4:5">
      <c r="D799"/>
      <c r="E799"/>
    </row>
    <row r="800" spans="4:5">
      <c r="D800"/>
      <c r="E800"/>
    </row>
    <row r="801" spans="4:5">
      <c r="D801"/>
      <c r="E801"/>
    </row>
    <row r="802" spans="4:5">
      <c r="D802"/>
      <c r="E802"/>
    </row>
    <row r="803" spans="4:5">
      <c r="D803"/>
      <c r="E803"/>
    </row>
    <row r="804" spans="4:5">
      <c r="D804"/>
      <c r="E804"/>
    </row>
    <row r="805" spans="4:5">
      <c r="D805"/>
      <c r="E805"/>
    </row>
    <row r="806" spans="4:5">
      <c r="D806"/>
      <c r="E806"/>
    </row>
    <row r="807" spans="4:5">
      <c r="D807"/>
      <c r="E807"/>
    </row>
    <row r="808" spans="4:5">
      <c r="D808"/>
      <c r="E808"/>
    </row>
    <row r="809" spans="4:5">
      <c r="D809"/>
      <c r="E809"/>
    </row>
    <row r="810" spans="4:5">
      <c r="D810"/>
      <c r="E810"/>
    </row>
    <row r="811" spans="4:5">
      <c r="D811"/>
      <c r="E811"/>
    </row>
    <row r="812" spans="4:5">
      <c r="D812"/>
      <c r="E812"/>
    </row>
    <row r="813" spans="4:5">
      <c r="D813"/>
      <c r="E813"/>
    </row>
    <row r="814" spans="4:5">
      <c r="D814"/>
      <c r="E814"/>
    </row>
    <row r="815" spans="4:5">
      <c r="D815"/>
      <c r="E815"/>
    </row>
    <row r="816" spans="4:5">
      <c r="D816"/>
      <c r="E816"/>
    </row>
    <row r="817" spans="4:5">
      <c r="D817"/>
      <c r="E817"/>
    </row>
    <row r="818" spans="4:5">
      <c r="D818"/>
      <c r="E818"/>
    </row>
    <row r="819" spans="4:5">
      <c r="D819"/>
      <c r="E819"/>
    </row>
    <row r="820" spans="4:5">
      <c r="D820"/>
      <c r="E820"/>
    </row>
    <row r="821" spans="4:5">
      <c r="D821"/>
      <c r="E821"/>
    </row>
    <row r="822" spans="4:5">
      <c r="D822"/>
      <c r="E822"/>
    </row>
    <row r="823" spans="4:5">
      <c r="D823"/>
      <c r="E823"/>
    </row>
    <row r="824" spans="4:5">
      <c r="D824"/>
      <c r="E824"/>
    </row>
    <row r="825" spans="4:5">
      <c r="D825"/>
      <c r="E825"/>
    </row>
    <row r="826" spans="4:5">
      <c r="D826"/>
      <c r="E826"/>
    </row>
    <row r="827" spans="4:5">
      <c r="D827"/>
      <c r="E827"/>
    </row>
    <row r="828" spans="4:5">
      <c r="D828"/>
      <c r="E828"/>
    </row>
    <row r="829" spans="4:5">
      <c r="D829"/>
      <c r="E829"/>
    </row>
    <row r="830" spans="4:5">
      <c r="D830"/>
      <c r="E830"/>
    </row>
    <row r="831" spans="4:5">
      <c r="D831"/>
      <c r="E831"/>
    </row>
    <row r="832" spans="4:5">
      <c r="D832"/>
      <c r="E832"/>
    </row>
    <row r="833" spans="4:5">
      <c r="D833"/>
      <c r="E833"/>
    </row>
    <row r="834" spans="4:5">
      <c r="D834"/>
      <c r="E834"/>
    </row>
    <row r="835" spans="4:5">
      <c r="D835"/>
      <c r="E835"/>
    </row>
    <row r="836" spans="4:5">
      <c r="D836"/>
      <c r="E836"/>
    </row>
    <row r="837" spans="4:5">
      <c r="D837"/>
      <c r="E837"/>
    </row>
    <row r="838" spans="4:5">
      <c r="D838"/>
      <c r="E838"/>
    </row>
    <row r="839" spans="4:5">
      <c r="D839"/>
      <c r="E839"/>
    </row>
    <row r="840" spans="4:5">
      <c r="D840"/>
      <c r="E840"/>
    </row>
    <row r="841" spans="4:5">
      <c r="D841"/>
      <c r="E841"/>
    </row>
    <row r="842" spans="4:5">
      <c r="D842"/>
      <c r="E842"/>
    </row>
    <row r="843" spans="4:5">
      <c r="D843"/>
      <c r="E843"/>
    </row>
    <row r="844" spans="4:5">
      <c r="D844"/>
      <c r="E844"/>
    </row>
    <row r="845" spans="4:5">
      <c r="D845"/>
      <c r="E845"/>
    </row>
    <row r="846" spans="4:5">
      <c r="D846"/>
      <c r="E846"/>
    </row>
    <row r="847" spans="4:5">
      <c r="D847"/>
      <c r="E847"/>
    </row>
    <row r="848" spans="4:5">
      <c r="D848"/>
      <c r="E848"/>
    </row>
    <row r="849" spans="4:5">
      <c r="D849"/>
      <c r="E849"/>
    </row>
    <row r="850" spans="4:5">
      <c r="D850"/>
      <c r="E850"/>
    </row>
    <row r="851" spans="4:5">
      <c r="D851"/>
      <c r="E851"/>
    </row>
    <row r="852" spans="4:5">
      <c r="D852"/>
      <c r="E852"/>
    </row>
    <row r="853" spans="4:5">
      <c r="D853"/>
      <c r="E853"/>
    </row>
    <row r="854" spans="4:5">
      <c r="D854"/>
      <c r="E854"/>
    </row>
    <row r="855" spans="4:5">
      <c r="D855"/>
      <c r="E855"/>
    </row>
    <row r="856" spans="4:5">
      <c r="D856"/>
      <c r="E856"/>
    </row>
    <row r="857" spans="4:5">
      <c r="D857"/>
      <c r="E857"/>
    </row>
    <row r="858" spans="4:5">
      <c r="D858"/>
      <c r="E858"/>
    </row>
    <row r="859" spans="4:5">
      <c r="D859"/>
      <c r="E859"/>
    </row>
    <row r="860" spans="4:5">
      <c r="D860"/>
      <c r="E860"/>
    </row>
    <row r="861" spans="4:5">
      <c r="D861"/>
      <c r="E861"/>
    </row>
    <row r="862" spans="4:5">
      <c r="D862"/>
      <c r="E862"/>
    </row>
    <row r="863" spans="4:5">
      <c r="D863"/>
      <c r="E863"/>
    </row>
    <row r="864" spans="4:5">
      <c r="D864"/>
      <c r="E864"/>
    </row>
    <row r="865" spans="4:5">
      <c r="D865"/>
      <c r="E865"/>
    </row>
    <row r="866" spans="4:5">
      <c r="D866"/>
      <c r="E866"/>
    </row>
    <row r="867" spans="4:5">
      <c r="D867"/>
      <c r="E867"/>
    </row>
    <row r="868" spans="4:5">
      <c r="D868"/>
      <c r="E868"/>
    </row>
    <row r="869" spans="4:5">
      <c r="D869"/>
      <c r="E869"/>
    </row>
    <row r="870" spans="4:5">
      <c r="D870"/>
      <c r="E870"/>
    </row>
    <row r="871" spans="4:5">
      <c r="D871"/>
      <c r="E871"/>
    </row>
    <row r="872" spans="4:5">
      <c r="D872"/>
      <c r="E872"/>
    </row>
    <row r="873" spans="4:5">
      <c r="D873"/>
      <c r="E873"/>
    </row>
    <row r="874" spans="4:5">
      <c r="D874"/>
      <c r="E874"/>
    </row>
    <row r="875" spans="4:5">
      <c r="D875"/>
      <c r="E875"/>
    </row>
    <row r="876" spans="4:5">
      <c r="D876"/>
      <c r="E876"/>
    </row>
    <row r="877" spans="4:5">
      <c r="D877"/>
      <c r="E877"/>
    </row>
    <row r="878" spans="4:5">
      <c r="D878"/>
      <c r="E878"/>
    </row>
    <row r="879" spans="4:5">
      <c r="D879"/>
      <c r="E879"/>
    </row>
    <row r="880" spans="4:5">
      <c r="D880"/>
      <c r="E880"/>
    </row>
    <row r="881" spans="4:5">
      <c r="D881"/>
      <c r="E881"/>
    </row>
    <row r="882" spans="4:5">
      <c r="D882"/>
      <c r="E882"/>
    </row>
    <row r="883" spans="4:5">
      <c r="D883"/>
      <c r="E883"/>
    </row>
    <row r="884" spans="4:5">
      <c r="D884"/>
      <c r="E884"/>
    </row>
    <row r="885" spans="4:5">
      <c r="D885"/>
      <c r="E885"/>
    </row>
    <row r="886" spans="4:5">
      <c r="D886"/>
      <c r="E886"/>
    </row>
    <row r="887" spans="4:5">
      <c r="D887"/>
      <c r="E887"/>
    </row>
    <row r="888" spans="4:5">
      <c r="D888"/>
      <c r="E888"/>
    </row>
    <row r="889" spans="4:5">
      <c r="D889"/>
      <c r="E889"/>
    </row>
    <row r="890" spans="4:5">
      <c r="D890"/>
      <c r="E890"/>
    </row>
    <row r="891" spans="4:5">
      <c r="D891"/>
      <c r="E891"/>
    </row>
    <row r="892" spans="4:5">
      <c r="D892"/>
      <c r="E892"/>
    </row>
    <row r="893" spans="4:5">
      <c r="D893"/>
      <c r="E893"/>
    </row>
    <row r="894" spans="4:5">
      <c r="D894"/>
      <c r="E894"/>
    </row>
    <row r="895" spans="4:5">
      <c r="D895"/>
      <c r="E895"/>
    </row>
    <row r="896" spans="4:5">
      <c r="D896"/>
      <c r="E896"/>
    </row>
    <row r="897" spans="4:5">
      <c r="D897"/>
      <c r="E897"/>
    </row>
    <row r="898" spans="4:5">
      <c r="D898"/>
      <c r="E898"/>
    </row>
    <row r="899" spans="4:5">
      <c r="D899"/>
      <c r="E899"/>
    </row>
    <row r="900" spans="4:5">
      <c r="D900"/>
      <c r="E900"/>
    </row>
    <row r="901" spans="4:5">
      <c r="D901"/>
      <c r="E901"/>
    </row>
    <row r="902" spans="4:5">
      <c r="D902"/>
      <c r="E902"/>
    </row>
    <row r="903" spans="4:5">
      <c r="D903"/>
      <c r="E903"/>
    </row>
    <row r="904" spans="4:5">
      <c r="D904"/>
      <c r="E904"/>
    </row>
    <row r="905" spans="4:5">
      <c r="D905"/>
      <c r="E905"/>
    </row>
    <row r="906" spans="4:5">
      <c r="D906"/>
      <c r="E906"/>
    </row>
    <row r="907" spans="4:5">
      <c r="D907"/>
      <c r="E907"/>
    </row>
    <row r="908" spans="4:5">
      <c r="D908"/>
      <c r="E908"/>
    </row>
    <row r="909" spans="4:5">
      <c r="D909"/>
      <c r="E909"/>
    </row>
    <row r="910" spans="4:5">
      <c r="D910"/>
      <c r="E910"/>
    </row>
    <row r="911" spans="4:5">
      <c r="D911"/>
      <c r="E911"/>
    </row>
    <row r="912" spans="4:5">
      <c r="D912"/>
      <c r="E912"/>
    </row>
    <row r="913" spans="4:5">
      <c r="D913"/>
      <c r="E913"/>
    </row>
    <row r="914" spans="4:5">
      <c r="D914"/>
      <c r="E914"/>
    </row>
    <row r="915" spans="4:5">
      <c r="D915"/>
      <c r="E915"/>
    </row>
    <row r="916" spans="4:5">
      <c r="D916"/>
      <c r="E916"/>
    </row>
    <row r="917" spans="4:5">
      <c r="D917"/>
      <c r="E917"/>
    </row>
    <row r="918" spans="4:5">
      <c r="D918"/>
      <c r="E918"/>
    </row>
    <row r="919" spans="4:5">
      <c r="D919"/>
      <c r="E919"/>
    </row>
    <row r="920" spans="4:5">
      <c r="D920"/>
      <c r="E920"/>
    </row>
    <row r="921" spans="4:5">
      <c r="D921"/>
      <c r="E921"/>
    </row>
    <row r="922" spans="4:5">
      <c r="D922"/>
      <c r="E922"/>
    </row>
    <row r="923" spans="4:5">
      <c r="D923"/>
      <c r="E923"/>
    </row>
    <row r="924" spans="4:5">
      <c r="D924"/>
      <c r="E924"/>
    </row>
    <row r="925" spans="4:5">
      <c r="D925"/>
      <c r="E925"/>
    </row>
    <row r="926" spans="4:5">
      <c r="D926"/>
      <c r="E926"/>
    </row>
    <row r="927" spans="4:5">
      <c r="D927"/>
      <c r="E927"/>
    </row>
    <row r="928" spans="4:5">
      <c r="D928"/>
      <c r="E928"/>
    </row>
    <row r="929" spans="4:5">
      <c r="D929"/>
      <c r="E929"/>
    </row>
    <row r="930" spans="4:5">
      <c r="D930"/>
      <c r="E930"/>
    </row>
    <row r="931" spans="4:5">
      <c r="D931"/>
      <c r="E931"/>
    </row>
    <row r="932" spans="4:5">
      <c r="D932"/>
      <c r="E932"/>
    </row>
    <row r="933" spans="4:5">
      <c r="D933"/>
      <c r="E933"/>
    </row>
    <row r="934" spans="4:5">
      <c r="D934"/>
      <c r="E934"/>
    </row>
    <row r="935" spans="4:5">
      <c r="D935"/>
      <c r="E935"/>
    </row>
    <row r="936" spans="4:5">
      <c r="D936"/>
      <c r="E936"/>
    </row>
    <row r="937" spans="4:5">
      <c r="D937"/>
      <c r="E937"/>
    </row>
    <row r="938" spans="4:5">
      <c r="D938"/>
      <c r="E938"/>
    </row>
    <row r="939" spans="4:5">
      <c r="D939"/>
      <c r="E939"/>
    </row>
    <row r="940" spans="4:5">
      <c r="D940"/>
      <c r="E940"/>
    </row>
    <row r="941" spans="4:5">
      <c r="D941"/>
      <c r="E941"/>
    </row>
    <row r="942" spans="4:5">
      <c r="D942"/>
      <c r="E942"/>
    </row>
    <row r="943" spans="4:5">
      <c r="D943"/>
      <c r="E943"/>
    </row>
    <row r="944" spans="4:5">
      <c r="D944"/>
      <c r="E944"/>
    </row>
    <row r="945" spans="4:5">
      <c r="D945"/>
      <c r="E945"/>
    </row>
    <row r="946" spans="4:5">
      <c r="D946"/>
      <c r="E946"/>
    </row>
    <row r="947" spans="4:5">
      <c r="D947"/>
      <c r="E947"/>
    </row>
    <row r="948" spans="4:5">
      <c r="D948"/>
      <c r="E948"/>
    </row>
    <row r="949" spans="4:5">
      <c r="D949"/>
      <c r="E949"/>
    </row>
    <row r="950" spans="4:5">
      <c r="D950"/>
      <c r="E950"/>
    </row>
    <row r="951" spans="4:5">
      <c r="D951"/>
      <c r="E951"/>
    </row>
    <row r="952" spans="4:5">
      <c r="D952"/>
      <c r="E952"/>
    </row>
    <row r="953" spans="4:5">
      <c r="D953"/>
      <c r="E953"/>
    </row>
    <row r="954" spans="4:5">
      <c r="D954"/>
      <c r="E954"/>
    </row>
    <row r="955" spans="4:5">
      <c r="D955"/>
      <c r="E955"/>
    </row>
    <row r="956" spans="4:5">
      <c r="D956"/>
      <c r="E956"/>
    </row>
    <row r="957" spans="4:5">
      <c r="D957"/>
      <c r="E957"/>
    </row>
    <row r="958" spans="4:5">
      <c r="D958"/>
      <c r="E958"/>
    </row>
    <row r="959" spans="4:5">
      <c r="D959"/>
      <c r="E959"/>
    </row>
    <row r="960" spans="4:5">
      <c r="D960"/>
      <c r="E960"/>
    </row>
    <row r="961" spans="4:5">
      <c r="D961"/>
      <c r="E961"/>
    </row>
    <row r="962" spans="4:5">
      <c r="D962"/>
      <c r="E962"/>
    </row>
    <row r="963" spans="4:5">
      <c r="D963"/>
      <c r="E963"/>
    </row>
    <row r="964" spans="4:5">
      <c r="D964"/>
      <c r="E964"/>
    </row>
    <row r="965" spans="4:5">
      <c r="D965"/>
      <c r="E965"/>
    </row>
    <row r="966" spans="4:5">
      <c r="D966"/>
      <c r="E966"/>
    </row>
    <row r="967" spans="4:5">
      <c r="D967"/>
      <c r="E967"/>
    </row>
    <row r="968" spans="4:5">
      <c r="D968"/>
      <c r="E968"/>
    </row>
    <row r="969" spans="4:5">
      <c r="D969"/>
      <c r="E969"/>
    </row>
    <row r="970" spans="4:5">
      <c r="D970"/>
      <c r="E970"/>
    </row>
    <row r="971" spans="4:5">
      <c r="D971"/>
      <c r="E971"/>
    </row>
    <row r="972" spans="4:5">
      <c r="D972"/>
      <c r="E972"/>
    </row>
    <row r="973" spans="4:5">
      <c r="D973"/>
      <c r="E973"/>
    </row>
    <row r="974" spans="4:5">
      <c r="D974"/>
      <c r="E974"/>
    </row>
    <row r="975" spans="4:5">
      <c r="D975"/>
      <c r="E975"/>
    </row>
    <row r="976" spans="4:5">
      <c r="D976"/>
      <c r="E976"/>
    </row>
    <row r="977" spans="4:5">
      <c r="D977"/>
      <c r="E977"/>
    </row>
    <row r="978" spans="4:5">
      <c r="D978"/>
      <c r="E978"/>
    </row>
    <row r="979" spans="4:5">
      <c r="D979"/>
      <c r="E979"/>
    </row>
    <row r="980" spans="4:5">
      <c r="D980"/>
      <c r="E980"/>
    </row>
    <row r="981" spans="4:5">
      <c r="D981"/>
      <c r="E981"/>
    </row>
    <row r="982" spans="4:5">
      <c r="D982"/>
      <c r="E982"/>
    </row>
    <row r="983" spans="4:5">
      <c r="D983"/>
      <c r="E983"/>
    </row>
    <row r="984" spans="4:5">
      <c r="D984"/>
      <c r="E984"/>
    </row>
    <row r="985" spans="4:5">
      <c r="D985"/>
      <c r="E985"/>
    </row>
    <row r="986" spans="4:5">
      <c r="D986"/>
      <c r="E986"/>
    </row>
    <row r="987" spans="4:5">
      <c r="D987"/>
      <c r="E987"/>
    </row>
    <row r="988" spans="4:5">
      <c r="D988"/>
      <c r="E988"/>
    </row>
    <row r="989" spans="4:5">
      <c r="D989"/>
      <c r="E989"/>
    </row>
    <row r="990" spans="4:5">
      <c r="D990"/>
      <c r="E990"/>
    </row>
    <row r="991" spans="4:5">
      <c r="D991"/>
      <c r="E991"/>
    </row>
    <row r="992" spans="4:5">
      <c r="D992"/>
      <c r="E992"/>
    </row>
    <row r="993" spans="4:5">
      <c r="D993"/>
      <c r="E993"/>
    </row>
    <row r="994" spans="4:5">
      <c r="D994"/>
      <c r="E994"/>
    </row>
    <row r="995" spans="4:5">
      <c r="D995"/>
      <c r="E995"/>
    </row>
    <row r="996" spans="4:5">
      <c r="D996"/>
      <c r="E996"/>
    </row>
    <row r="997" spans="4:5">
      <c r="D997"/>
      <c r="E997"/>
    </row>
    <row r="998" spans="4:5">
      <c r="D998"/>
      <c r="E998"/>
    </row>
    <row r="999" spans="4:5">
      <c r="D999"/>
      <c r="E999"/>
    </row>
    <row r="1000" spans="4:5">
      <c r="D1000"/>
      <c r="E1000"/>
    </row>
    <row r="1001" spans="4:5">
      <c r="D1001"/>
      <c r="E1001"/>
    </row>
    <row r="1002" spans="4:5">
      <c r="D1002"/>
      <c r="E1002"/>
    </row>
    <row r="1003" spans="4:5">
      <c r="D1003"/>
      <c r="E1003"/>
    </row>
    <row r="1004" spans="4:5">
      <c r="D1004"/>
      <c r="E1004"/>
    </row>
    <row r="1005" spans="4:5">
      <c r="D1005"/>
      <c r="E1005"/>
    </row>
    <row r="1006" spans="4:5">
      <c r="D1006"/>
      <c r="E1006"/>
    </row>
    <row r="1007" spans="4:5">
      <c r="D1007"/>
      <c r="E1007"/>
    </row>
    <row r="1008" spans="4:5">
      <c r="D1008"/>
      <c r="E1008"/>
    </row>
    <row r="1009" spans="4:5">
      <c r="D1009"/>
      <c r="E1009"/>
    </row>
    <row r="1010" spans="4:5">
      <c r="D1010"/>
      <c r="E1010"/>
    </row>
    <row r="1011" spans="4:5">
      <c r="D1011"/>
      <c r="E1011"/>
    </row>
    <row r="1012" spans="4:5">
      <c r="D1012"/>
      <c r="E1012"/>
    </row>
    <row r="1013" spans="4:5">
      <c r="D1013"/>
      <c r="E1013"/>
    </row>
    <row r="1014" spans="4:5">
      <c r="D1014"/>
      <c r="E1014"/>
    </row>
    <row r="1015" spans="4:5">
      <c r="D1015"/>
      <c r="E1015"/>
    </row>
    <row r="1016" spans="4:5">
      <c r="D1016"/>
      <c r="E1016"/>
    </row>
    <row r="1017" spans="4:5">
      <c r="D1017"/>
      <c r="E1017"/>
    </row>
    <row r="1018" spans="4:5">
      <c r="D1018"/>
      <c r="E1018"/>
    </row>
    <row r="1019" spans="4:5">
      <c r="D1019"/>
      <c r="E1019"/>
    </row>
    <row r="1020" spans="4:5">
      <c r="D1020"/>
      <c r="E1020"/>
    </row>
    <row r="1021" spans="4:5">
      <c r="D1021"/>
      <c r="E1021"/>
    </row>
    <row r="1022" spans="4:5">
      <c r="D1022"/>
      <c r="E1022"/>
    </row>
    <row r="1023" spans="4:5">
      <c r="D1023"/>
      <c r="E1023"/>
    </row>
    <row r="1024" spans="4:5">
      <c r="D1024"/>
      <c r="E1024"/>
    </row>
    <row r="1025" spans="4:5">
      <c r="D1025"/>
      <c r="E1025"/>
    </row>
    <row r="1026" spans="4:5">
      <c r="D1026"/>
      <c r="E1026"/>
    </row>
    <row r="1027" spans="4:5">
      <c r="D1027"/>
      <c r="E1027"/>
    </row>
    <row r="1028" spans="4:5">
      <c r="D1028"/>
      <c r="E1028"/>
    </row>
    <row r="1029" spans="4:5">
      <c r="D1029"/>
      <c r="E1029"/>
    </row>
    <row r="1030" spans="4:5">
      <c r="D1030"/>
      <c r="E1030"/>
    </row>
    <row r="1031" spans="4:5">
      <c r="D1031"/>
      <c r="E1031"/>
    </row>
    <row r="1032" spans="4:5">
      <c r="D1032"/>
      <c r="E1032"/>
    </row>
    <row r="1033" spans="4:5">
      <c r="D1033"/>
      <c r="E1033"/>
    </row>
    <row r="1034" spans="4:5">
      <c r="D1034"/>
      <c r="E1034"/>
    </row>
    <row r="1035" spans="4:5">
      <c r="D1035"/>
      <c r="E1035"/>
    </row>
    <row r="1036" spans="4:5">
      <c r="D1036"/>
      <c r="E1036"/>
    </row>
    <row r="1037" spans="4:5">
      <c r="D1037"/>
      <c r="E1037"/>
    </row>
    <row r="1038" spans="4:5">
      <c r="D1038"/>
      <c r="E1038"/>
    </row>
    <row r="1039" spans="4:5">
      <c r="D1039"/>
      <c r="E1039"/>
    </row>
    <row r="1040" spans="4:5">
      <c r="D1040"/>
      <c r="E1040"/>
    </row>
    <row r="1041" spans="4:5">
      <c r="D1041"/>
      <c r="E1041"/>
    </row>
    <row r="1042" spans="4:5">
      <c r="D1042"/>
      <c r="E1042"/>
    </row>
    <row r="1043" spans="4:5">
      <c r="D1043"/>
      <c r="E1043"/>
    </row>
    <row r="1044" spans="4:5">
      <c r="D1044"/>
      <c r="E1044"/>
    </row>
    <row r="1045" spans="4:5">
      <c r="D1045"/>
      <c r="E1045"/>
    </row>
    <row r="1046" spans="4:5">
      <c r="D1046"/>
      <c r="E1046"/>
    </row>
    <row r="1047" spans="4:5">
      <c r="D1047"/>
      <c r="E1047"/>
    </row>
    <row r="1048" spans="4:5">
      <c r="D1048"/>
      <c r="E1048"/>
    </row>
    <row r="1049" spans="4:5">
      <c r="D1049"/>
      <c r="E1049"/>
    </row>
    <row r="1050" spans="4:5">
      <c r="D1050"/>
      <c r="E1050"/>
    </row>
    <row r="1051" spans="4:5">
      <c r="D1051"/>
      <c r="E1051"/>
    </row>
    <row r="1052" spans="4:5">
      <c r="D1052"/>
      <c r="E1052"/>
    </row>
    <row r="1053" spans="4:5">
      <c r="D1053"/>
      <c r="E1053"/>
    </row>
    <row r="1054" spans="4:5">
      <c r="D1054"/>
      <c r="E1054"/>
    </row>
    <row r="1055" spans="4:5">
      <c r="D1055"/>
      <c r="E1055"/>
    </row>
    <row r="1056" spans="4:5">
      <c r="D1056"/>
      <c r="E1056"/>
    </row>
    <row r="1057" spans="4:5">
      <c r="D1057"/>
      <c r="E1057"/>
    </row>
    <row r="1058" spans="4:5">
      <c r="D1058"/>
      <c r="E1058"/>
    </row>
    <row r="1059" spans="4:5">
      <c r="D1059"/>
      <c r="E1059"/>
    </row>
    <row r="1060" spans="4:5">
      <c r="D1060"/>
      <c r="E1060"/>
    </row>
    <row r="1061" spans="4:5">
      <c r="D1061"/>
      <c r="E1061"/>
    </row>
    <row r="1062" spans="4:5">
      <c r="D1062"/>
      <c r="E1062"/>
    </row>
    <row r="1063" spans="4:5">
      <c r="D1063"/>
      <c r="E1063"/>
    </row>
    <row r="1064" spans="4:5">
      <c r="D1064"/>
      <c r="E1064"/>
    </row>
    <row r="1065" spans="4:5">
      <c r="D1065"/>
      <c r="E1065"/>
    </row>
    <row r="1066" spans="4:5">
      <c r="D1066"/>
      <c r="E1066"/>
    </row>
    <row r="1067" spans="4:5">
      <c r="D1067"/>
      <c r="E1067"/>
    </row>
    <row r="1068" spans="4:5">
      <c r="D1068"/>
      <c r="E1068"/>
    </row>
    <row r="1069" spans="4:5">
      <c r="D1069"/>
      <c r="E1069"/>
    </row>
    <row r="1070" spans="4:5">
      <c r="D1070"/>
      <c r="E1070"/>
    </row>
    <row r="1071" spans="4:5">
      <c r="D1071"/>
      <c r="E1071"/>
    </row>
    <row r="1072" spans="4:5">
      <c r="D1072"/>
      <c r="E1072"/>
    </row>
    <row r="1073" spans="4:5">
      <c r="D1073"/>
      <c r="E1073"/>
    </row>
    <row r="1074" spans="4:5">
      <c r="D1074"/>
      <c r="E1074"/>
    </row>
    <row r="1075" spans="4:5">
      <c r="D1075"/>
      <c r="E1075"/>
    </row>
    <row r="1076" spans="4:5">
      <c r="D1076"/>
      <c r="E1076"/>
    </row>
    <row r="1077" spans="4:5">
      <c r="D1077"/>
      <c r="E1077"/>
    </row>
    <row r="1078" spans="4:5">
      <c r="D1078"/>
      <c r="E1078"/>
    </row>
    <row r="1079" spans="4:5">
      <c r="D1079"/>
      <c r="E1079"/>
    </row>
    <row r="1080" spans="4:5">
      <c r="D1080"/>
      <c r="E1080"/>
    </row>
    <row r="1081" spans="4:5">
      <c r="D1081"/>
      <c r="E1081"/>
    </row>
    <row r="1082" spans="4:5">
      <c r="D1082"/>
      <c r="E1082"/>
    </row>
    <row r="1083" spans="4:5">
      <c r="D1083"/>
      <c r="E1083"/>
    </row>
    <row r="1084" spans="4:5">
      <c r="D1084"/>
      <c r="E1084"/>
    </row>
    <row r="1085" spans="4:5">
      <c r="D1085"/>
      <c r="E1085"/>
    </row>
    <row r="1086" spans="4:5">
      <c r="D1086"/>
      <c r="E1086"/>
    </row>
    <row r="1087" spans="4:5">
      <c r="D1087"/>
      <c r="E1087"/>
    </row>
    <row r="1088" spans="4:5">
      <c r="D1088"/>
      <c r="E1088"/>
    </row>
    <row r="1089" spans="4:5">
      <c r="D1089"/>
      <c r="E1089"/>
    </row>
    <row r="1090" spans="4:5">
      <c r="D1090"/>
      <c r="E1090"/>
    </row>
    <row r="1091" spans="4:5">
      <c r="D1091"/>
      <c r="E1091"/>
    </row>
    <row r="1092" spans="4:5">
      <c r="D1092"/>
      <c r="E1092"/>
    </row>
    <row r="1093" spans="4:5">
      <c r="D1093"/>
      <c r="E1093"/>
    </row>
    <row r="1094" spans="4:5">
      <c r="D1094"/>
      <c r="E1094"/>
    </row>
    <row r="1095" spans="4:5">
      <c r="D1095"/>
      <c r="E1095"/>
    </row>
    <row r="1096" spans="4:5">
      <c r="D1096"/>
      <c r="E1096"/>
    </row>
    <row r="1097" spans="4:5">
      <c r="D1097"/>
      <c r="E1097"/>
    </row>
    <row r="1098" spans="4:5">
      <c r="D1098"/>
      <c r="E1098"/>
    </row>
    <row r="1099" spans="4:5">
      <c r="D1099"/>
      <c r="E1099"/>
    </row>
    <row r="1100" spans="4:5">
      <c r="D1100"/>
      <c r="E1100"/>
    </row>
    <row r="1101" spans="4:5">
      <c r="D1101"/>
      <c r="E1101"/>
    </row>
    <row r="1102" spans="4:5">
      <c r="D1102"/>
      <c r="E1102"/>
    </row>
    <row r="1103" spans="4:5">
      <c r="D1103"/>
      <c r="E1103"/>
    </row>
    <row r="1104" spans="4:5">
      <c r="D1104"/>
      <c r="E1104"/>
    </row>
    <row r="1105" spans="4:5">
      <c r="D1105"/>
      <c r="E1105"/>
    </row>
    <row r="1106" spans="4:5">
      <c r="D1106"/>
      <c r="E1106"/>
    </row>
    <row r="1107" spans="4:5">
      <c r="D1107"/>
      <c r="E1107"/>
    </row>
    <row r="1108" spans="4:5">
      <c r="D1108"/>
      <c r="E1108"/>
    </row>
    <row r="1109" spans="4:5">
      <c r="D1109"/>
      <c r="E1109"/>
    </row>
    <row r="1110" spans="4:5">
      <c r="D1110"/>
      <c r="E1110"/>
    </row>
    <row r="1111" spans="4:5">
      <c r="D1111"/>
      <c r="E1111"/>
    </row>
    <row r="1112" spans="4:5">
      <c r="D1112"/>
      <c r="E1112"/>
    </row>
    <row r="1113" spans="4:5">
      <c r="D1113"/>
      <c r="E1113"/>
    </row>
    <row r="1114" spans="4:5">
      <c r="D1114"/>
      <c r="E1114"/>
    </row>
    <row r="1115" spans="4:5">
      <c r="D1115"/>
      <c r="E1115"/>
    </row>
    <row r="1116" spans="4:5">
      <c r="D1116"/>
      <c r="E1116"/>
    </row>
    <row r="1117" spans="4:5">
      <c r="D1117"/>
      <c r="E1117"/>
    </row>
    <row r="1118" spans="4:5">
      <c r="D1118"/>
      <c r="E1118"/>
    </row>
    <row r="1119" spans="4:5">
      <c r="D1119"/>
      <c r="E1119"/>
    </row>
    <row r="1120" spans="4:5">
      <c r="D1120"/>
      <c r="E1120"/>
    </row>
    <row r="1121" spans="4:5">
      <c r="D1121"/>
      <c r="E1121"/>
    </row>
    <row r="1122" spans="4:5">
      <c r="D1122"/>
      <c r="E1122"/>
    </row>
    <row r="1123" spans="4:5">
      <c r="D1123"/>
      <c r="E1123"/>
    </row>
    <row r="1124" spans="4:5">
      <c r="D1124"/>
      <c r="E1124"/>
    </row>
    <row r="1125" spans="4:5">
      <c r="D1125"/>
      <c r="E1125"/>
    </row>
    <row r="1126" spans="4:5">
      <c r="D1126"/>
      <c r="E1126"/>
    </row>
    <row r="1127" spans="4:5">
      <c r="D1127"/>
      <c r="E1127"/>
    </row>
    <row r="1128" spans="4:5">
      <c r="D1128"/>
      <c r="E1128"/>
    </row>
    <row r="1129" spans="4:5">
      <c r="D1129"/>
      <c r="E1129"/>
    </row>
    <row r="1130" spans="4:5">
      <c r="D1130"/>
      <c r="E1130"/>
    </row>
    <row r="1131" spans="4:5">
      <c r="D1131"/>
      <c r="E1131"/>
    </row>
    <row r="1132" spans="4:5">
      <c r="D1132"/>
      <c r="E1132"/>
    </row>
    <row r="1133" spans="4:5">
      <c r="D1133"/>
      <c r="E1133"/>
    </row>
    <row r="1134" spans="4:5">
      <c r="D1134"/>
      <c r="E1134"/>
    </row>
    <row r="1135" spans="4:5">
      <c r="D1135"/>
      <c r="E1135"/>
    </row>
    <row r="1136" spans="4:5">
      <c r="D1136"/>
      <c r="E1136"/>
    </row>
    <row r="1137" spans="4:5">
      <c r="D1137"/>
      <c r="E1137"/>
    </row>
    <row r="1138" spans="4:5">
      <c r="D1138"/>
      <c r="E1138"/>
    </row>
    <row r="1139" spans="4:5">
      <c r="D1139"/>
      <c r="E1139"/>
    </row>
    <row r="1140" spans="4:5">
      <c r="D1140"/>
      <c r="E1140"/>
    </row>
    <row r="1141" spans="4:5">
      <c r="D1141"/>
      <c r="E1141"/>
    </row>
    <row r="1142" spans="4:5">
      <c r="D1142"/>
      <c r="E1142"/>
    </row>
    <row r="1143" spans="4:5">
      <c r="D1143"/>
      <c r="E1143"/>
    </row>
    <row r="1144" spans="4:5">
      <c r="D1144"/>
      <c r="E1144"/>
    </row>
    <row r="1145" spans="4:5">
      <c r="D1145"/>
      <c r="E1145"/>
    </row>
    <row r="1146" spans="4:5">
      <c r="D1146"/>
      <c r="E1146"/>
    </row>
    <row r="1147" spans="4:5">
      <c r="D1147"/>
      <c r="E1147"/>
    </row>
    <row r="1148" spans="4:5">
      <c r="D1148"/>
      <c r="E1148"/>
    </row>
    <row r="1149" spans="4:5">
      <c r="D1149"/>
      <c r="E1149"/>
    </row>
    <row r="1150" spans="4:5">
      <c r="D1150"/>
      <c r="E1150"/>
    </row>
    <row r="1151" spans="4:5">
      <c r="D1151"/>
      <c r="E1151"/>
    </row>
    <row r="1152" spans="4:5">
      <c r="D1152"/>
      <c r="E1152"/>
    </row>
    <row r="1153" spans="4:5">
      <c r="D1153"/>
      <c r="E1153"/>
    </row>
    <row r="1154" spans="4:5">
      <c r="D1154"/>
      <c r="E1154"/>
    </row>
    <row r="1155" spans="4:5">
      <c r="D1155"/>
      <c r="E1155"/>
    </row>
    <row r="1156" spans="4:5">
      <c r="D1156"/>
      <c r="E1156"/>
    </row>
    <row r="1157" spans="4:5">
      <c r="D1157"/>
      <c r="E1157"/>
    </row>
    <row r="1158" spans="4:5">
      <c r="D1158"/>
      <c r="E1158"/>
    </row>
    <row r="1159" spans="4:5">
      <c r="D1159"/>
      <c r="E1159"/>
    </row>
    <row r="1160" spans="4:5">
      <c r="D1160"/>
      <c r="E1160"/>
    </row>
    <row r="1161" spans="4:5">
      <c r="D1161"/>
      <c r="E1161"/>
    </row>
    <row r="1162" spans="4:5">
      <c r="D1162"/>
      <c r="E1162"/>
    </row>
    <row r="1163" spans="4:5">
      <c r="D1163"/>
      <c r="E1163"/>
    </row>
    <row r="1164" spans="4:5">
      <c r="D1164"/>
      <c r="E1164"/>
    </row>
    <row r="1165" spans="4:5">
      <c r="D1165"/>
      <c r="E1165"/>
    </row>
    <row r="1166" spans="4:5">
      <c r="D1166"/>
      <c r="E1166"/>
    </row>
    <row r="1167" spans="4:5">
      <c r="D1167"/>
      <c r="E1167"/>
    </row>
    <row r="1168" spans="4:5">
      <c r="D1168"/>
      <c r="E1168"/>
    </row>
    <row r="1169" spans="4:5">
      <c r="D1169"/>
      <c r="E1169"/>
    </row>
    <row r="1170" spans="4:5">
      <c r="D1170"/>
      <c r="E1170"/>
    </row>
    <row r="1171" spans="4:5">
      <c r="D1171"/>
      <c r="E1171"/>
    </row>
    <row r="1172" spans="4:5">
      <c r="D1172"/>
      <c r="E1172"/>
    </row>
    <row r="1173" spans="4:5">
      <c r="D1173"/>
      <c r="E1173"/>
    </row>
    <row r="1174" spans="4:5">
      <c r="D1174"/>
      <c r="E1174"/>
    </row>
    <row r="1175" spans="4:5">
      <c r="D1175"/>
      <c r="E1175"/>
    </row>
    <row r="1176" spans="4:5">
      <c r="D1176"/>
      <c r="E1176"/>
    </row>
    <row r="1177" spans="4:5">
      <c r="D1177"/>
      <c r="E1177"/>
    </row>
    <row r="1178" spans="4:5">
      <c r="D1178"/>
      <c r="E1178"/>
    </row>
    <row r="1179" spans="4:5">
      <c r="D1179"/>
      <c r="E1179"/>
    </row>
    <row r="1180" spans="4:5">
      <c r="D1180"/>
      <c r="E1180"/>
    </row>
    <row r="1181" spans="4:5">
      <c r="D1181"/>
      <c r="E1181"/>
    </row>
    <row r="1182" spans="4:5">
      <c r="D1182"/>
      <c r="E1182"/>
    </row>
    <row r="1183" spans="4:5">
      <c r="D1183"/>
      <c r="E1183"/>
    </row>
    <row r="1184" spans="4:5">
      <c r="D1184"/>
      <c r="E1184"/>
    </row>
    <row r="1185" spans="4:5">
      <c r="D1185"/>
      <c r="E1185"/>
    </row>
    <row r="1186" spans="4:5">
      <c r="D1186"/>
      <c r="E1186"/>
    </row>
    <row r="1187" spans="4:5">
      <c r="D1187"/>
      <c r="E1187"/>
    </row>
    <row r="1188" spans="4:5">
      <c r="D1188"/>
      <c r="E1188"/>
    </row>
    <row r="1189" spans="4:5">
      <c r="D1189"/>
      <c r="E1189"/>
    </row>
    <row r="1190" spans="4:5">
      <c r="D1190"/>
      <c r="E1190"/>
    </row>
    <row r="1191" spans="4:5">
      <c r="D1191"/>
      <c r="E1191"/>
    </row>
    <row r="1192" spans="4:5">
      <c r="D1192"/>
      <c r="E1192"/>
    </row>
    <row r="1193" spans="4:5">
      <c r="D1193"/>
      <c r="E1193"/>
    </row>
    <row r="1194" spans="4:5">
      <c r="D1194"/>
      <c r="E1194"/>
    </row>
    <row r="1195" spans="4:5">
      <c r="D1195"/>
      <c r="E1195"/>
    </row>
    <row r="1196" spans="4:5">
      <c r="D1196"/>
      <c r="E1196"/>
    </row>
    <row r="1197" spans="4:5">
      <c r="D1197"/>
      <c r="E1197"/>
    </row>
    <row r="1198" spans="4:5">
      <c r="D1198"/>
      <c r="E1198"/>
    </row>
    <row r="1199" spans="4:5">
      <c r="D1199"/>
      <c r="E1199"/>
    </row>
    <row r="1200" spans="4:5">
      <c r="D1200"/>
      <c r="E1200"/>
    </row>
    <row r="1201" spans="4:5">
      <c r="D1201"/>
      <c r="E1201"/>
    </row>
    <row r="1202" spans="4:5">
      <c r="D1202"/>
      <c r="E1202"/>
    </row>
    <row r="1203" spans="4:5">
      <c r="D1203"/>
      <c r="E1203"/>
    </row>
    <row r="1204" spans="4:5">
      <c r="D1204"/>
      <c r="E1204"/>
    </row>
    <row r="1205" spans="4:5">
      <c r="D1205"/>
      <c r="E1205"/>
    </row>
    <row r="1206" spans="4:5">
      <c r="D1206"/>
      <c r="E1206"/>
    </row>
    <row r="1207" spans="4:5">
      <c r="D1207"/>
      <c r="E1207"/>
    </row>
    <row r="1208" spans="4:5">
      <c r="D1208"/>
      <c r="E1208"/>
    </row>
    <row r="1209" spans="4:5">
      <c r="D1209"/>
      <c r="E1209"/>
    </row>
    <row r="1210" spans="4:5">
      <c r="D1210"/>
      <c r="E1210"/>
    </row>
    <row r="1211" spans="4:5">
      <c r="D1211"/>
      <c r="E1211"/>
    </row>
    <row r="1212" spans="4:5">
      <c r="D1212"/>
      <c r="E1212"/>
    </row>
    <row r="1213" spans="4:5">
      <c r="D1213"/>
      <c r="E1213"/>
    </row>
    <row r="1214" spans="4:5">
      <c r="D1214"/>
      <c r="E1214"/>
    </row>
    <row r="1215" spans="4:5">
      <c r="D1215"/>
      <c r="E1215"/>
    </row>
    <row r="1216" spans="4:5">
      <c r="D1216"/>
      <c r="E1216"/>
    </row>
    <row r="1217" spans="4:5">
      <c r="D1217"/>
      <c r="E1217"/>
    </row>
    <row r="1218" spans="4:5">
      <c r="D1218"/>
      <c r="E1218"/>
    </row>
    <row r="1219" spans="4:5">
      <c r="D1219"/>
      <c r="E1219"/>
    </row>
    <row r="1220" spans="4:5">
      <c r="D1220"/>
      <c r="E1220"/>
    </row>
    <row r="1221" spans="4:5">
      <c r="D1221"/>
      <c r="E1221"/>
    </row>
    <row r="1222" spans="4:5">
      <c r="D1222"/>
      <c r="E1222"/>
    </row>
    <row r="1223" spans="4:5">
      <c r="D1223"/>
      <c r="E1223"/>
    </row>
    <row r="1224" spans="4:5">
      <c r="D1224"/>
      <c r="E1224"/>
    </row>
    <row r="1225" spans="4:5">
      <c r="D1225"/>
      <c r="E1225"/>
    </row>
    <row r="1226" spans="4:5">
      <c r="D1226"/>
      <c r="E1226"/>
    </row>
    <row r="1227" spans="4:5">
      <c r="D1227"/>
      <c r="E1227"/>
    </row>
    <row r="1228" spans="4:5">
      <c r="D1228"/>
      <c r="E1228"/>
    </row>
    <row r="1229" spans="4:5">
      <c r="D1229"/>
      <c r="E1229"/>
    </row>
    <row r="1230" spans="4:5">
      <c r="D1230"/>
      <c r="E1230"/>
    </row>
    <row r="1231" spans="4:5">
      <c r="D1231"/>
      <c r="E1231"/>
    </row>
    <row r="1232" spans="4:5">
      <c r="D1232"/>
      <c r="E1232"/>
    </row>
    <row r="1233" spans="4:5">
      <c r="D1233"/>
      <c r="E1233"/>
    </row>
    <row r="1234" spans="4:5">
      <c r="D1234"/>
      <c r="E1234"/>
    </row>
    <row r="1235" spans="4:5">
      <c r="D1235"/>
      <c r="E1235"/>
    </row>
    <row r="1236" spans="4:5">
      <c r="D1236"/>
      <c r="E1236"/>
    </row>
    <row r="1237" spans="4:5">
      <c r="D1237"/>
      <c r="E1237"/>
    </row>
    <row r="1238" spans="4:5">
      <c r="D1238"/>
      <c r="E1238"/>
    </row>
    <row r="1239" spans="4:5">
      <c r="D1239"/>
      <c r="E1239"/>
    </row>
    <row r="1240" spans="4:5">
      <c r="D1240"/>
      <c r="E1240"/>
    </row>
    <row r="1241" spans="4:5">
      <c r="D1241"/>
      <c r="E1241"/>
    </row>
    <row r="1242" spans="4:5">
      <c r="D1242"/>
      <c r="E1242"/>
    </row>
    <row r="1243" spans="4:5">
      <c r="D1243"/>
      <c r="E1243"/>
    </row>
    <row r="1244" spans="4:5">
      <c r="D1244"/>
      <c r="E1244"/>
    </row>
    <row r="1245" spans="4:5">
      <c r="D1245"/>
      <c r="E1245"/>
    </row>
    <row r="1246" spans="4:5">
      <c r="D1246"/>
      <c r="E1246"/>
    </row>
    <row r="1247" spans="4:5">
      <c r="D1247"/>
      <c r="E1247"/>
    </row>
    <row r="1248" spans="4:5">
      <c r="D1248"/>
      <c r="E1248"/>
    </row>
    <row r="1249" spans="4:5">
      <c r="D1249"/>
      <c r="E1249"/>
    </row>
    <row r="1250" spans="4:5">
      <c r="D1250"/>
      <c r="E1250"/>
    </row>
    <row r="1251" spans="4:5">
      <c r="D1251"/>
      <c r="E1251"/>
    </row>
    <row r="1252" spans="4:5">
      <c r="D1252"/>
      <c r="E1252"/>
    </row>
    <row r="1253" spans="4:5">
      <c r="D1253"/>
      <c r="E1253"/>
    </row>
    <row r="1254" spans="4:5">
      <c r="D1254"/>
      <c r="E1254"/>
    </row>
    <row r="1255" spans="4:5">
      <c r="D1255"/>
      <c r="E1255"/>
    </row>
    <row r="1256" spans="4:5">
      <c r="D1256"/>
      <c r="E1256"/>
    </row>
    <row r="1257" spans="4:5">
      <c r="D1257"/>
      <c r="E1257"/>
    </row>
    <row r="1258" spans="4:5">
      <c r="D1258"/>
      <c r="E1258"/>
    </row>
    <row r="1259" spans="4:5">
      <c r="D1259"/>
      <c r="E1259"/>
    </row>
    <row r="1260" spans="4:5">
      <c r="D1260"/>
      <c r="E1260"/>
    </row>
    <row r="1261" spans="4:5">
      <c r="D1261"/>
      <c r="E1261"/>
    </row>
    <row r="1262" spans="4:5">
      <c r="D1262"/>
      <c r="E1262"/>
    </row>
    <row r="1263" spans="4:5">
      <c r="D1263"/>
      <c r="E1263"/>
    </row>
    <row r="1264" spans="4:5">
      <c r="D1264"/>
      <c r="E1264"/>
    </row>
    <row r="1265" spans="4:5">
      <c r="D1265"/>
      <c r="E1265"/>
    </row>
    <row r="1266" spans="4:5">
      <c r="D1266"/>
      <c r="E1266"/>
    </row>
    <row r="1267" spans="4:5">
      <c r="D1267"/>
      <c r="E1267"/>
    </row>
    <row r="1268" spans="4:5">
      <c r="D1268"/>
      <c r="E1268"/>
    </row>
    <row r="1269" spans="4:5">
      <c r="D1269"/>
      <c r="E1269"/>
    </row>
    <row r="1270" spans="4:5">
      <c r="D1270"/>
      <c r="E1270"/>
    </row>
    <row r="1271" spans="4:5">
      <c r="D1271"/>
      <c r="E1271"/>
    </row>
    <row r="1272" spans="4:5">
      <c r="D1272"/>
      <c r="E1272"/>
    </row>
    <row r="1273" spans="4:5">
      <c r="D1273"/>
      <c r="E1273"/>
    </row>
    <row r="1274" spans="4:5">
      <c r="D1274"/>
      <c r="E1274"/>
    </row>
    <row r="1275" spans="4:5">
      <c r="D1275"/>
      <c r="E1275"/>
    </row>
    <row r="1276" spans="4:5">
      <c r="D1276"/>
      <c r="E1276"/>
    </row>
    <row r="1277" spans="4:5">
      <c r="D1277"/>
      <c r="E1277"/>
    </row>
    <row r="1278" spans="4:5">
      <c r="D1278"/>
      <c r="E1278"/>
    </row>
    <row r="1279" spans="4:5">
      <c r="D1279"/>
      <c r="E1279"/>
    </row>
  </sheetData>
  <mergeCells count="7">
    <mergeCell ref="F2:I2"/>
    <mergeCell ref="J2:M2"/>
    <mergeCell ref="B4:C4"/>
    <mergeCell ref="B2:B3"/>
    <mergeCell ref="C2:C3"/>
    <mergeCell ref="D2:D3"/>
    <mergeCell ref="E2:E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146"/>
  <sheetViews>
    <sheetView workbookViewId="0">
      <selection activeCell="B8" sqref="B8"/>
    </sheetView>
  </sheetViews>
  <sheetFormatPr defaultRowHeight="15"/>
  <cols>
    <col min="1" max="1" width="6.75" style="890" customWidth="1"/>
    <col min="2" max="2" width="59.5" style="891" customWidth="1"/>
    <col min="3" max="3" width="10.375" style="891" bestFit="1" customWidth="1"/>
    <col min="4" max="4" width="11" style="891" customWidth="1"/>
    <col min="5" max="5" width="11.125" style="891" customWidth="1"/>
    <col min="6" max="6" width="11.75" style="891" customWidth="1"/>
    <col min="7" max="8" width="11.25" style="891" customWidth="1"/>
    <col min="9" max="234" width="9" style="891"/>
    <col min="235" max="235" width="6.75" style="891" customWidth="1"/>
    <col min="236" max="236" width="57.25" style="891" customWidth="1"/>
    <col min="237" max="237" width="11.5" style="891" customWidth="1"/>
    <col min="238" max="238" width="19" style="891" customWidth="1"/>
    <col min="239" max="260" width="0" style="891" hidden="1" customWidth="1"/>
    <col min="261" max="261" width="9" style="891"/>
    <col min="262" max="262" width="8.875" style="891" bestFit="1" customWidth="1"/>
    <col min="263" max="490" width="9" style="891"/>
    <col min="491" max="491" width="6.75" style="891" customWidth="1"/>
    <col min="492" max="492" width="57.25" style="891" customWidth="1"/>
    <col min="493" max="493" width="11.5" style="891" customWidth="1"/>
    <col min="494" max="494" width="19" style="891" customWidth="1"/>
    <col min="495" max="516" width="0" style="891" hidden="1" customWidth="1"/>
    <col min="517" max="517" width="9" style="891"/>
    <col min="518" max="518" width="8.875" style="891" bestFit="1" customWidth="1"/>
    <col min="519" max="746" width="9" style="891"/>
    <col min="747" max="747" width="6.75" style="891" customWidth="1"/>
    <col min="748" max="748" width="57.25" style="891" customWidth="1"/>
    <col min="749" max="749" width="11.5" style="891" customWidth="1"/>
    <col min="750" max="750" width="19" style="891" customWidth="1"/>
    <col min="751" max="772" width="0" style="891" hidden="1" customWidth="1"/>
    <col min="773" max="773" width="9" style="891"/>
    <col min="774" max="774" width="8.875" style="891" bestFit="1" customWidth="1"/>
    <col min="775" max="1002" width="9" style="891"/>
    <col min="1003" max="1003" width="6.75" style="891" customWidth="1"/>
    <col min="1004" max="1004" width="57.25" style="891" customWidth="1"/>
    <col min="1005" max="1005" width="11.5" style="891" customWidth="1"/>
    <col min="1006" max="1006" width="19" style="891" customWidth="1"/>
    <col min="1007" max="1028" width="0" style="891" hidden="1" customWidth="1"/>
    <col min="1029" max="1029" width="9" style="891"/>
    <col min="1030" max="1030" width="8.875" style="891" bestFit="1" customWidth="1"/>
    <col min="1031" max="1258" width="9" style="891"/>
    <col min="1259" max="1259" width="6.75" style="891" customWidth="1"/>
    <col min="1260" max="1260" width="57.25" style="891" customWidth="1"/>
    <col min="1261" max="1261" width="11.5" style="891" customWidth="1"/>
    <col min="1262" max="1262" width="19" style="891" customWidth="1"/>
    <col min="1263" max="1284" width="0" style="891" hidden="1" customWidth="1"/>
    <col min="1285" max="1285" width="9" style="891"/>
    <col min="1286" max="1286" width="8.875" style="891" bestFit="1" customWidth="1"/>
    <col min="1287" max="1514" width="9" style="891"/>
    <col min="1515" max="1515" width="6.75" style="891" customWidth="1"/>
    <col min="1516" max="1516" width="57.25" style="891" customWidth="1"/>
    <col min="1517" max="1517" width="11.5" style="891" customWidth="1"/>
    <col min="1518" max="1518" width="19" style="891" customWidth="1"/>
    <col min="1519" max="1540" width="0" style="891" hidden="1" customWidth="1"/>
    <col min="1541" max="1541" width="9" style="891"/>
    <col min="1542" max="1542" width="8.875" style="891" bestFit="1" customWidth="1"/>
    <col min="1543" max="1770" width="9" style="891"/>
    <col min="1771" max="1771" width="6.75" style="891" customWidth="1"/>
    <col min="1772" max="1772" width="57.25" style="891" customWidth="1"/>
    <col min="1773" max="1773" width="11.5" style="891" customWidth="1"/>
    <col min="1774" max="1774" width="19" style="891" customWidth="1"/>
    <col min="1775" max="1796" width="0" style="891" hidden="1" customWidth="1"/>
    <col min="1797" max="1797" width="9" style="891"/>
    <col min="1798" max="1798" width="8.875" style="891" bestFit="1" customWidth="1"/>
    <col min="1799" max="2026" width="9" style="891"/>
    <col min="2027" max="2027" width="6.75" style="891" customWidth="1"/>
    <col min="2028" max="2028" width="57.25" style="891" customWidth="1"/>
    <col min="2029" max="2029" width="11.5" style="891" customWidth="1"/>
    <col min="2030" max="2030" width="19" style="891" customWidth="1"/>
    <col min="2031" max="2052" width="0" style="891" hidden="1" customWidth="1"/>
    <col min="2053" max="2053" width="9" style="891"/>
    <col min="2054" max="2054" width="8.875" style="891" bestFit="1" customWidth="1"/>
    <col min="2055" max="2282" width="9" style="891"/>
    <col min="2283" max="2283" width="6.75" style="891" customWidth="1"/>
    <col min="2284" max="2284" width="57.25" style="891" customWidth="1"/>
    <col min="2285" max="2285" width="11.5" style="891" customWidth="1"/>
    <col min="2286" max="2286" width="19" style="891" customWidth="1"/>
    <col min="2287" max="2308" width="0" style="891" hidden="1" customWidth="1"/>
    <col min="2309" max="2309" width="9" style="891"/>
    <col min="2310" max="2310" width="8.875" style="891" bestFit="1" customWidth="1"/>
    <col min="2311" max="2538" width="9" style="891"/>
    <col min="2539" max="2539" width="6.75" style="891" customWidth="1"/>
    <col min="2540" max="2540" width="57.25" style="891" customWidth="1"/>
    <col min="2541" max="2541" width="11.5" style="891" customWidth="1"/>
    <col min="2542" max="2542" width="19" style="891" customWidth="1"/>
    <col min="2543" max="2564" width="0" style="891" hidden="1" customWidth="1"/>
    <col min="2565" max="2565" width="9" style="891"/>
    <col min="2566" max="2566" width="8.875" style="891" bestFit="1" customWidth="1"/>
    <col min="2567" max="2794" width="9" style="891"/>
    <col min="2795" max="2795" width="6.75" style="891" customWidth="1"/>
    <col min="2796" max="2796" width="57.25" style="891" customWidth="1"/>
    <col min="2797" max="2797" width="11.5" style="891" customWidth="1"/>
    <col min="2798" max="2798" width="19" style="891" customWidth="1"/>
    <col min="2799" max="2820" width="0" style="891" hidden="1" customWidth="1"/>
    <col min="2821" max="2821" width="9" style="891"/>
    <col min="2822" max="2822" width="8.875" style="891" bestFit="1" customWidth="1"/>
    <col min="2823" max="3050" width="9" style="891"/>
    <col min="3051" max="3051" width="6.75" style="891" customWidth="1"/>
    <col min="3052" max="3052" width="57.25" style="891" customWidth="1"/>
    <col min="3053" max="3053" width="11.5" style="891" customWidth="1"/>
    <col min="3054" max="3054" width="19" style="891" customWidth="1"/>
    <col min="3055" max="3076" width="0" style="891" hidden="1" customWidth="1"/>
    <col min="3077" max="3077" width="9" style="891"/>
    <col min="3078" max="3078" width="8.875" style="891" bestFit="1" customWidth="1"/>
    <col min="3079" max="3306" width="9" style="891"/>
    <col min="3307" max="3307" width="6.75" style="891" customWidth="1"/>
    <col min="3308" max="3308" width="57.25" style="891" customWidth="1"/>
    <col min="3309" max="3309" width="11.5" style="891" customWidth="1"/>
    <col min="3310" max="3310" width="19" style="891" customWidth="1"/>
    <col min="3311" max="3332" width="0" style="891" hidden="1" customWidth="1"/>
    <col min="3333" max="3333" width="9" style="891"/>
    <col min="3334" max="3334" width="8.875" style="891" bestFit="1" customWidth="1"/>
    <col min="3335" max="3562" width="9" style="891"/>
    <col min="3563" max="3563" width="6.75" style="891" customWidth="1"/>
    <col min="3564" max="3564" width="57.25" style="891" customWidth="1"/>
    <col min="3565" max="3565" width="11.5" style="891" customWidth="1"/>
    <col min="3566" max="3566" width="19" style="891" customWidth="1"/>
    <col min="3567" max="3588" width="0" style="891" hidden="1" customWidth="1"/>
    <col min="3589" max="3589" width="9" style="891"/>
    <col min="3590" max="3590" width="8.875" style="891" bestFit="1" customWidth="1"/>
    <col min="3591" max="3818" width="9" style="891"/>
    <col min="3819" max="3819" width="6.75" style="891" customWidth="1"/>
    <col min="3820" max="3820" width="57.25" style="891" customWidth="1"/>
    <col min="3821" max="3821" width="11.5" style="891" customWidth="1"/>
    <col min="3822" max="3822" width="19" style="891" customWidth="1"/>
    <col min="3823" max="3844" width="0" style="891" hidden="1" customWidth="1"/>
    <col min="3845" max="3845" width="9" style="891"/>
    <col min="3846" max="3846" width="8.875" style="891" bestFit="1" customWidth="1"/>
    <col min="3847" max="4074" width="9" style="891"/>
    <col min="4075" max="4075" width="6.75" style="891" customWidth="1"/>
    <col min="4076" max="4076" width="57.25" style="891" customWidth="1"/>
    <col min="4077" max="4077" width="11.5" style="891" customWidth="1"/>
    <col min="4078" max="4078" width="19" style="891" customWidth="1"/>
    <col min="4079" max="4100" width="0" style="891" hidden="1" customWidth="1"/>
    <col min="4101" max="4101" width="9" style="891"/>
    <col min="4102" max="4102" width="8.875" style="891" bestFit="1" customWidth="1"/>
    <col min="4103" max="4330" width="9" style="891"/>
    <col min="4331" max="4331" width="6.75" style="891" customWidth="1"/>
    <col min="4332" max="4332" width="57.25" style="891" customWidth="1"/>
    <col min="4333" max="4333" width="11.5" style="891" customWidth="1"/>
    <col min="4334" max="4334" width="19" style="891" customWidth="1"/>
    <col min="4335" max="4356" width="0" style="891" hidden="1" customWidth="1"/>
    <col min="4357" max="4357" width="9" style="891"/>
    <col min="4358" max="4358" width="8.875" style="891" bestFit="1" customWidth="1"/>
    <col min="4359" max="4586" width="9" style="891"/>
    <col min="4587" max="4587" width="6.75" style="891" customWidth="1"/>
    <col min="4588" max="4588" width="57.25" style="891" customWidth="1"/>
    <col min="4589" max="4589" width="11.5" style="891" customWidth="1"/>
    <col min="4590" max="4590" width="19" style="891" customWidth="1"/>
    <col min="4591" max="4612" width="0" style="891" hidden="1" customWidth="1"/>
    <col min="4613" max="4613" width="9" style="891"/>
    <col min="4614" max="4614" width="8.875" style="891" bestFit="1" customWidth="1"/>
    <col min="4615" max="4842" width="9" style="891"/>
    <col min="4843" max="4843" width="6.75" style="891" customWidth="1"/>
    <col min="4844" max="4844" width="57.25" style="891" customWidth="1"/>
    <col min="4845" max="4845" width="11.5" style="891" customWidth="1"/>
    <col min="4846" max="4846" width="19" style="891" customWidth="1"/>
    <col min="4847" max="4868" width="0" style="891" hidden="1" customWidth="1"/>
    <col min="4869" max="4869" width="9" style="891"/>
    <col min="4870" max="4870" width="8.875" style="891" bestFit="1" customWidth="1"/>
    <col min="4871" max="5098" width="9" style="891"/>
    <col min="5099" max="5099" width="6.75" style="891" customWidth="1"/>
    <col min="5100" max="5100" width="57.25" style="891" customWidth="1"/>
    <col min="5101" max="5101" width="11.5" style="891" customWidth="1"/>
    <col min="5102" max="5102" width="19" style="891" customWidth="1"/>
    <col min="5103" max="5124" width="0" style="891" hidden="1" customWidth="1"/>
    <col min="5125" max="5125" width="9" style="891"/>
    <col min="5126" max="5126" width="8.875" style="891" bestFit="1" customWidth="1"/>
    <col min="5127" max="5354" width="9" style="891"/>
    <col min="5355" max="5355" width="6.75" style="891" customWidth="1"/>
    <col min="5356" max="5356" width="57.25" style="891" customWidth="1"/>
    <col min="5357" max="5357" width="11.5" style="891" customWidth="1"/>
    <col min="5358" max="5358" width="19" style="891" customWidth="1"/>
    <col min="5359" max="5380" width="0" style="891" hidden="1" customWidth="1"/>
    <col min="5381" max="5381" width="9" style="891"/>
    <col min="5382" max="5382" width="8.875" style="891" bestFit="1" customWidth="1"/>
    <col min="5383" max="5610" width="9" style="891"/>
    <col min="5611" max="5611" width="6.75" style="891" customWidth="1"/>
    <col min="5612" max="5612" width="57.25" style="891" customWidth="1"/>
    <col min="5613" max="5613" width="11.5" style="891" customWidth="1"/>
    <col min="5614" max="5614" width="19" style="891" customWidth="1"/>
    <col min="5615" max="5636" width="0" style="891" hidden="1" customWidth="1"/>
    <col min="5637" max="5637" width="9" style="891"/>
    <col min="5638" max="5638" width="8.875" style="891" bestFit="1" customWidth="1"/>
    <col min="5639" max="5866" width="9" style="891"/>
    <col min="5867" max="5867" width="6.75" style="891" customWidth="1"/>
    <col min="5868" max="5868" width="57.25" style="891" customWidth="1"/>
    <col min="5869" max="5869" width="11.5" style="891" customWidth="1"/>
    <col min="5870" max="5870" width="19" style="891" customWidth="1"/>
    <col min="5871" max="5892" width="0" style="891" hidden="1" customWidth="1"/>
    <col min="5893" max="5893" width="9" style="891"/>
    <col min="5894" max="5894" width="8.875" style="891" bestFit="1" customWidth="1"/>
    <col min="5895" max="6122" width="9" style="891"/>
    <col min="6123" max="6123" width="6.75" style="891" customWidth="1"/>
    <col min="6124" max="6124" width="57.25" style="891" customWidth="1"/>
    <col min="6125" max="6125" width="11.5" style="891" customWidth="1"/>
    <col min="6126" max="6126" width="19" style="891" customWidth="1"/>
    <col min="6127" max="6148" width="0" style="891" hidden="1" customWidth="1"/>
    <col min="6149" max="6149" width="9" style="891"/>
    <col min="6150" max="6150" width="8.875" style="891" bestFit="1" customWidth="1"/>
    <col min="6151" max="6378" width="9" style="891"/>
    <col min="6379" max="6379" width="6.75" style="891" customWidth="1"/>
    <col min="6380" max="6380" width="57.25" style="891" customWidth="1"/>
    <col min="6381" max="6381" width="11.5" style="891" customWidth="1"/>
    <col min="6382" max="6382" width="19" style="891" customWidth="1"/>
    <col min="6383" max="6404" width="0" style="891" hidden="1" customWidth="1"/>
    <col min="6405" max="6405" width="9" style="891"/>
    <col min="6406" max="6406" width="8.875" style="891" bestFit="1" customWidth="1"/>
    <col min="6407" max="6634" width="9" style="891"/>
    <col min="6635" max="6635" width="6.75" style="891" customWidth="1"/>
    <col min="6636" max="6636" width="57.25" style="891" customWidth="1"/>
    <col min="6637" max="6637" width="11.5" style="891" customWidth="1"/>
    <col min="6638" max="6638" width="19" style="891" customWidth="1"/>
    <col min="6639" max="6660" width="0" style="891" hidden="1" customWidth="1"/>
    <col min="6661" max="6661" width="9" style="891"/>
    <col min="6662" max="6662" width="8.875" style="891" bestFit="1" customWidth="1"/>
    <col min="6663" max="6890" width="9" style="891"/>
    <col min="6891" max="6891" width="6.75" style="891" customWidth="1"/>
    <col min="6892" max="6892" width="57.25" style="891" customWidth="1"/>
    <col min="6893" max="6893" width="11.5" style="891" customWidth="1"/>
    <col min="6894" max="6894" width="19" style="891" customWidth="1"/>
    <col min="6895" max="6916" width="0" style="891" hidden="1" customWidth="1"/>
    <col min="6917" max="6917" width="9" style="891"/>
    <col min="6918" max="6918" width="8.875" style="891" bestFit="1" customWidth="1"/>
    <col min="6919" max="7146" width="9" style="891"/>
    <col min="7147" max="7147" width="6.75" style="891" customWidth="1"/>
    <col min="7148" max="7148" width="57.25" style="891" customWidth="1"/>
    <col min="7149" max="7149" width="11.5" style="891" customWidth="1"/>
    <col min="7150" max="7150" width="19" style="891" customWidth="1"/>
    <col min="7151" max="7172" width="0" style="891" hidden="1" customWidth="1"/>
    <col min="7173" max="7173" width="9" style="891"/>
    <col min="7174" max="7174" width="8.875" style="891" bestFit="1" customWidth="1"/>
    <col min="7175" max="7402" width="9" style="891"/>
    <col min="7403" max="7403" width="6.75" style="891" customWidth="1"/>
    <col min="7404" max="7404" width="57.25" style="891" customWidth="1"/>
    <col min="7405" max="7405" width="11.5" style="891" customWidth="1"/>
    <col min="7406" max="7406" width="19" style="891" customWidth="1"/>
    <col min="7407" max="7428" width="0" style="891" hidden="1" customWidth="1"/>
    <col min="7429" max="7429" width="9" style="891"/>
    <col min="7430" max="7430" width="8.875" style="891" bestFit="1" customWidth="1"/>
    <col min="7431" max="7658" width="9" style="891"/>
    <col min="7659" max="7659" width="6.75" style="891" customWidth="1"/>
    <col min="7660" max="7660" width="57.25" style="891" customWidth="1"/>
    <col min="7661" max="7661" width="11.5" style="891" customWidth="1"/>
    <col min="7662" max="7662" width="19" style="891" customWidth="1"/>
    <col min="7663" max="7684" width="0" style="891" hidden="1" customWidth="1"/>
    <col min="7685" max="7685" width="9" style="891"/>
    <col min="7686" max="7686" width="8.875" style="891" bestFit="1" customWidth="1"/>
    <col min="7687" max="7914" width="9" style="891"/>
    <col min="7915" max="7915" width="6.75" style="891" customWidth="1"/>
    <col min="7916" max="7916" width="57.25" style="891" customWidth="1"/>
    <col min="7917" max="7917" width="11.5" style="891" customWidth="1"/>
    <col min="7918" max="7918" width="19" style="891" customWidth="1"/>
    <col min="7919" max="7940" width="0" style="891" hidden="1" customWidth="1"/>
    <col min="7941" max="7941" width="9" style="891"/>
    <col min="7942" max="7942" width="8.875" style="891" bestFit="1" customWidth="1"/>
    <col min="7943" max="8170" width="9" style="891"/>
    <col min="8171" max="8171" width="6.75" style="891" customWidth="1"/>
    <col min="8172" max="8172" width="57.25" style="891" customWidth="1"/>
    <col min="8173" max="8173" width="11.5" style="891" customWidth="1"/>
    <col min="8174" max="8174" width="19" style="891" customWidth="1"/>
    <col min="8175" max="8196" width="0" style="891" hidden="1" customWidth="1"/>
    <col min="8197" max="8197" width="9" style="891"/>
    <col min="8198" max="8198" width="8.875" style="891" bestFit="1" customWidth="1"/>
    <col min="8199" max="8426" width="9" style="891"/>
    <col min="8427" max="8427" width="6.75" style="891" customWidth="1"/>
    <col min="8428" max="8428" width="57.25" style="891" customWidth="1"/>
    <col min="8429" max="8429" width="11.5" style="891" customWidth="1"/>
    <col min="8430" max="8430" width="19" style="891" customWidth="1"/>
    <col min="8431" max="8452" width="0" style="891" hidden="1" customWidth="1"/>
    <col min="8453" max="8453" width="9" style="891"/>
    <col min="8454" max="8454" width="8.875" style="891" bestFit="1" customWidth="1"/>
    <col min="8455" max="8682" width="9" style="891"/>
    <col min="8683" max="8683" width="6.75" style="891" customWidth="1"/>
    <col min="8684" max="8684" width="57.25" style="891" customWidth="1"/>
    <col min="8685" max="8685" width="11.5" style="891" customWidth="1"/>
    <col min="8686" max="8686" width="19" style="891" customWidth="1"/>
    <col min="8687" max="8708" width="0" style="891" hidden="1" customWidth="1"/>
    <col min="8709" max="8709" width="9" style="891"/>
    <col min="8710" max="8710" width="8.875" style="891" bestFit="1" customWidth="1"/>
    <col min="8711" max="8938" width="9" style="891"/>
    <col min="8939" max="8939" width="6.75" style="891" customWidth="1"/>
    <col min="8940" max="8940" width="57.25" style="891" customWidth="1"/>
    <col min="8941" max="8941" width="11.5" style="891" customWidth="1"/>
    <col min="8942" max="8942" width="19" style="891" customWidth="1"/>
    <col min="8943" max="8964" width="0" style="891" hidden="1" customWidth="1"/>
    <col min="8965" max="8965" width="9" style="891"/>
    <col min="8966" max="8966" width="8.875" style="891" bestFit="1" customWidth="1"/>
    <col min="8967" max="9194" width="9" style="891"/>
    <col min="9195" max="9195" width="6.75" style="891" customWidth="1"/>
    <col min="9196" max="9196" width="57.25" style="891" customWidth="1"/>
    <col min="9197" max="9197" width="11.5" style="891" customWidth="1"/>
    <col min="9198" max="9198" width="19" style="891" customWidth="1"/>
    <col min="9199" max="9220" width="0" style="891" hidden="1" customWidth="1"/>
    <col min="9221" max="9221" width="9" style="891"/>
    <col min="9222" max="9222" width="8.875" style="891" bestFit="1" customWidth="1"/>
    <col min="9223" max="9450" width="9" style="891"/>
    <col min="9451" max="9451" width="6.75" style="891" customWidth="1"/>
    <col min="9452" max="9452" width="57.25" style="891" customWidth="1"/>
    <col min="9453" max="9453" width="11.5" style="891" customWidth="1"/>
    <col min="9454" max="9454" width="19" style="891" customWidth="1"/>
    <col min="9455" max="9476" width="0" style="891" hidden="1" customWidth="1"/>
    <col min="9477" max="9477" width="9" style="891"/>
    <col min="9478" max="9478" width="8.875" style="891" bestFit="1" customWidth="1"/>
    <col min="9479" max="9706" width="9" style="891"/>
    <col min="9707" max="9707" width="6.75" style="891" customWidth="1"/>
    <col min="9708" max="9708" width="57.25" style="891" customWidth="1"/>
    <col min="9709" max="9709" width="11.5" style="891" customWidth="1"/>
    <col min="9710" max="9710" width="19" style="891" customWidth="1"/>
    <col min="9711" max="9732" width="0" style="891" hidden="1" customWidth="1"/>
    <col min="9733" max="9733" width="9" style="891"/>
    <col min="9734" max="9734" width="8.875" style="891" bestFit="1" customWidth="1"/>
    <col min="9735" max="9962" width="9" style="891"/>
    <col min="9963" max="9963" width="6.75" style="891" customWidth="1"/>
    <col min="9964" max="9964" width="57.25" style="891" customWidth="1"/>
    <col min="9965" max="9965" width="11.5" style="891" customWidth="1"/>
    <col min="9966" max="9966" width="19" style="891" customWidth="1"/>
    <col min="9967" max="9988" width="0" style="891" hidden="1" customWidth="1"/>
    <col min="9989" max="9989" width="9" style="891"/>
    <col min="9990" max="9990" width="8.875" style="891" bestFit="1" customWidth="1"/>
    <col min="9991" max="10218" width="9" style="891"/>
    <col min="10219" max="10219" width="6.75" style="891" customWidth="1"/>
    <col min="10220" max="10220" width="57.25" style="891" customWidth="1"/>
    <col min="10221" max="10221" width="11.5" style="891" customWidth="1"/>
    <col min="10222" max="10222" width="19" style="891" customWidth="1"/>
    <col min="10223" max="10244" width="0" style="891" hidden="1" customWidth="1"/>
    <col min="10245" max="10245" width="9" style="891"/>
    <col min="10246" max="10246" width="8.875" style="891" bestFit="1" customWidth="1"/>
    <col min="10247" max="10474" width="9" style="891"/>
    <col min="10475" max="10475" width="6.75" style="891" customWidth="1"/>
    <col min="10476" max="10476" width="57.25" style="891" customWidth="1"/>
    <col min="10477" max="10477" width="11.5" style="891" customWidth="1"/>
    <col min="10478" max="10478" width="19" style="891" customWidth="1"/>
    <col min="10479" max="10500" width="0" style="891" hidden="1" customWidth="1"/>
    <col min="10501" max="10501" width="9" style="891"/>
    <col min="10502" max="10502" width="8.875" style="891" bestFit="1" customWidth="1"/>
    <col min="10503" max="10730" width="9" style="891"/>
    <col min="10731" max="10731" width="6.75" style="891" customWidth="1"/>
    <col min="10732" max="10732" width="57.25" style="891" customWidth="1"/>
    <col min="10733" max="10733" width="11.5" style="891" customWidth="1"/>
    <col min="10734" max="10734" width="19" style="891" customWidth="1"/>
    <col min="10735" max="10756" width="0" style="891" hidden="1" customWidth="1"/>
    <col min="10757" max="10757" width="9" style="891"/>
    <col min="10758" max="10758" width="8.875" style="891" bestFit="1" customWidth="1"/>
    <col min="10759" max="10986" width="9" style="891"/>
    <col min="10987" max="10987" width="6.75" style="891" customWidth="1"/>
    <col min="10988" max="10988" width="57.25" style="891" customWidth="1"/>
    <col min="10989" max="10989" width="11.5" style="891" customWidth="1"/>
    <col min="10990" max="10990" width="19" style="891" customWidth="1"/>
    <col min="10991" max="11012" width="0" style="891" hidden="1" customWidth="1"/>
    <col min="11013" max="11013" width="9" style="891"/>
    <col min="11014" max="11014" width="8.875" style="891" bestFit="1" customWidth="1"/>
    <col min="11015" max="11242" width="9" style="891"/>
    <col min="11243" max="11243" width="6.75" style="891" customWidth="1"/>
    <col min="11244" max="11244" width="57.25" style="891" customWidth="1"/>
    <col min="11245" max="11245" width="11.5" style="891" customWidth="1"/>
    <col min="11246" max="11246" width="19" style="891" customWidth="1"/>
    <col min="11247" max="11268" width="0" style="891" hidden="1" customWidth="1"/>
    <col min="11269" max="11269" width="9" style="891"/>
    <col min="11270" max="11270" width="8.875" style="891" bestFit="1" customWidth="1"/>
    <col min="11271" max="11498" width="9" style="891"/>
    <col min="11499" max="11499" width="6.75" style="891" customWidth="1"/>
    <col min="11500" max="11500" width="57.25" style="891" customWidth="1"/>
    <col min="11501" max="11501" width="11.5" style="891" customWidth="1"/>
    <col min="11502" max="11502" width="19" style="891" customWidth="1"/>
    <col min="11503" max="11524" width="0" style="891" hidden="1" customWidth="1"/>
    <col min="11525" max="11525" width="9" style="891"/>
    <col min="11526" max="11526" width="8.875" style="891" bestFit="1" customWidth="1"/>
    <col min="11527" max="11754" width="9" style="891"/>
    <col min="11755" max="11755" width="6.75" style="891" customWidth="1"/>
    <col min="11756" max="11756" width="57.25" style="891" customWidth="1"/>
    <col min="11757" max="11757" width="11.5" style="891" customWidth="1"/>
    <col min="11758" max="11758" width="19" style="891" customWidth="1"/>
    <col min="11759" max="11780" width="0" style="891" hidden="1" customWidth="1"/>
    <col min="11781" max="11781" width="9" style="891"/>
    <col min="11782" max="11782" width="8.875" style="891" bestFit="1" customWidth="1"/>
    <col min="11783" max="12010" width="9" style="891"/>
    <col min="12011" max="12011" width="6.75" style="891" customWidth="1"/>
    <col min="12012" max="12012" width="57.25" style="891" customWidth="1"/>
    <col min="12013" max="12013" width="11.5" style="891" customWidth="1"/>
    <col min="12014" max="12014" width="19" style="891" customWidth="1"/>
    <col min="12015" max="12036" width="0" style="891" hidden="1" customWidth="1"/>
    <col min="12037" max="12037" width="9" style="891"/>
    <col min="12038" max="12038" width="8.875" style="891" bestFit="1" customWidth="1"/>
    <col min="12039" max="12266" width="9" style="891"/>
    <col min="12267" max="12267" width="6.75" style="891" customWidth="1"/>
    <col min="12268" max="12268" width="57.25" style="891" customWidth="1"/>
    <col min="12269" max="12269" width="11.5" style="891" customWidth="1"/>
    <col min="12270" max="12270" width="19" style="891" customWidth="1"/>
    <col min="12271" max="12292" width="0" style="891" hidden="1" customWidth="1"/>
    <col min="12293" max="12293" width="9" style="891"/>
    <col min="12294" max="12294" width="8.875" style="891" bestFit="1" customWidth="1"/>
    <col min="12295" max="12522" width="9" style="891"/>
    <col min="12523" max="12523" width="6.75" style="891" customWidth="1"/>
    <col min="12524" max="12524" width="57.25" style="891" customWidth="1"/>
    <col min="12525" max="12525" width="11.5" style="891" customWidth="1"/>
    <col min="12526" max="12526" width="19" style="891" customWidth="1"/>
    <col min="12527" max="12548" width="0" style="891" hidden="1" customWidth="1"/>
    <col min="12549" max="12549" width="9" style="891"/>
    <col min="12550" max="12550" width="8.875" style="891" bestFit="1" customWidth="1"/>
    <col min="12551" max="12778" width="9" style="891"/>
    <col min="12779" max="12779" width="6.75" style="891" customWidth="1"/>
    <col min="12780" max="12780" width="57.25" style="891" customWidth="1"/>
    <col min="12781" max="12781" width="11.5" style="891" customWidth="1"/>
    <col min="12782" max="12782" width="19" style="891" customWidth="1"/>
    <col min="12783" max="12804" width="0" style="891" hidden="1" customWidth="1"/>
    <col min="12805" max="12805" width="9" style="891"/>
    <col min="12806" max="12806" width="8.875" style="891" bestFit="1" customWidth="1"/>
    <col min="12807" max="13034" width="9" style="891"/>
    <col min="13035" max="13035" width="6.75" style="891" customWidth="1"/>
    <col min="13036" max="13036" width="57.25" style="891" customWidth="1"/>
    <col min="13037" max="13037" width="11.5" style="891" customWidth="1"/>
    <col min="13038" max="13038" width="19" style="891" customWidth="1"/>
    <col min="13039" max="13060" width="0" style="891" hidden="1" customWidth="1"/>
    <col min="13061" max="13061" width="9" style="891"/>
    <col min="13062" max="13062" width="8.875" style="891" bestFit="1" customWidth="1"/>
    <col min="13063" max="13290" width="9" style="891"/>
    <col min="13291" max="13291" width="6.75" style="891" customWidth="1"/>
    <col min="13292" max="13292" width="57.25" style="891" customWidth="1"/>
    <col min="13293" max="13293" width="11.5" style="891" customWidth="1"/>
    <col min="13294" max="13294" width="19" style="891" customWidth="1"/>
    <col min="13295" max="13316" width="0" style="891" hidden="1" customWidth="1"/>
    <col min="13317" max="13317" width="9" style="891"/>
    <col min="13318" max="13318" width="8.875" style="891" bestFit="1" customWidth="1"/>
    <col min="13319" max="13546" width="9" style="891"/>
    <col min="13547" max="13547" width="6.75" style="891" customWidth="1"/>
    <col min="13548" max="13548" width="57.25" style="891" customWidth="1"/>
    <col min="13549" max="13549" width="11.5" style="891" customWidth="1"/>
    <col min="13550" max="13550" width="19" style="891" customWidth="1"/>
    <col min="13551" max="13572" width="0" style="891" hidden="1" customWidth="1"/>
    <col min="13573" max="13573" width="9" style="891"/>
    <col min="13574" max="13574" width="8.875" style="891" bestFit="1" customWidth="1"/>
    <col min="13575" max="13802" width="9" style="891"/>
    <col min="13803" max="13803" width="6.75" style="891" customWidth="1"/>
    <col min="13804" max="13804" width="57.25" style="891" customWidth="1"/>
    <col min="13805" max="13805" width="11.5" style="891" customWidth="1"/>
    <col min="13806" max="13806" width="19" style="891" customWidth="1"/>
    <col min="13807" max="13828" width="0" style="891" hidden="1" customWidth="1"/>
    <col min="13829" max="13829" width="9" style="891"/>
    <col min="13830" max="13830" width="8.875" style="891" bestFit="1" customWidth="1"/>
    <col min="13831" max="14058" width="9" style="891"/>
    <col min="14059" max="14059" width="6.75" style="891" customWidth="1"/>
    <col min="14060" max="14060" width="57.25" style="891" customWidth="1"/>
    <col min="14061" max="14061" width="11.5" style="891" customWidth="1"/>
    <col min="14062" max="14062" width="19" style="891" customWidth="1"/>
    <col min="14063" max="14084" width="0" style="891" hidden="1" customWidth="1"/>
    <col min="14085" max="14085" width="9" style="891"/>
    <col min="14086" max="14086" width="8.875" style="891" bestFit="1" customWidth="1"/>
    <col min="14087" max="14314" width="9" style="891"/>
    <col min="14315" max="14315" width="6.75" style="891" customWidth="1"/>
    <col min="14316" max="14316" width="57.25" style="891" customWidth="1"/>
    <col min="14317" max="14317" width="11.5" style="891" customWidth="1"/>
    <col min="14318" max="14318" width="19" style="891" customWidth="1"/>
    <col min="14319" max="14340" width="0" style="891" hidden="1" customWidth="1"/>
    <col min="14341" max="14341" width="9" style="891"/>
    <col min="14342" max="14342" width="8.875" style="891" bestFit="1" customWidth="1"/>
    <col min="14343" max="14570" width="9" style="891"/>
    <col min="14571" max="14571" width="6.75" style="891" customWidth="1"/>
    <col min="14572" max="14572" width="57.25" style="891" customWidth="1"/>
    <col min="14573" max="14573" width="11.5" style="891" customWidth="1"/>
    <col min="14574" max="14574" width="19" style="891" customWidth="1"/>
    <col min="14575" max="14596" width="0" style="891" hidden="1" customWidth="1"/>
    <col min="14597" max="14597" width="9" style="891"/>
    <col min="14598" max="14598" width="8.875" style="891" bestFit="1" customWidth="1"/>
    <col min="14599" max="14826" width="9" style="891"/>
    <col min="14827" max="14827" width="6.75" style="891" customWidth="1"/>
    <col min="14828" max="14828" width="57.25" style="891" customWidth="1"/>
    <col min="14829" max="14829" width="11.5" style="891" customWidth="1"/>
    <col min="14830" max="14830" width="19" style="891" customWidth="1"/>
    <col min="14831" max="14852" width="0" style="891" hidden="1" customWidth="1"/>
    <col min="14853" max="14853" width="9" style="891"/>
    <col min="14854" max="14854" width="8.875" style="891" bestFit="1" customWidth="1"/>
    <col min="14855" max="15082" width="9" style="891"/>
    <col min="15083" max="15083" width="6.75" style="891" customWidth="1"/>
    <col min="15084" max="15084" width="57.25" style="891" customWidth="1"/>
    <col min="15085" max="15085" width="11.5" style="891" customWidth="1"/>
    <col min="15086" max="15086" width="19" style="891" customWidth="1"/>
    <col min="15087" max="15108" width="0" style="891" hidden="1" customWidth="1"/>
    <col min="15109" max="15109" width="9" style="891"/>
    <col min="15110" max="15110" width="8.875" style="891" bestFit="1" customWidth="1"/>
    <col min="15111" max="15338" width="9" style="891"/>
    <col min="15339" max="15339" width="6.75" style="891" customWidth="1"/>
    <col min="15340" max="15340" width="57.25" style="891" customWidth="1"/>
    <col min="15341" max="15341" width="11.5" style="891" customWidth="1"/>
    <col min="15342" max="15342" width="19" style="891" customWidth="1"/>
    <col min="15343" max="15364" width="0" style="891" hidden="1" customWidth="1"/>
    <col min="15365" max="15365" width="9" style="891"/>
    <col min="15366" max="15366" width="8.875" style="891" bestFit="1" customWidth="1"/>
    <col min="15367" max="15594" width="9" style="891"/>
    <col min="15595" max="15595" width="6.75" style="891" customWidth="1"/>
    <col min="15596" max="15596" width="57.25" style="891" customWidth="1"/>
    <col min="15597" max="15597" width="11.5" style="891" customWidth="1"/>
    <col min="15598" max="15598" width="19" style="891" customWidth="1"/>
    <col min="15599" max="15620" width="0" style="891" hidden="1" customWidth="1"/>
    <col min="15621" max="15621" width="9" style="891"/>
    <col min="15622" max="15622" width="8.875" style="891" bestFit="1" customWidth="1"/>
    <col min="15623" max="15850" width="9" style="891"/>
    <col min="15851" max="15851" width="6.75" style="891" customWidth="1"/>
    <col min="15852" max="15852" width="57.25" style="891" customWidth="1"/>
    <col min="15853" max="15853" width="11.5" style="891" customWidth="1"/>
    <col min="15854" max="15854" width="19" style="891" customWidth="1"/>
    <col min="15855" max="15876" width="0" style="891" hidden="1" customWidth="1"/>
    <col min="15877" max="15877" width="9" style="891"/>
    <col min="15878" max="15878" width="8.875" style="891" bestFit="1" customWidth="1"/>
    <col min="15879" max="16106" width="9" style="891"/>
    <col min="16107" max="16107" width="6.75" style="891" customWidth="1"/>
    <col min="16108" max="16108" width="57.25" style="891" customWidth="1"/>
    <col min="16109" max="16109" width="11.5" style="891" customWidth="1"/>
    <col min="16110" max="16110" width="19" style="891" customWidth="1"/>
    <col min="16111" max="16132" width="0" style="891" hidden="1" customWidth="1"/>
    <col min="16133" max="16133" width="9" style="891"/>
    <col min="16134" max="16134" width="8.875" style="891" bestFit="1" customWidth="1"/>
    <col min="16135" max="16384" width="9" style="891"/>
  </cols>
  <sheetData>
    <row r="1" spans="1:8" ht="103.9" customHeight="1">
      <c r="C1" s="1272" t="s">
        <v>649</v>
      </c>
      <c r="D1" s="1272"/>
      <c r="E1" s="1272"/>
      <c r="F1" s="1272"/>
      <c r="G1" s="1273"/>
      <c r="H1" s="1273"/>
    </row>
    <row r="2" spans="1:8" ht="18" customHeight="1">
      <c r="B2" s="1281"/>
      <c r="C2" s="1281"/>
      <c r="D2" s="1281"/>
    </row>
    <row r="3" spans="1:8" ht="64.5" customHeight="1">
      <c r="A3" s="1279" t="s">
        <v>642</v>
      </c>
      <c r="B3" s="1279"/>
      <c r="C3" s="1279"/>
      <c r="D3" s="1279"/>
      <c r="E3" s="1279"/>
      <c r="F3" s="1279"/>
      <c r="G3" s="1280"/>
      <c r="H3" s="1280"/>
    </row>
    <row r="4" spans="1:8" s="892" customFormat="1" ht="19.149999999999999" customHeight="1">
      <c r="A4" s="1282" t="s">
        <v>62</v>
      </c>
      <c r="B4" s="1282" t="s">
        <v>7</v>
      </c>
      <c r="C4" s="1284" t="s">
        <v>566</v>
      </c>
      <c r="D4" s="1275" t="s">
        <v>567</v>
      </c>
      <c r="E4" s="1276"/>
      <c r="F4" s="1276"/>
      <c r="G4" s="1277"/>
      <c r="H4" s="1278"/>
    </row>
    <row r="5" spans="1:8" s="892" customFormat="1" ht="19.899999999999999" customHeight="1">
      <c r="A5" s="1283"/>
      <c r="B5" s="1283"/>
      <c r="C5" s="1285"/>
      <c r="D5" s="893" t="s">
        <v>421</v>
      </c>
      <c r="E5" s="893" t="s">
        <v>450</v>
      </c>
      <c r="F5" s="893" t="s">
        <v>451</v>
      </c>
      <c r="G5" s="1052" t="s">
        <v>454</v>
      </c>
      <c r="H5" s="1052" t="s">
        <v>455</v>
      </c>
    </row>
    <row r="6" spans="1:8" s="896" customFormat="1" ht="20.25" customHeight="1">
      <c r="A6" s="894">
        <v>1</v>
      </c>
      <c r="B6" s="894">
        <v>2</v>
      </c>
      <c r="C6" s="894">
        <v>3</v>
      </c>
      <c r="D6" s="895">
        <v>4</v>
      </c>
      <c r="E6" s="894">
        <v>5</v>
      </c>
      <c r="F6" s="894">
        <v>6</v>
      </c>
      <c r="G6" s="895">
        <v>7</v>
      </c>
      <c r="H6" s="895">
        <v>8</v>
      </c>
    </row>
    <row r="7" spans="1:8" s="901" customFormat="1" ht="60.75" customHeight="1">
      <c r="A7" s="897">
        <v>1</v>
      </c>
      <c r="B7" s="898" t="s">
        <v>568</v>
      </c>
      <c r="C7" s="899" t="s">
        <v>10</v>
      </c>
      <c r="D7" s="900">
        <v>10000</v>
      </c>
      <c r="E7" s="900">
        <f t="shared" ref="E7:H10" si="0">D7</f>
        <v>10000</v>
      </c>
      <c r="F7" s="900">
        <f t="shared" si="0"/>
        <v>10000</v>
      </c>
      <c r="G7" s="900">
        <f t="shared" si="0"/>
        <v>10000</v>
      </c>
      <c r="H7" s="900">
        <f t="shared" si="0"/>
        <v>10000</v>
      </c>
    </row>
    <row r="8" spans="1:8" s="901" customFormat="1" ht="47.25" customHeight="1">
      <c r="A8" s="897">
        <v>2</v>
      </c>
      <c r="B8" s="898" t="s">
        <v>653</v>
      </c>
      <c r="C8" s="899" t="s">
        <v>10</v>
      </c>
      <c r="D8" s="900">
        <v>54130</v>
      </c>
      <c r="E8" s="900">
        <f t="shared" si="0"/>
        <v>54130</v>
      </c>
      <c r="F8" s="900">
        <f t="shared" si="0"/>
        <v>54130</v>
      </c>
      <c r="G8" s="900">
        <f t="shared" si="0"/>
        <v>54130</v>
      </c>
      <c r="H8" s="900">
        <f t="shared" si="0"/>
        <v>54130</v>
      </c>
    </row>
    <row r="9" spans="1:8" ht="33" customHeight="1">
      <c r="A9" s="897">
        <v>3</v>
      </c>
      <c r="B9" s="898" t="s">
        <v>569</v>
      </c>
      <c r="C9" s="902" t="s">
        <v>570</v>
      </c>
      <c r="D9" s="1053">
        <v>10.99</v>
      </c>
      <c r="E9" s="1053">
        <f t="shared" si="0"/>
        <v>10.99</v>
      </c>
      <c r="F9" s="1053">
        <f t="shared" si="0"/>
        <v>10.99</v>
      </c>
      <c r="G9" s="902">
        <f t="shared" si="0"/>
        <v>10.99</v>
      </c>
      <c r="H9" s="902">
        <f t="shared" si="0"/>
        <v>10.99</v>
      </c>
    </row>
    <row r="10" spans="1:8" ht="57.75" customHeight="1">
      <c r="A10" s="897">
        <v>4</v>
      </c>
      <c r="B10" s="898" t="s">
        <v>652</v>
      </c>
      <c r="C10" s="902" t="s">
        <v>570</v>
      </c>
      <c r="D10" s="1053">
        <v>27.01</v>
      </c>
      <c r="E10" s="1053">
        <f t="shared" si="0"/>
        <v>27.01</v>
      </c>
      <c r="F10" s="1053">
        <f t="shared" si="0"/>
        <v>27.01</v>
      </c>
      <c r="G10" s="902">
        <f t="shared" si="0"/>
        <v>27.01</v>
      </c>
      <c r="H10" s="902">
        <f t="shared" si="0"/>
        <v>27.01</v>
      </c>
    </row>
    <row r="11" spans="1:8" s="905" customFormat="1" ht="24" customHeight="1">
      <c r="A11" s="897">
        <v>5</v>
      </c>
      <c r="B11" s="898" t="s">
        <v>12</v>
      </c>
      <c r="C11" s="900" t="s">
        <v>1</v>
      </c>
      <c r="D11" s="1054">
        <v>104.6</v>
      </c>
      <c r="E11" s="1054">
        <v>103.4</v>
      </c>
      <c r="F11" s="1054">
        <v>104</v>
      </c>
      <c r="G11" s="1054">
        <f>F11</f>
        <v>104</v>
      </c>
      <c r="H11" s="1054">
        <f>G11</f>
        <v>104</v>
      </c>
    </row>
    <row r="12" spans="1:8" s="905" customFormat="1" ht="22.5" hidden="1" customHeight="1">
      <c r="A12" s="897">
        <v>4</v>
      </c>
      <c r="B12" s="898" t="s">
        <v>571</v>
      </c>
      <c r="C12" s="900"/>
      <c r="D12" s="903"/>
      <c r="E12" s="903"/>
      <c r="F12" s="903"/>
      <c r="G12" s="903"/>
      <c r="H12" s="903"/>
    </row>
    <row r="13" spans="1:8" s="905" customFormat="1" ht="20.25" customHeight="1">
      <c r="A13" s="897"/>
      <c r="B13" s="906" t="s">
        <v>572</v>
      </c>
      <c r="C13" s="900" t="s">
        <v>1</v>
      </c>
      <c r="D13" s="1055">
        <v>101.4</v>
      </c>
      <c r="E13" s="1055">
        <v>103</v>
      </c>
      <c r="F13" s="1055">
        <v>103</v>
      </c>
      <c r="G13" s="1055">
        <f>F13</f>
        <v>103</v>
      </c>
      <c r="H13" s="1055">
        <f>G13</f>
        <v>103</v>
      </c>
    </row>
    <row r="14" spans="1:8" s="905" customFormat="1" ht="20.25" customHeight="1">
      <c r="A14" s="897"/>
      <c r="B14" s="906" t="s">
        <v>573</v>
      </c>
      <c r="C14" s="900" t="s">
        <v>1</v>
      </c>
      <c r="D14" s="1055">
        <v>105.9</v>
      </c>
      <c r="E14" s="1055">
        <v>104.2</v>
      </c>
      <c r="F14" s="1055">
        <v>104</v>
      </c>
      <c r="G14" s="1055">
        <f t="shared" ref="G14:H16" si="1">F14</f>
        <v>104</v>
      </c>
      <c r="H14" s="1055">
        <f t="shared" si="1"/>
        <v>104</v>
      </c>
    </row>
    <row r="15" spans="1:8" s="905" customFormat="1" ht="20.25" customHeight="1">
      <c r="A15" s="897"/>
      <c r="B15" s="906" t="s">
        <v>574</v>
      </c>
      <c r="C15" s="900" t="s">
        <v>1</v>
      </c>
      <c r="D15" s="1055">
        <v>105.9</v>
      </c>
      <c r="E15" s="1055">
        <v>104.2</v>
      </c>
      <c r="F15" s="1055">
        <v>104</v>
      </c>
      <c r="G15" s="1055">
        <f t="shared" si="1"/>
        <v>104</v>
      </c>
      <c r="H15" s="1055">
        <f t="shared" si="1"/>
        <v>104</v>
      </c>
    </row>
    <row r="16" spans="1:8" s="905" customFormat="1" ht="20.25" customHeight="1">
      <c r="A16" s="897"/>
      <c r="B16" s="906" t="s">
        <v>575</v>
      </c>
      <c r="C16" s="900" t="s">
        <v>1</v>
      </c>
      <c r="D16" s="1055">
        <v>108</v>
      </c>
      <c r="E16" s="1055">
        <v>108</v>
      </c>
      <c r="F16" s="1055">
        <v>104</v>
      </c>
      <c r="G16" s="1055">
        <f t="shared" si="1"/>
        <v>104</v>
      </c>
      <c r="H16" s="1055">
        <f t="shared" si="1"/>
        <v>104</v>
      </c>
    </row>
    <row r="17" spans="1:8" s="905" customFormat="1" ht="18" customHeight="1">
      <c r="A17" s="897">
        <v>6</v>
      </c>
      <c r="B17" s="898" t="s">
        <v>576</v>
      </c>
      <c r="C17" s="900" t="s">
        <v>1</v>
      </c>
      <c r="D17" s="900">
        <v>0</v>
      </c>
      <c r="E17" s="900">
        <v>0</v>
      </c>
      <c r="F17" s="900">
        <v>0</v>
      </c>
      <c r="G17" s="900">
        <v>0</v>
      </c>
      <c r="H17" s="900">
        <v>0</v>
      </c>
    </row>
    <row r="18" spans="1:8" s="905" customFormat="1" ht="31.5">
      <c r="A18" s="897">
        <v>7</v>
      </c>
      <c r="B18" s="898" t="s">
        <v>577</v>
      </c>
      <c r="C18" s="900" t="s">
        <v>10</v>
      </c>
      <c r="D18" s="900" t="s">
        <v>578</v>
      </c>
      <c r="E18" s="900" t="s">
        <v>578</v>
      </c>
      <c r="F18" s="900" t="s">
        <v>578</v>
      </c>
      <c r="G18" s="900" t="s">
        <v>578</v>
      </c>
      <c r="H18" s="900" t="s">
        <v>578</v>
      </c>
    </row>
    <row r="19" spans="1:8" s="905" customFormat="1" ht="47.25">
      <c r="A19" s="897">
        <v>8</v>
      </c>
      <c r="B19" s="898" t="s">
        <v>579</v>
      </c>
      <c r="C19" s="900" t="s">
        <v>10</v>
      </c>
      <c r="D19" s="900">
        <v>3592</v>
      </c>
      <c r="E19" s="900">
        <f>D19</f>
        <v>3592</v>
      </c>
      <c r="F19" s="900">
        <f>E19</f>
        <v>3592</v>
      </c>
      <c r="G19" s="898">
        <f>F19</f>
        <v>3592</v>
      </c>
      <c r="H19" s="898">
        <f>G19</f>
        <v>3592</v>
      </c>
    </row>
    <row r="20" spans="1:8" s="905" customFormat="1" ht="31.5">
      <c r="A20" s="897">
        <v>9</v>
      </c>
      <c r="B20" s="898" t="s">
        <v>580</v>
      </c>
      <c r="C20" s="907" t="s">
        <v>581</v>
      </c>
      <c r="D20" s="900" t="s">
        <v>578</v>
      </c>
      <c r="E20" s="904" t="s">
        <v>578</v>
      </c>
      <c r="F20" s="904" t="s">
        <v>578</v>
      </c>
      <c r="G20" s="904" t="s">
        <v>578</v>
      </c>
      <c r="H20" s="904" t="s">
        <v>578</v>
      </c>
    </row>
    <row r="21" spans="1:8" s="905" customFormat="1" ht="31.5">
      <c r="A21" s="897">
        <v>10</v>
      </c>
      <c r="B21" s="898" t="s">
        <v>582</v>
      </c>
      <c r="C21" s="907" t="s">
        <v>581</v>
      </c>
      <c r="D21" s="900" t="s">
        <v>578</v>
      </c>
      <c r="E21" s="904" t="s">
        <v>578</v>
      </c>
      <c r="F21" s="904" t="s">
        <v>578</v>
      </c>
      <c r="G21" s="904" t="s">
        <v>578</v>
      </c>
      <c r="H21" s="904" t="s">
        <v>578</v>
      </c>
    </row>
    <row r="22" spans="1:8" s="905" customFormat="1" ht="18" customHeight="1">
      <c r="A22" s="897">
        <v>11</v>
      </c>
      <c r="B22" s="898" t="s">
        <v>583</v>
      </c>
      <c r="C22" s="900"/>
      <c r="D22" s="900" t="s">
        <v>578</v>
      </c>
      <c r="E22" s="900" t="s">
        <v>578</v>
      </c>
      <c r="F22" s="900" t="s">
        <v>578</v>
      </c>
      <c r="G22" s="900" t="s">
        <v>578</v>
      </c>
      <c r="H22" s="900" t="s">
        <v>578</v>
      </c>
    </row>
    <row r="23" spans="1:8" s="910" customFormat="1" ht="31.5">
      <c r="A23" s="897">
        <v>12</v>
      </c>
      <c r="B23" s="908" t="s">
        <v>584</v>
      </c>
      <c r="C23" s="909"/>
      <c r="D23" s="900" t="s">
        <v>578</v>
      </c>
      <c r="E23" s="900" t="s">
        <v>578</v>
      </c>
      <c r="F23" s="900" t="s">
        <v>578</v>
      </c>
      <c r="G23" s="900" t="s">
        <v>578</v>
      </c>
      <c r="H23" s="900" t="s">
        <v>578</v>
      </c>
    </row>
    <row r="24" spans="1:8" s="905" customFormat="1" ht="110.25">
      <c r="A24" s="897">
        <v>13</v>
      </c>
      <c r="B24" s="898" t="s">
        <v>585</v>
      </c>
      <c r="C24" s="900"/>
      <c r="D24" s="900" t="s">
        <v>578</v>
      </c>
      <c r="E24" s="900" t="s">
        <v>578</v>
      </c>
      <c r="F24" s="900" t="s">
        <v>578</v>
      </c>
      <c r="G24" s="900" t="s">
        <v>578</v>
      </c>
      <c r="H24" s="900" t="s">
        <v>578</v>
      </c>
    </row>
    <row r="25" spans="1:8" s="905" customFormat="1" ht="24" customHeight="1">
      <c r="A25" s="897">
        <v>14</v>
      </c>
      <c r="B25" s="898" t="s">
        <v>586</v>
      </c>
      <c r="C25" s="900" t="s">
        <v>587</v>
      </c>
      <c r="D25" s="900" t="s">
        <v>578</v>
      </c>
      <c r="E25" s="900" t="s">
        <v>578</v>
      </c>
      <c r="F25" s="900" t="s">
        <v>578</v>
      </c>
      <c r="G25" s="900" t="s">
        <v>578</v>
      </c>
      <c r="H25" s="900" t="s">
        <v>578</v>
      </c>
    </row>
    <row r="26" spans="1:8" s="905" customFormat="1" ht="15.75">
      <c r="A26" s="1274" t="s">
        <v>19</v>
      </c>
      <c r="B26" s="1274"/>
      <c r="C26" s="1274"/>
      <c r="D26" s="1274"/>
      <c r="E26" s="911"/>
      <c r="F26" s="911"/>
      <c r="G26" s="911"/>
      <c r="H26" s="911"/>
    </row>
    <row r="27" spans="1:8" s="905" customFormat="1" ht="26.25" customHeight="1">
      <c r="A27" s="912"/>
      <c r="B27" s="913" t="s">
        <v>588</v>
      </c>
      <c r="C27" s="914" t="s">
        <v>9</v>
      </c>
      <c r="D27" s="900" t="s">
        <v>578</v>
      </c>
      <c r="E27" s="900" t="s">
        <v>578</v>
      </c>
      <c r="F27" s="900" t="s">
        <v>578</v>
      </c>
      <c r="G27" s="900" t="s">
        <v>578</v>
      </c>
      <c r="H27" s="900" t="s">
        <v>578</v>
      </c>
    </row>
    <row r="28" spans="1:8" s="905" customFormat="1" ht="31.5" hidden="1">
      <c r="A28" s="915"/>
      <c r="B28" s="916" t="s">
        <v>589</v>
      </c>
      <c r="C28" s="916"/>
      <c r="D28" s="917"/>
    </row>
    <row r="29" spans="1:8" s="905" customFormat="1" ht="15.75" hidden="1">
      <c r="A29" s="918"/>
      <c r="B29" s="919"/>
      <c r="C29" s="919"/>
      <c r="D29" s="920"/>
    </row>
    <row r="30" spans="1:8" s="905" customFormat="1" ht="15.75" hidden="1">
      <c r="A30" s="918"/>
      <c r="B30" s="919"/>
      <c r="C30" s="919"/>
      <c r="D30" s="920"/>
    </row>
    <row r="31" spans="1:8" s="905" customFormat="1" ht="15.75" hidden="1">
      <c r="A31" s="918"/>
      <c r="B31" s="919"/>
      <c r="C31" s="919"/>
      <c r="D31" s="920"/>
    </row>
    <row r="32" spans="1:8" s="905" customFormat="1" ht="15.75" hidden="1">
      <c r="A32" s="918"/>
      <c r="B32" s="919"/>
      <c r="C32" s="919"/>
      <c r="D32" s="920"/>
    </row>
    <row r="33" spans="1:4" s="905" customFormat="1" ht="15.75" hidden="1">
      <c r="A33" s="918"/>
      <c r="B33" s="919"/>
      <c r="C33" s="919"/>
      <c r="D33" s="920"/>
    </row>
    <row r="34" spans="1:4" s="905" customFormat="1" ht="15.75" hidden="1">
      <c r="A34" s="918"/>
      <c r="B34" s="919"/>
      <c r="C34" s="919"/>
      <c r="D34" s="920"/>
    </row>
    <row r="35" spans="1:4" s="905" customFormat="1" ht="15.75" hidden="1">
      <c r="A35" s="918"/>
      <c r="B35" s="919"/>
      <c r="C35" s="919"/>
      <c r="D35" s="920"/>
    </row>
    <row r="36" spans="1:4" s="905" customFormat="1" ht="15.75" hidden="1">
      <c r="A36" s="918"/>
      <c r="B36" s="919"/>
      <c r="C36" s="919"/>
      <c r="D36" s="920"/>
    </row>
    <row r="37" spans="1:4" s="905" customFormat="1" ht="15.75" hidden="1">
      <c r="A37" s="918"/>
      <c r="B37" s="919"/>
      <c r="C37" s="919"/>
      <c r="D37" s="920"/>
    </row>
    <row r="38" spans="1:4" s="905" customFormat="1" ht="15.75" hidden="1">
      <c r="A38" s="918"/>
      <c r="B38" s="919"/>
      <c r="C38" s="919"/>
      <c r="D38" s="920"/>
    </row>
    <row r="39" spans="1:4" s="905" customFormat="1" ht="15.75" hidden="1">
      <c r="A39" s="918"/>
      <c r="B39" s="919"/>
      <c r="C39" s="919"/>
      <c r="D39" s="920"/>
    </row>
    <row r="40" spans="1:4" s="905" customFormat="1" ht="15.75" hidden="1">
      <c r="A40" s="918"/>
      <c r="B40" s="920"/>
      <c r="C40" s="920"/>
      <c r="D40" s="920"/>
    </row>
    <row r="41" spans="1:4" s="905" customFormat="1" ht="15.75" hidden="1">
      <c r="A41" s="918"/>
      <c r="B41" s="920"/>
      <c r="C41" s="920"/>
      <c r="D41" s="920"/>
    </row>
    <row r="42" spans="1:4" s="905" customFormat="1" ht="15.75" hidden="1">
      <c r="A42" s="918"/>
      <c r="B42" s="920"/>
      <c r="C42" s="920"/>
      <c r="D42" s="920"/>
    </row>
    <row r="43" spans="1:4" s="905" customFormat="1" ht="15.75" hidden="1">
      <c r="A43" s="918"/>
      <c r="B43" s="920"/>
      <c r="C43" s="920"/>
      <c r="D43" s="920"/>
    </row>
    <row r="44" spans="1:4" s="905" customFormat="1" ht="15.75" hidden="1">
      <c r="A44" s="918"/>
      <c r="B44" s="920"/>
      <c r="C44" s="920"/>
      <c r="D44" s="920"/>
    </row>
    <row r="45" spans="1:4" s="905" customFormat="1" ht="15.75" hidden="1">
      <c r="A45" s="918"/>
      <c r="B45" s="920"/>
      <c r="C45" s="920"/>
      <c r="D45" s="920"/>
    </row>
    <row r="46" spans="1:4" s="905" customFormat="1" ht="15.75" hidden="1">
      <c r="A46" s="918"/>
      <c r="B46" s="920"/>
      <c r="C46" s="920"/>
      <c r="D46" s="920"/>
    </row>
    <row r="47" spans="1:4" s="905" customFormat="1" ht="15.75" hidden="1">
      <c r="A47" s="918"/>
      <c r="B47" s="920"/>
      <c r="C47" s="920"/>
      <c r="D47" s="920"/>
    </row>
    <row r="48" spans="1:4" s="905" customFormat="1" ht="15.75" hidden="1">
      <c r="A48" s="918"/>
      <c r="B48" s="920"/>
      <c r="C48" s="920"/>
      <c r="D48" s="920"/>
    </row>
    <row r="49" spans="1:4" s="905" customFormat="1" ht="15.75" hidden="1">
      <c r="A49" s="918"/>
      <c r="B49" s="920"/>
      <c r="C49" s="920"/>
      <c r="D49" s="920"/>
    </row>
    <row r="50" spans="1:4" s="905" customFormat="1" ht="15.75" hidden="1">
      <c r="A50" s="918"/>
      <c r="B50" s="920"/>
      <c r="C50" s="920"/>
      <c r="D50" s="920"/>
    </row>
    <row r="51" spans="1:4" s="905" customFormat="1" ht="15.75" hidden="1">
      <c r="A51" s="918"/>
      <c r="B51" s="920"/>
      <c r="C51" s="920"/>
      <c r="D51" s="920"/>
    </row>
    <row r="52" spans="1:4" s="905" customFormat="1" ht="15.75" hidden="1">
      <c r="A52" s="918"/>
      <c r="B52" s="920"/>
      <c r="C52" s="920"/>
      <c r="D52" s="920"/>
    </row>
    <row r="53" spans="1:4" s="905" customFormat="1" ht="15.75" hidden="1">
      <c r="A53" s="918"/>
      <c r="B53" s="920"/>
      <c r="C53" s="920"/>
      <c r="D53" s="920"/>
    </row>
    <row r="54" spans="1:4" s="905" customFormat="1" ht="15.75" hidden="1">
      <c r="A54" s="918"/>
      <c r="B54" s="920"/>
      <c r="C54" s="920"/>
      <c r="D54" s="920"/>
    </row>
    <row r="55" spans="1:4" s="905" customFormat="1" ht="15.75" hidden="1">
      <c r="A55" s="918"/>
      <c r="B55" s="920"/>
      <c r="C55" s="920"/>
      <c r="D55" s="920"/>
    </row>
    <row r="56" spans="1:4" s="905" customFormat="1" ht="15.75" hidden="1">
      <c r="A56" s="918"/>
      <c r="B56" s="920"/>
      <c r="C56" s="920"/>
      <c r="D56" s="920"/>
    </row>
    <row r="57" spans="1:4" s="905" customFormat="1" ht="15.75" hidden="1">
      <c r="A57" s="918"/>
      <c r="B57" s="920"/>
      <c r="C57" s="920"/>
      <c r="D57" s="920"/>
    </row>
    <row r="58" spans="1:4" s="905" customFormat="1" ht="15.75" hidden="1">
      <c r="A58" s="918"/>
      <c r="B58" s="920"/>
      <c r="C58" s="920"/>
      <c r="D58" s="920"/>
    </row>
    <row r="59" spans="1:4" s="905" customFormat="1" ht="15.75" hidden="1">
      <c r="A59" s="918"/>
      <c r="B59" s="920"/>
      <c r="C59" s="920"/>
      <c r="D59" s="920"/>
    </row>
    <row r="60" spans="1:4" s="905" customFormat="1" ht="15.75" hidden="1">
      <c r="A60" s="918"/>
      <c r="B60" s="920"/>
      <c r="C60" s="920"/>
      <c r="D60" s="920"/>
    </row>
    <row r="61" spans="1:4" s="905" customFormat="1" ht="15.75" hidden="1">
      <c r="A61" s="918"/>
      <c r="B61" s="920"/>
      <c r="C61" s="920"/>
      <c r="D61" s="920"/>
    </row>
    <row r="62" spans="1:4" s="905" customFormat="1" ht="15.75" hidden="1">
      <c r="A62" s="918"/>
      <c r="B62" s="920"/>
      <c r="C62" s="920"/>
      <c r="D62" s="920"/>
    </row>
    <row r="63" spans="1:4" s="905" customFormat="1" ht="15.75" hidden="1">
      <c r="A63" s="918"/>
      <c r="B63" s="920"/>
      <c r="C63" s="920"/>
      <c r="D63" s="920"/>
    </row>
    <row r="64" spans="1:4" s="905" customFormat="1" ht="15.75" hidden="1">
      <c r="A64" s="918"/>
      <c r="B64" s="920"/>
      <c r="C64" s="920"/>
      <c r="D64" s="920"/>
    </row>
    <row r="65" spans="1:4" s="905" customFormat="1" ht="15.75" hidden="1">
      <c r="A65" s="918"/>
      <c r="B65" s="920"/>
      <c r="C65" s="920"/>
      <c r="D65" s="920"/>
    </row>
    <row r="66" spans="1:4" s="905" customFormat="1" ht="15.75" hidden="1">
      <c r="A66" s="918"/>
      <c r="B66" s="920"/>
      <c r="C66" s="920"/>
      <c r="D66" s="920"/>
    </row>
    <row r="67" spans="1:4" s="905" customFormat="1" ht="15.75" hidden="1">
      <c r="A67" s="918"/>
      <c r="B67" s="920"/>
      <c r="C67" s="920"/>
      <c r="D67" s="920"/>
    </row>
    <row r="68" spans="1:4" s="905" customFormat="1" ht="15.75" hidden="1">
      <c r="A68" s="918"/>
      <c r="B68" s="920"/>
      <c r="C68" s="920"/>
      <c r="D68" s="920"/>
    </row>
    <row r="69" spans="1:4" s="905" customFormat="1" ht="15.75" hidden="1">
      <c r="A69" s="918"/>
      <c r="B69" s="920"/>
      <c r="C69" s="920"/>
      <c r="D69" s="920"/>
    </row>
    <row r="70" spans="1:4" s="905" customFormat="1" ht="15.75" hidden="1">
      <c r="A70" s="918"/>
      <c r="B70" s="920"/>
      <c r="C70" s="920"/>
      <c r="D70" s="920"/>
    </row>
    <row r="71" spans="1:4" s="905" customFormat="1" ht="15.75" hidden="1">
      <c r="A71" s="918"/>
      <c r="B71" s="920"/>
      <c r="C71" s="920"/>
      <c r="D71" s="920"/>
    </row>
    <row r="72" spans="1:4" s="905" customFormat="1" ht="15.75" hidden="1">
      <c r="A72" s="918"/>
      <c r="B72" s="920"/>
      <c r="C72" s="920"/>
      <c r="D72" s="920"/>
    </row>
    <row r="73" spans="1:4" s="905" customFormat="1" ht="15.75" hidden="1">
      <c r="A73" s="918"/>
      <c r="B73" s="920"/>
      <c r="C73" s="920"/>
      <c r="D73" s="920"/>
    </row>
    <row r="74" spans="1:4" s="905" customFormat="1" ht="15.75" hidden="1">
      <c r="A74" s="918"/>
      <c r="B74" s="920"/>
      <c r="C74" s="920"/>
      <c r="D74" s="920"/>
    </row>
    <row r="75" spans="1:4" s="905" customFormat="1" ht="15.75" hidden="1">
      <c r="A75" s="918"/>
      <c r="B75" s="920"/>
      <c r="C75" s="920"/>
      <c r="D75" s="920"/>
    </row>
    <row r="76" spans="1:4" s="905" customFormat="1" ht="15.75" hidden="1">
      <c r="A76" s="918"/>
      <c r="B76" s="920"/>
      <c r="C76" s="920"/>
      <c r="D76" s="920"/>
    </row>
    <row r="77" spans="1:4" s="905" customFormat="1" ht="15.75" hidden="1">
      <c r="A77" s="918"/>
      <c r="B77" s="920"/>
      <c r="C77" s="920"/>
      <c r="D77" s="920"/>
    </row>
    <row r="78" spans="1:4" s="905" customFormat="1" ht="15.75" hidden="1">
      <c r="A78" s="918"/>
      <c r="B78" s="920"/>
      <c r="C78" s="920"/>
      <c r="D78" s="920"/>
    </row>
    <row r="79" spans="1:4" s="905" customFormat="1" ht="15.75" hidden="1">
      <c r="A79" s="918"/>
      <c r="B79" s="920"/>
      <c r="C79" s="920"/>
      <c r="D79" s="920"/>
    </row>
    <row r="80" spans="1:4" s="905" customFormat="1" ht="15.75" hidden="1">
      <c r="A80" s="918"/>
      <c r="B80" s="920"/>
      <c r="C80" s="920"/>
      <c r="D80" s="920"/>
    </row>
    <row r="81" spans="1:4" s="905" customFormat="1" ht="15.75" hidden="1">
      <c r="A81" s="918"/>
      <c r="B81" s="920"/>
      <c r="C81" s="920"/>
      <c r="D81" s="920"/>
    </row>
    <row r="82" spans="1:4" s="905" customFormat="1" ht="15.75" hidden="1">
      <c r="A82" s="918"/>
      <c r="B82" s="920"/>
      <c r="C82" s="920"/>
      <c r="D82" s="920"/>
    </row>
    <row r="83" spans="1:4" s="905" customFormat="1" ht="15.75" hidden="1">
      <c r="A83" s="918"/>
      <c r="B83" s="920"/>
      <c r="C83" s="920"/>
      <c r="D83" s="920"/>
    </row>
    <row r="84" spans="1:4" s="905" customFormat="1" ht="15.75" hidden="1">
      <c r="A84" s="901"/>
    </row>
    <row r="85" spans="1:4" s="905" customFormat="1" ht="15.75" hidden="1">
      <c r="A85" s="901"/>
    </row>
    <row r="86" spans="1:4" s="905" customFormat="1" ht="15.75" hidden="1">
      <c r="A86" s="901"/>
    </row>
    <row r="87" spans="1:4" s="905" customFormat="1" ht="15.75" hidden="1">
      <c r="A87" s="901"/>
    </row>
    <row r="88" spans="1:4" s="905" customFormat="1" ht="15.75" hidden="1">
      <c r="A88" s="901"/>
    </row>
    <row r="89" spans="1:4" s="905" customFormat="1" ht="15.75" hidden="1">
      <c r="A89" s="901"/>
    </row>
    <row r="90" spans="1:4" s="905" customFormat="1" ht="15.75" hidden="1">
      <c r="A90" s="901"/>
    </row>
    <row r="91" spans="1:4" s="905" customFormat="1" ht="15.75" hidden="1">
      <c r="A91" s="901"/>
    </row>
    <row r="92" spans="1:4" s="905" customFormat="1" ht="15.75" hidden="1">
      <c r="A92" s="901"/>
    </row>
    <row r="93" spans="1:4" s="905" customFormat="1" ht="15.75" hidden="1">
      <c r="A93" s="901"/>
    </row>
    <row r="94" spans="1:4" s="905" customFormat="1" ht="15.75" hidden="1">
      <c r="A94" s="901"/>
    </row>
    <row r="95" spans="1:4" s="905" customFormat="1" ht="15.75" hidden="1">
      <c r="A95" s="901"/>
    </row>
    <row r="96" spans="1:4" s="905" customFormat="1" ht="15.75" hidden="1">
      <c r="A96" s="901"/>
    </row>
    <row r="97" spans="1:1" s="905" customFormat="1" ht="15.75" hidden="1">
      <c r="A97" s="901"/>
    </row>
    <row r="98" spans="1:1" s="905" customFormat="1" ht="15.75" hidden="1">
      <c r="A98" s="901"/>
    </row>
    <row r="99" spans="1:1" s="905" customFormat="1" ht="15.75" hidden="1">
      <c r="A99" s="901"/>
    </row>
    <row r="100" spans="1:1" s="905" customFormat="1" ht="15.75" hidden="1">
      <c r="A100" s="901"/>
    </row>
    <row r="101" spans="1:1" s="905" customFormat="1" ht="15.75" hidden="1">
      <c r="A101" s="901"/>
    </row>
    <row r="102" spans="1:1" s="905" customFormat="1" ht="15.75" hidden="1">
      <c r="A102" s="901"/>
    </row>
    <row r="103" spans="1:1" s="905" customFormat="1" ht="15.75" hidden="1">
      <c r="A103" s="901"/>
    </row>
    <row r="104" spans="1:1" s="905" customFormat="1" ht="15.75" hidden="1">
      <c r="A104" s="901"/>
    </row>
    <row r="105" spans="1:1" s="905" customFormat="1" ht="15.75" hidden="1">
      <c r="A105" s="901"/>
    </row>
    <row r="106" spans="1:1" s="905" customFormat="1" ht="15.75" hidden="1">
      <c r="A106" s="901"/>
    </row>
    <row r="107" spans="1:1" s="905" customFormat="1" ht="15.75" hidden="1">
      <c r="A107" s="901"/>
    </row>
    <row r="108" spans="1:1" s="905" customFormat="1" ht="15.75" hidden="1">
      <c r="A108" s="901"/>
    </row>
    <row r="109" spans="1:1" s="905" customFormat="1" ht="15.75" hidden="1">
      <c r="A109" s="901"/>
    </row>
    <row r="110" spans="1:1" s="905" customFormat="1" ht="15.75" hidden="1">
      <c r="A110" s="901"/>
    </row>
    <row r="111" spans="1:1" s="905" customFormat="1" ht="15.75" hidden="1">
      <c r="A111" s="901"/>
    </row>
    <row r="112" spans="1:1" s="905" customFormat="1" ht="15.75" hidden="1">
      <c r="A112" s="901"/>
    </row>
    <row r="113" spans="1:1" s="905" customFormat="1" ht="15.75" hidden="1">
      <c r="A113" s="901"/>
    </row>
    <row r="114" spans="1:1" s="905" customFormat="1" ht="15.75" hidden="1">
      <c r="A114" s="901"/>
    </row>
    <row r="115" spans="1:1" s="905" customFormat="1" ht="15.75" hidden="1">
      <c r="A115" s="901"/>
    </row>
    <row r="116" spans="1:1" s="905" customFormat="1" ht="15.75" hidden="1">
      <c r="A116" s="901"/>
    </row>
    <row r="117" spans="1:1" s="905" customFormat="1" ht="15.75" hidden="1">
      <c r="A117" s="901"/>
    </row>
    <row r="118" spans="1:1" s="905" customFormat="1" ht="15.75" hidden="1">
      <c r="A118" s="901"/>
    </row>
    <row r="119" spans="1:1" s="905" customFormat="1" ht="15.75" hidden="1">
      <c r="A119" s="901"/>
    </row>
    <row r="120" spans="1:1" s="905" customFormat="1" ht="15.75" hidden="1">
      <c r="A120" s="901"/>
    </row>
    <row r="121" spans="1:1" s="905" customFormat="1" ht="15.75" hidden="1">
      <c r="A121" s="901"/>
    </row>
    <row r="122" spans="1:1" s="905" customFormat="1" ht="15.75" hidden="1">
      <c r="A122" s="901"/>
    </row>
    <row r="123" spans="1:1" s="905" customFormat="1" ht="15.75" hidden="1">
      <c r="A123" s="901"/>
    </row>
    <row r="124" spans="1:1" s="905" customFormat="1" ht="15.75" hidden="1">
      <c r="A124" s="901"/>
    </row>
    <row r="125" spans="1:1" s="905" customFormat="1" ht="15.75" hidden="1">
      <c r="A125" s="901"/>
    </row>
    <row r="126" spans="1:1" s="905" customFormat="1" ht="15.75" hidden="1">
      <c r="A126" s="901"/>
    </row>
    <row r="127" spans="1:1" s="905" customFormat="1" ht="15.75" hidden="1">
      <c r="A127" s="901"/>
    </row>
    <row r="128" spans="1:1" s="905" customFormat="1" ht="15.75" hidden="1">
      <c r="A128" s="901"/>
    </row>
    <row r="129" spans="1:6" s="905" customFormat="1" ht="15.75" hidden="1">
      <c r="A129" s="901"/>
    </row>
    <row r="130" spans="1:6" s="905" customFormat="1" ht="15.75" hidden="1">
      <c r="A130" s="901"/>
    </row>
    <row r="131" spans="1:6" s="905" customFormat="1" ht="15.75" hidden="1">
      <c r="A131" s="901"/>
    </row>
    <row r="132" spans="1:6" s="905" customFormat="1" ht="15.75">
      <c r="A132" s="901"/>
    </row>
    <row r="133" spans="1:6" s="905" customFormat="1" ht="15.75">
      <c r="A133" s="901"/>
      <c r="D133" s="921"/>
      <c r="E133" s="921"/>
      <c r="F133" s="921"/>
    </row>
    <row r="134" spans="1:6" s="905" customFormat="1" ht="15.75">
      <c r="A134" s="901"/>
    </row>
    <row r="135" spans="1:6" s="905" customFormat="1" ht="15.75">
      <c r="A135" s="901"/>
    </row>
    <row r="136" spans="1:6" s="905" customFormat="1" ht="15.75">
      <c r="A136" s="901"/>
    </row>
    <row r="137" spans="1:6" s="905" customFormat="1" ht="15.75">
      <c r="A137" s="901"/>
    </row>
    <row r="138" spans="1:6" s="905" customFormat="1" ht="15.75">
      <c r="A138" s="901"/>
    </row>
    <row r="139" spans="1:6" s="905" customFormat="1" ht="15.75">
      <c r="A139" s="901"/>
    </row>
    <row r="140" spans="1:6" s="905" customFormat="1" ht="15.75">
      <c r="A140" s="901"/>
    </row>
    <row r="141" spans="1:6" s="905" customFormat="1" ht="15.75">
      <c r="A141" s="901"/>
    </row>
    <row r="142" spans="1:6" s="905" customFormat="1" ht="15.75">
      <c r="A142" s="901"/>
    </row>
    <row r="143" spans="1:6" s="905" customFormat="1" ht="15.75">
      <c r="A143" s="901"/>
    </row>
    <row r="144" spans="1:6" s="905" customFormat="1" ht="15.75">
      <c r="A144" s="901"/>
    </row>
    <row r="145" spans="1:1" s="905" customFormat="1" ht="15.75">
      <c r="A145" s="901"/>
    </row>
    <row r="146" spans="1:1" s="905" customFormat="1" ht="15.75">
      <c r="A146" s="901"/>
    </row>
  </sheetData>
  <mergeCells count="8">
    <mergeCell ref="C1:H1"/>
    <mergeCell ref="A26:D26"/>
    <mergeCell ref="D4:H4"/>
    <mergeCell ref="A3:H3"/>
    <mergeCell ref="B2:D2"/>
    <mergeCell ref="A4:A5"/>
    <mergeCell ref="B4:B5"/>
    <mergeCell ref="C4:C5"/>
  </mergeCells>
  <printOptions horizontalCentered="1"/>
  <pageMargins left="0.31496062992125984" right="0.23622047244094491" top="0.15748031496062992" bottom="0.35433070866141736" header="0.31496062992125984" footer="0.31496062992125984"/>
  <pageSetup paperSize="9" scale="6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15</vt:i4>
      </vt:variant>
    </vt:vector>
  </HeadingPairs>
  <TitlesOfParts>
    <vt:vector size="31" baseType="lpstr">
      <vt:lpstr>индексы</vt:lpstr>
      <vt:lpstr>Кальк.2019-2023 (ДИ)</vt:lpstr>
      <vt:lpstr>Кальк.2019-2023 (ДИ) (2)</vt:lpstr>
      <vt:lpstr>Кальк.2019-2023 (ДИ) (3)</vt:lpstr>
      <vt:lpstr>Тарифы (3)</vt:lpstr>
      <vt:lpstr>Тарифы (2)</vt:lpstr>
      <vt:lpstr>Тарифы</vt:lpstr>
      <vt:lpstr>подконтрольные</vt:lpstr>
      <vt:lpstr>Прил2</vt:lpstr>
      <vt:lpstr>Прил3</vt:lpstr>
      <vt:lpstr>Прил4</vt:lpstr>
      <vt:lpstr>Прил 6 к расп</vt:lpstr>
      <vt:lpstr>переменные на 5 лет</vt:lpstr>
      <vt:lpstr>учет итогов</vt:lpstr>
      <vt:lpstr>Лист1</vt:lpstr>
      <vt:lpstr>амортизация</vt:lpstr>
      <vt:lpstr>'Кальк.2019-2023 (ДИ)'!Заголовки_для_печати</vt:lpstr>
      <vt:lpstr>'Кальк.2019-2023 (ДИ) (2)'!Заголовки_для_печати</vt:lpstr>
      <vt:lpstr>'Кальк.2019-2023 (ДИ) (3)'!Заголовки_для_печати</vt:lpstr>
      <vt:lpstr>индексы!Область_печати</vt:lpstr>
      <vt:lpstr>'Кальк.2019-2023 (ДИ)'!Область_печати</vt:lpstr>
      <vt:lpstr>'Кальк.2019-2023 (ДИ) (2)'!Область_печати</vt:lpstr>
      <vt:lpstr>'Кальк.2019-2023 (ДИ) (3)'!Область_печати</vt:lpstr>
      <vt:lpstr>'Прил 6 к расп'!Область_печати</vt:lpstr>
      <vt:lpstr>Прил2!Область_печати</vt:lpstr>
      <vt:lpstr>Прил3!Область_печати</vt:lpstr>
      <vt:lpstr>Прил4!Область_печати</vt:lpstr>
      <vt:lpstr>Тарифы!Область_печати</vt:lpstr>
      <vt:lpstr>'Тарифы (2)'!Область_печати</vt:lpstr>
      <vt:lpstr>'Тарифы (3)'!Область_печати</vt:lpstr>
      <vt:lpstr>'учет итогов'!Область_печати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buh</dc:creator>
  <cp:lastModifiedBy>Баранова Е.О.</cp:lastModifiedBy>
  <cp:lastPrinted>2018-12-18T15:12:51Z</cp:lastPrinted>
  <dcterms:created xsi:type="dcterms:W3CDTF">2012-12-25T10:57:38Z</dcterms:created>
  <dcterms:modified xsi:type="dcterms:W3CDTF">2018-12-20T12:54:14Z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