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3860"/>
  </bookViews>
  <sheets>
    <sheet name="расп нов испр 15-17" sheetId="1" r:id="rId1"/>
  </sheets>
  <externalReferences>
    <externalReference r:id="rId2"/>
    <externalReference r:id="rId3"/>
    <externalReference r:id="rId4"/>
  </externalReferences>
  <definedNames>
    <definedName name="_xlnm.Print_Area" localSheetId="0">'расп нов испр 15-17'!$A$1:$CD$74</definedName>
  </definedNames>
  <calcPr calcId="125725"/>
</workbook>
</file>

<file path=xl/calcChain.xml><?xml version="1.0" encoding="utf-8"?>
<calcChain xmlns="http://schemas.openxmlformats.org/spreadsheetml/2006/main">
  <c r="BY90" i="1"/>
  <c r="BY89"/>
  <c r="AT85"/>
  <c r="BU83"/>
  <c r="AU83"/>
  <c r="AT83"/>
  <c r="CE81"/>
  <c r="BW81"/>
  <c r="CA80"/>
  <c r="BV80"/>
  <c r="BU80"/>
  <c r="BT80"/>
  <c r="BS80"/>
  <c r="BR80"/>
  <c r="BN80"/>
  <c r="BM80"/>
  <c r="BL80"/>
  <c r="BK80"/>
  <c r="CE79"/>
  <c r="CD79"/>
  <c r="CA79"/>
  <c r="BW79"/>
  <c r="BV78"/>
  <c r="BU78"/>
  <c r="BT78"/>
  <c r="BS78"/>
  <c r="BR78"/>
  <c r="BN78"/>
  <c r="BM78"/>
  <c r="BL78"/>
  <c r="BK78"/>
  <c r="CE77"/>
  <c r="CD77"/>
  <c r="CA77"/>
  <c r="BW77"/>
  <c r="O77"/>
  <c r="CD76"/>
  <c r="CE76" s="1"/>
  <c r="CA76"/>
  <c r="BV76"/>
  <c r="BU76"/>
  <c r="BT76"/>
  <c r="BS76"/>
  <c r="BR76"/>
  <c r="BP76"/>
  <c r="BN76"/>
  <c r="BM76"/>
  <c r="BL76"/>
  <c r="BK76"/>
  <c r="BI76"/>
  <c r="Q76"/>
  <c r="K76"/>
  <c r="BN75"/>
  <c r="BM75"/>
  <c r="BL75"/>
  <c r="Q75"/>
  <c r="K75"/>
  <c r="BZ74"/>
  <c r="BY74"/>
  <c r="BN74"/>
  <c r="BM74"/>
  <c r="BI74"/>
  <c r="BK74" s="1"/>
  <c r="AT74"/>
  <c r="V74"/>
  <c r="O74"/>
  <c r="CD73"/>
  <c r="CE73" s="1"/>
  <c r="CC73"/>
  <c r="CB73"/>
  <c r="BW73"/>
  <c r="BR73"/>
  <c r="BS73" s="1"/>
  <c r="BL73"/>
  <c r="BH73"/>
  <c r="BC73"/>
  <c r="AW73"/>
  <c r="AU73"/>
  <c r="AR73"/>
  <c r="AP73"/>
  <c r="AM73"/>
  <c r="AK73"/>
  <c r="AG73"/>
  <c r="AE73"/>
  <c r="AF73" s="1"/>
  <c r="AD73"/>
  <c r="AA73"/>
  <c r="Z73"/>
  <c r="CC72"/>
  <c r="BZ72"/>
  <c r="BY72"/>
  <c r="CD72" s="1"/>
  <c r="CE72" s="1"/>
  <c r="BW72"/>
  <c r="CB72" s="1"/>
  <c r="CD71"/>
  <c r="CC71"/>
  <c r="CC69" s="1"/>
  <c r="CC56" s="1"/>
  <c r="BP71"/>
  <c r="BI71"/>
  <c r="CE70"/>
  <c r="BZ70"/>
  <c r="BY70"/>
  <c r="BW70"/>
  <c r="BJ70"/>
  <c r="BX70" s="1"/>
  <c r="CA69"/>
  <c r="CA78" s="1"/>
  <c r="BO69"/>
  <c r="BI69"/>
  <c r="CE68"/>
  <c r="BW68"/>
  <c r="BJ68"/>
  <c r="BX68" s="1"/>
  <c r="BZ68" s="1"/>
  <c r="CE67"/>
  <c r="BW67"/>
  <c r="BQ67"/>
  <c r="BQ76" s="1"/>
  <c r="BW76" s="1"/>
  <c r="BO67"/>
  <c r="CE66"/>
  <c r="CD66"/>
  <c r="CC66"/>
  <c r="BW66"/>
  <c r="CB66" s="1"/>
  <c r="BK66"/>
  <c r="BH66"/>
  <c r="BE66"/>
  <c r="BC66"/>
  <c r="CE65"/>
  <c r="CD65"/>
  <c r="CC65"/>
  <c r="BW65"/>
  <c r="CB65" s="1"/>
  <c r="BK65"/>
  <c r="BH65"/>
  <c r="BE65"/>
  <c r="BC65"/>
  <c r="CD64"/>
  <c r="CE64" s="1"/>
  <c r="CC64"/>
  <c r="BW64"/>
  <c r="CB64" s="1"/>
  <c r="BK64"/>
  <c r="BH64"/>
  <c r="BE64"/>
  <c r="BC64"/>
  <c r="CD63"/>
  <c r="CE63" s="1"/>
  <c r="CC63"/>
  <c r="CB63"/>
  <c r="BW63"/>
  <c r="BK63"/>
  <c r="BH63"/>
  <c r="BE63"/>
  <c r="BC63"/>
  <c r="CE62"/>
  <c r="CD62"/>
  <c r="CC62"/>
  <c r="BW62"/>
  <c r="CB62" s="1"/>
  <c r="BK62"/>
  <c r="BF62"/>
  <c r="BE62"/>
  <c r="BC62"/>
  <c r="CD61"/>
  <c r="CE61" s="1"/>
  <c r="CC61"/>
  <c r="CB61"/>
  <c r="BW61"/>
  <c r="BK61"/>
  <c r="BE61"/>
  <c r="BC61"/>
  <c r="CD60"/>
  <c r="CE60" s="1"/>
  <c r="CC60"/>
  <c r="CB60"/>
  <c r="BW60"/>
  <c r="BK60"/>
  <c r="BF60"/>
  <c r="BH60" s="1"/>
  <c r="BE60"/>
  <c r="BC60"/>
  <c r="CD59"/>
  <c r="CE59" s="1"/>
  <c r="CC59"/>
  <c r="CB59"/>
  <c r="BW59"/>
  <c r="BK59"/>
  <c r="BH59"/>
  <c r="BE59"/>
  <c r="BC59"/>
  <c r="CE58"/>
  <c r="CD58"/>
  <c r="CC58"/>
  <c r="BW58"/>
  <c r="CB58" s="1"/>
  <c r="BK58"/>
  <c r="BH58"/>
  <c r="BE58"/>
  <c r="BC58"/>
  <c r="CE57"/>
  <c r="CD57"/>
  <c r="CC57"/>
  <c r="BW57"/>
  <c r="CB57" s="1"/>
  <c r="BK57"/>
  <c r="BF57"/>
  <c r="BE57"/>
  <c r="BC57"/>
  <c r="CA56"/>
  <c r="CA75" s="1"/>
  <c r="BT56"/>
  <c r="BR56"/>
  <c r="BC56"/>
  <c r="AW56"/>
  <c r="AU56"/>
  <c r="AR56"/>
  <c r="AP56"/>
  <c r="AM56"/>
  <c r="AK56"/>
  <c r="AG56"/>
  <c r="AF56"/>
  <c r="AD56"/>
  <c r="AA56"/>
  <c r="Z56"/>
  <c r="S56"/>
  <c r="H56"/>
  <c r="H74" s="1"/>
  <c r="D56"/>
  <c r="D74" s="1"/>
  <c r="CC54"/>
  <c r="CD54" s="1"/>
  <c r="BM54"/>
  <c r="BD54"/>
  <c r="AV54"/>
  <c r="AU54"/>
  <c r="AC54"/>
  <c r="X54"/>
  <c r="AA54" s="1"/>
  <c r="Q54"/>
  <c r="E54"/>
  <c r="BT53"/>
  <c r="BL53"/>
  <c r="BL54" s="1"/>
  <c r="AZ53"/>
  <c r="AW53"/>
  <c r="AS53"/>
  <c r="AU53" s="1"/>
  <c r="AM53"/>
  <c r="AG53"/>
  <c r="AF53"/>
  <c r="AD53"/>
  <c r="Z53"/>
  <c r="S53"/>
  <c r="L53"/>
  <c r="H53"/>
  <c r="H54" s="1"/>
  <c r="D53"/>
  <c r="D54" s="1"/>
  <c r="CD51"/>
  <c r="CC51"/>
  <c r="BU51"/>
  <c r="O51"/>
  <c r="G51"/>
  <c r="BN50"/>
  <c r="BM50"/>
  <c r="BI50"/>
  <c r="O50"/>
  <c r="E50"/>
  <c r="CD49"/>
  <c r="CE49" s="1"/>
  <c r="CC49"/>
  <c r="CB49"/>
  <c r="BW49"/>
  <c r="BK49"/>
  <c r="BH49"/>
  <c r="BE49"/>
  <c r="BD49"/>
  <c r="BC49"/>
  <c r="AW49"/>
  <c r="AU49"/>
  <c r="AR49"/>
  <c r="AP49"/>
  <c r="AK49"/>
  <c r="AF49"/>
  <c r="AE49"/>
  <c r="AD49"/>
  <c r="CD48"/>
  <c r="CE48" s="1"/>
  <c r="CC48"/>
  <c r="BW48"/>
  <c r="CB48" s="1"/>
  <c r="BH48"/>
  <c r="BE48"/>
  <c r="BD48"/>
  <c r="BC48"/>
  <c r="AW48"/>
  <c r="AU48"/>
  <c r="AR48"/>
  <c r="AP48"/>
  <c r="AM48"/>
  <c r="AK48"/>
  <c r="AD48"/>
  <c r="AA48"/>
  <c r="Z48"/>
  <c r="Q48"/>
  <c r="P48"/>
  <c r="O48"/>
  <c r="S48" s="1"/>
  <c r="M48"/>
  <c r="H48"/>
  <c r="D48"/>
  <c r="BX47"/>
  <c r="BY47" s="1"/>
  <c r="BW47"/>
  <c r="BO47"/>
  <c r="BJ47"/>
  <c r="BK47" s="1"/>
  <c r="BI47"/>
  <c r="BD47"/>
  <c r="BC47"/>
  <c r="BB47"/>
  <c r="AU47"/>
  <c r="AT47"/>
  <c r="AW47" s="1"/>
  <c r="AR47"/>
  <c r="AP47"/>
  <c r="AM47"/>
  <c r="BT46"/>
  <c r="BL46"/>
  <c r="BK46"/>
  <c r="BC46"/>
  <c r="AP46"/>
  <c r="AM46"/>
  <c r="AK46"/>
  <c r="AF46"/>
  <c r="AE46"/>
  <c r="AD46"/>
  <c r="I46"/>
  <c r="CE45"/>
  <c r="BW45"/>
  <c r="AN45"/>
  <c r="AM45"/>
  <c r="AK45"/>
  <c r="AI45"/>
  <c r="CD44"/>
  <c r="CE44" s="1"/>
  <c r="CC44"/>
  <c r="CB44"/>
  <c r="BW44"/>
  <c r="BK44"/>
  <c r="BH44"/>
  <c r="BG44"/>
  <c r="BD44"/>
  <c r="BE44" s="1"/>
  <c r="BA44"/>
  <c r="BC44" s="1"/>
  <c r="AZ44"/>
  <c r="AX44"/>
  <c r="AW44"/>
  <c r="AU44"/>
  <c r="AS44"/>
  <c r="AR44"/>
  <c r="AP44"/>
  <c r="AM44"/>
  <c r="AI44"/>
  <c r="AH44"/>
  <c r="AK44" s="1"/>
  <c r="AF44"/>
  <c r="AE44"/>
  <c r="AD44"/>
  <c r="CD43"/>
  <c r="CE43" s="1"/>
  <c r="CC43"/>
  <c r="BW43"/>
  <c r="CB43" s="1"/>
  <c r="BG43"/>
  <c r="BH43" s="1"/>
  <c r="BE43"/>
  <c r="BD43"/>
  <c r="BA43"/>
  <c r="BC43" s="1"/>
  <c r="AZ43"/>
  <c r="AX43"/>
  <c r="AW43"/>
  <c r="AS43"/>
  <c r="AU43" s="1"/>
  <c r="AR43"/>
  <c r="AP43"/>
  <c r="AL43"/>
  <c r="AM43" s="1"/>
  <c r="AI43"/>
  <c r="AH43"/>
  <c r="AK43" s="1"/>
  <c r="AD43"/>
  <c r="AA43"/>
  <c r="Z43"/>
  <c r="S43"/>
  <c r="S41" s="1"/>
  <c r="O43"/>
  <c r="H43"/>
  <c r="D43"/>
  <c r="BT42"/>
  <c r="BL42"/>
  <c r="BK42"/>
  <c r="BJ42"/>
  <c r="BA42"/>
  <c r="AZ42"/>
  <c r="AZ46" s="1"/>
  <c r="AX42"/>
  <c r="AM42"/>
  <c r="AH42"/>
  <c r="AE42"/>
  <c r="AF42" s="1"/>
  <c r="AD42"/>
  <c r="AA42"/>
  <c r="Z42"/>
  <c r="CA41"/>
  <c r="BV41"/>
  <c r="BV51" s="1"/>
  <c r="BU41"/>
  <c r="BU50" s="1"/>
  <c r="BP41"/>
  <c r="BL41"/>
  <c r="BL51" s="1"/>
  <c r="BF41"/>
  <c r="BB41"/>
  <c r="AX41"/>
  <c r="AT41"/>
  <c r="AO41"/>
  <c r="AN41"/>
  <c r="AN51" s="1"/>
  <c r="AL41"/>
  <c r="AI41"/>
  <c r="AI51" s="1"/>
  <c r="AB41"/>
  <c r="Y41"/>
  <c r="X41"/>
  <c r="W41"/>
  <c r="Z41" s="1"/>
  <c r="U41"/>
  <c r="T41"/>
  <c r="Q41"/>
  <c r="P41"/>
  <c r="M41"/>
  <c r="M51" s="1"/>
  <c r="L41"/>
  <c r="K41"/>
  <c r="J41"/>
  <c r="I41"/>
  <c r="I51" s="1"/>
  <c r="H41"/>
  <c r="H51" s="1"/>
  <c r="G41"/>
  <c r="F41"/>
  <c r="E41"/>
  <c r="E51" s="1"/>
  <c r="D41"/>
  <c r="D51" s="1"/>
  <c r="CE39"/>
  <c r="BW39"/>
  <c r="BQ39"/>
  <c r="CE38"/>
  <c r="BY38"/>
  <c r="BW38"/>
  <c r="CE37"/>
  <c r="BW37"/>
  <c r="BO37"/>
  <c r="CD36"/>
  <c r="CE36" s="1"/>
  <c r="CC36"/>
  <c r="CC35" s="1"/>
  <c r="CB36"/>
  <c r="CB35" s="1"/>
  <c r="CA36"/>
  <c r="BQ36"/>
  <c r="BW36" s="1"/>
  <c r="BP36"/>
  <c r="BP34" s="1"/>
  <c r="CD35"/>
  <c r="CE35" s="1"/>
  <c r="BW35"/>
  <c r="BJ35"/>
  <c r="CE34"/>
  <c r="CA34"/>
  <c r="BU34"/>
  <c r="BU75" s="1"/>
  <c r="BB34"/>
  <c r="AT34"/>
  <c r="AS34"/>
  <c r="BW33"/>
  <c r="BS33"/>
  <c r="BS34" s="1"/>
  <c r="BR33"/>
  <c r="BH33"/>
  <c r="BC33"/>
  <c r="AW33"/>
  <c r="AU33"/>
  <c r="AR33"/>
  <c r="AP33"/>
  <c r="AM33"/>
  <c r="AK33"/>
  <c r="AG33"/>
  <c r="AF33"/>
  <c r="AF27" s="1"/>
  <c r="AD33"/>
  <c r="AA33"/>
  <c r="Z33"/>
  <c r="S33"/>
  <c r="S27" s="1"/>
  <c r="R33"/>
  <c r="H33"/>
  <c r="D33"/>
  <c r="CE32"/>
  <c r="BW32"/>
  <c r="BK32"/>
  <c r="BH32"/>
  <c r="BE32"/>
  <c r="BC32"/>
  <c r="AX32"/>
  <c r="AW32"/>
  <c r="AU32"/>
  <c r="AR32"/>
  <c r="AP32"/>
  <c r="AM32"/>
  <c r="AK32"/>
  <c r="AF32"/>
  <c r="AD32"/>
  <c r="D32"/>
  <c r="CE31"/>
  <c r="BW31"/>
  <c r="BK31"/>
  <c r="BH31"/>
  <c r="BE31"/>
  <c r="BC31"/>
  <c r="CE30"/>
  <c r="BW30"/>
  <c r="BK30"/>
  <c r="BF30"/>
  <c r="BE30"/>
  <c r="BC30"/>
  <c r="CE29"/>
  <c r="BW29"/>
  <c r="BK29"/>
  <c r="BE29"/>
  <c r="BC29"/>
  <c r="CE28"/>
  <c r="BW28"/>
  <c r="BK28"/>
  <c r="BE28"/>
  <c r="BC28"/>
  <c r="CA27"/>
  <c r="BW27"/>
  <c r="BS27"/>
  <c r="BQ27"/>
  <c r="BQ23" s="1"/>
  <c r="BP27"/>
  <c r="BN27"/>
  <c r="BN33" s="1"/>
  <c r="BM27"/>
  <c r="BM33" s="1"/>
  <c r="BG27"/>
  <c r="BG34" s="1"/>
  <c r="BF27"/>
  <c r="BB27"/>
  <c r="BA27"/>
  <c r="BA34" s="1"/>
  <c r="AZ27"/>
  <c r="AZ34" s="1"/>
  <c r="AY27"/>
  <c r="AY34" s="1"/>
  <c r="AX27"/>
  <c r="AX34" s="1"/>
  <c r="AW27"/>
  <c r="AW34" s="1"/>
  <c r="AV27"/>
  <c r="AV34" s="1"/>
  <c r="AT27"/>
  <c r="AS27"/>
  <c r="AQ27"/>
  <c r="AQ34" s="1"/>
  <c r="AP27"/>
  <c r="AP34" s="1"/>
  <c r="AO27"/>
  <c r="AN27"/>
  <c r="AL27"/>
  <c r="AM27" s="1"/>
  <c r="AK27"/>
  <c r="AJ27"/>
  <c r="AI27"/>
  <c r="AH27"/>
  <c r="AH20" s="1"/>
  <c r="AG27"/>
  <c r="AE27"/>
  <c r="AD27"/>
  <c r="AC27"/>
  <c r="AB27"/>
  <c r="AA27"/>
  <c r="Z27"/>
  <c r="Y27"/>
  <c r="Y20" s="1"/>
  <c r="Y22" s="1"/>
  <c r="X27"/>
  <c r="W27"/>
  <c r="V27"/>
  <c r="U27"/>
  <c r="U20" s="1"/>
  <c r="T27"/>
  <c r="R27"/>
  <c r="Q27"/>
  <c r="Q77" s="1"/>
  <c r="P27"/>
  <c r="O27"/>
  <c r="O75" s="1"/>
  <c r="N27"/>
  <c r="M27"/>
  <c r="M75" s="1"/>
  <c r="L27"/>
  <c r="K27"/>
  <c r="K77" s="1"/>
  <c r="J27"/>
  <c r="I27"/>
  <c r="H27"/>
  <c r="G27"/>
  <c r="F27"/>
  <c r="E27"/>
  <c r="D27"/>
  <c r="BX26"/>
  <c r="BW26"/>
  <c r="BT26"/>
  <c r="BS26"/>
  <c r="BR26"/>
  <c r="BO26" s="1"/>
  <c r="BL26"/>
  <c r="BJ26"/>
  <c r="BK26" s="1"/>
  <c r="BH26"/>
  <c r="BD26"/>
  <c r="BE26" s="1"/>
  <c r="BC26"/>
  <c r="AW26"/>
  <c r="AU26"/>
  <c r="AR26"/>
  <c r="AP26"/>
  <c r="AM26"/>
  <c r="AK26"/>
  <c r="AG26"/>
  <c r="AF26"/>
  <c r="AD26"/>
  <c r="AA26"/>
  <c r="Z26"/>
  <c r="V26"/>
  <c r="BT25"/>
  <c r="BS25"/>
  <c r="BQ25"/>
  <c r="BW25" s="1"/>
  <c r="BL25"/>
  <c r="BI25"/>
  <c r="BH25"/>
  <c r="BC25"/>
  <c r="AV25"/>
  <c r="AW25" s="1"/>
  <c r="AU25"/>
  <c r="AR25"/>
  <c r="AP25"/>
  <c r="AM25"/>
  <c r="AK25"/>
  <c r="AG25"/>
  <c r="AF25"/>
  <c r="AD25"/>
  <c r="AA25"/>
  <c r="Y25"/>
  <c r="X25"/>
  <c r="Z25" s="1"/>
  <c r="BP24"/>
  <c r="BW24" s="1"/>
  <c r="AZ24"/>
  <c r="AY24"/>
  <c r="AI24"/>
  <c r="AC24"/>
  <c r="CD23"/>
  <c r="CC23"/>
  <c r="CB23"/>
  <c r="CA23"/>
  <c r="BW23"/>
  <c r="BV23"/>
  <c r="BU23"/>
  <c r="BT23"/>
  <c r="BS23"/>
  <c r="BP23"/>
  <c r="BP22" s="1"/>
  <c r="BP20" s="1"/>
  <c r="BP54" s="1"/>
  <c r="BW54" s="1"/>
  <c r="BL23"/>
  <c r="BH23"/>
  <c r="BG23"/>
  <c r="BC23"/>
  <c r="BB23"/>
  <c r="BB24" s="1"/>
  <c r="BA23"/>
  <c r="AZ23"/>
  <c r="AZ22" s="1"/>
  <c r="AZ20" s="1"/>
  <c r="AZ41" s="1"/>
  <c r="AX23"/>
  <c r="AX22" s="1"/>
  <c r="AX20" s="1"/>
  <c r="AV23"/>
  <c r="AW23" s="1"/>
  <c r="AT23"/>
  <c r="AS23"/>
  <c r="AS24" s="1"/>
  <c r="AQ23"/>
  <c r="AR23" s="1"/>
  <c r="AP23"/>
  <c r="AO23"/>
  <c r="AL23"/>
  <c r="AM23" s="1"/>
  <c r="AJ23"/>
  <c r="AI23"/>
  <c r="AH23"/>
  <c r="AK23" s="1"/>
  <c r="AG23"/>
  <c r="AE23"/>
  <c r="AF23" s="1"/>
  <c r="AB23"/>
  <c r="AA23"/>
  <c r="W23"/>
  <c r="V23"/>
  <c r="V25" s="1"/>
  <c r="U23"/>
  <c r="T23"/>
  <c r="S23"/>
  <c r="R23"/>
  <c r="H23"/>
  <c r="BU22"/>
  <c r="BU27" s="1"/>
  <c r="BU33" s="1"/>
  <c r="BQ22"/>
  <c r="BN22"/>
  <c r="BN24" s="1"/>
  <c r="BS24" s="1"/>
  <c r="BM22"/>
  <c r="BM24" s="1"/>
  <c r="BI22"/>
  <c r="BB22"/>
  <c r="BA22"/>
  <c r="BA20" s="1"/>
  <c r="AY22"/>
  <c r="AT22"/>
  <c r="AU22" s="1"/>
  <c r="AS22"/>
  <c r="AS20" s="1"/>
  <c r="AN22"/>
  <c r="AN24" s="1"/>
  <c r="AI22"/>
  <c r="X22"/>
  <c r="X24" s="1"/>
  <c r="T22"/>
  <c r="Q22"/>
  <c r="P22"/>
  <c r="L22"/>
  <c r="I22"/>
  <c r="H22"/>
  <c r="G22"/>
  <c r="D22"/>
  <c r="BW21"/>
  <c r="BR21"/>
  <c r="BO21" s="1"/>
  <c r="BJ21"/>
  <c r="BK21" s="1"/>
  <c r="BV20"/>
  <c r="BU20"/>
  <c r="BU54" s="1"/>
  <c r="BS20"/>
  <c r="BS22" s="1"/>
  <c r="BN20"/>
  <c r="BM20"/>
  <c r="BM51" s="1"/>
  <c r="BI20"/>
  <c r="BI54" s="1"/>
  <c r="BK54" s="1"/>
  <c r="BG20"/>
  <c r="BG53" s="1"/>
  <c r="BH53" s="1"/>
  <c r="BF20"/>
  <c r="BB20"/>
  <c r="BB74" s="1"/>
  <c r="AY20"/>
  <c r="AV20"/>
  <c r="AV74" s="1"/>
  <c r="AW74" s="1"/>
  <c r="AT20"/>
  <c r="AT54" s="1"/>
  <c r="AQ20"/>
  <c r="AN20"/>
  <c r="AN74" s="1"/>
  <c r="AJ20"/>
  <c r="AJ74" s="1"/>
  <c r="AI20"/>
  <c r="AI54" s="1"/>
  <c r="AE20"/>
  <c r="X20"/>
  <c r="X74" s="1"/>
  <c r="V20"/>
  <c r="T20"/>
  <c r="T53" s="1"/>
  <c r="R20"/>
  <c r="R22" s="1"/>
  <c r="R24" s="1"/>
  <c r="Q20"/>
  <c r="Q74" s="1"/>
  <c r="P20"/>
  <c r="P53" s="1"/>
  <c r="O20"/>
  <c r="O54" s="1"/>
  <c r="N20"/>
  <c r="M20"/>
  <c r="M74" s="1"/>
  <c r="L20"/>
  <c r="K20"/>
  <c r="K74" s="1"/>
  <c r="J20"/>
  <c r="I20"/>
  <c r="I74" s="1"/>
  <c r="H20"/>
  <c r="G20"/>
  <c r="G74" s="1"/>
  <c r="F20"/>
  <c r="F17" s="1"/>
  <c r="F19" s="1"/>
  <c r="E20"/>
  <c r="E74" s="1"/>
  <c r="D20"/>
  <c r="BZ19"/>
  <c r="BV19"/>
  <c r="BU19"/>
  <c r="BN19"/>
  <c r="BM19"/>
  <c r="BL19"/>
  <c r="BO19" s="1"/>
  <c r="BX19" s="1"/>
  <c r="BY19" s="1"/>
  <c r="BK19"/>
  <c r="BI19"/>
  <c r="BB19"/>
  <c r="AW19"/>
  <c r="AT19"/>
  <c r="AE19"/>
  <c r="AF19" s="1"/>
  <c r="X19"/>
  <c r="P19"/>
  <c r="O19"/>
  <c r="L19"/>
  <c r="K19"/>
  <c r="G19"/>
  <c r="D19"/>
  <c r="BT18"/>
  <c r="BT19" s="1"/>
  <c r="BS18"/>
  <c r="BL18"/>
  <c r="BH18"/>
  <c r="BG18"/>
  <c r="BC18"/>
  <c r="AV18"/>
  <c r="AW18" s="1"/>
  <c r="AU18"/>
  <c r="AS18"/>
  <c r="AS17" s="1"/>
  <c r="AU17" s="1"/>
  <c r="AR18"/>
  <c r="AP18"/>
  <c r="AM18"/>
  <c r="AK18"/>
  <c r="AJ18"/>
  <c r="AG18"/>
  <c r="AF18"/>
  <c r="AD18"/>
  <c r="AA18"/>
  <c r="Z18"/>
  <c r="T18"/>
  <c r="T17" s="1"/>
  <c r="S18"/>
  <c r="N18"/>
  <c r="H18"/>
  <c r="H17" s="1"/>
  <c r="D18"/>
  <c r="D17" s="1"/>
  <c r="BT17"/>
  <c r="BS17"/>
  <c r="BS41" s="1"/>
  <c r="BL17"/>
  <c r="BL20" s="1"/>
  <c r="BG17"/>
  <c r="BB17"/>
  <c r="AZ17"/>
  <c r="AZ19" s="1"/>
  <c r="AY17"/>
  <c r="AY19" s="1"/>
  <c r="AV17"/>
  <c r="AW17" s="1"/>
  <c r="AT17"/>
  <c r="AN17"/>
  <c r="AJ17"/>
  <c r="AI17"/>
  <c r="AI19" s="1"/>
  <c r="AF17"/>
  <c r="X17"/>
  <c r="V17"/>
  <c r="V19" s="1"/>
  <c r="Q17"/>
  <c r="Q19" s="1"/>
  <c r="P17"/>
  <c r="O17"/>
  <c r="N17"/>
  <c r="N41" s="1"/>
  <c r="M17"/>
  <c r="M19" s="1"/>
  <c r="L17"/>
  <c r="K17"/>
  <c r="J17"/>
  <c r="J19" s="1"/>
  <c r="I17"/>
  <c r="I19" s="1"/>
  <c r="G17"/>
  <c r="E17"/>
  <c r="E19" s="1"/>
  <c r="CD16"/>
  <c r="CE16" s="1"/>
  <c r="BY16"/>
  <c r="CA16" s="1"/>
  <c r="BX16"/>
  <c r="BZ16" s="1"/>
  <c r="BW16"/>
  <c r="BV16"/>
  <c r="BS16"/>
  <c r="BO16" s="1"/>
  <c r="BO14" s="1"/>
  <c r="BN16"/>
  <c r="BL16"/>
  <c r="BK16"/>
  <c r="BJ16"/>
  <c r="BX15"/>
  <c r="BU15"/>
  <c r="BR15"/>
  <c r="BQ15"/>
  <c r="BW15" s="1"/>
  <c r="BP15"/>
  <c r="BM15"/>
  <c r="BL15"/>
  <c r="BK15"/>
  <c r="BJ15"/>
  <c r="CC14"/>
  <c r="BX14"/>
  <c r="BW14"/>
  <c r="BS14"/>
  <c r="BL14"/>
  <c r="BK14"/>
  <c r="BJ14"/>
  <c r="BH14"/>
  <c r="BE14"/>
  <c r="BC14"/>
  <c r="AW14"/>
  <c r="AU14"/>
  <c r="AR14"/>
  <c r="AP14"/>
  <c r="AM14"/>
  <c r="AK14"/>
  <c r="AG14"/>
  <c r="AF14"/>
  <c r="AD14"/>
  <c r="AA14"/>
  <c r="Z14"/>
  <c r="H14"/>
  <c r="D14"/>
  <c r="CD13"/>
  <c r="CE13" s="1"/>
  <c r="BY13"/>
  <c r="CA13" s="1"/>
  <c r="BX13"/>
  <c r="BZ13" s="1"/>
  <c r="BW13"/>
  <c r="BT13"/>
  <c r="BS13"/>
  <c r="BR13"/>
  <c r="BL13"/>
  <c r="BK13"/>
  <c r="BJ13"/>
  <c r="BH13"/>
  <c r="BD13"/>
  <c r="BE13" s="1"/>
  <c r="BC13"/>
  <c r="AW13"/>
  <c r="AS13"/>
  <c r="AU13" s="1"/>
  <c r="AR13"/>
  <c r="AP13"/>
  <c r="AM13"/>
  <c r="AK13"/>
  <c r="AG13"/>
  <c r="AF13"/>
  <c r="AD13"/>
  <c r="AA13"/>
  <c r="Z13"/>
  <c r="H13"/>
  <c r="D13"/>
  <c r="AX53" l="1"/>
  <c r="AX74"/>
  <c r="AX17"/>
  <c r="AX19" s="1"/>
  <c r="Y24"/>
  <c r="AA22"/>
  <c r="AA24" s="1"/>
  <c r="BY15"/>
  <c r="BZ15"/>
  <c r="BA74"/>
  <c r="BA17"/>
  <c r="BA53"/>
  <c r="BC53" s="1"/>
  <c r="BC20"/>
  <c r="U54"/>
  <c r="U22"/>
  <c r="U74"/>
  <c r="U17"/>
  <c r="U19" s="1"/>
  <c r="AH54"/>
  <c r="AH74"/>
  <c r="AH17"/>
  <c r="AH19" s="1"/>
  <c r="AK19" s="1"/>
  <c r="AP85"/>
  <c r="AQ53"/>
  <c r="AR53" s="1"/>
  <c r="AQ22"/>
  <c r="AQ41"/>
  <c r="AQ17"/>
  <c r="AQ74"/>
  <c r="BF74"/>
  <c r="BH74" s="1"/>
  <c r="BF54"/>
  <c r="BH54" s="1"/>
  <c r="BF22"/>
  <c r="BF24" s="1"/>
  <c r="BF17"/>
  <c r="BW22"/>
  <c r="BQ20"/>
  <c r="S51"/>
  <c r="CC15"/>
  <c r="N19"/>
  <c r="AZ50"/>
  <c r="Y51"/>
  <c r="N43"/>
  <c r="N48" s="1"/>
  <c r="N51"/>
  <c r="AA20"/>
  <c r="Y74"/>
  <c r="AA74" s="1"/>
  <c r="Y53"/>
  <c r="AA53" s="1"/>
  <c r="Y17"/>
  <c r="AN19"/>
  <c r="AN50"/>
  <c r="BS51"/>
  <c r="BS42"/>
  <c r="BS46" s="1"/>
  <c r="BY14"/>
  <c r="BZ14"/>
  <c r="F22"/>
  <c r="F54"/>
  <c r="F74"/>
  <c r="F51"/>
  <c r="J22"/>
  <c r="J54"/>
  <c r="J74"/>
  <c r="J51"/>
  <c r="N53"/>
  <c r="R53" s="1"/>
  <c r="R54" s="1"/>
  <c r="N22"/>
  <c r="AE22"/>
  <c r="AF20"/>
  <c r="AE54"/>
  <c r="AF54" s="1"/>
  <c r="AE74"/>
  <c r="AF74" s="1"/>
  <c r="BY21"/>
  <c r="BX21"/>
  <c r="BI24"/>
  <c r="BI27"/>
  <c r="BO13"/>
  <c r="AK17"/>
  <c r="S17"/>
  <c r="S50" s="1"/>
  <c r="H19"/>
  <c r="AH22"/>
  <c r="AT24"/>
  <c r="BZ26"/>
  <c r="CD26" s="1"/>
  <c r="CE26" s="1"/>
  <c r="CB26"/>
  <c r="CB25" s="1"/>
  <c r="BC42"/>
  <c r="BA41"/>
  <c r="BP69"/>
  <c r="BP80"/>
  <c r="BP56"/>
  <c r="BL74"/>
  <c r="BO74" s="1"/>
  <c r="BL22"/>
  <c r="BD19"/>
  <c r="BE19" s="1"/>
  <c r="V41"/>
  <c r="V22"/>
  <c r="V24" s="1"/>
  <c r="V53"/>
  <c r="BV54"/>
  <c r="BV21"/>
  <c r="BF28"/>
  <c r="BH27"/>
  <c r="BH34" s="1"/>
  <c r="BR34"/>
  <c r="BO34" s="1"/>
  <c r="BX34" s="1"/>
  <c r="BO33"/>
  <c r="T50"/>
  <c r="T43"/>
  <c r="T48" s="1"/>
  <c r="CD47"/>
  <c r="CE47" s="1"/>
  <c r="BZ47"/>
  <c r="CA47" s="1"/>
  <c r="BN54"/>
  <c r="BN51"/>
  <c r="Z23"/>
  <c r="W20"/>
  <c r="CA24"/>
  <c r="CE24" s="1"/>
  <c r="CA22"/>
  <c r="CA20" s="1"/>
  <c r="AR27"/>
  <c r="AR34" s="1"/>
  <c r="AO20"/>
  <c r="Q51"/>
  <c r="Q50"/>
  <c r="AT51"/>
  <c r="AT50"/>
  <c r="BE47"/>
  <c r="BG47"/>
  <c r="U24"/>
  <c r="BF51"/>
  <c r="BH51" s="1"/>
  <c r="S54"/>
  <c r="CC16"/>
  <c r="AL22"/>
  <c r="AH24"/>
  <c r="D50"/>
  <c r="M50"/>
  <c r="BL50"/>
  <c r="R18"/>
  <c r="AS19"/>
  <c r="AU20"/>
  <c r="M22"/>
  <c r="AU23"/>
  <c r="BA24"/>
  <c r="BD24" s="1"/>
  <c r="CE23"/>
  <c r="BU24"/>
  <c r="AU27"/>
  <c r="AU34" s="1"/>
  <c r="S20"/>
  <c r="S22" s="1"/>
  <c r="S24" s="1"/>
  <c r="BF34"/>
  <c r="BQ34"/>
  <c r="BW34" s="1"/>
  <c r="G50"/>
  <c r="K50"/>
  <c r="X50"/>
  <c r="AH41"/>
  <c r="BB50"/>
  <c r="I50"/>
  <c r="X51"/>
  <c r="BB51"/>
  <c r="BS53"/>
  <c r="I54"/>
  <c r="BB54"/>
  <c r="BC54" s="1"/>
  <c r="AG74"/>
  <c r="BY68"/>
  <c r="AI74"/>
  <c r="AZ74"/>
  <c r="AB20"/>
  <c r="U51"/>
  <c r="U50"/>
  <c r="CE71"/>
  <c r="CD80"/>
  <c r="CE80" s="1"/>
  <c r="CD69"/>
  <c r="AS74"/>
  <c r="AU74" s="1"/>
  <c r="AS41"/>
  <c r="L51"/>
  <c r="R41"/>
  <c r="Y50"/>
  <c r="AA50" s="1"/>
  <c r="AA41"/>
  <c r="BT50"/>
  <c r="BT20"/>
  <c r="AY56"/>
  <c r="AY54"/>
  <c r="BG56"/>
  <c r="BG22"/>
  <c r="BG24" s="1"/>
  <c r="BJ24" s="1"/>
  <c r="BK24" s="1"/>
  <c r="BH20"/>
  <c r="BH22" s="1"/>
  <c r="BH24" s="1"/>
  <c r="BC27"/>
  <c r="BC34" s="1"/>
  <c r="BD27"/>
  <c r="P51"/>
  <c r="P50"/>
  <c r="AX24"/>
  <c r="AX50"/>
  <c r="BV50"/>
  <c r="CC13"/>
  <c r="AU19"/>
  <c r="AK74"/>
  <c r="AG20"/>
  <c r="CA51"/>
  <c r="CE51" s="1"/>
  <c r="L43"/>
  <c r="BV74"/>
  <c r="CA74"/>
  <c r="BP17"/>
  <c r="E22"/>
  <c r="BC22"/>
  <c r="AD23"/>
  <c r="CD25"/>
  <c r="CE25" s="1"/>
  <c r="AL24"/>
  <c r="BY26"/>
  <c r="CC26" s="1"/>
  <c r="CC25" s="1"/>
  <c r="AO34"/>
  <c r="F50"/>
  <c r="J50"/>
  <c r="AD41"/>
  <c r="AM41"/>
  <c r="AY41"/>
  <c r="BG41"/>
  <c r="CC47"/>
  <c r="H50"/>
  <c r="AI50"/>
  <c r="K51"/>
  <c r="AX51"/>
  <c r="BP51"/>
  <c r="BW51" s="1"/>
  <c r="AW54"/>
  <c r="S74"/>
  <c r="M77"/>
  <c r="BP78"/>
  <c r="AK20"/>
  <c r="AW20"/>
  <c r="K22"/>
  <c r="O22"/>
  <c r="AJ22"/>
  <c r="AK22" s="1"/>
  <c r="AV22"/>
  <c r="AW22" s="1"/>
  <c r="AN54"/>
  <c r="CB71"/>
  <c r="CB69" s="1"/>
  <c r="CB56" s="1"/>
  <c r="T74"/>
  <c r="BU74"/>
  <c r="AJ41"/>
  <c r="AV41"/>
  <c r="BI51"/>
  <c r="BJ51" s="1"/>
  <c r="AJ53"/>
  <c r="G54"/>
  <c r="K54"/>
  <c r="AU51" l="1"/>
  <c r="AW51"/>
  <c r="CC21"/>
  <c r="CC27" s="1"/>
  <c r="AO74"/>
  <c r="AP74" s="1"/>
  <c r="AO22"/>
  <c r="AO17"/>
  <c r="AO54"/>
  <c r="AP20"/>
  <c r="W74"/>
  <c r="Z74" s="1"/>
  <c r="W22"/>
  <c r="W17"/>
  <c r="W54"/>
  <c r="Z54" s="1"/>
  <c r="Z20"/>
  <c r="BY33"/>
  <c r="BY27" s="1"/>
  <c r="BO27"/>
  <c r="BO22" s="1"/>
  <c r="BZ33"/>
  <c r="BZ27" s="1"/>
  <c r="BX33"/>
  <c r="BX27" s="1"/>
  <c r="BX22" s="1"/>
  <c r="BX23" s="1"/>
  <c r="BX25" s="1"/>
  <c r="BV34"/>
  <c r="BV75" s="1"/>
  <c r="BT21"/>
  <c r="BT22" s="1"/>
  <c r="V43"/>
  <c r="V48" s="1"/>
  <c r="V50"/>
  <c r="BA51"/>
  <c r="BD51" s="1"/>
  <c r="BA50"/>
  <c r="BC41"/>
  <c r="BX20"/>
  <c r="BZ21"/>
  <c r="CB21"/>
  <c r="CB27" s="1"/>
  <c r="BF19"/>
  <c r="BH19" s="1"/>
  <c r="BH17"/>
  <c r="AW41"/>
  <c r="AV50"/>
  <c r="AW50" s="1"/>
  <c r="AV42"/>
  <c r="BH41"/>
  <c r="BH50" s="1"/>
  <c r="BG50"/>
  <c r="BG42"/>
  <c r="AG17"/>
  <c r="AG54"/>
  <c r="AK54" s="1"/>
  <c r="AG22"/>
  <c r="AG24" s="1"/>
  <c r="AG51"/>
  <c r="BD33"/>
  <c r="BE33" s="1"/>
  <c r="BD34"/>
  <c r="BD22"/>
  <c r="BE27"/>
  <c r="BE34" s="1"/>
  <c r="BG61"/>
  <c r="BH56"/>
  <c r="BG57"/>
  <c r="BH57" s="1"/>
  <c r="AB74"/>
  <c r="AD74" s="1"/>
  <c r="AB22"/>
  <c r="AB17"/>
  <c r="AD20"/>
  <c r="AB54"/>
  <c r="AD54" s="1"/>
  <c r="BR24"/>
  <c r="BR22" s="1"/>
  <c r="BE24"/>
  <c r="BO24"/>
  <c r="BX24" s="1"/>
  <c r="R19"/>
  <c r="R17"/>
  <c r="AM22"/>
  <c r="AM24" s="1"/>
  <c r="AL20"/>
  <c r="BL27"/>
  <c r="BL33" s="1"/>
  <c r="BL24"/>
  <c r="CD15"/>
  <c r="CE15" s="1"/>
  <c r="CA15"/>
  <c r="AA51"/>
  <c r="BC51"/>
  <c r="W51"/>
  <c r="Z51" s="1"/>
  <c r="S19"/>
  <c r="BE54"/>
  <c r="BF50"/>
  <c r="BC24"/>
  <c r="AR20"/>
  <c r="AK53"/>
  <c r="AP53"/>
  <c r="BP50"/>
  <c r="BP19"/>
  <c r="BW19" s="1"/>
  <c r="AH50"/>
  <c r="AH51"/>
  <c r="AK51" s="1"/>
  <c r="BZ34"/>
  <c r="BY34"/>
  <c r="BP75"/>
  <c r="BP74"/>
  <c r="BW74" s="1"/>
  <c r="AW24"/>
  <c r="AU24"/>
  <c r="BI33"/>
  <c r="BJ33" s="1"/>
  <c r="BI34"/>
  <c r="AF22"/>
  <c r="AF24" s="1"/>
  <c r="AE24"/>
  <c r="CD14"/>
  <c r="CA14"/>
  <c r="AQ19"/>
  <c r="AR17"/>
  <c r="BC74"/>
  <c r="BD74"/>
  <c r="AK41"/>
  <c r="AJ42"/>
  <c r="AJ50"/>
  <c r="AP41"/>
  <c r="AY51"/>
  <c r="AY42"/>
  <c r="AY46" s="1"/>
  <c r="L48"/>
  <c r="R48" s="1"/>
  <c r="R43"/>
  <c r="AS50"/>
  <c r="AS42"/>
  <c r="AU41"/>
  <c r="AR22"/>
  <c r="AQ24"/>
  <c r="BC17"/>
  <c r="BA19"/>
  <c r="BC19" s="1"/>
  <c r="BK51"/>
  <c r="BT54"/>
  <c r="BT51"/>
  <c r="R50"/>
  <c r="R51"/>
  <c r="CD56"/>
  <c r="CE69"/>
  <c r="CD78"/>
  <c r="CE78" s="1"/>
  <c r="CA54"/>
  <c r="CE54" s="1"/>
  <c r="CA17"/>
  <c r="AA17"/>
  <c r="Y19"/>
  <c r="AA19" s="1"/>
  <c r="BQ41"/>
  <c r="BQ56"/>
  <c r="BQ17"/>
  <c r="BW20"/>
  <c r="BQ18"/>
  <c r="BW18" s="1"/>
  <c r="AR41"/>
  <c r="AQ50"/>
  <c r="AQ42"/>
  <c r="AJ24"/>
  <c r="AK24" s="1"/>
  <c r="BC50"/>
  <c r="AU50"/>
  <c r="AO51"/>
  <c r="BV22"/>
  <c r="BT74"/>
  <c r="AB51"/>
  <c r="BR75"/>
  <c r="BT27" l="1"/>
  <c r="BT24"/>
  <c r="AR51"/>
  <c r="AP51"/>
  <c r="BQ53"/>
  <c r="BW53" s="1"/>
  <c r="BW17"/>
  <c r="BI36"/>
  <c r="BI75"/>
  <c r="BJ34"/>
  <c r="BK34" s="1"/>
  <c r="BH42"/>
  <c r="BG46"/>
  <c r="BH46" s="1"/>
  <c r="BO23"/>
  <c r="BO25" s="1"/>
  <c r="BO20"/>
  <c r="BO56" s="1"/>
  <c r="BS56" s="1"/>
  <c r="W50"/>
  <c r="Z50" s="1"/>
  <c r="W19"/>
  <c r="Z19" s="1"/>
  <c r="Z17"/>
  <c r="AR54"/>
  <c r="AP54"/>
  <c r="BR23"/>
  <c r="BR25" s="1"/>
  <c r="BR20"/>
  <c r="BG62"/>
  <c r="BH62" s="1"/>
  <c r="BH61"/>
  <c r="BG30"/>
  <c r="AG50"/>
  <c r="AG19"/>
  <c r="BQ71"/>
  <c r="BW56"/>
  <c r="BQ75"/>
  <c r="BW75" s="1"/>
  <c r="CA19"/>
  <c r="CE19" s="1"/>
  <c r="CA50"/>
  <c r="CD75"/>
  <c r="CE75" s="1"/>
  <c r="CE56"/>
  <c r="BK33"/>
  <c r="BJ27"/>
  <c r="AL54"/>
  <c r="AM20"/>
  <c r="AL17"/>
  <c r="AL74"/>
  <c r="AL51"/>
  <c r="BY24"/>
  <c r="BZ24"/>
  <c r="BZ22" s="1"/>
  <c r="BD20"/>
  <c r="BD23"/>
  <c r="BE22"/>
  <c r="CD21"/>
  <c r="BE51"/>
  <c r="Z22"/>
  <c r="Z24" s="1"/>
  <c r="W24"/>
  <c r="AO19"/>
  <c r="AP19" s="1"/>
  <c r="AP17"/>
  <c r="AO50"/>
  <c r="AP50" s="1"/>
  <c r="AR74"/>
  <c r="AK50"/>
  <c r="CE14"/>
  <c r="BY22"/>
  <c r="AE51"/>
  <c r="AD51"/>
  <c r="BE74"/>
  <c r="CB22"/>
  <c r="CB20" s="1"/>
  <c r="CB33"/>
  <c r="CC33"/>
  <c r="CC22"/>
  <c r="CC20" s="1"/>
  <c r="AQ46"/>
  <c r="AR46" s="1"/>
  <c r="AR42"/>
  <c r="AD22"/>
  <c r="AD24" s="1"/>
  <c r="AB24"/>
  <c r="AV46"/>
  <c r="AW46" s="1"/>
  <c r="AW42"/>
  <c r="BQ42"/>
  <c r="BW42" s="1"/>
  <c r="BQ46"/>
  <c r="BW46" s="1"/>
  <c r="BW41"/>
  <c r="BQ50"/>
  <c r="BW50" s="1"/>
  <c r="AS46"/>
  <c r="AU46" s="1"/>
  <c r="AU42"/>
  <c r="AP42"/>
  <c r="AK42"/>
  <c r="AB19"/>
  <c r="AD19" s="1"/>
  <c r="AD17"/>
  <c r="AB50"/>
  <c r="AD50" s="1"/>
  <c r="BX56"/>
  <c r="BX17"/>
  <c r="BX18" s="1"/>
  <c r="AP22"/>
  <c r="AO24"/>
  <c r="AP24" s="1"/>
  <c r="AR50"/>
  <c r="AR24"/>
  <c r="AR19"/>
  <c r="BZ23" l="1"/>
  <c r="BZ25" s="1"/>
  <c r="BZ20"/>
  <c r="BX75"/>
  <c r="CD27"/>
  <c r="CE21"/>
  <c r="AM17"/>
  <c r="AL19"/>
  <c r="AL50"/>
  <c r="BW71"/>
  <c r="BQ69"/>
  <c r="BW69" s="1"/>
  <c r="BQ80"/>
  <c r="BW80" s="1"/>
  <c r="BQ78"/>
  <c r="BW78" s="1"/>
  <c r="BD53"/>
  <c r="BE53" s="1"/>
  <c r="BE20"/>
  <c r="BD17"/>
  <c r="BK27"/>
  <c r="BJ22"/>
  <c r="BG29"/>
  <c r="BH29" s="1"/>
  <c r="BH30"/>
  <c r="BG28"/>
  <c r="BH28" s="1"/>
  <c r="BI37"/>
  <c r="BJ36"/>
  <c r="CC18"/>
  <c r="CC17" s="1"/>
  <c r="CC53"/>
  <c r="CC41"/>
  <c r="CC74"/>
  <c r="BY23"/>
  <c r="BY25" s="1"/>
  <c r="BY20"/>
  <c r="BE23"/>
  <c r="BD25"/>
  <c r="BE25" s="1"/>
  <c r="BR53"/>
  <c r="BO53" s="1"/>
  <c r="BO54" s="1"/>
  <c r="BX54" s="1"/>
  <c r="BR17"/>
  <c r="BR74"/>
  <c r="CB41"/>
  <c r="CB53"/>
  <c r="CB18"/>
  <c r="CB17" s="1"/>
  <c r="CB74"/>
  <c r="AE41"/>
  <c r="AF51"/>
  <c r="AM54"/>
  <c r="AM74"/>
  <c r="AM51"/>
  <c r="BS75"/>
  <c r="BS74"/>
  <c r="BT33"/>
  <c r="BT34"/>
  <c r="BT75" s="1"/>
  <c r="BD56"/>
  <c r="BD41"/>
  <c r="CC46" l="1"/>
  <c r="CC50"/>
  <c r="CC42"/>
  <c r="BI80"/>
  <c r="BI78"/>
  <c r="BK22"/>
  <c r="BJ20"/>
  <c r="BJ23"/>
  <c r="BZ56"/>
  <c r="BZ75" s="1"/>
  <c r="BZ17"/>
  <c r="BZ18" s="1"/>
  <c r="AE43"/>
  <c r="AF41"/>
  <c r="AE50"/>
  <c r="AF50" s="1"/>
  <c r="CB50"/>
  <c r="CB42"/>
  <c r="CB46"/>
  <c r="BX36"/>
  <c r="BJ37"/>
  <c r="BJ71" s="1"/>
  <c r="AM19"/>
  <c r="AM50"/>
  <c r="BD73"/>
  <c r="BE73" s="1"/>
  <c r="BE56"/>
  <c r="BY54"/>
  <c r="BY53" s="1"/>
  <c r="BZ54"/>
  <c r="BZ53" s="1"/>
  <c r="BX53"/>
  <c r="BE17"/>
  <c r="BD18"/>
  <c r="BE18" s="1"/>
  <c r="BD42"/>
  <c r="BE41"/>
  <c r="BD50"/>
  <c r="BE50" s="1"/>
  <c r="BR18"/>
  <c r="BR41"/>
  <c r="BO17"/>
  <c r="BO18" s="1"/>
  <c r="BY56"/>
  <c r="BY75" s="1"/>
  <c r="BY17"/>
  <c r="BY18" s="1"/>
  <c r="CD33"/>
  <c r="CE33" s="1"/>
  <c r="CD22"/>
  <c r="CE27"/>
  <c r="BJ80" l="1"/>
  <c r="BJ78"/>
  <c r="BJ69"/>
  <c r="AE48"/>
  <c r="AF48" s="1"/>
  <c r="AF43"/>
  <c r="BJ53"/>
  <c r="BK53" s="1"/>
  <c r="BJ17"/>
  <c r="BJ56"/>
  <c r="BK20"/>
  <c r="BJ41"/>
  <c r="BR51"/>
  <c r="BO41"/>
  <c r="BR42"/>
  <c r="BR46" s="1"/>
  <c r="BO46" s="1"/>
  <c r="BD46"/>
  <c r="BE46" s="1"/>
  <c r="BE42"/>
  <c r="BK23"/>
  <c r="BJ25"/>
  <c r="BK25" s="1"/>
  <c r="CE22"/>
  <c r="CD20"/>
  <c r="BX37"/>
  <c r="BX71"/>
  <c r="BY36"/>
  <c r="BY35" s="1"/>
  <c r="BY77" s="1"/>
  <c r="BZ36"/>
  <c r="BZ35" s="1"/>
  <c r="BZ77" s="1"/>
  <c r="BX35"/>
  <c r="BX77" s="1"/>
  <c r="BJ50" l="1"/>
  <c r="BK50" s="1"/>
  <c r="BJ43"/>
  <c r="BK41"/>
  <c r="CD53"/>
  <c r="CE53" s="1"/>
  <c r="CD18"/>
  <c r="CD41"/>
  <c r="CE20"/>
  <c r="CD74"/>
  <c r="CE74" s="1"/>
  <c r="BK17"/>
  <c r="BJ18"/>
  <c r="BK18" s="1"/>
  <c r="BZ37"/>
  <c r="BY37"/>
  <c r="BX79"/>
  <c r="BO42"/>
  <c r="BO50"/>
  <c r="BO51"/>
  <c r="BX51" s="1"/>
  <c r="BJ75"/>
  <c r="BK56"/>
  <c r="BK75" s="1"/>
  <c r="BJ67"/>
  <c r="BZ71"/>
  <c r="BX80"/>
  <c r="BX69"/>
  <c r="BY71"/>
  <c r="BY80" s="1"/>
  <c r="BY69" l="1"/>
  <c r="BY78" s="1"/>
  <c r="BZ69"/>
  <c r="BZ78" s="1"/>
  <c r="BX78"/>
  <c r="BX67"/>
  <c r="CD46"/>
  <c r="CE46" s="1"/>
  <c r="CE41"/>
  <c r="CD42"/>
  <c r="CE42" s="1"/>
  <c r="BJ48"/>
  <c r="BK48" s="1"/>
  <c r="BK43"/>
  <c r="BJ73"/>
  <c r="BK73" s="1"/>
  <c r="BJ76"/>
  <c r="BZ51"/>
  <c r="BZ41" s="1"/>
  <c r="BX41"/>
  <c r="BY51"/>
  <c r="BY41" s="1"/>
  <c r="BY79"/>
  <c r="BZ79"/>
  <c r="CD17"/>
  <c r="CE17" s="1"/>
  <c r="CE18"/>
  <c r="BZ80"/>
  <c r="BX50" l="1"/>
  <c r="BX42"/>
  <c r="BX46" s="1"/>
  <c r="BY50"/>
  <c r="BY46"/>
  <c r="BY42"/>
  <c r="BY67"/>
  <c r="BZ67"/>
  <c r="BX76"/>
  <c r="BX73"/>
  <c r="BZ42"/>
  <c r="BZ46" s="1"/>
  <c r="BZ50"/>
  <c r="CD50"/>
  <c r="CE50" s="1"/>
  <c r="BY76" l="1"/>
  <c r="BY73"/>
  <c r="BZ73"/>
  <c r="BZ76"/>
  <c r="BS57"/>
  <c r="BR57"/>
  <c r="BR60"/>
  <c r="BS60"/>
  <c r="BR61"/>
  <c r="BS61"/>
  <c r="BS59"/>
  <c r="BR59"/>
  <c r="BR62"/>
  <c r="BS62"/>
  <c r="BS63"/>
  <c r="BR63"/>
  <c r="BS65"/>
  <c r="BR65"/>
  <c r="BR58"/>
  <c r="BS58"/>
  <c r="BR64"/>
  <c r="BS64"/>
  <c r="BR66"/>
  <c r="BS66"/>
</calcChain>
</file>

<file path=xl/comments1.xml><?xml version="1.0" encoding="utf-8"?>
<comments xmlns="http://schemas.openxmlformats.org/spreadsheetml/2006/main">
  <authors>
    <author>Bazanov</author>
  </authors>
  <commentList>
    <comment ref="AS56" authorId="0">
      <text>
        <r>
          <rPr>
            <b/>
            <sz val="8"/>
            <color indexed="81"/>
            <rFont val="Tahoma"/>
            <family val="2"/>
            <charset val="204"/>
          </rPr>
          <t>Bazanov:</t>
        </r>
        <r>
          <rPr>
            <sz val="8"/>
            <color indexed="81"/>
            <rFont val="Tahoma"/>
            <family val="2"/>
            <charset val="204"/>
          </rPr>
          <t xml:space="preserve">
по договору</t>
        </r>
      </text>
    </comment>
    <comment ref="AZ56" authorId="0">
      <text>
        <r>
          <rPr>
            <b/>
            <sz val="8"/>
            <color indexed="81"/>
            <rFont val="Tahoma"/>
            <family val="2"/>
            <charset val="204"/>
          </rPr>
          <t>Bazanov:</t>
        </r>
        <r>
          <rPr>
            <sz val="8"/>
            <color indexed="81"/>
            <rFont val="Tahoma"/>
            <family val="2"/>
            <charset val="204"/>
          </rPr>
          <t xml:space="preserve">
по договору</t>
        </r>
      </text>
    </comment>
  </commentList>
</comments>
</file>

<file path=xl/sharedStrings.xml><?xml version="1.0" encoding="utf-8"?>
<sst xmlns="http://schemas.openxmlformats.org/spreadsheetml/2006/main" count="265" uniqueCount="188">
  <si>
    <t xml:space="preserve">Приложение </t>
  </si>
  <si>
    <t>к распоряжению</t>
  </si>
  <si>
    <t>Комитета по тарифам Санкт-Петербурга</t>
  </si>
  <si>
    <t>от 10.12.2014 № 456-р</t>
  </si>
  <si>
    <t>Балансы тепловой энергии и мощности 
общества с ограниченной ответственностью "Энергосервис" на 2014-2017 годы</t>
  </si>
  <si>
    <t>№ п/п</t>
  </si>
  <si>
    <t>Наименование показателя</t>
  </si>
  <si>
    <t>Единицы измерения</t>
  </si>
  <si>
    <t xml:space="preserve">Предложение                                     ООО "Энергосервис"                             в целом по предприятию на  базовый период                                </t>
  </si>
  <si>
    <t xml:space="preserve">Предложение                                    ООО "Энергосервис"                             по котельной наб. Адмиралтейского канала,д.2                          на 2005-2006г.г.                                                        </t>
  </si>
  <si>
    <t xml:space="preserve">Предложение                                    ООО "Энергосервис"                             по котельной                                                         г. Петродворец, ул.Разводная,д.15                            на 2005-2006г.г.               </t>
  </si>
  <si>
    <t xml:space="preserve">Предложение                                    ООО "Энергосервис"                                           по котельной                                    г. Кронштадт, ул. Макаровская,д.4                           на 2005-2006г.г.                       </t>
  </si>
  <si>
    <t xml:space="preserve">Предложение                                    ООО "Энергосервис"                                          в целом по предприятию                            на 2005 год                                                                </t>
  </si>
  <si>
    <t>Предложение ОЭиТБ                             на 2005-2006 годы</t>
  </si>
  <si>
    <t xml:space="preserve">Предложение                                     ООО "Энергосервис"                             в целом по предприятию за  отчетный период 2004г. (вх. № 01-221594/04-0-0 от 04.11.2004)                                </t>
  </si>
  <si>
    <t xml:space="preserve">Предложение                                    ООО "Энергосервис"                                          в целом по предприятию                            на 2005 год                           (вх. № 01-221594/04-0-0 от 04.11.2004)                      </t>
  </si>
  <si>
    <t xml:space="preserve">Котельная г.Кронштадт, ул. Макаровская д.4                                                 </t>
  </si>
  <si>
    <t xml:space="preserve">Котельная СПб. наб. Адмиралтейского канала д. 2                       </t>
  </si>
  <si>
    <t xml:space="preserve">Котельная г.Петродворец, ул. Разводная д.15 </t>
  </si>
  <si>
    <t xml:space="preserve"> ООО "Энергосервис"  на 2005 год                   </t>
  </si>
  <si>
    <t>Согласовано РЭК Санкт-Петербурга на 2005г.</t>
  </si>
  <si>
    <t>Факт                         2005 года</t>
  </si>
  <si>
    <t>Данные, принимаемые ОЭиТБ для анализа результатов деятельности в 2005 году</t>
  </si>
  <si>
    <t xml:space="preserve">Согласовано на 2006 год </t>
  </si>
  <si>
    <t>Факт                       2006 года</t>
  </si>
  <si>
    <t>Данные, принимаемые для анализа 2006 года</t>
  </si>
  <si>
    <t>Откл.9-10</t>
  </si>
  <si>
    <t>Откл.11-10</t>
  </si>
  <si>
    <t xml:space="preserve">План на 2007 год </t>
  </si>
  <si>
    <t>Факт                                2007 года</t>
  </si>
  <si>
    <t>Откл. 9-8</t>
  </si>
  <si>
    <t>Данные, принимаемые для анализа 2007 года</t>
  </si>
  <si>
    <t>Откл. 11-9</t>
  </si>
  <si>
    <t>Предложение организации на 2009 год       (по всем имеющимся котельным)</t>
  </si>
  <si>
    <t>Предложение организации на 2009 год         (5 котельных работающих по договорам)</t>
  </si>
  <si>
    <t>Факт                                              2008 года</t>
  </si>
  <si>
    <t>План                 на 2009 год</t>
  </si>
  <si>
    <t>Откл. 12-11</t>
  </si>
  <si>
    <t>Предложение организации на 2010 год</t>
  </si>
  <si>
    <t>5 котельных</t>
  </si>
  <si>
    <t>Малоохтинский пр., д. 80/2</t>
  </si>
  <si>
    <t>Факт                                              2009 года</t>
  </si>
  <si>
    <t>Данные принимаемые для анализа</t>
  </si>
  <si>
    <t>План                 на 2010 год</t>
  </si>
  <si>
    <t>Факт                                              2010 года</t>
  </si>
  <si>
    <t>Откл.10-9</t>
  </si>
  <si>
    <t>Данные, принимаемые для анализа</t>
  </si>
  <si>
    <t>Откл.12-10</t>
  </si>
  <si>
    <t>Предложение организации               на 2011 год</t>
  </si>
  <si>
    <t>План                             на 2011 год</t>
  </si>
  <si>
    <t>Факт                                              2011 года</t>
  </si>
  <si>
    <t>Откл.  7-6</t>
  </si>
  <si>
    <t>Откл. 9-7</t>
  </si>
  <si>
    <t>Предложение организации            на 2012 год</t>
  </si>
  <si>
    <t>План 
на 2012 год</t>
  </si>
  <si>
    <t>Откл. 16-15</t>
  </si>
  <si>
    <t>Факт            2012 года</t>
  </si>
  <si>
    <t>Предложение организации на 2013 год</t>
  </si>
  <si>
    <t>2013 год</t>
  </si>
  <si>
    <t>План 
на 2013 год</t>
  </si>
  <si>
    <t>Факт                        2013 года</t>
  </si>
  <si>
    <t>Предложение организации на 2014-2016 годы</t>
  </si>
  <si>
    <t>2014-2016 годы</t>
  </si>
  <si>
    <t>Откл. 10-9</t>
  </si>
  <si>
    <t>2014 год</t>
  </si>
  <si>
    <t>План                             на 2015 год</t>
  </si>
  <si>
    <t>План                             на 2016 год</t>
  </si>
  <si>
    <t>Предложение организации на 2015-2017 годы</t>
  </si>
  <si>
    <t>2015 год</t>
  </si>
  <si>
    <t>2016 год</t>
  </si>
  <si>
    <t>2017 год</t>
  </si>
  <si>
    <t>Морской пер..Д.3</t>
  </si>
  <si>
    <t>Петродворец, Разводная ул., д.15</t>
  </si>
  <si>
    <t xml:space="preserve"> энергетический паспорт                     №10-74/36 от 11.11.2004г.                                                             (разработанный                    ООО "Проектный Центр Энергосбережения", согласованный                                    ФГ</t>
  </si>
  <si>
    <t>баланс согласованный                            ФГУ "Балтгосэнергонадзор"                (исх. № 10-3628 от 10.11.2004)</t>
  </si>
  <si>
    <t xml:space="preserve"> энергетический паспорт                     №10-74/38 от 11.11.2004г.                                                             (разработанный                                  ООО "Проектный Центр Энергосбережения", согласованный                        </t>
  </si>
  <si>
    <t xml:space="preserve"> энергетический паспорт                     №10-74/37 от 11.11.2004г.                                                             (разработанный                                  ООО "Проектный Центр Энергосбережения", согласованный                        </t>
  </si>
  <si>
    <t xml:space="preserve"> по энергетическим паспортам                                                                              (разработанным                               ООО "Проектный Центр Энергосбережения", согласованным                                  ФГУ "Балтгосэнерг</t>
  </si>
  <si>
    <t>12.1</t>
  </si>
  <si>
    <t>12.2</t>
  </si>
  <si>
    <t>10.1</t>
  </si>
  <si>
    <t>10.2</t>
  </si>
  <si>
    <t>11</t>
  </si>
  <si>
    <t>11.1</t>
  </si>
  <si>
    <t>11.2</t>
  </si>
  <si>
    <t>4</t>
  </si>
  <si>
    <t>13</t>
  </si>
  <si>
    <t>14</t>
  </si>
  <si>
    <t>15</t>
  </si>
  <si>
    <t>5</t>
  </si>
  <si>
    <t>6</t>
  </si>
  <si>
    <t>7</t>
  </si>
  <si>
    <t>Установленная мощность</t>
  </si>
  <si>
    <t>Гкал/ч</t>
  </si>
  <si>
    <t>Тепловая нагрузка потребителей</t>
  </si>
  <si>
    <t>2.1</t>
  </si>
  <si>
    <t>потребителей, получающих тепловую энергию по тепловым сетям</t>
  </si>
  <si>
    <t>2.2</t>
  </si>
  <si>
    <t>потребителей, получающих тепловую энергию с коллекторов</t>
  </si>
  <si>
    <t>Выработка тепловой энергии</t>
  </si>
  <si>
    <t>Гкал</t>
  </si>
  <si>
    <t>Расход тепловой энергии на собственные нужды</t>
  </si>
  <si>
    <t xml:space="preserve">     то же в % к выработке</t>
  </si>
  <si>
    <t>%</t>
  </si>
  <si>
    <t>Отпуск тепловой энергии с коллекторов</t>
  </si>
  <si>
    <t>5.1</t>
  </si>
  <si>
    <t>Отпуск тепловой энергии с коллекторов
потребителям</t>
  </si>
  <si>
    <t>5.2</t>
  </si>
  <si>
    <t>Отпуск тепловой энергии в сеть</t>
  </si>
  <si>
    <t xml:space="preserve"> </t>
  </si>
  <si>
    <t>Потери тепловой энергии в сети</t>
  </si>
  <si>
    <t xml:space="preserve">     то же в % к отпуску в сеть</t>
  </si>
  <si>
    <t>потери тепловой энергии через изоляцию</t>
  </si>
  <si>
    <t>потери тепловой энергии с утечкой</t>
  </si>
  <si>
    <t>Полезный отпуск тепловой энергии</t>
  </si>
  <si>
    <t xml:space="preserve">   отопление, вентиляция, пар, прочее</t>
  </si>
  <si>
    <t xml:space="preserve"> Гкал</t>
  </si>
  <si>
    <t xml:space="preserve">   ГВС</t>
  </si>
  <si>
    <t xml:space="preserve">     в т.ч. открытая система теплоснабжения</t>
  </si>
  <si>
    <t xml:space="preserve">     в т.ч. закрытая система теплоснабжения</t>
  </si>
  <si>
    <t>8.1</t>
  </si>
  <si>
    <t>производственные и хозяйственные нужды</t>
  </si>
  <si>
    <t>7.1</t>
  </si>
  <si>
    <t>в т.ч. полезный отпуск тепловой энергии потребителям</t>
  </si>
  <si>
    <t>8</t>
  </si>
  <si>
    <t>Всего полезный отпуск потребителям</t>
  </si>
  <si>
    <t xml:space="preserve">   на отопление, вентиляцию, пар </t>
  </si>
  <si>
    <t xml:space="preserve">   на горячее водоснабжение, в том числе:</t>
  </si>
  <si>
    <t xml:space="preserve">   в открытой системе теплоснабжения</t>
  </si>
  <si>
    <t xml:space="preserve">   в закрытой системе теплоснабжения 
   с использованием теплообменников ЭСО </t>
  </si>
  <si>
    <t>Реализованный полезный отпуск тепловой энергии</t>
  </si>
  <si>
    <t>Потребление топлива</t>
  </si>
  <si>
    <t xml:space="preserve">    </t>
  </si>
  <si>
    <t>Расход условного топлива на производство тепловой энергии:</t>
  </si>
  <si>
    <t>т.у.т.</t>
  </si>
  <si>
    <t>9.1</t>
  </si>
  <si>
    <t xml:space="preserve">     газ</t>
  </si>
  <si>
    <t>9.2</t>
  </si>
  <si>
    <t xml:space="preserve">     мазут </t>
  </si>
  <si>
    <t>9.3</t>
  </si>
  <si>
    <t xml:space="preserve">     уголь</t>
  </si>
  <si>
    <t>10</t>
  </si>
  <si>
    <t>Расход топлива в натуральном выражении
на производство тепловой энергии:</t>
  </si>
  <si>
    <t xml:space="preserve">     газ (4 группа)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</si>
  <si>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</si>
  <si>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 xml:space="preserve">     справочно: лимит газа</t>
  </si>
  <si>
    <t xml:space="preserve">     мазут</t>
  </si>
  <si>
    <t>тонн</t>
  </si>
  <si>
    <t>10.3</t>
  </si>
  <si>
    <t>Удельный расход условного топлива 
на выработку тепловой энергии</t>
  </si>
  <si>
    <t>кг у.т/Гкал</t>
  </si>
  <si>
    <t>Удельный расход условного топлива 
на отпуск тепловой энергии с коллекторов</t>
  </si>
  <si>
    <t>Потребление электрической энергии</t>
  </si>
  <si>
    <t xml:space="preserve">Расход электрической энергии </t>
  </si>
  <si>
    <t>тыс.кВт.ч</t>
  </si>
  <si>
    <t>Удельный расход электрической энергии 
на отпуск тепловой энергии с коллекторов</t>
  </si>
  <si>
    <t>кВт.ч/Гкал</t>
  </si>
  <si>
    <t>Водопотребление</t>
  </si>
  <si>
    <t>Покупка питьевой холодной воды 
от ОАО "Славянка"</t>
  </si>
  <si>
    <t xml:space="preserve">   в т.ч. питьевая холодная вода</t>
  </si>
  <si>
    <r>
      <t>тыс.м</t>
    </r>
    <r>
      <rPr>
        <vertAlign val="superscript"/>
        <sz val="14"/>
        <rFont val="Times New Roman"/>
        <family val="1"/>
        <charset val="204"/>
      </rPr>
      <t>4</t>
    </r>
    <r>
      <rPr>
        <sz val="10"/>
        <rFont val="Arial Cyr"/>
        <charset val="204"/>
      </rPr>
      <t/>
    </r>
  </si>
  <si>
    <t xml:space="preserve">   в т.ч. техническая вода </t>
  </si>
  <si>
    <r>
      <t>тыс.м</t>
    </r>
    <r>
      <rPr>
        <vertAlign val="superscript"/>
        <sz val="14"/>
        <rFont val="Times New Roman"/>
        <family val="1"/>
        <charset val="204"/>
      </rPr>
      <t>5</t>
    </r>
    <r>
      <rPr>
        <sz val="10"/>
        <rFont val="Arial Cyr"/>
        <charset val="204"/>
      </rPr>
      <t/>
    </r>
  </si>
  <si>
    <t xml:space="preserve">   в т.ч. водозабор из открытых водоемов</t>
  </si>
  <si>
    <r>
      <t>тыс.м</t>
    </r>
    <r>
      <rPr>
        <vertAlign val="superscript"/>
        <sz val="14"/>
        <rFont val="Times New Roman"/>
        <family val="1"/>
        <charset val="204"/>
      </rPr>
      <t>6</t>
    </r>
    <r>
      <rPr>
        <sz val="10"/>
        <rFont val="Arial Cyr"/>
        <charset val="204"/>
      </rPr>
      <t/>
    </r>
  </si>
  <si>
    <t>15.1</t>
  </si>
  <si>
    <t>собственные нужды ООО "Энергосервис"</t>
  </si>
  <si>
    <r>
      <t>тыс.м</t>
    </r>
    <r>
      <rPr>
        <vertAlign val="superscript"/>
        <sz val="14"/>
        <rFont val="Times New Roman"/>
        <family val="1"/>
        <charset val="204"/>
      </rPr>
      <t>7</t>
    </r>
    <r>
      <rPr>
        <sz val="10"/>
        <rFont val="Arial Cyr"/>
        <charset val="204"/>
      </rPr>
      <t/>
    </r>
  </si>
  <si>
    <t>15.2</t>
  </si>
  <si>
    <t>на горячее водоснабжение потребителей</t>
  </si>
  <si>
    <r>
      <t>тыс.м</t>
    </r>
    <r>
      <rPr>
        <vertAlign val="superscript"/>
        <sz val="14"/>
        <rFont val="Times New Roman"/>
        <family val="1"/>
        <charset val="204"/>
      </rPr>
      <t>8</t>
    </r>
    <r>
      <rPr>
        <sz val="10"/>
        <rFont val="Arial Cyr"/>
        <charset val="204"/>
      </rPr>
      <t/>
    </r>
  </si>
  <si>
    <r>
      <t>тыс.м</t>
    </r>
    <r>
      <rPr>
        <vertAlign val="superscript"/>
        <sz val="14"/>
        <rFont val="Times New Roman"/>
        <family val="1"/>
        <charset val="204"/>
      </rPr>
      <t>9</t>
    </r>
    <r>
      <rPr>
        <sz val="10"/>
        <rFont val="Arial Cyr"/>
        <charset val="204"/>
      </rPr>
      <t/>
    </r>
  </si>
  <si>
    <r>
      <t>тыс.м</t>
    </r>
    <r>
      <rPr>
        <vertAlign val="superscript"/>
        <sz val="14"/>
        <rFont val="Times New Roman"/>
        <family val="1"/>
        <charset val="204"/>
      </rPr>
      <t>10</t>
    </r>
    <r>
      <rPr>
        <sz val="10"/>
        <rFont val="Arial Cyr"/>
        <charset val="204"/>
      </rPr>
      <t/>
    </r>
  </si>
  <si>
    <t xml:space="preserve">     в т.ч. производственные и хозяйственные нужды ООО "Энергосервис"</t>
  </si>
  <si>
    <r>
      <t>тыс.м</t>
    </r>
    <r>
      <rPr>
        <vertAlign val="superscript"/>
        <sz val="14"/>
        <rFont val="Times New Roman"/>
        <family val="1"/>
        <charset val="204"/>
      </rPr>
      <t>11</t>
    </r>
    <r>
      <rPr>
        <sz val="10"/>
        <rFont val="Arial Cyr"/>
        <charset val="204"/>
      </rPr>
      <t/>
    </r>
  </si>
  <si>
    <t xml:space="preserve">        ГВС</t>
  </si>
  <si>
    <r>
      <t>тыс.м</t>
    </r>
    <r>
      <rPr>
        <vertAlign val="superscript"/>
        <sz val="14"/>
        <rFont val="Times New Roman"/>
        <family val="1"/>
        <charset val="204"/>
      </rPr>
      <t>12</t>
    </r>
    <r>
      <rPr>
        <sz val="10"/>
        <rFont val="Arial Cyr"/>
        <charset val="204"/>
      </rPr>
      <t/>
    </r>
  </si>
  <si>
    <t xml:space="preserve">        в т.ч. открытая система теплоснабжения</t>
  </si>
  <si>
    <r>
      <t>тыс.м</t>
    </r>
    <r>
      <rPr>
        <vertAlign val="superscript"/>
        <sz val="14"/>
        <rFont val="Times New Roman"/>
        <family val="1"/>
        <charset val="204"/>
      </rPr>
      <t>13</t>
    </r>
    <r>
      <rPr>
        <sz val="10"/>
        <rFont val="Arial Cyr"/>
        <charset val="204"/>
      </rPr>
      <t/>
    </r>
  </si>
  <si>
    <t xml:space="preserve">   на собственные нужды </t>
  </si>
  <si>
    <t xml:space="preserve">   на потери в сетях</t>
  </si>
  <si>
    <t>Водоотведение ОАО "Славянка"</t>
  </si>
  <si>
    <t>Удельный расход воды на отпуск тепловой энергии 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</si>
  <si>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</si>
  <si>
    <t>Удельный расход воды и теплоносителя на полезный отпуск тепловой энергии, всего</t>
  </si>
  <si>
    <r>
      <t>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/Гкал</t>
    </r>
  </si>
  <si>
    <t xml:space="preserve">   на потери в тепловых сетях </t>
  </si>
  <si>
    <t>данные Межрегионгаза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</si>
</sst>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00"/>
    <numFmt numFmtId="165" formatCode="d/m;@"/>
    <numFmt numFmtId="166" formatCode="#,##0.000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4" fontId="2" fillId="0" borderId="0" xfId="0" applyNumberFormat="1" applyFont="1" applyFill="1"/>
    <xf numFmtId="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3" fillId="0" borderId="29" xfId="0" applyNumberFormat="1" applyFont="1" applyFill="1" applyBorder="1"/>
    <xf numFmtId="4" fontId="12" fillId="0" borderId="4" xfId="0" applyNumberFormat="1" applyFont="1" applyFill="1" applyBorder="1"/>
    <xf numFmtId="4" fontId="12" fillId="0" borderId="5" xfId="0" applyNumberFormat="1" applyFont="1" applyFill="1" applyBorder="1"/>
    <xf numFmtId="0" fontId="15" fillId="0" borderId="4" xfId="0" applyFont="1" applyFill="1" applyBorder="1"/>
    <xf numFmtId="4" fontId="15" fillId="0" borderId="29" xfId="0" applyNumberFormat="1" applyFont="1" applyFill="1" applyBorder="1"/>
    <xf numFmtId="4" fontId="15" fillId="0" borderId="4" xfId="0" applyNumberFormat="1" applyFont="1" applyFill="1" applyBorder="1"/>
    <xf numFmtId="0" fontId="15" fillId="0" borderId="5" xfId="0" applyFont="1" applyFill="1" applyBorder="1"/>
    <xf numFmtId="2" fontId="15" fillId="0" borderId="5" xfId="0" applyNumberFormat="1" applyFont="1" applyFill="1" applyBorder="1"/>
    <xf numFmtId="0" fontId="11" fillId="0" borderId="4" xfId="0" applyFont="1" applyFill="1" applyBorder="1"/>
    <xf numFmtId="4" fontId="11" fillId="0" borderId="5" xfId="0" applyNumberFormat="1" applyFont="1" applyFill="1" applyBorder="1"/>
    <xf numFmtId="4" fontId="11" fillId="0" borderId="4" xfId="0" applyNumberFormat="1" applyFont="1" applyFill="1" applyBorder="1"/>
    <xf numFmtId="4" fontId="11" fillId="0" borderId="29" xfId="0" applyNumberFormat="1" applyFont="1" applyFill="1" applyBorder="1"/>
    <xf numFmtId="4" fontId="11" fillId="0" borderId="4" xfId="0" applyNumberFormat="1" applyFont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/>
    <xf numFmtId="4" fontId="11" fillId="0" borderId="4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 vertical="center"/>
    </xf>
    <xf numFmtId="164" fontId="11" fillId="0" borderId="29" xfId="0" applyNumberFormat="1" applyFont="1" applyFill="1" applyBorder="1" applyAlignment="1">
      <alignment horizontal="right" vertical="center"/>
    </xf>
    <xf numFmtId="164" fontId="11" fillId="0" borderId="6" xfId="0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4" fontId="11" fillId="0" borderId="30" xfId="0" applyNumberFormat="1" applyFont="1" applyFill="1" applyBorder="1" applyAlignment="1">
      <alignment horizontal="right" vertical="center"/>
    </xf>
    <xf numFmtId="164" fontId="11" fillId="0" borderId="31" xfId="0" applyNumberFormat="1" applyFont="1" applyFill="1" applyBorder="1" applyAlignment="1">
      <alignment horizontal="right" vertical="center"/>
    </xf>
    <xf numFmtId="164" fontId="11" fillId="0" borderId="32" xfId="0" applyNumberFormat="1" applyFont="1" applyFill="1" applyBorder="1" applyAlignment="1">
      <alignment horizontal="right"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vertical="center" wrapText="1"/>
    </xf>
    <xf numFmtId="4" fontId="15" fillId="0" borderId="15" xfId="0" applyNumberFormat="1" applyFont="1" applyFill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4" fontId="15" fillId="0" borderId="34" xfId="0" applyNumberFormat="1" applyFont="1" applyFill="1" applyBorder="1"/>
    <xf numFmtId="4" fontId="12" fillId="0" borderId="15" xfId="0" applyNumberFormat="1" applyFont="1" applyFill="1" applyBorder="1"/>
    <xf numFmtId="4" fontId="12" fillId="0" borderId="35" xfId="0" applyNumberFormat="1" applyFont="1" applyFill="1" applyBorder="1"/>
    <xf numFmtId="0" fontId="15" fillId="0" borderId="15" xfId="0" applyFont="1" applyFill="1" applyBorder="1"/>
    <xf numFmtId="4" fontId="15" fillId="0" borderId="15" xfId="0" applyNumberFormat="1" applyFont="1" applyFill="1" applyBorder="1"/>
    <xf numFmtId="0" fontId="15" fillId="0" borderId="35" xfId="0" applyFont="1" applyFill="1" applyBorder="1"/>
    <xf numFmtId="2" fontId="15" fillId="0" borderId="35" xfId="0" applyNumberFormat="1" applyFont="1" applyFill="1" applyBorder="1"/>
    <xf numFmtId="0" fontId="11" fillId="0" borderId="15" xfId="0" applyFont="1" applyFill="1" applyBorder="1"/>
    <xf numFmtId="4" fontId="11" fillId="0" borderId="35" xfId="0" applyNumberFormat="1" applyFont="1" applyFill="1" applyBorder="1"/>
    <xf numFmtId="4" fontId="11" fillId="0" borderId="15" xfId="0" applyNumberFormat="1" applyFont="1" applyFill="1" applyBorder="1"/>
    <xf numFmtId="164" fontId="11" fillId="0" borderId="15" xfId="0" applyNumberFormat="1" applyFont="1" applyFill="1" applyBorder="1"/>
    <xf numFmtId="164" fontId="11" fillId="0" borderId="35" xfId="0" applyNumberFormat="1" applyFont="1" applyFill="1" applyBorder="1"/>
    <xf numFmtId="164" fontId="11" fillId="0" borderId="34" xfId="0" applyNumberFormat="1" applyFont="1" applyFill="1" applyBorder="1"/>
    <xf numFmtId="164" fontId="11" fillId="0" borderId="15" xfId="0" applyNumberFormat="1" applyFont="1" applyBorder="1" applyAlignment="1">
      <alignment horizontal="right" vertical="center" wrapText="1"/>
    </xf>
    <xf numFmtId="4" fontId="11" fillId="0" borderId="33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33" xfId="0" applyNumberFormat="1" applyFont="1" applyBorder="1" applyAlignment="1">
      <alignment horizontal="right" vertical="center" wrapText="1"/>
    </xf>
    <xf numFmtId="164" fontId="11" fillId="0" borderId="15" xfId="0" applyNumberFormat="1" applyFont="1" applyFill="1" applyBorder="1" applyAlignment="1">
      <alignment horizontal="right" vertical="center"/>
    </xf>
    <xf numFmtId="4" fontId="11" fillId="2" borderId="35" xfId="0" applyNumberFormat="1" applyFont="1" applyFill="1" applyBorder="1" applyAlignment="1">
      <alignment horizontal="right" vertical="center"/>
    </xf>
    <xf numFmtId="164" fontId="11" fillId="0" borderId="35" xfId="0" applyNumberFormat="1" applyFont="1" applyFill="1" applyBorder="1" applyAlignment="1">
      <alignment horizontal="right" vertical="center"/>
    </xf>
    <xf numFmtId="164" fontId="11" fillId="0" borderId="33" xfId="0" applyNumberFormat="1" applyFont="1" applyFill="1" applyBorder="1" applyAlignment="1">
      <alignment horizontal="right" vertical="center"/>
    </xf>
    <xf numFmtId="164" fontId="11" fillId="0" borderId="34" xfId="0" applyNumberFormat="1" applyFont="1" applyFill="1" applyBorder="1" applyAlignment="1">
      <alignment horizontal="right" vertical="center"/>
    </xf>
    <xf numFmtId="164" fontId="11" fillId="0" borderId="36" xfId="0" applyNumberFormat="1" applyFont="1" applyFill="1" applyBorder="1" applyAlignment="1">
      <alignment horizontal="right" vertical="center"/>
    </xf>
    <xf numFmtId="164" fontId="11" fillId="0" borderId="16" xfId="0" applyNumberFormat="1" applyFont="1" applyFill="1" applyBorder="1" applyAlignment="1">
      <alignment horizontal="right" vertical="center"/>
    </xf>
    <xf numFmtId="164" fontId="11" fillId="0" borderId="17" xfId="0" applyNumberFormat="1" applyFont="1" applyFill="1" applyBorder="1" applyAlignment="1">
      <alignment horizontal="right" vertical="center"/>
    </xf>
    <xf numFmtId="0" fontId="16" fillId="0" borderId="0" xfId="0" applyFont="1" applyFill="1"/>
    <xf numFmtId="49" fontId="11" fillId="0" borderId="15" xfId="0" applyNumberFormat="1" applyFont="1" applyFill="1" applyBorder="1" applyAlignment="1">
      <alignment horizontal="center" vertical="center" wrapText="1"/>
    </xf>
    <xf numFmtId="4" fontId="13" fillId="0" borderId="33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4" fontId="14" fillId="0" borderId="32" xfId="0" applyNumberFormat="1" applyFont="1" applyFill="1" applyBorder="1" applyAlignment="1">
      <alignment horizontal="right" vertical="center" wrapText="1"/>
    </xf>
    <xf numFmtId="4" fontId="13" fillId="0" borderId="36" xfId="0" applyNumberFormat="1" applyFont="1" applyFill="1" applyBorder="1"/>
    <xf numFmtId="4" fontId="12" fillId="0" borderId="32" xfId="0" applyNumberFormat="1" applyFont="1" applyFill="1" applyBorder="1"/>
    <xf numFmtId="4" fontId="12" fillId="0" borderId="37" xfId="0" applyNumberFormat="1" applyFont="1" applyFill="1" applyBorder="1"/>
    <xf numFmtId="164" fontId="11" fillId="0" borderId="33" xfId="0" applyNumberFormat="1" applyFont="1" applyBorder="1" applyAlignment="1">
      <alignment horizontal="right" vertical="center" wrapText="1"/>
    </xf>
    <xf numFmtId="4" fontId="13" fillId="0" borderId="15" xfId="0" applyNumberFormat="1" applyFont="1" applyFill="1" applyBorder="1" applyAlignment="1">
      <alignment vertical="center" wrapText="1"/>
    </xf>
    <xf numFmtId="4" fontId="15" fillId="0" borderId="32" xfId="0" applyNumberFormat="1" applyFont="1" applyFill="1" applyBorder="1" applyAlignment="1">
      <alignment vertical="center" wrapText="1"/>
    </xf>
    <xf numFmtId="4" fontId="15" fillId="0" borderId="37" xfId="0" applyNumberFormat="1" applyFont="1" applyFill="1" applyBorder="1" applyAlignment="1">
      <alignment vertical="center" wrapText="1"/>
    </xf>
    <xf numFmtId="4" fontId="15" fillId="0" borderId="35" xfId="0" applyNumberFormat="1" applyFont="1" applyFill="1" applyBorder="1" applyAlignment="1">
      <alignment vertical="center" wrapText="1"/>
    </xf>
    <xf numFmtId="4" fontId="11" fillId="0" borderId="15" xfId="0" applyNumberFormat="1" applyFont="1" applyFill="1" applyBorder="1" applyAlignment="1">
      <alignment vertical="center" wrapText="1"/>
    </xf>
    <xf numFmtId="4" fontId="11" fillId="0" borderId="35" xfId="0" applyNumberFormat="1" applyFont="1" applyFill="1" applyBorder="1" applyAlignment="1">
      <alignment vertical="center" wrapText="1"/>
    </xf>
    <xf numFmtId="4" fontId="11" fillId="0" borderId="34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33" xfId="0" applyNumberFormat="1" applyFont="1" applyFill="1" applyBorder="1" applyAlignment="1">
      <alignment vertical="center" wrapText="1"/>
    </xf>
    <xf numFmtId="4" fontId="11" fillId="0" borderId="33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4" fontId="11" fillId="0" borderId="35" xfId="0" applyNumberFormat="1" applyFont="1" applyFill="1" applyBorder="1" applyAlignment="1">
      <alignment horizontal="right" vertical="center" wrapText="1"/>
    </xf>
    <xf numFmtId="4" fontId="11" fillId="0" borderId="32" xfId="0" applyNumberFormat="1" applyFont="1" applyFill="1" applyBorder="1" applyAlignment="1">
      <alignment horizontal="right" vertical="center"/>
    </xf>
    <xf numFmtId="4" fontId="11" fillId="0" borderId="35" xfId="0" applyNumberFormat="1" applyFont="1" applyFill="1" applyBorder="1" applyAlignment="1">
      <alignment horizontal="right" vertical="center"/>
    </xf>
    <xf numFmtId="4" fontId="11" fillId="0" borderId="34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4" fillId="0" borderId="15" xfId="0" applyNumberFormat="1" applyFont="1" applyFill="1" applyBorder="1" applyAlignment="1">
      <alignment horizontal="right" vertical="center" wrapText="1"/>
    </xf>
    <xf numFmtId="4" fontId="13" fillId="0" borderId="34" xfId="0" applyNumberFormat="1" applyFont="1" applyFill="1" applyBorder="1"/>
    <xf numFmtId="4" fontId="15" fillId="0" borderId="35" xfId="0" applyNumberFormat="1" applyFont="1" applyFill="1" applyBorder="1"/>
    <xf numFmtId="4" fontId="11" fillId="0" borderId="34" xfId="0" applyNumberFormat="1" applyFont="1" applyFill="1" applyBorder="1"/>
    <xf numFmtId="4" fontId="11" fillId="0" borderId="33" xfId="0" applyNumberFormat="1" applyFont="1" applyFill="1" applyBorder="1"/>
    <xf numFmtId="4" fontId="11" fillId="0" borderId="34" xfId="0" applyNumberFormat="1" applyFont="1" applyFill="1" applyBorder="1" applyAlignment="1">
      <alignment horizontal="right" vertical="center"/>
    </xf>
    <xf numFmtId="4" fontId="11" fillId="0" borderId="16" xfId="0" applyNumberFormat="1" applyFont="1" applyFill="1" applyBorder="1" applyAlignment="1">
      <alignment horizontal="right" vertical="center"/>
    </xf>
    <xf numFmtId="4" fontId="11" fillId="0" borderId="17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7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" fontId="13" fillId="0" borderId="35" xfId="0" applyNumberFormat="1" applyFont="1" applyFill="1" applyBorder="1" applyAlignment="1">
      <alignment vertical="center" wrapText="1"/>
    </xf>
    <xf numFmtId="4" fontId="15" fillId="0" borderId="34" xfId="0" applyNumberFormat="1" applyFont="1" applyFill="1" applyBorder="1" applyAlignment="1">
      <alignment vertical="center" wrapText="1"/>
    </xf>
    <xf numFmtId="4" fontId="13" fillId="0" borderId="37" xfId="0" applyNumberFormat="1" applyFont="1" applyFill="1" applyBorder="1" applyAlignment="1">
      <alignment vertical="center" wrapText="1"/>
    </xf>
    <xf numFmtId="4" fontId="15" fillId="0" borderId="38" xfId="0" applyNumberFormat="1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horizontal="right" vertical="center" wrapText="1"/>
    </xf>
    <xf numFmtId="4" fontId="15" fillId="0" borderId="36" xfId="0" applyNumberFormat="1" applyFont="1" applyFill="1" applyBorder="1"/>
    <xf numFmtId="4" fontId="11" fillId="0" borderId="16" xfId="0" applyNumberFormat="1" applyFont="1" applyFill="1" applyBorder="1"/>
    <xf numFmtId="4" fontId="11" fillId="0" borderId="17" xfId="0" applyNumberFormat="1" applyFont="1" applyFill="1" applyBorder="1"/>
    <xf numFmtId="165" fontId="11" fillId="0" borderId="15" xfId="0" applyNumberFormat="1" applyFont="1" applyBorder="1" applyAlignment="1">
      <alignment horizontal="center" wrapText="1"/>
    </xf>
    <xf numFmtId="4" fontId="11" fillId="2" borderId="35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vertical="center" wrapText="1"/>
    </xf>
    <xf numFmtId="4" fontId="11" fillId="0" borderId="17" xfId="0" applyNumberFormat="1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4" fontId="15" fillId="0" borderId="36" xfId="0" applyNumberFormat="1" applyFont="1" applyFill="1" applyBorder="1" applyAlignment="1">
      <alignment vertical="center" wrapText="1"/>
    </xf>
    <xf numFmtId="2" fontId="11" fillId="0" borderId="15" xfId="0" applyNumberFormat="1" applyFont="1" applyFill="1" applyBorder="1"/>
    <xf numFmtId="4" fontId="13" fillId="0" borderId="33" xfId="0" applyNumberFormat="1" applyFont="1" applyFill="1" applyBorder="1" applyAlignment="1">
      <alignment horizontal="right" vertical="center" wrapText="1"/>
    </xf>
    <xf numFmtId="4" fontId="15" fillId="0" borderId="33" xfId="0" applyNumberFormat="1" applyFont="1" applyFill="1" applyBorder="1" applyAlignment="1">
      <alignment horizontal="right" vertical="center" wrapText="1"/>
    </xf>
    <xf numFmtId="4" fontId="15" fillId="0" borderId="15" xfId="0" applyNumberFormat="1" applyFont="1" applyFill="1" applyBorder="1" applyAlignment="1">
      <alignment horizontal="right" vertical="center" wrapText="1"/>
    </xf>
    <xf numFmtId="4" fontId="13" fillId="0" borderId="34" xfId="0" applyNumberFormat="1" applyFont="1" applyFill="1" applyBorder="1" applyAlignment="1">
      <alignment horizontal="right" vertical="center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35" xfId="0" applyNumberFormat="1" applyFont="1" applyFill="1" applyBorder="1" applyAlignment="1">
      <alignment horizontal="right" vertical="center"/>
    </xf>
    <xf numFmtId="4" fontId="15" fillId="0" borderId="39" xfId="0" applyNumberFormat="1" applyFont="1" applyFill="1" applyBorder="1" applyAlignment="1">
      <alignment horizontal="right" vertical="center" wrapText="1"/>
    </xf>
    <xf numFmtId="4" fontId="15" fillId="0" borderId="40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5" fillId="0" borderId="40" xfId="0" applyNumberFormat="1" applyFont="1" applyFill="1" applyBorder="1" applyAlignment="1">
      <alignment horizontal="right" vertical="center"/>
    </xf>
    <xf numFmtId="4" fontId="12" fillId="0" borderId="40" xfId="0" applyNumberFormat="1" applyFont="1" applyFill="1" applyBorder="1" applyAlignment="1">
      <alignment horizontal="right" vertical="center"/>
    </xf>
    <xf numFmtId="4" fontId="15" fillId="0" borderId="40" xfId="0" applyNumberFormat="1" applyFont="1" applyFill="1" applyBorder="1"/>
    <xf numFmtId="4" fontId="11" fillId="0" borderId="40" xfId="0" applyNumberFormat="1" applyFont="1" applyFill="1" applyBorder="1"/>
    <xf numFmtId="4" fontId="11" fillId="0" borderId="40" xfId="0" applyNumberFormat="1" applyFont="1" applyBorder="1" applyAlignment="1">
      <alignment horizontal="right" vertical="center" wrapText="1"/>
    </xf>
    <xf numFmtId="4" fontId="11" fillId="0" borderId="40" xfId="0" applyNumberFormat="1" applyFont="1" applyFill="1" applyBorder="1" applyAlignment="1">
      <alignment horizontal="right" vertical="center"/>
    </xf>
    <xf numFmtId="4" fontId="11" fillId="2" borderId="40" xfId="0" applyNumberFormat="1" applyFont="1" applyFill="1" applyBorder="1" applyAlignment="1">
      <alignment horizontal="right" vertical="center"/>
    </xf>
    <xf numFmtId="4" fontId="11" fillId="0" borderId="39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 vertical="center" wrapText="1"/>
    </xf>
    <xf numFmtId="4" fontId="13" fillId="0" borderId="39" xfId="0" applyNumberFormat="1" applyFont="1" applyFill="1" applyBorder="1" applyAlignment="1">
      <alignment horizontal="right" vertical="center" wrapText="1"/>
    </xf>
    <xf numFmtId="4" fontId="14" fillId="0" borderId="40" xfId="0" applyNumberFormat="1" applyFont="1" applyFill="1" applyBorder="1" applyAlignment="1">
      <alignment horizontal="right" vertical="center" wrapText="1"/>
    </xf>
    <xf numFmtId="4" fontId="13" fillId="0" borderId="40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4" fontId="13" fillId="0" borderId="22" xfId="0" applyNumberFormat="1" applyFont="1" applyFill="1" applyBorder="1" applyAlignment="1">
      <alignment horizontal="right" vertical="center" wrapText="1"/>
    </xf>
    <xf numFmtId="4" fontId="15" fillId="0" borderId="22" xfId="0" applyNumberFormat="1" applyFont="1" applyFill="1" applyBorder="1" applyAlignment="1">
      <alignment horizontal="right" vertical="center" wrapText="1"/>
    </xf>
    <xf numFmtId="4" fontId="14" fillId="0" borderId="22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Fill="1" applyBorder="1" applyAlignment="1">
      <alignment horizontal="right" vertical="center"/>
    </xf>
    <xf numFmtId="4" fontId="12" fillId="0" borderId="22" xfId="0" applyNumberFormat="1" applyFont="1" applyFill="1" applyBorder="1" applyAlignment="1">
      <alignment horizontal="right" vertical="center"/>
    </xf>
    <xf numFmtId="4" fontId="15" fillId="0" borderId="22" xfId="0" applyNumberFormat="1" applyFont="1" applyFill="1" applyBorder="1"/>
    <xf numFmtId="4" fontId="11" fillId="0" borderId="22" xfId="0" applyNumberFormat="1" applyFont="1" applyFill="1" applyBorder="1"/>
    <xf numFmtId="4" fontId="11" fillId="0" borderId="22" xfId="0" applyNumberFormat="1" applyFont="1" applyBorder="1" applyAlignment="1">
      <alignment horizontal="right" vertical="center" wrapText="1"/>
    </xf>
    <xf numFmtId="4" fontId="11" fillId="0" borderId="22" xfId="0" applyNumberFormat="1" applyFont="1" applyFill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right" vertical="center"/>
    </xf>
    <xf numFmtId="164" fontId="11" fillId="0" borderId="13" xfId="0" applyNumberFormat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4" fontId="11" fillId="0" borderId="41" xfId="0" applyNumberFormat="1" applyFont="1" applyFill="1" applyBorder="1" applyAlignment="1">
      <alignment horizontal="right" vertical="center"/>
    </xf>
    <xf numFmtId="4" fontId="11" fillId="0" borderId="42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right" vertical="center"/>
    </xf>
    <xf numFmtId="4" fontId="11" fillId="0" borderId="19" xfId="0" applyNumberFormat="1" applyFont="1" applyFill="1" applyBorder="1" applyAlignment="1">
      <alignment horizontal="right" vertical="center"/>
    </xf>
    <xf numFmtId="0" fontId="11" fillId="0" borderId="23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vertical="center" wrapText="1"/>
    </xf>
    <xf numFmtId="4" fontId="13" fillId="0" borderId="25" xfId="0" applyNumberFormat="1" applyFont="1" applyFill="1" applyBorder="1" applyAlignment="1">
      <alignment vertical="center" wrapText="1"/>
    </xf>
    <xf numFmtId="4" fontId="15" fillId="0" borderId="23" xfId="0" applyNumberFormat="1" applyFont="1" applyFill="1" applyBorder="1" applyAlignment="1">
      <alignment vertical="center" wrapText="1"/>
    </xf>
    <xf numFmtId="4" fontId="13" fillId="0" borderId="24" xfId="0" applyNumberFormat="1" applyFont="1" applyFill="1" applyBorder="1" applyAlignment="1">
      <alignment vertical="center"/>
    </xf>
    <xf numFmtId="4" fontId="12" fillId="0" borderId="23" xfId="0" applyNumberFormat="1" applyFont="1" applyFill="1" applyBorder="1" applyAlignment="1">
      <alignment vertical="center"/>
    </xf>
    <xf numFmtId="4" fontId="12" fillId="0" borderId="24" xfId="0" applyNumberFormat="1" applyFont="1" applyFill="1" applyBorder="1"/>
    <xf numFmtId="0" fontId="15" fillId="0" borderId="23" xfId="0" applyFont="1" applyFill="1" applyBorder="1"/>
    <xf numFmtId="4" fontId="15" fillId="0" borderId="23" xfId="0" applyNumberFormat="1" applyFont="1" applyFill="1" applyBorder="1"/>
    <xf numFmtId="0" fontId="15" fillId="0" borderId="24" xfId="0" applyFont="1" applyFill="1" applyBorder="1"/>
    <xf numFmtId="0" fontId="11" fillId="0" borderId="23" xfId="0" applyFont="1" applyFill="1" applyBorder="1" applyAlignment="1">
      <alignment vertical="center"/>
    </xf>
    <xf numFmtId="4" fontId="11" fillId="0" borderId="24" xfId="0" applyNumberFormat="1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vertical="center"/>
    </xf>
    <xf numFmtId="4" fontId="11" fillId="0" borderId="24" xfId="0" applyNumberFormat="1" applyFont="1" applyFill="1" applyBorder="1"/>
    <xf numFmtId="4" fontId="11" fillId="0" borderId="23" xfId="0" applyNumberFormat="1" applyFont="1" applyFill="1" applyBorder="1"/>
    <xf numFmtId="4" fontId="11" fillId="0" borderId="28" xfId="0" applyNumberFormat="1" applyFont="1" applyFill="1" applyBorder="1" applyAlignment="1">
      <alignment vertical="center"/>
    </xf>
    <xf numFmtId="4" fontId="11" fillId="0" borderId="23" xfId="0" applyNumberFormat="1" applyFont="1" applyBorder="1" applyAlignment="1">
      <alignment horizontal="right" vertical="center" wrapText="1"/>
    </xf>
    <xf numFmtId="4" fontId="11" fillId="0" borderId="25" xfId="0" applyNumberFormat="1" applyFont="1" applyFill="1" applyBorder="1" applyAlignment="1">
      <alignment horizontal="right" vertical="center"/>
    </xf>
    <xf numFmtId="4" fontId="11" fillId="0" borderId="25" xfId="0" applyNumberFormat="1" applyFont="1" applyFill="1" applyBorder="1" applyAlignment="1">
      <alignment vertical="center"/>
    </xf>
    <xf numFmtId="4" fontId="11" fillId="0" borderId="25" xfId="0" applyNumberFormat="1" applyFont="1" applyBorder="1" applyAlignment="1">
      <alignment horizontal="right" vertical="center" wrapText="1"/>
    </xf>
    <xf numFmtId="4" fontId="11" fillId="0" borderId="23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4" fontId="11" fillId="0" borderId="24" xfId="0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right" vertical="center"/>
    </xf>
    <xf numFmtId="164" fontId="11" fillId="0" borderId="23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" fontId="13" fillId="0" borderId="38" xfId="0" applyNumberFormat="1" applyFont="1" applyFill="1" applyBorder="1" applyAlignment="1">
      <alignment horizontal="right" vertical="center" wrapText="1"/>
    </xf>
    <xf numFmtId="4" fontId="13" fillId="0" borderId="32" xfId="0" applyNumberFormat="1" applyFont="1" applyFill="1" applyBorder="1" applyAlignment="1">
      <alignment horizontal="right" vertical="center" wrapText="1"/>
    </xf>
    <xf numFmtId="4" fontId="13" fillId="0" borderId="37" xfId="0" applyNumberFormat="1" applyFont="1" applyFill="1" applyBorder="1" applyAlignment="1">
      <alignment horizontal="right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1" fillId="0" borderId="32" xfId="0" applyNumberFormat="1" applyFont="1" applyFill="1" applyBorder="1"/>
    <xf numFmtId="4" fontId="11" fillId="0" borderId="37" xfId="0" applyNumberFormat="1" applyFont="1" applyFill="1" applyBorder="1"/>
    <xf numFmtId="4" fontId="11" fillId="0" borderId="36" xfId="0" applyNumberFormat="1" applyFont="1" applyFill="1" applyBorder="1"/>
    <xf numFmtId="4" fontId="11" fillId="0" borderId="32" xfId="0" applyNumberFormat="1" applyFont="1" applyBorder="1" applyAlignment="1">
      <alignment horizontal="right" vertical="center" wrapText="1"/>
    </xf>
    <xf numFmtId="4" fontId="11" fillId="0" borderId="38" xfId="0" applyNumberFormat="1" applyFont="1" applyFill="1" applyBorder="1"/>
    <xf numFmtId="4" fontId="11" fillId="0" borderId="38" xfId="0" applyNumberFormat="1" applyFont="1" applyBorder="1" applyAlignment="1">
      <alignment horizontal="right" vertical="center" wrapText="1"/>
    </xf>
    <xf numFmtId="4" fontId="11" fillId="0" borderId="37" xfId="0" applyNumberFormat="1" applyFont="1" applyFill="1" applyBorder="1" applyAlignment="1">
      <alignment horizontal="right" vertical="center"/>
    </xf>
    <xf numFmtId="4" fontId="11" fillId="0" borderId="38" xfId="0" applyNumberFormat="1" applyFont="1" applyFill="1" applyBorder="1" applyAlignment="1">
      <alignment horizontal="right" vertical="center"/>
    </xf>
    <xf numFmtId="4" fontId="11" fillId="0" borderId="36" xfId="0" applyNumberFormat="1" applyFont="1" applyFill="1" applyBorder="1" applyAlignment="1">
      <alignment horizontal="right" vertical="center"/>
    </xf>
    <xf numFmtId="4" fontId="11" fillId="0" borderId="30" xfId="0" applyNumberFormat="1" applyFont="1" applyFill="1" applyBorder="1" applyAlignment="1">
      <alignment horizontal="right" vertical="center"/>
    </xf>
    <xf numFmtId="4" fontId="11" fillId="0" borderId="31" xfId="0" applyNumberFormat="1" applyFont="1" applyFill="1" applyBorder="1" applyAlignment="1">
      <alignment horizontal="right" vertical="center"/>
    </xf>
    <xf numFmtId="49" fontId="11" fillId="0" borderId="35" xfId="0" applyNumberFormat="1" applyFont="1" applyBorder="1" applyAlignment="1">
      <alignment horizontal="center" wrapText="1"/>
    </xf>
    <xf numFmtId="4" fontId="13" fillId="0" borderId="38" xfId="0" applyNumberFormat="1" applyFont="1" applyFill="1" applyBorder="1" applyAlignment="1">
      <alignment vertical="center" wrapText="1"/>
    </xf>
    <xf numFmtId="4" fontId="13" fillId="0" borderId="35" xfId="0" applyNumberFormat="1" applyFont="1" applyFill="1" applyBorder="1" applyAlignment="1">
      <alignment horizontal="right" vertical="center"/>
    </xf>
    <xf numFmtId="4" fontId="15" fillId="0" borderId="33" xfId="0" applyNumberFormat="1" applyFont="1" applyFill="1" applyBorder="1"/>
    <xf numFmtId="164" fontId="11" fillId="0" borderId="37" xfId="0" applyNumberFormat="1" applyFont="1" applyFill="1" applyBorder="1" applyAlignment="1">
      <alignment horizontal="right" vertical="center"/>
    </xf>
    <xf numFmtId="166" fontId="11" fillId="0" borderId="15" xfId="0" applyNumberFormat="1" applyFont="1" applyFill="1" applyBorder="1" applyAlignment="1">
      <alignment horizontal="right" vertical="center"/>
    </xf>
    <xf numFmtId="4" fontId="12" fillId="0" borderId="33" xfId="0" applyNumberFormat="1" applyFont="1" applyFill="1" applyBorder="1"/>
    <xf numFmtId="4" fontId="12" fillId="0" borderId="34" xfId="0" applyNumberFormat="1" applyFont="1" applyFill="1" applyBorder="1"/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4" fontId="15" fillId="0" borderId="43" xfId="0" applyNumberFormat="1" applyFont="1" applyFill="1" applyBorder="1" applyAlignment="1">
      <alignment vertical="center" wrapText="1"/>
    </xf>
    <xf numFmtId="4" fontId="15" fillId="0" borderId="13" xfId="0" applyNumberFormat="1" applyFont="1" applyFill="1" applyBorder="1" applyAlignment="1">
      <alignment vertical="center" wrapText="1"/>
    </xf>
    <xf numFmtId="4" fontId="15" fillId="0" borderId="11" xfId="0" applyNumberFormat="1" applyFont="1" applyFill="1" applyBorder="1" applyAlignment="1">
      <alignment vertical="center" wrapText="1"/>
    </xf>
    <xf numFmtId="4" fontId="15" fillId="0" borderId="12" xfId="0" applyNumberFormat="1" applyFont="1" applyFill="1" applyBorder="1" applyAlignment="1">
      <alignment vertical="center" wrapText="1"/>
    </xf>
    <xf numFmtId="4" fontId="15" fillId="0" borderId="19" xfId="0" applyNumberFormat="1" applyFont="1" applyFill="1" applyBorder="1" applyAlignment="1">
      <alignment vertical="center" wrapText="1"/>
    </xf>
    <xf numFmtId="4" fontId="15" fillId="0" borderId="44" xfId="0" applyNumberFormat="1" applyFont="1" applyFill="1" applyBorder="1" applyAlignment="1">
      <alignment vertical="center" wrapText="1"/>
    </xf>
    <xf numFmtId="4" fontId="15" fillId="0" borderId="45" xfId="0" applyNumberFormat="1" applyFont="1" applyFill="1" applyBorder="1" applyAlignment="1">
      <alignment vertical="center" wrapText="1"/>
    </xf>
    <xf numFmtId="4" fontId="15" fillId="0" borderId="46" xfId="0" applyNumberFormat="1" applyFont="1" applyFill="1" applyBorder="1" applyAlignment="1">
      <alignment vertical="center" wrapText="1"/>
    </xf>
    <xf numFmtId="4" fontId="11" fillId="0" borderId="19" xfId="0" applyNumberFormat="1" applyFont="1" applyFill="1" applyBorder="1" applyAlignment="1">
      <alignment vertical="center" wrapText="1"/>
    </xf>
    <xf numFmtId="4" fontId="11" fillId="0" borderId="46" xfId="0" applyNumberFormat="1" applyFont="1" applyFill="1" applyBorder="1" applyAlignment="1">
      <alignment vertical="center" wrapText="1"/>
    </xf>
    <xf numFmtId="4" fontId="11" fillId="0" borderId="47" xfId="0" applyNumberFormat="1" applyFont="1" applyFill="1" applyBorder="1"/>
    <xf numFmtId="4" fontId="11" fillId="0" borderId="48" xfId="0" applyNumberFormat="1" applyFont="1" applyFill="1" applyBorder="1"/>
    <xf numFmtId="4" fontId="11" fillId="0" borderId="44" xfId="0" applyNumberFormat="1" applyFont="1" applyFill="1" applyBorder="1" applyAlignment="1">
      <alignment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11" fillId="0" borderId="43" xfId="0" applyNumberFormat="1" applyFont="1" applyFill="1" applyBorder="1" applyAlignment="1">
      <alignment horizontal="right" vertical="center"/>
    </xf>
    <xf numFmtId="4" fontId="11" fillId="0" borderId="45" xfId="0" applyNumberFormat="1" applyFont="1" applyFill="1" applyBorder="1" applyAlignment="1">
      <alignment vertical="center" wrapText="1"/>
    </xf>
    <xf numFmtId="4" fontId="11" fillId="0" borderId="48" xfId="0" applyNumberFormat="1" applyFont="1" applyFill="1" applyBorder="1" applyAlignment="1">
      <alignment horizontal="right" vertical="center"/>
    </xf>
    <xf numFmtId="4" fontId="11" fillId="0" borderId="45" xfId="0" applyNumberFormat="1" applyFont="1" applyFill="1" applyBorder="1" applyAlignment="1">
      <alignment horizontal="right" vertical="center" wrapText="1"/>
    </xf>
    <xf numFmtId="4" fontId="11" fillId="0" borderId="19" xfId="0" applyNumberFormat="1" applyFont="1" applyFill="1" applyBorder="1" applyAlignment="1">
      <alignment horizontal="right" vertical="center" wrapText="1"/>
    </xf>
    <xf numFmtId="4" fontId="11" fillId="2" borderId="47" xfId="0" applyNumberFormat="1" applyFont="1" applyFill="1" applyBorder="1" applyAlignment="1">
      <alignment horizontal="right" vertical="center"/>
    </xf>
    <xf numFmtId="4" fontId="11" fillId="0" borderId="47" xfId="0" applyNumberFormat="1" applyFont="1" applyFill="1" applyBorder="1" applyAlignment="1">
      <alignment horizontal="right" vertical="center" wrapText="1"/>
    </xf>
    <xf numFmtId="4" fontId="11" fillId="0" borderId="48" xfId="0" applyNumberFormat="1" applyFont="1" applyFill="1" applyBorder="1" applyAlignment="1">
      <alignment horizontal="right" vertical="center" wrapText="1"/>
    </xf>
    <xf numFmtId="4" fontId="11" fillId="0" borderId="46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/>
    </xf>
    <xf numFmtId="164" fontId="11" fillId="0" borderId="19" xfId="0" applyNumberFormat="1" applyFont="1" applyFill="1" applyBorder="1" applyAlignment="1">
      <alignment horizontal="right" vertical="center"/>
    </xf>
    <xf numFmtId="4" fontId="11" fillId="0" borderId="44" xfId="0" applyNumberFormat="1" applyFont="1" applyFill="1" applyBorder="1" applyAlignment="1">
      <alignment horizontal="right" vertical="center" wrapText="1"/>
    </xf>
    <xf numFmtId="4" fontId="11" fillId="0" borderId="20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4" fontId="13" fillId="0" borderId="24" xfId="0" applyNumberFormat="1" applyFont="1" applyFill="1" applyBorder="1"/>
    <xf numFmtId="4" fontId="12" fillId="0" borderId="23" xfId="0" applyNumberFormat="1" applyFont="1" applyFill="1" applyBorder="1"/>
    <xf numFmtId="4" fontId="15" fillId="0" borderId="28" xfId="0" applyNumberFormat="1" applyFont="1" applyFill="1" applyBorder="1"/>
    <xf numFmtId="4" fontId="15" fillId="0" borderId="25" xfId="0" applyNumberFormat="1" applyFont="1" applyFill="1" applyBorder="1"/>
    <xf numFmtId="0" fontId="15" fillId="0" borderId="2" xfId="0" applyFont="1" applyFill="1" applyBorder="1"/>
    <xf numFmtId="0" fontId="11" fillId="0" borderId="23" xfId="0" applyFont="1" applyFill="1" applyBorder="1"/>
    <xf numFmtId="4" fontId="11" fillId="0" borderId="12" xfId="0" applyNumberFormat="1" applyFont="1" applyFill="1" applyBorder="1"/>
    <xf numFmtId="4" fontId="11" fillId="0" borderId="11" xfId="0" applyNumberFormat="1" applyFont="1" applyFill="1" applyBorder="1"/>
    <xf numFmtId="4" fontId="11" fillId="0" borderId="28" xfId="0" applyNumberFormat="1" applyFont="1" applyFill="1" applyBorder="1"/>
    <xf numFmtId="4" fontId="11" fillId="0" borderId="3" xfId="0" applyNumberFormat="1" applyFont="1" applyFill="1" applyBorder="1" applyAlignment="1">
      <alignment horizontal="right" vertical="center"/>
    </xf>
    <xf numFmtId="4" fontId="11" fillId="0" borderId="25" xfId="0" applyNumberFormat="1" applyFont="1" applyFill="1" applyBorder="1"/>
    <xf numFmtId="4" fontId="11" fillId="0" borderId="25" xfId="0" applyNumberFormat="1" applyFont="1" applyFill="1" applyBorder="1" applyAlignment="1">
      <alignment horizontal="right" vertical="center" wrapText="1"/>
    </xf>
    <xf numFmtId="4" fontId="11" fillId="0" borderId="23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44" fontId="11" fillId="0" borderId="23" xfId="1" applyFont="1" applyFill="1" applyBorder="1" applyAlignment="1">
      <alignment horizontal="right" vertical="center"/>
    </xf>
    <xf numFmtId="0" fontId="11" fillId="0" borderId="32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right" vertical="center"/>
    </xf>
    <xf numFmtId="4" fontId="12" fillId="0" borderId="32" xfId="0" applyNumberFormat="1" applyFont="1" applyFill="1" applyBorder="1" applyAlignment="1">
      <alignment horizontal="right" vertical="center"/>
    </xf>
    <xf numFmtId="4" fontId="12" fillId="0" borderId="37" xfId="0" applyNumberFormat="1" applyFont="1" applyFill="1" applyBorder="1" applyAlignment="1">
      <alignment horizontal="right" vertical="center"/>
    </xf>
    <xf numFmtId="4" fontId="15" fillId="0" borderId="32" xfId="0" applyNumberFormat="1" applyFont="1" applyFill="1" applyBorder="1" applyAlignment="1">
      <alignment horizontal="right" vertical="center"/>
    </xf>
    <xf numFmtId="4" fontId="15" fillId="0" borderId="36" xfId="0" applyNumberFormat="1" applyFont="1" applyFill="1" applyBorder="1" applyAlignment="1">
      <alignment horizontal="right" vertical="center"/>
    </xf>
    <xf numFmtId="4" fontId="15" fillId="0" borderId="38" xfId="0" applyNumberFormat="1" applyFont="1" applyFill="1" applyBorder="1" applyAlignment="1">
      <alignment horizontal="right" vertical="center"/>
    </xf>
    <xf numFmtId="4" fontId="15" fillId="0" borderId="37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1" fillId="0" borderId="32" xfId="0" applyNumberFormat="1" applyFont="1" applyFill="1" applyBorder="1" applyAlignment="1">
      <alignment horizontal="right" vertical="center" wrapText="1"/>
    </xf>
    <xf numFmtId="4" fontId="11" fillId="0" borderId="38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Fill="1" applyBorder="1" applyAlignment="1">
      <alignment vertical="center" wrapText="1"/>
    </xf>
    <xf numFmtId="4" fontId="15" fillId="0" borderId="14" xfId="0" applyNumberFormat="1" applyFont="1" applyFill="1" applyBorder="1" applyAlignment="1">
      <alignment vertical="center" wrapText="1"/>
    </xf>
    <xf numFmtId="4" fontId="11" fillId="0" borderId="46" xfId="0" applyNumberFormat="1" applyFont="1" applyFill="1" applyBorder="1" applyAlignment="1">
      <alignment horizontal="right" vertical="center"/>
    </xf>
    <xf numFmtId="4" fontId="11" fillId="0" borderId="48" xfId="0" applyNumberFormat="1" applyFont="1" applyFill="1" applyBorder="1" applyAlignment="1">
      <alignment vertical="center" wrapText="1"/>
    </xf>
    <xf numFmtId="4" fontId="11" fillId="0" borderId="47" xfId="0" applyNumberFormat="1" applyFont="1" applyFill="1" applyBorder="1" applyAlignment="1">
      <alignment horizontal="right" vertical="center"/>
    </xf>
    <xf numFmtId="4" fontId="11" fillId="0" borderId="0" xfId="0" applyNumberFormat="1" applyFont="1" applyFill="1"/>
    <xf numFmtId="0" fontId="11" fillId="0" borderId="0" xfId="0" applyFont="1" applyFill="1"/>
    <xf numFmtId="4" fontId="13" fillId="0" borderId="24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2" fillId="0" borderId="23" xfId="0" applyNumberFormat="1" applyFont="1" applyFill="1" applyBorder="1" applyAlignment="1">
      <alignment horizontal="right" vertical="center"/>
    </xf>
    <xf numFmtId="0" fontId="15" fillId="0" borderId="32" xfId="0" applyFont="1" applyFill="1" applyBorder="1"/>
    <xf numFmtId="4" fontId="15" fillId="0" borderId="38" xfId="0" applyNumberFormat="1" applyFont="1" applyFill="1" applyBorder="1"/>
    <xf numFmtId="0" fontId="15" fillId="0" borderId="37" xfId="0" applyFont="1" applyFill="1" applyBorder="1"/>
    <xf numFmtId="4" fontId="11" fillId="0" borderId="32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36" xfId="0" applyNumberFormat="1" applyFont="1" applyBorder="1" applyAlignment="1">
      <alignment horizontal="right" wrapText="1"/>
    </xf>
    <xf numFmtId="4" fontId="11" fillId="0" borderId="4" xfId="0" applyNumberFormat="1" applyFont="1" applyBorder="1" applyAlignment="1">
      <alignment horizontal="right" wrapText="1"/>
    </xf>
    <xf numFmtId="164" fontId="11" fillId="0" borderId="38" xfId="0" applyNumberFormat="1" applyFont="1" applyFill="1" applyBorder="1" applyAlignment="1">
      <alignment horizontal="right" vertical="center"/>
    </xf>
    <xf numFmtId="49" fontId="11" fillId="0" borderId="32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13" fillId="0" borderId="45" xfId="0" applyNumberFormat="1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4" fontId="13" fillId="0" borderId="14" xfId="0" applyNumberFormat="1" applyFont="1" applyFill="1" applyBorder="1" applyAlignment="1">
      <alignment horizontal="right" vertical="center"/>
    </xf>
    <xf numFmtId="4" fontId="12" fillId="0" borderId="10" xfId="0" applyNumberFormat="1" applyFont="1" applyFill="1" applyBorder="1"/>
    <xf numFmtId="4" fontId="12" fillId="0" borderId="14" xfId="0" applyNumberFormat="1" applyFont="1" applyFill="1" applyBorder="1"/>
    <xf numFmtId="0" fontId="15" fillId="0" borderId="10" xfId="0" applyFont="1" applyFill="1" applyBorder="1"/>
    <xf numFmtId="4" fontId="15" fillId="0" borderId="0" xfId="0" applyNumberFormat="1" applyFont="1" applyFill="1" applyBorder="1"/>
    <xf numFmtId="4" fontId="15" fillId="0" borderId="18" xfId="0" applyNumberFormat="1" applyFont="1" applyFill="1" applyBorder="1"/>
    <xf numFmtId="0" fontId="15" fillId="0" borderId="14" xfId="0" applyFont="1" applyFill="1" applyBorder="1"/>
    <xf numFmtId="4" fontId="11" fillId="0" borderId="10" xfId="0" applyNumberFormat="1" applyFont="1" applyFill="1" applyBorder="1" applyAlignment="1">
      <alignment vertical="center"/>
    </xf>
    <xf numFmtId="4" fontId="11" fillId="0" borderId="46" xfId="0" applyNumberFormat="1" applyFont="1" applyFill="1" applyBorder="1"/>
    <xf numFmtId="4" fontId="11" fillId="0" borderId="10" xfId="0" applyNumberFormat="1" applyFont="1" applyFill="1" applyBorder="1"/>
    <xf numFmtId="4" fontId="11" fillId="0" borderId="15" xfId="0" applyNumberFormat="1" applyFont="1" applyBorder="1" applyAlignment="1">
      <alignment horizontal="right" wrapText="1"/>
    </xf>
    <xf numFmtId="0" fontId="14" fillId="0" borderId="34" xfId="0" applyFont="1" applyBorder="1" applyAlignment="1">
      <alignment vertical="center" wrapText="1"/>
    </xf>
    <xf numFmtId="49" fontId="11" fillId="0" borderId="15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 indent="3"/>
    </xf>
    <xf numFmtId="0" fontId="18" fillId="0" borderId="34" xfId="0" applyFont="1" applyBorder="1" applyAlignment="1">
      <alignment vertical="center" wrapText="1"/>
    </xf>
    <xf numFmtId="4" fontId="11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18" xfId="0" applyNumberFormat="1" applyFont="1" applyFill="1" applyBorder="1"/>
    <xf numFmtId="4" fontId="11" fillId="0" borderId="10" xfId="0" applyNumberFormat="1" applyFont="1" applyBorder="1" applyAlignment="1">
      <alignment horizontal="right" wrapText="1"/>
    </xf>
    <xf numFmtId="4" fontId="15" fillId="0" borderId="48" xfId="0" applyNumberFormat="1" applyFont="1" applyFill="1" applyBorder="1" applyAlignment="1">
      <alignment vertical="center" wrapText="1"/>
    </xf>
    <xf numFmtId="4" fontId="15" fillId="0" borderId="49" xfId="0" applyNumberFormat="1" applyFont="1" applyFill="1" applyBorder="1" applyAlignment="1">
      <alignment vertical="center" wrapText="1"/>
    </xf>
    <xf numFmtId="4" fontId="15" fillId="0" borderId="47" xfId="0" applyNumberFormat="1" applyFont="1" applyFill="1" applyBorder="1" applyAlignment="1">
      <alignment vertical="center" wrapText="1"/>
    </xf>
    <xf numFmtId="4" fontId="11" fillId="0" borderId="47" xfId="0" applyNumberFormat="1" applyFont="1" applyFill="1" applyBorder="1" applyAlignment="1">
      <alignment vertical="center" wrapText="1"/>
    </xf>
    <xf numFmtId="4" fontId="11" fillId="0" borderId="49" xfId="0" applyNumberFormat="1" applyFont="1" applyFill="1" applyBorder="1" applyAlignment="1">
      <alignment vertical="center" wrapText="1"/>
    </xf>
    <xf numFmtId="4" fontId="11" fillId="0" borderId="48" xfId="0" applyNumberFormat="1" applyFont="1" applyBorder="1" applyAlignment="1">
      <alignment horizontal="right" vertical="center" wrapText="1"/>
    </xf>
    <xf numFmtId="4" fontId="11" fillId="0" borderId="43" xfId="0" applyNumberFormat="1" applyFont="1" applyFill="1" applyBorder="1" applyAlignment="1">
      <alignment vertical="center" wrapText="1"/>
    </xf>
    <xf numFmtId="4" fontId="11" fillId="0" borderId="43" xfId="0" applyNumberFormat="1" applyFont="1" applyFill="1" applyBorder="1" applyAlignment="1">
      <alignment horizontal="right" vertical="center" wrapText="1"/>
    </xf>
    <xf numFmtId="4" fontId="11" fillId="0" borderId="49" xfId="0" applyNumberFormat="1" applyFont="1" applyFill="1" applyBorder="1" applyAlignment="1">
      <alignment horizontal="right" vertical="center" wrapText="1"/>
    </xf>
    <xf numFmtId="164" fontId="11" fillId="0" borderId="48" xfId="0" applyNumberFormat="1" applyFont="1" applyFill="1" applyBorder="1" applyAlignment="1">
      <alignment horizontal="right" vertical="center"/>
    </xf>
    <xf numFmtId="4" fontId="11" fillId="0" borderId="50" xfId="0" applyNumberFormat="1" applyFont="1" applyFill="1" applyBorder="1" applyAlignment="1">
      <alignment horizontal="right" vertical="center" wrapText="1"/>
    </xf>
    <xf numFmtId="4" fontId="11" fillId="0" borderId="51" xfId="0" applyNumberFormat="1" applyFont="1" applyFill="1" applyBorder="1" applyAlignment="1">
      <alignment horizontal="right" vertical="center" wrapText="1"/>
    </xf>
    <xf numFmtId="4" fontId="12" fillId="0" borderId="48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6" fillId="0" borderId="0" xfId="0" applyNumberFormat="1" applyFont="1" applyFill="1"/>
    <xf numFmtId="0" fontId="17" fillId="0" borderId="4" xfId="0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52" xfId="0" applyFont="1" applyFill="1" applyBorder="1"/>
    <xf numFmtId="4" fontId="16" fillId="0" borderId="53" xfId="0" applyNumberFormat="1" applyFont="1" applyFill="1" applyBorder="1" applyAlignment="1"/>
    <xf numFmtId="4" fontId="7" fillId="0" borderId="53" xfId="0" applyNumberFormat="1" applyFont="1" applyFill="1" applyBorder="1" applyAlignment="1"/>
    <xf numFmtId="4" fontId="7" fillId="0" borderId="53" xfId="0" applyNumberFormat="1" applyFont="1" applyFill="1" applyBorder="1" applyAlignment="1">
      <alignment wrapText="1"/>
    </xf>
    <xf numFmtId="0" fontId="16" fillId="0" borderId="53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4" xfId="0" applyFont="1" applyFill="1" applyBorder="1"/>
    <xf numFmtId="0" fontId="17" fillId="0" borderId="56" xfId="0" applyFont="1" applyFill="1" applyBorder="1"/>
    <xf numFmtId="0" fontId="17" fillId="0" borderId="32" xfId="0" applyFont="1" applyFill="1" applyBorder="1"/>
    <xf numFmtId="0" fontId="17" fillId="0" borderId="36" xfId="0" applyFont="1" applyFill="1" applyBorder="1"/>
    <xf numFmtId="4" fontId="17" fillId="0" borderId="32" xfId="0" applyNumberFormat="1" applyFont="1" applyFill="1" applyBorder="1"/>
    <xf numFmtId="2" fontId="17" fillId="0" borderId="37" xfId="0" applyNumberFormat="1" applyFont="1" applyFill="1" applyBorder="1"/>
    <xf numFmtId="2" fontId="17" fillId="0" borderId="32" xfId="0" applyNumberFormat="1" applyFont="1" applyFill="1" applyBorder="1"/>
    <xf numFmtId="2" fontId="17" fillId="0" borderId="36" xfId="0" applyNumberFormat="1" applyFont="1" applyFill="1" applyBorder="1"/>
    <xf numFmtId="0" fontId="2" fillId="0" borderId="39" xfId="0" applyFont="1" applyFill="1" applyBorder="1"/>
    <xf numFmtId="4" fontId="2" fillId="0" borderId="40" xfId="0" applyNumberFormat="1" applyFont="1" applyFill="1" applyBorder="1" applyAlignment="1"/>
    <xf numFmtId="4" fontId="12" fillId="0" borderId="40" xfId="0" applyNumberFormat="1" applyFont="1" applyFill="1" applyBorder="1" applyAlignment="1"/>
    <xf numFmtId="4" fontId="12" fillId="0" borderId="40" xfId="0" applyNumberFormat="1" applyFont="1" applyFill="1" applyBorder="1" applyAlignment="1">
      <alignment wrapText="1"/>
    </xf>
    <xf numFmtId="166" fontId="12" fillId="0" borderId="40" xfId="0" applyNumberFormat="1" applyFont="1" applyFill="1" applyBorder="1" applyAlignment="1">
      <alignment wrapText="1"/>
    </xf>
    <xf numFmtId="0" fontId="2" fillId="0" borderId="40" xfId="0" applyFont="1" applyFill="1" applyBorder="1"/>
    <xf numFmtId="0" fontId="11" fillId="0" borderId="40" xfId="0" applyFont="1" applyFill="1" applyBorder="1"/>
    <xf numFmtId="0" fontId="11" fillId="0" borderId="57" xfId="0" applyFont="1" applyFill="1" applyBorder="1"/>
    <xf numFmtId="0" fontId="11" fillId="0" borderId="39" xfId="0" applyFont="1" applyFill="1" applyBorder="1"/>
    <xf numFmtId="0" fontId="11" fillId="0" borderId="34" xfId="0" applyFont="1" applyFill="1" applyBorder="1"/>
    <xf numFmtId="2" fontId="11" fillId="0" borderId="35" xfId="0" applyNumberFormat="1" applyFont="1" applyFill="1" applyBorder="1"/>
    <xf numFmtId="2" fontId="11" fillId="0" borderId="34" xfId="0" applyNumberFormat="1" applyFont="1" applyFill="1" applyBorder="1"/>
    <xf numFmtId="0" fontId="11" fillId="0" borderId="48" xfId="0" applyFont="1" applyFill="1" applyBorder="1"/>
    <xf numFmtId="0" fontId="11" fillId="0" borderId="48" xfId="0" applyFont="1" applyBorder="1" applyAlignment="1">
      <alignment horizontal="left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2" fillId="0" borderId="58" xfId="0" applyFont="1" applyFill="1" applyBorder="1"/>
    <xf numFmtId="4" fontId="2" fillId="0" borderId="59" xfId="0" applyNumberFormat="1" applyFont="1" applyFill="1" applyBorder="1" applyAlignment="1"/>
    <xf numFmtId="4" fontId="12" fillId="0" borderId="59" xfId="0" applyNumberFormat="1" applyFont="1" applyFill="1" applyBorder="1" applyAlignment="1"/>
    <xf numFmtId="4" fontId="12" fillId="0" borderId="59" xfId="0" applyNumberFormat="1" applyFont="1" applyFill="1" applyBorder="1" applyAlignment="1">
      <alignment wrapText="1"/>
    </xf>
    <xf numFmtId="0" fontId="2" fillId="0" borderId="59" xfId="0" applyFont="1" applyFill="1" applyBorder="1"/>
    <xf numFmtId="0" fontId="11" fillId="0" borderId="59" xfId="0" applyFont="1" applyFill="1" applyBorder="1"/>
    <xf numFmtId="0" fontId="11" fillId="0" borderId="60" xfId="0" applyFont="1" applyFill="1" applyBorder="1"/>
    <xf numFmtId="0" fontId="11" fillId="0" borderId="58" xfId="0" applyFont="1" applyFill="1" applyBorder="1"/>
    <xf numFmtId="0" fontId="11" fillId="0" borderId="49" xfId="0" applyFont="1" applyFill="1" applyBorder="1"/>
    <xf numFmtId="2" fontId="11" fillId="0" borderId="48" xfId="0" applyNumberFormat="1" applyFont="1" applyFill="1" applyBorder="1"/>
    <xf numFmtId="164" fontId="11" fillId="0" borderId="11" xfId="0" applyNumberFormat="1" applyFont="1" applyFill="1" applyBorder="1" applyAlignment="1">
      <alignment horizontal="right" vertical="center"/>
    </xf>
    <xf numFmtId="2" fontId="11" fillId="0" borderId="47" xfId="0" applyNumberFormat="1" applyFont="1" applyFill="1" applyBorder="1"/>
    <xf numFmtId="2" fontId="11" fillId="0" borderId="49" xfId="0" applyNumberFormat="1" applyFont="1" applyFill="1" applyBorder="1"/>
    <xf numFmtId="0" fontId="12" fillId="0" borderId="0" xfId="0" applyFont="1" applyFill="1"/>
    <xf numFmtId="0" fontId="23" fillId="0" borderId="0" xfId="0" applyFont="1" applyFill="1"/>
    <xf numFmtId="0" fontId="12" fillId="0" borderId="0" xfId="0" applyNumberFormat="1" applyFont="1" applyFill="1"/>
    <xf numFmtId="4" fontId="12" fillId="0" borderId="0" xfId="0" applyNumberFormat="1" applyFont="1" applyFill="1"/>
    <xf numFmtId="0" fontId="14" fillId="0" borderId="0" xfId="0" applyFont="1" applyFill="1"/>
  </cellXfs>
  <cellStyles count="3">
    <cellStyle name="Денежный" xfId="1" builtinId="4"/>
    <cellStyle name="Обычный" xfId="0" builtinId="0"/>
    <cellStyle name="Обычный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56;&#1045;&#1043;&#1059;&#1051;&#1048;&#1056;&#1054;&#1042;&#1040;&#1053;&#1048;&#1045;%202014-2015/&#1058;&#1077;&#1087;&#1083;&#1086;&#1074;&#1072;&#1103;%20&#1101;&#1085;&#1077;&#1088;&#1075;&#1080;&#1103;/&#1069;&#1085;&#1077;&#1088;&#1075;&#1086;&#1089;&#1077;&#1088;&#1074;&#1080;&#1089;%202013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74;&#1072;&#1085;&#1086;&#1074;&#1072;\Documents\RN\!&#1054;&#1041;\&#1056;&#1040;&#1057;&#1063;&#1045;&#1058;%20&#1055;&#1054;&#1058;&#1045;&#1056;&#1068;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60;&#1086;&#1088;&#1084;&#1080;&#1088;&#1086;&#1074;&#1072;&#1085;&#1080;&#1077;%20&#1089;&#1074;&#1086;&#1076;&#1085;&#1086;&#1075;&#1086;%20&#1087;&#1088;&#1086;&#1075;&#1085;&#1086;&#1079;&#1085;&#1086;&#1075;&#1086;%20&#1073;&#1072;&#1083;&#1072;&#1085;&#1089;&#1072;%20&#1085;&#1072;%202015%20&#1075;&#1086;&#1076;/&#1054;&#1090;&#1087;&#1088;&#1072;&#1074;&#1083;&#1103;&#1077;&#1084;%20&#1074;%20&#1060;&#1057;&#1058;/29.08.2014/&#1060;&#1086;&#1088;&#1084;&#1072;%203%204/FORM4.2015(v1.0)%20(1)%20&#1070;&#1075;&#1086;-&#1047;&#1072;&#1087;&#1072;&#1076;&#1085;&#1072;&#1103;%20&#1058;&#1069;&#106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 утечки отопл"/>
      <sheetName val="н ут гвс"/>
      <sheetName val="динамика "/>
      <sheetName val="2013"/>
      <sheetName val="2013 РС"/>
      <sheetName val="15-17"/>
      <sheetName val="15-17 (2)"/>
      <sheetName val="15-17 РАСП"/>
      <sheetName val="расп нов испр 15-17"/>
      <sheetName val="прот зп 15-17 нов"/>
      <sheetName val="стр 15-17"/>
      <sheetName val="стр 15-17 (2)"/>
      <sheetName val="теплонос 15-17"/>
      <sheetName val="теплонос 15-17 (2)"/>
      <sheetName val="вода 15-17"/>
      <sheetName val="вода 15-17 (2)"/>
      <sheetName val=" динам структуры"/>
      <sheetName val="стр рс 2014-2016"/>
      <sheetName val="теплоносит 2014-2016"/>
      <sheetName val="расш вода 2014-2016"/>
      <sheetName val="вода-2"/>
      <sheetName val="рс ан 2012"/>
      <sheetName val="зп 2012 анал"/>
      <sheetName val="рс 2014-2016"/>
      <sheetName val="зп 2014-2016"/>
      <sheetName val="расп 2014-2016"/>
      <sheetName val="рс 2013"/>
      <sheetName val="рс 2011"/>
      <sheetName val="зп 2011"/>
      <sheetName val="2012 расп"/>
      <sheetName val="2012 зп"/>
      <sheetName val="2012 рс"/>
      <sheetName val="2010 рс"/>
      <sheetName val="2010 зп"/>
      <sheetName val="2011 расп "/>
      <sheetName val="Лист1"/>
      <sheetName val="зп 2013"/>
      <sheetName val="расп 2013"/>
      <sheetName val="счета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потерь развернуто"/>
      <sheetName val="морской порт"/>
      <sheetName val="Арсенал развернуто пар"/>
      <sheetName val="потери"/>
      <sheetName val="уд об"/>
      <sheetName val="комб хлебопродуктов"/>
      <sheetName val="энергоИнвест"/>
      <sheetName val="газпром трансгаз Спь"/>
      <sheetName val="оэз"/>
      <sheetName val="цмт нтс"/>
      <sheetName val="зел-д-потери"/>
      <sheetName val="зеленый дом"/>
      <sheetName val="энергет сист"/>
      <sheetName val="зсп"/>
      <sheetName val="экон"/>
      <sheetName val="хлебтранс"/>
      <sheetName val="ак ригель"/>
      <sheetName val="кантемир"/>
      <sheetName val="СВ-Сити"/>
      <sheetName val="иван федоров"/>
      <sheetName val="энергосервис"/>
      <sheetName val="энергэс"/>
      <sheetName val="энергия"/>
      <sheetName val="Ленпромгаз"/>
      <sheetName val="цветочная 6"/>
      <sheetName val="теплосервис  кр треуг"/>
      <sheetName val="БЦ АКВИЛОН "/>
      <sheetName val="магистр потери"/>
      <sheetName val="магистраль"/>
      <sheetName val="Арсенал-2013-2014-2016"/>
      <sheetName val="доз-2"/>
      <sheetName val="крснознаменец"/>
      <sheetName val="пластполимер-т"/>
      <sheetName val="абз магистраль"/>
      <sheetName val="мз арсенал"/>
      <sheetName val="кварт котельн"/>
      <sheetName val="тэмп"/>
      <sheetName val="светлана-эст"/>
      <sheetName val="троя газ"/>
      <sheetName val="ЗМК"/>
      <sheetName val="Лист2"/>
      <sheetName val="Лист1"/>
      <sheetName val="соф. бульвар"/>
      <sheetName val="Атлантик"/>
      <sheetName val="кр. заря 2012"/>
      <sheetName val="кр нить 2012"/>
      <sheetName val="адамант реж карты"/>
      <sheetName val="таймс реж карты"/>
      <sheetName val="горбольн 38"/>
      <sheetName val="тепл инн"/>
      <sheetName val="гуп тэк"/>
      <sheetName val="СК СВ"/>
      <sheetName val="пкт"/>
      <sheetName val="киров тэк эл вода"/>
      <sheetName val="теплосервис"/>
      <sheetName val="Горбольн Семашко"/>
      <sheetName val="ПпП"/>
      <sheetName val="ВНИИРА"/>
      <sheetName val="КБСМ"/>
      <sheetName val="КБСМ-1"/>
      <sheetName val="18 арсенал-1"/>
      <sheetName val="18 арсенал"/>
      <sheetName val="Рыбокомбинат"/>
      <sheetName val="ростелеком"/>
      <sheetName val="невское"/>
      <sheetName val="московское"/>
      <sheetName val="автово"/>
      <sheetName val="омч"/>
      <sheetName val="лиственная"/>
      <sheetName val="г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5">
          <cell r="E15">
            <v>1.1455826738959252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9">
          <cell r="J49">
            <v>314.03700000000003</v>
          </cell>
        </row>
      </sheetData>
      <sheetData sheetId="17">
        <row r="49">
          <cell r="J49">
            <v>154.06400000000002</v>
          </cell>
        </row>
      </sheetData>
      <sheetData sheetId="18">
        <row r="49">
          <cell r="J49">
            <v>115.11399999999999</v>
          </cell>
        </row>
      </sheetData>
      <sheetData sheetId="19">
        <row r="49">
          <cell r="J49">
            <v>282.02499999999998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98"/>
  <sheetViews>
    <sheetView tabSelected="1" zoomScaleNormal="100" workbookViewId="0">
      <selection activeCell="CH11" sqref="CH11"/>
    </sheetView>
  </sheetViews>
  <sheetFormatPr defaultRowHeight="12.75"/>
  <cols>
    <col min="1" max="1" width="8.28515625" style="1" customWidth="1"/>
    <col min="2" max="2" width="51" style="1" customWidth="1"/>
    <col min="3" max="3" width="17" style="1" customWidth="1"/>
    <col min="4" max="4" width="21.7109375" style="1" hidden="1" customWidth="1"/>
    <col min="5" max="5" width="23.85546875" style="1" hidden="1" customWidth="1"/>
    <col min="6" max="6" width="20.5703125" style="1" hidden="1" customWidth="1"/>
    <col min="7" max="7" width="19.5703125" style="1" hidden="1" customWidth="1"/>
    <col min="8" max="8" width="20.28515625" style="1" hidden="1" customWidth="1"/>
    <col min="9" max="9" width="22.5703125" style="1" hidden="1" customWidth="1"/>
    <col min="10" max="10" width="19.7109375" style="1" hidden="1" customWidth="1"/>
    <col min="11" max="11" width="21.140625" style="1" hidden="1" customWidth="1"/>
    <col min="12" max="13" width="25.85546875" style="1" hidden="1" customWidth="1"/>
    <col min="14" max="15" width="27.5703125" style="1" hidden="1" customWidth="1"/>
    <col min="16" max="17" width="27.42578125" style="1" hidden="1" customWidth="1"/>
    <col min="18" max="18" width="27" style="1" hidden="1" customWidth="1"/>
    <col min="19" max="19" width="28" style="1" hidden="1" customWidth="1"/>
    <col min="20" max="20" width="18.7109375" style="1" hidden="1" customWidth="1"/>
    <col min="21" max="21" width="15.5703125" style="1" hidden="1" customWidth="1"/>
    <col min="22" max="22" width="19.7109375" style="1" hidden="1" customWidth="1"/>
    <col min="23" max="23" width="15.140625" style="1" hidden="1" customWidth="1"/>
    <col min="24" max="24" width="17.140625" style="1" hidden="1" customWidth="1"/>
    <col min="25" max="27" width="17.7109375" style="1" hidden="1" customWidth="1"/>
    <col min="28" max="32" width="17.85546875" style="1" hidden="1" customWidth="1"/>
    <col min="33" max="35" width="17.28515625" style="1" hidden="1" customWidth="1"/>
    <col min="36" max="36" width="16.28515625" style="1" hidden="1" customWidth="1"/>
    <col min="37" max="37" width="15.85546875" style="1" hidden="1" customWidth="1"/>
    <col min="38" max="39" width="16.85546875" style="1" hidden="1" customWidth="1"/>
    <col min="40" max="40" width="18.85546875" style="1" hidden="1" customWidth="1"/>
    <col min="41" max="42" width="16.28515625" style="1" hidden="1" customWidth="1"/>
    <col min="43" max="43" width="17.5703125" style="1" hidden="1" customWidth="1"/>
    <col min="44" max="44" width="16.28515625" style="1" hidden="1" customWidth="1"/>
    <col min="45" max="49" width="17.42578125" style="1" hidden="1" customWidth="1"/>
    <col min="50" max="52" width="18.85546875" style="1" hidden="1" customWidth="1"/>
    <col min="53" max="71" width="17.42578125" style="1" hidden="1" customWidth="1"/>
    <col min="72" max="72" width="18.7109375" style="1" hidden="1" customWidth="1"/>
    <col min="73" max="74" width="17.42578125" style="1" hidden="1" customWidth="1"/>
    <col min="75" max="75" width="15" style="1" hidden="1" customWidth="1"/>
    <col min="76" max="76" width="17.42578125" style="1" customWidth="1"/>
    <col min="77" max="77" width="17.42578125" style="1" hidden="1" customWidth="1"/>
    <col min="78" max="78" width="19.28515625" style="1" hidden="1" customWidth="1"/>
    <col min="79" max="79" width="21.42578125" style="1" hidden="1" customWidth="1"/>
    <col min="80" max="81" width="19.7109375" style="1" customWidth="1"/>
    <col min="82" max="82" width="20.42578125" style="1" customWidth="1"/>
    <col min="83" max="83" width="17.42578125" style="1" hidden="1" customWidth="1"/>
    <col min="84" max="87" width="17.42578125" style="1" customWidth="1"/>
    <col min="88" max="16384" width="9.140625" style="1"/>
  </cols>
  <sheetData>
    <row r="1" spans="1:83" ht="20.25">
      <c r="CB1" s="2" t="s">
        <v>0</v>
      </c>
    </row>
    <row r="2" spans="1:83" ht="20.25">
      <c r="CB2" s="2" t="s">
        <v>1</v>
      </c>
    </row>
    <row r="3" spans="1:83" ht="20.25">
      <c r="CB3" s="2" t="s">
        <v>2</v>
      </c>
    </row>
    <row r="4" spans="1:83" ht="20.25">
      <c r="CB4" s="3" t="s">
        <v>3</v>
      </c>
    </row>
    <row r="7" spans="1:83" ht="53.25" customHeight="1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ht="22.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AB8" s="7"/>
      <c r="AC8" s="7"/>
      <c r="AD8" s="7"/>
      <c r="AE8" s="7"/>
      <c r="AF8" s="7"/>
      <c r="BX8" s="8"/>
      <c r="BY8" s="9"/>
      <c r="BZ8" s="9"/>
      <c r="CA8" s="9"/>
      <c r="CB8" s="9"/>
      <c r="CC8" s="9"/>
      <c r="CD8" s="9"/>
      <c r="CE8" s="2"/>
    </row>
    <row r="9" spans="1:83" ht="18" customHeight="1">
      <c r="A9" s="10" t="s">
        <v>5</v>
      </c>
      <c r="B9" s="10" t="s">
        <v>6</v>
      </c>
      <c r="C9" s="10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2" t="s">
        <v>13</v>
      </c>
      <c r="J9" s="11" t="s">
        <v>14</v>
      </c>
      <c r="K9" s="11" t="s">
        <v>15</v>
      </c>
      <c r="L9" s="13" t="s">
        <v>16</v>
      </c>
      <c r="M9" s="14"/>
      <c r="N9" s="13" t="s">
        <v>17</v>
      </c>
      <c r="O9" s="14"/>
      <c r="P9" s="13" t="s">
        <v>18</v>
      </c>
      <c r="Q9" s="14"/>
      <c r="R9" s="15" t="s">
        <v>19</v>
      </c>
      <c r="S9" s="16"/>
      <c r="T9" s="17" t="s">
        <v>20</v>
      </c>
      <c r="U9" s="18" t="s">
        <v>21</v>
      </c>
      <c r="V9" s="18" t="s">
        <v>22</v>
      </c>
      <c r="W9" s="18" t="s">
        <v>23</v>
      </c>
      <c r="X9" s="18" t="s">
        <v>24</v>
      </c>
      <c r="Y9" s="18" t="s">
        <v>25</v>
      </c>
      <c r="Z9" s="18" t="s">
        <v>26</v>
      </c>
      <c r="AA9" s="18" t="s">
        <v>27</v>
      </c>
      <c r="AB9" s="18" t="s">
        <v>28</v>
      </c>
      <c r="AC9" s="18" t="s">
        <v>29</v>
      </c>
      <c r="AD9" s="18" t="s">
        <v>30</v>
      </c>
      <c r="AE9" s="18" t="s">
        <v>31</v>
      </c>
      <c r="AF9" s="18" t="s">
        <v>32</v>
      </c>
      <c r="AG9" s="18" t="s">
        <v>33</v>
      </c>
      <c r="AH9" s="18" t="s">
        <v>34</v>
      </c>
      <c r="AI9" s="18" t="s">
        <v>35</v>
      </c>
      <c r="AJ9" s="18" t="s">
        <v>36</v>
      </c>
      <c r="AK9" s="15" t="s">
        <v>37</v>
      </c>
      <c r="AL9" s="19" t="s">
        <v>38</v>
      </c>
      <c r="AM9" s="18" t="s">
        <v>39</v>
      </c>
      <c r="AN9" s="18" t="s">
        <v>40</v>
      </c>
      <c r="AO9" s="18" t="s">
        <v>41</v>
      </c>
      <c r="AP9" s="18" t="s">
        <v>30</v>
      </c>
      <c r="AQ9" s="18" t="s">
        <v>42</v>
      </c>
      <c r="AR9" s="18" t="s">
        <v>32</v>
      </c>
      <c r="AS9" s="18" t="s">
        <v>43</v>
      </c>
      <c r="AT9" s="18" t="s">
        <v>44</v>
      </c>
      <c r="AU9" s="18" t="s">
        <v>45</v>
      </c>
      <c r="AV9" s="18" t="s">
        <v>46</v>
      </c>
      <c r="AW9" s="18" t="s">
        <v>47</v>
      </c>
      <c r="AX9" s="18" t="s">
        <v>39</v>
      </c>
      <c r="AY9" s="18" t="s">
        <v>40</v>
      </c>
      <c r="AZ9" s="18" t="s">
        <v>48</v>
      </c>
      <c r="BA9" s="18" t="s">
        <v>49</v>
      </c>
      <c r="BB9" s="18" t="s">
        <v>50</v>
      </c>
      <c r="BC9" s="18" t="s">
        <v>51</v>
      </c>
      <c r="BD9" s="18" t="s">
        <v>46</v>
      </c>
      <c r="BE9" s="18" t="s">
        <v>52</v>
      </c>
      <c r="BF9" s="18" t="s">
        <v>53</v>
      </c>
      <c r="BG9" s="18" t="s">
        <v>54</v>
      </c>
      <c r="BH9" s="18" t="s">
        <v>55</v>
      </c>
      <c r="BI9" s="18" t="s">
        <v>56</v>
      </c>
      <c r="BJ9" s="18" t="s">
        <v>46</v>
      </c>
      <c r="BK9" s="18" t="s">
        <v>30</v>
      </c>
      <c r="BL9" s="18" t="s">
        <v>57</v>
      </c>
      <c r="BM9" s="20" t="s">
        <v>58</v>
      </c>
      <c r="BN9" s="21"/>
      <c r="BO9" s="18" t="s">
        <v>59</v>
      </c>
      <c r="BP9" s="18" t="s">
        <v>60</v>
      </c>
      <c r="BQ9" s="18" t="s">
        <v>46</v>
      </c>
      <c r="BR9" s="20" t="s">
        <v>58</v>
      </c>
      <c r="BS9" s="21"/>
      <c r="BT9" s="15" t="s">
        <v>61</v>
      </c>
      <c r="BU9" s="22" t="s">
        <v>62</v>
      </c>
      <c r="BV9" s="23"/>
      <c r="BW9" s="18" t="s">
        <v>63</v>
      </c>
      <c r="BX9" s="24" t="s">
        <v>64</v>
      </c>
      <c r="BY9" s="18" t="s">
        <v>65</v>
      </c>
      <c r="BZ9" s="24" t="s">
        <v>66</v>
      </c>
      <c r="CA9" s="15" t="s">
        <v>67</v>
      </c>
      <c r="CB9" s="19" t="s">
        <v>68</v>
      </c>
      <c r="CC9" s="19" t="s">
        <v>69</v>
      </c>
      <c r="CD9" s="19" t="s">
        <v>70</v>
      </c>
      <c r="CE9" s="16" t="s">
        <v>55</v>
      </c>
    </row>
    <row r="10" spans="1:83" ht="21.75" customHeight="1" thickBot="1">
      <c r="A10" s="25"/>
      <c r="B10" s="25"/>
      <c r="C10" s="25"/>
      <c r="D10" s="26"/>
      <c r="E10" s="27"/>
      <c r="F10" s="27"/>
      <c r="G10" s="27"/>
      <c r="H10" s="26"/>
      <c r="I10" s="28"/>
      <c r="J10" s="26"/>
      <c r="K10" s="26"/>
      <c r="L10" s="29"/>
      <c r="M10" s="30"/>
      <c r="N10" s="29"/>
      <c r="O10" s="30"/>
      <c r="P10" s="29"/>
      <c r="Q10" s="30"/>
      <c r="R10" s="31"/>
      <c r="S10" s="32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5"/>
      <c r="AL10" s="36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 t="s">
        <v>71</v>
      </c>
      <c r="BN10" s="34" t="s">
        <v>72</v>
      </c>
      <c r="BO10" s="34"/>
      <c r="BP10" s="34"/>
      <c r="BQ10" s="34"/>
      <c r="BR10" s="34" t="s">
        <v>71</v>
      </c>
      <c r="BS10" s="34" t="s">
        <v>72</v>
      </c>
      <c r="BT10" s="35"/>
      <c r="BU10" s="37" t="s">
        <v>71</v>
      </c>
      <c r="BV10" s="38" t="s">
        <v>72</v>
      </c>
      <c r="BW10" s="34"/>
      <c r="BX10" s="39"/>
      <c r="BY10" s="34"/>
      <c r="BZ10" s="39"/>
      <c r="CA10" s="35"/>
      <c r="CB10" s="36"/>
      <c r="CC10" s="36"/>
      <c r="CD10" s="36"/>
      <c r="CE10" s="40"/>
    </row>
    <row r="11" spans="1:83" ht="43.5" customHeight="1" thickBot="1">
      <c r="A11" s="41"/>
      <c r="B11" s="41"/>
      <c r="C11" s="41"/>
      <c r="D11" s="27"/>
      <c r="E11" s="42"/>
      <c r="F11" s="42"/>
      <c r="G11" s="42"/>
      <c r="H11" s="27"/>
      <c r="I11" s="43"/>
      <c r="J11" s="27"/>
      <c r="K11" s="27"/>
      <c r="L11" s="44" t="s">
        <v>73</v>
      </c>
      <c r="M11" s="45" t="s">
        <v>74</v>
      </c>
      <c r="N11" s="44" t="s">
        <v>75</v>
      </c>
      <c r="O11" s="45" t="s">
        <v>74</v>
      </c>
      <c r="P11" s="44" t="s">
        <v>76</v>
      </c>
      <c r="Q11" s="45" t="s">
        <v>74</v>
      </c>
      <c r="R11" s="46" t="s">
        <v>77</v>
      </c>
      <c r="S11" s="47" t="s">
        <v>74</v>
      </c>
      <c r="T11" s="48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31"/>
      <c r="AL11" s="50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31"/>
      <c r="BU11" s="51"/>
      <c r="BV11" s="52"/>
      <c r="BW11" s="49"/>
      <c r="BX11" s="53"/>
      <c r="BY11" s="49"/>
      <c r="BZ11" s="53"/>
      <c r="CA11" s="31"/>
      <c r="CB11" s="50"/>
      <c r="CC11" s="50"/>
      <c r="CD11" s="50"/>
      <c r="CE11" s="32"/>
    </row>
    <row r="12" spans="1:83" ht="17.25" customHeight="1" thickBot="1">
      <c r="A12" s="54">
        <v>1</v>
      </c>
      <c r="B12" s="55">
        <v>2</v>
      </c>
      <c r="C12" s="54">
        <v>3</v>
      </c>
      <c r="D12" s="55">
        <v>4</v>
      </c>
      <c r="E12" s="54">
        <v>5</v>
      </c>
      <c r="F12" s="54">
        <v>6</v>
      </c>
      <c r="G12" s="54">
        <v>7</v>
      </c>
      <c r="H12" s="54">
        <v>5</v>
      </c>
      <c r="I12" s="56">
        <v>6</v>
      </c>
      <c r="J12" s="57">
        <v>4</v>
      </c>
      <c r="K12" s="58">
        <v>5</v>
      </c>
      <c r="L12" s="59">
        <v>6</v>
      </c>
      <c r="M12" s="59">
        <v>7</v>
      </c>
      <c r="N12" s="59">
        <v>8</v>
      </c>
      <c r="O12" s="59">
        <v>9</v>
      </c>
      <c r="P12" s="59">
        <v>10</v>
      </c>
      <c r="Q12" s="59">
        <v>11</v>
      </c>
      <c r="R12" s="59">
        <v>4</v>
      </c>
      <c r="S12" s="59">
        <v>5</v>
      </c>
      <c r="T12" s="59">
        <v>6</v>
      </c>
      <c r="U12" s="57">
        <v>4</v>
      </c>
      <c r="V12" s="57">
        <v>8</v>
      </c>
      <c r="W12" s="59">
        <v>9</v>
      </c>
      <c r="X12" s="59">
        <v>5</v>
      </c>
      <c r="Y12" s="59">
        <v>11</v>
      </c>
      <c r="Z12" s="59">
        <v>12</v>
      </c>
      <c r="AA12" s="59">
        <v>13</v>
      </c>
      <c r="AB12" s="59">
        <v>8</v>
      </c>
      <c r="AC12" s="59">
        <v>6</v>
      </c>
      <c r="AD12" s="59">
        <v>10</v>
      </c>
      <c r="AE12" s="59">
        <v>11</v>
      </c>
      <c r="AF12" s="59">
        <v>12</v>
      </c>
      <c r="AG12" s="57">
        <v>10</v>
      </c>
      <c r="AH12" s="59">
        <v>11</v>
      </c>
      <c r="AI12" s="59">
        <v>7</v>
      </c>
      <c r="AJ12" s="59">
        <v>8</v>
      </c>
      <c r="AK12" s="60">
        <v>15</v>
      </c>
      <c r="AL12" s="57">
        <v>13</v>
      </c>
      <c r="AM12" s="57">
        <v>16</v>
      </c>
      <c r="AN12" s="61">
        <v>17</v>
      </c>
      <c r="AO12" s="61">
        <v>4</v>
      </c>
      <c r="AP12" s="61">
        <v>10</v>
      </c>
      <c r="AQ12" s="61">
        <v>11</v>
      </c>
      <c r="AR12" s="57">
        <v>12</v>
      </c>
      <c r="AS12" s="61">
        <v>9</v>
      </c>
      <c r="AT12" s="61">
        <v>4</v>
      </c>
      <c r="AU12" s="61">
        <v>11</v>
      </c>
      <c r="AV12" s="61">
        <v>12</v>
      </c>
      <c r="AW12" s="61">
        <v>13</v>
      </c>
      <c r="AX12" s="61">
        <v>18</v>
      </c>
      <c r="AY12" s="61">
        <v>19</v>
      </c>
      <c r="AZ12" s="61">
        <v>14</v>
      </c>
      <c r="BA12" s="57">
        <v>6</v>
      </c>
      <c r="BB12" s="57">
        <v>5</v>
      </c>
      <c r="BC12" s="57">
        <v>8</v>
      </c>
      <c r="BD12" s="57">
        <v>9</v>
      </c>
      <c r="BE12" s="57">
        <v>10</v>
      </c>
      <c r="BF12" s="57">
        <v>15</v>
      </c>
      <c r="BG12" s="57">
        <v>6</v>
      </c>
      <c r="BH12" s="57">
        <v>17</v>
      </c>
      <c r="BI12" s="59">
        <v>7</v>
      </c>
      <c r="BJ12" s="59">
        <v>8</v>
      </c>
      <c r="BK12" s="59">
        <v>9</v>
      </c>
      <c r="BL12" s="59">
        <v>12</v>
      </c>
      <c r="BM12" s="62" t="s">
        <v>78</v>
      </c>
      <c r="BN12" s="62" t="s">
        <v>79</v>
      </c>
      <c r="BO12" s="59">
        <v>8</v>
      </c>
      <c r="BP12" s="59">
        <v>9</v>
      </c>
      <c r="BQ12" s="59">
        <v>10</v>
      </c>
      <c r="BR12" s="62" t="s">
        <v>80</v>
      </c>
      <c r="BS12" s="62" t="s">
        <v>81</v>
      </c>
      <c r="BT12" s="63" t="s">
        <v>82</v>
      </c>
      <c r="BU12" s="64" t="s">
        <v>83</v>
      </c>
      <c r="BV12" s="65" t="s">
        <v>84</v>
      </c>
      <c r="BW12" s="66" t="s">
        <v>82</v>
      </c>
      <c r="BX12" s="67" t="s">
        <v>85</v>
      </c>
      <c r="BY12" s="62" t="s">
        <v>86</v>
      </c>
      <c r="BZ12" s="67" t="s">
        <v>87</v>
      </c>
      <c r="CA12" s="68" t="s">
        <v>88</v>
      </c>
      <c r="CB12" s="62" t="s">
        <v>89</v>
      </c>
      <c r="CC12" s="62" t="s">
        <v>90</v>
      </c>
      <c r="CD12" s="62" t="s">
        <v>91</v>
      </c>
      <c r="CE12" s="69">
        <v>17</v>
      </c>
    </row>
    <row r="13" spans="1:83" ht="18" customHeight="1">
      <c r="A13" s="70">
        <v>1</v>
      </c>
      <c r="B13" s="71" t="s">
        <v>92</v>
      </c>
      <c r="C13" s="72" t="s">
        <v>93</v>
      </c>
      <c r="D13" s="73">
        <f>13+17+7.5</f>
        <v>37.5</v>
      </c>
      <c r="E13" s="73">
        <v>7.5</v>
      </c>
      <c r="F13" s="73">
        <v>17</v>
      </c>
      <c r="G13" s="74">
        <v>13</v>
      </c>
      <c r="H13" s="75">
        <f>SUM(E13:G13)</f>
        <v>37.5</v>
      </c>
      <c r="I13" s="76"/>
      <c r="J13" s="77">
        <v>37.5</v>
      </c>
      <c r="K13" s="78">
        <v>37.5</v>
      </c>
      <c r="L13" s="79"/>
      <c r="M13" s="80">
        <v>13</v>
      </c>
      <c r="N13" s="79"/>
      <c r="O13" s="81">
        <v>7.5</v>
      </c>
      <c r="P13" s="82"/>
      <c r="Q13" s="83">
        <v>17</v>
      </c>
      <c r="R13" s="84"/>
      <c r="S13" s="85">
        <v>37.5</v>
      </c>
      <c r="T13" s="86">
        <v>37.5</v>
      </c>
      <c r="U13" s="86">
        <v>37.5</v>
      </c>
      <c r="V13" s="85">
        <v>37.5</v>
      </c>
      <c r="W13" s="86">
        <v>37.5</v>
      </c>
      <c r="X13" s="86">
        <v>37.5</v>
      </c>
      <c r="Y13" s="85">
        <v>37.5</v>
      </c>
      <c r="Z13" s="85">
        <f t="shared" ref="Z13:Z23" si="0">W13-X13</f>
        <v>0</v>
      </c>
      <c r="AA13" s="86">
        <f t="shared" ref="AA13:AA23" si="1">Y13-X13</f>
        <v>0</v>
      </c>
      <c r="AB13" s="87">
        <v>30</v>
      </c>
      <c r="AC13" s="88">
        <v>41.9</v>
      </c>
      <c r="AD13" s="89">
        <f t="shared" ref="AD13:AD23" si="2">AC13-AB13</f>
        <v>11.899999999999999</v>
      </c>
      <c r="AE13" s="90">
        <v>30</v>
      </c>
      <c r="AF13" s="91">
        <f t="shared" ref="AF13:AF23" si="3">AE13-AC13</f>
        <v>-11.899999999999999</v>
      </c>
      <c r="AG13" s="92" t="e">
        <f>#REF!</f>
        <v>#REF!</v>
      </c>
      <c r="AH13" s="92">
        <v>42.1</v>
      </c>
      <c r="AI13" s="88">
        <v>41.9</v>
      </c>
      <c r="AJ13" s="91">
        <v>30</v>
      </c>
      <c r="AK13" s="93">
        <f t="shared" ref="AK13:AK26" si="4">AJ13-AH13</f>
        <v>-12.100000000000001</v>
      </c>
      <c r="AL13" s="94">
        <v>47.168999999999997</v>
      </c>
      <c r="AM13" s="95">
        <f>AL13-AN13</f>
        <v>42.098999999999997</v>
      </c>
      <c r="AN13" s="89">
        <v>5.07</v>
      </c>
      <c r="AO13" s="95">
        <v>47.17</v>
      </c>
      <c r="AP13" s="95">
        <f>AO13-AJ13</f>
        <v>17.170000000000002</v>
      </c>
      <c r="AQ13" s="96">
        <v>47.17</v>
      </c>
      <c r="AR13" s="95">
        <f>AQ13-AO13</f>
        <v>0</v>
      </c>
      <c r="AS13" s="95">
        <f>AX13+AY13</f>
        <v>47.168999999999997</v>
      </c>
      <c r="AT13" s="95">
        <v>47.17</v>
      </c>
      <c r="AU13" s="97">
        <f>AT13-AS13</f>
        <v>1.0000000000047748E-3</v>
      </c>
      <c r="AV13" s="95">
        <v>47.17</v>
      </c>
      <c r="AW13" s="95">
        <f>AV13-AT13</f>
        <v>0</v>
      </c>
      <c r="AX13" s="95">
        <v>42.098999999999997</v>
      </c>
      <c r="AY13" s="95">
        <v>5.07</v>
      </c>
      <c r="AZ13" s="95">
        <v>47.17</v>
      </c>
      <c r="BA13" s="95">
        <v>47.17</v>
      </c>
      <c r="BB13" s="95">
        <v>52.411000000000001</v>
      </c>
      <c r="BC13" s="97">
        <f>BB13-BA13</f>
        <v>5.2409999999999997</v>
      </c>
      <c r="BD13" s="95">
        <f>BB13</f>
        <v>52.411000000000001</v>
      </c>
      <c r="BE13" s="95">
        <f>BD13-BB13</f>
        <v>0</v>
      </c>
      <c r="BF13" s="95">
        <v>47.168999999999997</v>
      </c>
      <c r="BG13" s="95">
        <v>47.17</v>
      </c>
      <c r="BH13" s="96">
        <f>BG13-BF13</f>
        <v>1.0000000000047748E-3</v>
      </c>
      <c r="BI13" s="91">
        <v>29.151</v>
      </c>
      <c r="BJ13" s="89">
        <f>BI13</f>
        <v>29.151</v>
      </c>
      <c r="BK13" s="97">
        <f>BJ13-BI13</f>
        <v>0</v>
      </c>
      <c r="BL13" s="97">
        <f>BM13+BN13</f>
        <v>23.5</v>
      </c>
      <c r="BM13" s="97">
        <v>6.3</v>
      </c>
      <c r="BN13" s="98">
        <v>17.2</v>
      </c>
      <c r="BO13" s="95">
        <f>BR13+BS13</f>
        <v>23.5</v>
      </c>
      <c r="BP13" s="95">
        <v>23.5</v>
      </c>
      <c r="BQ13" s="95">
        <v>23.5</v>
      </c>
      <c r="BR13" s="97">
        <f>BM13</f>
        <v>6.3</v>
      </c>
      <c r="BS13" s="97">
        <f>BN13</f>
        <v>17.2</v>
      </c>
      <c r="BT13" s="96">
        <f>BU13+BV13</f>
        <v>23.5</v>
      </c>
      <c r="BU13" s="99">
        <v>6.3</v>
      </c>
      <c r="BV13" s="100">
        <v>17.2</v>
      </c>
      <c r="BW13" s="95">
        <f>BQ13-BP13</f>
        <v>0</v>
      </c>
      <c r="BX13" s="98">
        <f>BT13</f>
        <v>23.5</v>
      </c>
      <c r="BY13" s="95">
        <f>BX13</f>
        <v>23.5</v>
      </c>
      <c r="BZ13" s="96">
        <f t="shared" ref="BZ13:CA16" si="5">BX13</f>
        <v>23.5</v>
      </c>
      <c r="CA13" s="98">
        <f t="shared" si="5"/>
        <v>23.5</v>
      </c>
      <c r="CB13" s="101">
        <v>23.5</v>
      </c>
      <c r="CC13" s="101">
        <f t="shared" ref="CC13:CD16" si="6">BX13</f>
        <v>23.5</v>
      </c>
      <c r="CD13" s="101">
        <f t="shared" si="6"/>
        <v>23.5</v>
      </c>
      <c r="CE13" s="91">
        <f>CD13-CA13</f>
        <v>0</v>
      </c>
    </row>
    <row r="14" spans="1:83" s="133" customFormat="1" ht="23.25" customHeight="1">
      <c r="A14" s="102">
        <v>2</v>
      </c>
      <c r="B14" s="103" t="s">
        <v>94</v>
      </c>
      <c r="C14" s="104" t="s">
        <v>93</v>
      </c>
      <c r="D14" s="105">
        <f>6.136+10.926+6.429</f>
        <v>23.491</v>
      </c>
      <c r="E14" s="105">
        <v>6.4290000000000003</v>
      </c>
      <c r="F14" s="105">
        <v>10.926</v>
      </c>
      <c r="G14" s="106">
        <v>6.1360000000000001</v>
      </c>
      <c r="H14" s="107">
        <f>SUM(E14:G14)</f>
        <v>23.491</v>
      </c>
      <c r="I14" s="108"/>
      <c r="J14" s="109">
        <v>23.49</v>
      </c>
      <c r="K14" s="110">
        <v>23.49</v>
      </c>
      <c r="L14" s="111"/>
      <c r="M14" s="108">
        <v>6.1360000000000001</v>
      </c>
      <c r="N14" s="111"/>
      <c r="O14" s="112">
        <v>6.4290000000000003</v>
      </c>
      <c r="P14" s="113"/>
      <c r="Q14" s="114">
        <v>10.926</v>
      </c>
      <c r="R14" s="115"/>
      <c r="S14" s="116">
        <v>23.491</v>
      </c>
      <c r="T14" s="117">
        <v>23.49</v>
      </c>
      <c r="U14" s="117">
        <v>23.49</v>
      </c>
      <c r="V14" s="116">
        <v>23.49</v>
      </c>
      <c r="W14" s="118">
        <v>26.141999999999999</v>
      </c>
      <c r="X14" s="118">
        <v>23.533999999999999</v>
      </c>
      <c r="Y14" s="119">
        <v>23.533999999999999</v>
      </c>
      <c r="Z14" s="116">
        <f t="shared" si="0"/>
        <v>2.6080000000000005</v>
      </c>
      <c r="AA14" s="117">
        <f t="shared" si="1"/>
        <v>0</v>
      </c>
      <c r="AB14" s="120">
        <v>23.533999999999999</v>
      </c>
      <c r="AC14" s="121">
        <v>26.388999999999999</v>
      </c>
      <c r="AD14" s="122">
        <f t="shared" si="2"/>
        <v>2.8550000000000004</v>
      </c>
      <c r="AE14" s="121">
        <v>26.388999999999999</v>
      </c>
      <c r="AF14" s="123">
        <f t="shared" si="3"/>
        <v>0</v>
      </c>
      <c r="AG14" s="124" t="e">
        <f>#REF!</f>
        <v>#REF!</v>
      </c>
      <c r="AH14" s="124">
        <v>27.2</v>
      </c>
      <c r="AI14" s="121">
        <v>23.693000000000001</v>
      </c>
      <c r="AJ14" s="125">
        <v>26.388999999999999</v>
      </c>
      <c r="AK14" s="126">
        <f t="shared" si="4"/>
        <v>-0.81099999999999994</v>
      </c>
      <c r="AL14" s="127">
        <v>25.266999999999999</v>
      </c>
      <c r="AM14" s="125">
        <f>AL14-AN14</f>
        <v>22.213000000000001</v>
      </c>
      <c r="AN14" s="128">
        <v>3.0539999999999998</v>
      </c>
      <c r="AO14" s="125">
        <v>25.327000000000002</v>
      </c>
      <c r="AP14" s="101">
        <f>AO14-AJ14</f>
        <v>-1.0619999999999976</v>
      </c>
      <c r="AQ14" s="129">
        <v>25.1</v>
      </c>
      <c r="AR14" s="125">
        <f>AQ14-AO14</f>
        <v>-0.22700000000000031</v>
      </c>
      <c r="AS14" s="125">
        <v>27.539000000000001</v>
      </c>
      <c r="AT14" s="125">
        <v>26.69</v>
      </c>
      <c r="AU14" s="128">
        <f>AT14-AS14</f>
        <v>-0.8490000000000002</v>
      </c>
      <c r="AV14" s="125">
        <v>26.939</v>
      </c>
      <c r="AW14" s="125">
        <f>AV14-AT14</f>
        <v>0.24899999999999878</v>
      </c>
      <c r="AX14" s="125"/>
      <c r="AY14" s="128"/>
      <c r="AZ14" s="125">
        <v>27.539000000000001</v>
      </c>
      <c r="BA14" s="125">
        <v>27.536999999999999</v>
      </c>
      <c r="BB14" s="125">
        <v>30.896999999999998</v>
      </c>
      <c r="BC14" s="128">
        <f t="shared" ref="BC14:BC74" si="7">BB14-BA14</f>
        <v>3.3599999999999994</v>
      </c>
      <c r="BD14" s="125">
        <v>30.896999999999998</v>
      </c>
      <c r="BE14" s="101">
        <f>BD14-BB14</f>
        <v>0</v>
      </c>
      <c r="BF14" s="125">
        <v>27.536999999999999</v>
      </c>
      <c r="BG14" s="125">
        <v>26.939</v>
      </c>
      <c r="BH14" s="129">
        <f t="shared" ref="BH14:BH74" si="8">BG14-BF14</f>
        <v>-0.59799999999999898</v>
      </c>
      <c r="BI14" s="125">
        <v>16.951000000000001</v>
      </c>
      <c r="BJ14" s="128">
        <f>BI14</f>
        <v>16.951000000000001</v>
      </c>
      <c r="BK14" s="128">
        <f t="shared" ref="BK14:BK74" si="9">BJ14-BI14</f>
        <v>0</v>
      </c>
      <c r="BL14" s="128">
        <f>BL15+BL16</f>
        <v>12.303000000000001</v>
      </c>
      <c r="BM14" s="128">
        <v>4.173</v>
      </c>
      <c r="BN14" s="127">
        <v>8.1300000000000008</v>
      </c>
      <c r="BO14" s="125">
        <f>BO15+BO16</f>
        <v>12.303000000000001</v>
      </c>
      <c r="BP14" s="125">
        <v>12.29</v>
      </c>
      <c r="BQ14" s="125">
        <v>12.29</v>
      </c>
      <c r="BR14" s="128">
        <v>4.173</v>
      </c>
      <c r="BS14" s="128">
        <f>BN14</f>
        <v>8.1300000000000008</v>
      </c>
      <c r="BT14" s="130">
        <v>12.29</v>
      </c>
      <c r="BU14" s="131">
        <v>4.173</v>
      </c>
      <c r="BV14" s="132">
        <v>8.1170000000000009</v>
      </c>
      <c r="BW14" s="101">
        <f t="shared" ref="BW14:BW78" si="10">BQ14-BP14</f>
        <v>0</v>
      </c>
      <c r="BX14" s="127">
        <f>BT14</f>
        <v>12.29</v>
      </c>
      <c r="BY14" s="125">
        <f>BX14</f>
        <v>12.29</v>
      </c>
      <c r="BZ14" s="129">
        <f t="shared" si="5"/>
        <v>12.29</v>
      </c>
      <c r="CA14" s="127">
        <f t="shared" si="5"/>
        <v>12.29</v>
      </c>
      <c r="CB14" s="125">
        <v>12.29</v>
      </c>
      <c r="CC14" s="125">
        <f t="shared" si="6"/>
        <v>12.29</v>
      </c>
      <c r="CD14" s="125">
        <f t="shared" si="6"/>
        <v>12.29</v>
      </c>
      <c r="CE14" s="123">
        <f t="shared" ref="CE14:CE77" si="11">CD14-CA14</f>
        <v>0</v>
      </c>
    </row>
    <row r="15" spans="1:83" ht="41.25" customHeight="1">
      <c r="A15" s="134" t="s">
        <v>95</v>
      </c>
      <c r="B15" s="103" t="s">
        <v>96</v>
      </c>
      <c r="C15" s="104" t="s">
        <v>93</v>
      </c>
      <c r="D15" s="135"/>
      <c r="E15" s="135"/>
      <c r="F15" s="135"/>
      <c r="G15" s="136"/>
      <c r="H15" s="137"/>
      <c r="I15" s="138"/>
      <c r="J15" s="139"/>
      <c r="K15" s="140"/>
      <c r="L15" s="111"/>
      <c r="M15" s="108"/>
      <c r="N15" s="111"/>
      <c r="O15" s="112"/>
      <c r="P15" s="113"/>
      <c r="Q15" s="114"/>
      <c r="R15" s="115"/>
      <c r="S15" s="116"/>
      <c r="T15" s="117"/>
      <c r="U15" s="117"/>
      <c r="V15" s="116"/>
      <c r="W15" s="118"/>
      <c r="X15" s="118"/>
      <c r="Y15" s="119"/>
      <c r="Z15" s="116"/>
      <c r="AA15" s="117"/>
      <c r="AB15" s="120"/>
      <c r="AC15" s="121"/>
      <c r="AD15" s="122"/>
      <c r="AE15" s="141"/>
      <c r="AF15" s="123"/>
      <c r="AG15" s="124"/>
      <c r="AH15" s="124"/>
      <c r="AI15" s="121"/>
      <c r="AJ15" s="125"/>
      <c r="AK15" s="126"/>
      <c r="AL15" s="127"/>
      <c r="AM15" s="125"/>
      <c r="AN15" s="128"/>
      <c r="AO15" s="125"/>
      <c r="AP15" s="101"/>
      <c r="AQ15" s="129"/>
      <c r="AR15" s="125"/>
      <c r="AS15" s="125"/>
      <c r="AT15" s="125"/>
      <c r="AU15" s="128"/>
      <c r="AV15" s="125"/>
      <c r="AW15" s="125"/>
      <c r="AX15" s="125"/>
      <c r="AY15" s="128"/>
      <c r="AZ15" s="125"/>
      <c r="BA15" s="125"/>
      <c r="BB15" s="125"/>
      <c r="BC15" s="128"/>
      <c r="BD15" s="127"/>
      <c r="BE15" s="101"/>
      <c r="BF15" s="128"/>
      <c r="BG15" s="125"/>
      <c r="BH15" s="129"/>
      <c r="BI15" s="125">
        <v>8.827</v>
      </c>
      <c r="BJ15" s="128">
        <f>BI15</f>
        <v>8.827</v>
      </c>
      <c r="BK15" s="128">
        <f t="shared" si="9"/>
        <v>0</v>
      </c>
      <c r="BL15" s="128">
        <f>BM15</f>
        <v>4.173</v>
      </c>
      <c r="BM15" s="128">
        <f>BM14</f>
        <v>4.173</v>
      </c>
      <c r="BN15" s="127"/>
      <c r="BO15" s="125">
        <v>4.173</v>
      </c>
      <c r="BP15" s="125">
        <f>BP14-BP16</f>
        <v>4.1729999999999983</v>
      </c>
      <c r="BQ15" s="125">
        <f>BQ14-BQ16</f>
        <v>4.1729999999999983</v>
      </c>
      <c r="BR15" s="128">
        <f>BR14</f>
        <v>4.173</v>
      </c>
      <c r="BS15" s="128"/>
      <c r="BT15" s="129"/>
      <c r="BU15" s="131">
        <f>BU14</f>
        <v>4.173</v>
      </c>
      <c r="BV15" s="132"/>
      <c r="BW15" s="101">
        <f t="shared" si="10"/>
        <v>0</v>
      </c>
      <c r="BX15" s="127">
        <f>BO15</f>
        <v>4.173</v>
      </c>
      <c r="BY15" s="125">
        <f>BX15</f>
        <v>4.173</v>
      </c>
      <c r="BZ15" s="129">
        <f t="shared" si="5"/>
        <v>4.173</v>
      </c>
      <c r="CA15" s="127">
        <f t="shared" si="5"/>
        <v>4.173</v>
      </c>
      <c r="CB15" s="125">
        <v>4.173</v>
      </c>
      <c r="CC15" s="125">
        <f t="shared" si="6"/>
        <v>4.173</v>
      </c>
      <c r="CD15" s="125">
        <f t="shared" si="6"/>
        <v>4.173</v>
      </c>
      <c r="CE15" s="123">
        <f t="shared" si="11"/>
        <v>0</v>
      </c>
    </row>
    <row r="16" spans="1:83" ht="48" customHeight="1">
      <c r="A16" s="134" t="s">
        <v>97</v>
      </c>
      <c r="B16" s="103" t="s">
        <v>98</v>
      </c>
      <c r="C16" s="104" t="s">
        <v>93</v>
      </c>
      <c r="D16" s="135"/>
      <c r="E16" s="135"/>
      <c r="F16" s="135"/>
      <c r="G16" s="136"/>
      <c r="H16" s="137"/>
      <c r="I16" s="138"/>
      <c r="J16" s="139"/>
      <c r="K16" s="140"/>
      <c r="L16" s="111"/>
      <c r="M16" s="108"/>
      <c r="N16" s="111"/>
      <c r="O16" s="112"/>
      <c r="P16" s="113"/>
      <c r="Q16" s="114"/>
      <c r="R16" s="115"/>
      <c r="S16" s="116"/>
      <c r="T16" s="117"/>
      <c r="U16" s="117"/>
      <c r="V16" s="116"/>
      <c r="W16" s="118"/>
      <c r="X16" s="118"/>
      <c r="Y16" s="119"/>
      <c r="Z16" s="116"/>
      <c r="AA16" s="117"/>
      <c r="AB16" s="120"/>
      <c r="AC16" s="121"/>
      <c r="AD16" s="122"/>
      <c r="AE16" s="141"/>
      <c r="AF16" s="123"/>
      <c r="AG16" s="124"/>
      <c r="AH16" s="124"/>
      <c r="AI16" s="121"/>
      <c r="AJ16" s="125"/>
      <c r="AK16" s="126"/>
      <c r="AL16" s="127"/>
      <c r="AM16" s="125"/>
      <c r="AN16" s="128"/>
      <c r="AO16" s="125"/>
      <c r="AP16" s="101"/>
      <c r="AQ16" s="129"/>
      <c r="AR16" s="125"/>
      <c r="AS16" s="125"/>
      <c r="AT16" s="125"/>
      <c r="AU16" s="128"/>
      <c r="AV16" s="125"/>
      <c r="AW16" s="125"/>
      <c r="AX16" s="125"/>
      <c r="AY16" s="128"/>
      <c r="AZ16" s="125"/>
      <c r="BA16" s="125"/>
      <c r="BB16" s="125"/>
      <c r="BC16" s="128"/>
      <c r="BD16" s="127"/>
      <c r="BE16" s="101"/>
      <c r="BF16" s="128"/>
      <c r="BG16" s="125"/>
      <c r="BH16" s="129"/>
      <c r="BI16" s="125">
        <v>8.1240000000000006</v>
      </c>
      <c r="BJ16" s="128">
        <f>BI16</f>
        <v>8.1240000000000006</v>
      </c>
      <c r="BK16" s="128">
        <f t="shared" si="9"/>
        <v>0</v>
      </c>
      <c r="BL16" s="128">
        <f>BN16</f>
        <v>8.1300000000000008</v>
      </c>
      <c r="BM16" s="128"/>
      <c r="BN16" s="127">
        <f>BN14</f>
        <v>8.1300000000000008</v>
      </c>
      <c r="BO16" s="125">
        <f>BS16</f>
        <v>8.1300000000000008</v>
      </c>
      <c r="BP16" s="125">
        <v>8.1170000000000009</v>
      </c>
      <c r="BQ16" s="125">
        <v>8.1170000000000009</v>
      </c>
      <c r="BR16" s="128"/>
      <c r="BS16" s="128">
        <f>BS14</f>
        <v>8.1300000000000008</v>
      </c>
      <c r="BT16" s="130"/>
      <c r="BU16" s="131"/>
      <c r="BV16" s="132">
        <f>BV14</f>
        <v>8.1170000000000009</v>
      </c>
      <c r="BW16" s="101">
        <f t="shared" si="10"/>
        <v>0</v>
      </c>
      <c r="BX16" s="127">
        <f>BV16</f>
        <v>8.1170000000000009</v>
      </c>
      <c r="BY16" s="125">
        <f>BX16</f>
        <v>8.1170000000000009</v>
      </c>
      <c r="BZ16" s="129">
        <f t="shared" si="5"/>
        <v>8.1170000000000009</v>
      </c>
      <c r="CA16" s="127">
        <f t="shared" si="5"/>
        <v>8.1170000000000009</v>
      </c>
      <c r="CB16" s="125">
        <v>8.1170000000000009</v>
      </c>
      <c r="CC16" s="125">
        <f t="shared" si="6"/>
        <v>8.1170000000000009</v>
      </c>
      <c r="CD16" s="125">
        <f t="shared" si="6"/>
        <v>8.1170000000000009</v>
      </c>
      <c r="CE16" s="123">
        <f t="shared" si="11"/>
        <v>0</v>
      </c>
    </row>
    <row r="17" spans="1:85" ht="22.15" customHeight="1">
      <c r="A17" s="102">
        <v>3</v>
      </c>
      <c r="B17" s="103" t="s">
        <v>99</v>
      </c>
      <c r="C17" s="104" t="s">
        <v>100</v>
      </c>
      <c r="D17" s="135">
        <f t="shared" ref="D17:Y17" si="12">D18+D20</f>
        <v>64823</v>
      </c>
      <c r="E17" s="142">
        <f t="shared" si="12"/>
        <v>18230</v>
      </c>
      <c r="F17" s="142">
        <f t="shared" si="12"/>
        <v>34972</v>
      </c>
      <c r="G17" s="143">
        <f t="shared" si="12"/>
        <v>21730</v>
      </c>
      <c r="H17" s="143">
        <f t="shared" si="12"/>
        <v>74932</v>
      </c>
      <c r="I17" s="143">
        <f t="shared" si="12"/>
        <v>0</v>
      </c>
      <c r="J17" s="143">
        <f t="shared" si="12"/>
        <v>64823</v>
      </c>
      <c r="K17" s="144">
        <f t="shared" si="12"/>
        <v>74932</v>
      </c>
      <c r="L17" s="106">
        <f t="shared" si="12"/>
        <v>19453.7</v>
      </c>
      <c r="M17" s="106">
        <f t="shared" si="12"/>
        <v>22223</v>
      </c>
      <c r="N17" s="106">
        <f t="shared" si="12"/>
        <v>14413.55</v>
      </c>
      <c r="O17" s="106">
        <f t="shared" si="12"/>
        <v>18150</v>
      </c>
      <c r="P17" s="145">
        <f t="shared" si="12"/>
        <v>28657</v>
      </c>
      <c r="Q17" s="145">
        <f t="shared" si="12"/>
        <v>35119</v>
      </c>
      <c r="R17" s="146">
        <f t="shared" si="12"/>
        <v>62524.25</v>
      </c>
      <c r="S17" s="147">
        <f t="shared" si="12"/>
        <v>75494</v>
      </c>
      <c r="T17" s="146" t="e">
        <f t="shared" si="12"/>
        <v>#REF!</v>
      </c>
      <c r="U17" s="146">
        <f t="shared" si="12"/>
        <v>75318.06</v>
      </c>
      <c r="V17" s="147" t="e">
        <f t="shared" si="12"/>
        <v>#REF!</v>
      </c>
      <c r="W17" s="146">
        <f t="shared" si="12"/>
        <v>75243.209999999992</v>
      </c>
      <c r="X17" s="146">
        <f t="shared" si="12"/>
        <v>73425.562999999995</v>
      </c>
      <c r="Y17" s="147">
        <f t="shared" si="12"/>
        <v>73425.56</v>
      </c>
      <c r="Z17" s="116">
        <f t="shared" si="0"/>
        <v>1817.6469999999972</v>
      </c>
      <c r="AA17" s="117">
        <f t="shared" si="1"/>
        <v>-2.9999999969732016E-3</v>
      </c>
      <c r="AB17" s="148">
        <f>AB18+AB20</f>
        <v>75243.209999999992</v>
      </c>
      <c r="AC17" s="149">
        <v>67654</v>
      </c>
      <c r="AD17" s="122">
        <f t="shared" si="2"/>
        <v>-7589.2099999999919</v>
      </c>
      <c r="AE17" s="150">
        <v>67654</v>
      </c>
      <c r="AF17" s="123">
        <f t="shared" si="3"/>
        <v>0</v>
      </c>
      <c r="AG17" s="151" t="e">
        <f>AG18+AG20</f>
        <v>#REF!</v>
      </c>
      <c r="AH17" s="151">
        <f>AH18+AH20</f>
        <v>66664.67</v>
      </c>
      <c r="AI17" s="152">
        <f>AI18+AI20</f>
        <v>66068.2</v>
      </c>
      <c r="AJ17" s="152">
        <f>AJ18+AJ20</f>
        <v>69685.200292856403</v>
      </c>
      <c r="AK17" s="126">
        <f t="shared" si="4"/>
        <v>3020.5302928564051</v>
      </c>
      <c r="AL17" s="153">
        <f>AL18+AL20</f>
        <v>76801.313000000009</v>
      </c>
      <c r="AM17" s="123">
        <f>AL17-AN17</f>
        <v>68873.869000000006</v>
      </c>
      <c r="AN17" s="151">
        <f>AN18+AN20</f>
        <v>7927.4440000000004</v>
      </c>
      <c r="AO17" s="152">
        <f>AO18+AO20</f>
        <v>67875</v>
      </c>
      <c r="AP17" s="154">
        <f>AO17-AJ17</f>
        <v>-1810.2002928564034</v>
      </c>
      <c r="AQ17" s="153">
        <f>AQ18+AQ20</f>
        <v>67875</v>
      </c>
      <c r="AR17" s="123">
        <f>AQ17-AO17</f>
        <v>0</v>
      </c>
      <c r="AS17" s="123">
        <f>AS18+AS20</f>
        <v>76801.31</v>
      </c>
      <c r="AT17" s="152">
        <f>AT18+AT20</f>
        <v>65869.38</v>
      </c>
      <c r="AU17" s="122">
        <f>AT17-AS17</f>
        <v>-10931.929999999993</v>
      </c>
      <c r="AV17" s="123">
        <f>AV18+AV20</f>
        <v>65425.364229583531</v>
      </c>
      <c r="AW17" s="123">
        <f>AV17-AT17</f>
        <v>-444.01577041647397</v>
      </c>
      <c r="AX17" s="123">
        <f t="shared" ref="AX17:BG17" si="13">AX18+AX20</f>
        <v>68873.87000000001</v>
      </c>
      <c r="AY17" s="151">
        <f t="shared" si="13"/>
        <v>7927.4440000000004</v>
      </c>
      <c r="AZ17" s="123">
        <f t="shared" si="13"/>
        <v>76801.31</v>
      </c>
      <c r="BA17" s="123">
        <f t="shared" si="13"/>
        <v>76801.31</v>
      </c>
      <c r="BB17" s="152">
        <f>BB18+BB20</f>
        <v>63145.128000000004</v>
      </c>
      <c r="BC17" s="122">
        <f t="shared" si="7"/>
        <v>-13656.181999999993</v>
      </c>
      <c r="BD17" s="155">
        <f>BD20/(1-BD19/100)</f>
        <v>61867.525409597787</v>
      </c>
      <c r="BE17" s="154">
        <f>BD17-BB17</f>
        <v>-1277.6025904022172</v>
      </c>
      <c r="BF17" s="151">
        <f t="shared" si="13"/>
        <v>77094.81</v>
      </c>
      <c r="BG17" s="152">
        <f t="shared" si="13"/>
        <v>75893.434550677062</v>
      </c>
      <c r="BH17" s="156">
        <f t="shared" si="8"/>
        <v>-1201.3754493229353</v>
      </c>
      <c r="BI17" s="152">
        <v>30969.279999999999</v>
      </c>
      <c r="BJ17" s="151">
        <f>BJ20/(1-BJ19/100)</f>
        <v>30454.913862909554</v>
      </c>
      <c r="BK17" s="128">
        <f t="shared" si="9"/>
        <v>-514.36613709044468</v>
      </c>
      <c r="BL17" s="128">
        <f>BM17+BN17</f>
        <v>28505.4</v>
      </c>
      <c r="BM17" s="151">
        <v>11407.65</v>
      </c>
      <c r="BN17" s="153">
        <v>17097.75</v>
      </c>
      <c r="BO17" s="123">
        <f>BR17+BS17</f>
        <v>28043.326463524245</v>
      </c>
      <c r="BP17" s="123">
        <f>BP20+BP18</f>
        <v>21402.094000000001</v>
      </c>
      <c r="BQ17" s="123">
        <f>BQ20+BQ18</f>
        <v>20934.907385874805</v>
      </c>
      <c r="BR17" s="151">
        <f>BR20/(1-BR19/100)</f>
        <v>10944.715915856899</v>
      </c>
      <c r="BS17" s="151">
        <f>BS20/(1-BS19/100)</f>
        <v>17098.610547667344</v>
      </c>
      <c r="BT17" s="156">
        <f>BU17+BV17</f>
        <v>28485.83</v>
      </c>
      <c r="BU17" s="157">
        <v>11407.65</v>
      </c>
      <c r="BV17" s="158">
        <v>17078.18</v>
      </c>
      <c r="BW17" s="101">
        <f t="shared" si="10"/>
        <v>-467.18661412519577</v>
      </c>
      <c r="BX17" s="153">
        <f>BX20/(1-BX19/100)</f>
        <v>28042.44536093868</v>
      </c>
      <c r="BY17" s="152">
        <f>BY20/(1-BY19/100)</f>
        <v>28042.44536093868</v>
      </c>
      <c r="BZ17" s="156">
        <f>BZ20/(1-BZ19/100)</f>
        <v>28042.44536093868</v>
      </c>
      <c r="CA17" s="153">
        <f>CA18+CA20</f>
        <v>28485.827000000001</v>
      </c>
      <c r="CB17" s="123">
        <f>CB18+CB20</f>
        <v>37593.189868176829</v>
      </c>
      <c r="CC17" s="123">
        <f>CC18+CC20</f>
        <v>37593.189868176829</v>
      </c>
      <c r="CD17" s="123">
        <f>CD18+CD20</f>
        <v>37593.189868176829</v>
      </c>
      <c r="CE17" s="123">
        <f t="shared" si="11"/>
        <v>9107.3628681768278</v>
      </c>
    </row>
    <row r="18" spans="1:85" ht="43.5" customHeight="1">
      <c r="A18" s="102">
        <v>4</v>
      </c>
      <c r="B18" s="103" t="s">
        <v>101</v>
      </c>
      <c r="C18" s="104" t="s">
        <v>100</v>
      </c>
      <c r="D18" s="135">
        <f>1982+2597+1312</f>
        <v>5891</v>
      </c>
      <c r="E18" s="105">
        <v>1490</v>
      </c>
      <c r="F18" s="106">
        <v>2858</v>
      </c>
      <c r="G18" s="106">
        <v>1776</v>
      </c>
      <c r="H18" s="159">
        <f>SUM(E18:G18)</f>
        <v>6124</v>
      </c>
      <c r="I18" s="160"/>
      <c r="J18" s="109">
        <v>5891</v>
      </c>
      <c r="K18" s="110">
        <v>6124</v>
      </c>
      <c r="L18" s="112">
        <v>1589.9</v>
      </c>
      <c r="M18" s="108">
        <v>1816</v>
      </c>
      <c r="N18" s="112">
        <f>52.7+966.85</f>
        <v>1019.5500000000001</v>
      </c>
      <c r="O18" s="112">
        <v>1483</v>
      </c>
      <c r="P18" s="161">
        <v>2351</v>
      </c>
      <c r="Q18" s="161">
        <v>2870</v>
      </c>
      <c r="R18" s="117">
        <f>L18+N18+P18</f>
        <v>4960.4500000000007</v>
      </c>
      <c r="S18" s="116">
        <f>M18+O18+Q18+1</f>
        <v>6170</v>
      </c>
      <c r="T18" s="117" t="e">
        <f>T20/(100-T19)*T19</f>
        <v>#REF!</v>
      </c>
      <c r="U18" s="117">
        <v>5972.06</v>
      </c>
      <c r="V18" s="116">
        <v>5972.06</v>
      </c>
      <c r="W18" s="117">
        <v>5966.79</v>
      </c>
      <c r="X18" s="117">
        <v>5799.5630000000001</v>
      </c>
      <c r="Y18" s="116">
        <v>5799.56</v>
      </c>
      <c r="Z18" s="116">
        <f t="shared" si="0"/>
        <v>167.22699999999986</v>
      </c>
      <c r="AA18" s="117">
        <f t="shared" si="1"/>
        <v>-2.9999999997016857E-3</v>
      </c>
      <c r="AB18" s="162">
        <v>5966.79</v>
      </c>
      <c r="AC18" s="149">
        <v>4794</v>
      </c>
      <c r="AD18" s="122">
        <f t="shared" si="2"/>
        <v>-1172.79</v>
      </c>
      <c r="AE18" s="163">
        <v>4794</v>
      </c>
      <c r="AF18" s="123">
        <f t="shared" si="3"/>
        <v>0</v>
      </c>
      <c r="AG18" s="124" t="e">
        <f>#REF!</f>
        <v>#REF!</v>
      </c>
      <c r="AH18" s="124">
        <v>2924.75</v>
      </c>
      <c r="AI18" s="149">
        <v>2552.6</v>
      </c>
      <c r="AJ18" s="125">
        <f>AJ20/(100-AJ19)*AJ19</f>
        <v>3059.1802928563961</v>
      </c>
      <c r="AK18" s="126">
        <f t="shared" si="4"/>
        <v>134.43029285639614</v>
      </c>
      <c r="AL18" s="155">
        <v>2839.433</v>
      </c>
      <c r="AM18" s="123">
        <f>AL18-AN18</f>
        <v>2668.413</v>
      </c>
      <c r="AN18" s="122">
        <v>171.02</v>
      </c>
      <c r="AO18" s="123">
        <v>2632</v>
      </c>
      <c r="AP18" s="154">
        <f>AO18-AJ18</f>
        <v>-427.18029285639614</v>
      </c>
      <c r="AQ18" s="155">
        <v>2632</v>
      </c>
      <c r="AR18" s="123">
        <f>AQ18-AO18</f>
        <v>0</v>
      </c>
      <c r="AS18" s="123">
        <f>AX18+AY18</f>
        <v>2839.43</v>
      </c>
      <c r="AT18" s="123">
        <v>2621.02</v>
      </c>
      <c r="AU18" s="122">
        <f>AT18-AS18</f>
        <v>-218.40999999999985</v>
      </c>
      <c r="AV18" s="123">
        <f>AV20/(100-AV19)*AV19</f>
        <v>2420.7384764945909</v>
      </c>
      <c r="AW18" s="123">
        <f>AV18-AT18</f>
        <v>-200.28152350540904</v>
      </c>
      <c r="AX18" s="123">
        <v>2668.41</v>
      </c>
      <c r="AY18" s="122">
        <v>171.02</v>
      </c>
      <c r="AZ18" s="122">
        <v>2839.43</v>
      </c>
      <c r="BA18" s="123">
        <v>2839.43</v>
      </c>
      <c r="BB18" s="123">
        <v>1962.12</v>
      </c>
      <c r="BC18" s="122">
        <f t="shared" si="7"/>
        <v>-877.31</v>
      </c>
      <c r="BD18" s="155">
        <f>BD17*BD19/100</f>
        <v>1922.4208232926533</v>
      </c>
      <c r="BE18" s="123">
        <f t="shared" ref="BE18:BE74" si="14">BD18-BB18</f>
        <v>-39.699176707346624</v>
      </c>
      <c r="BF18" s="122">
        <v>1943.28</v>
      </c>
      <c r="BG18" s="123">
        <f>BG20/(100-BG19)*BG19</f>
        <v>1912.5145506770618</v>
      </c>
      <c r="BH18" s="164">
        <f t="shared" si="8"/>
        <v>-30.765449322938139</v>
      </c>
      <c r="BI18" s="123">
        <v>567.58500000000004</v>
      </c>
      <c r="BJ18" s="122">
        <f>BJ17*BJ19/100</f>
        <v>557.32492369124486</v>
      </c>
      <c r="BK18" s="128">
        <f t="shared" si="9"/>
        <v>-10.260076308755174</v>
      </c>
      <c r="BL18" s="128">
        <f>BM18+BN18</f>
        <v>449.88</v>
      </c>
      <c r="BM18" s="122">
        <v>211.36</v>
      </c>
      <c r="BN18" s="155">
        <v>238.52</v>
      </c>
      <c r="BO18" s="123">
        <f>BO17*BO19/100</f>
        <v>442.58742937865412</v>
      </c>
      <c r="BP18" s="123">
        <v>345.47300000000001</v>
      </c>
      <c r="BQ18" s="123">
        <f>BQ20/(100-BQ19)*BQ19</f>
        <v>330.77153669682195</v>
      </c>
      <c r="BR18" s="122">
        <f>BR17*BR19/100</f>
        <v>204.07407849547616</v>
      </c>
      <c r="BS18" s="122">
        <f>BN18</f>
        <v>238.52</v>
      </c>
      <c r="BT18" s="164">
        <f>BU18+BV18</f>
        <v>449.81</v>
      </c>
      <c r="BU18" s="165">
        <v>211.36</v>
      </c>
      <c r="BV18" s="166">
        <v>238.45</v>
      </c>
      <c r="BW18" s="101">
        <f t="shared" si="10"/>
        <v>-14.701463303178059</v>
      </c>
      <c r="BX18" s="155">
        <f>BX17*BX19/100</f>
        <v>442.57352357725534</v>
      </c>
      <c r="BY18" s="123">
        <f>BY17*BY19/100</f>
        <v>442.57352357725534</v>
      </c>
      <c r="BZ18" s="164">
        <f>BZ17*BZ19/100</f>
        <v>442.57352357725534</v>
      </c>
      <c r="CA18" s="155">
        <v>449.80099999999999</v>
      </c>
      <c r="CB18" s="123">
        <f>CB20/(100-CB19)*CB19</f>
        <v>593.97239991719391</v>
      </c>
      <c r="CC18" s="123">
        <f>CC20/(100-CC19)*CC19</f>
        <v>593.97239991719391</v>
      </c>
      <c r="CD18" s="123">
        <f>CD20/(100-CD19)*CD19</f>
        <v>593.97239991719391</v>
      </c>
      <c r="CE18" s="123">
        <f t="shared" si="11"/>
        <v>144.17139991719392</v>
      </c>
      <c r="CF18" s="167"/>
      <c r="CG18" s="8"/>
    </row>
    <row r="19" spans="1:85" s="133" customFormat="1" ht="18" customHeight="1">
      <c r="A19" s="168"/>
      <c r="B19" s="103" t="s">
        <v>102</v>
      </c>
      <c r="C19" s="104" t="s">
        <v>103</v>
      </c>
      <c r="D19" s="105">
        <f>D18*100/D17</f>
        <v>9.0878237662558039</v>
      </c>
      <c r="E19" s="106">
        <f>E18*100/E17</f>
        <v>8.1733406472846948</v>
      </c>
      <c r="F19" s="106">
        <f>F18*100/F17</f>
        <v>8.1722520873841926</v>
      </c>
      <c r="G19" s="143">
        <f t="shared" ref="G19:S19" si="15">G18/G17*100</f>
        <v>8.1730326737229628</v>
      </c>
      <c r="H19" s="143">
        <f t="shared" si="15"/>
        <v>8.1727432872471049</v>
      </c>
      <c r="I19" s="143" t="e">
        <f t="shared" si="15"/>
        <v>#DIV/0!</v>
      </c>
      <c r="J19" s="143">
        <f t="shared" si="15"/>
        <v>9.0878237662558039</v>
      </c>
      <c r="K19" s="144">
        <f t="shared" si="15"/>
        <v>8.1727432872471049</v>
      </c>
      <c r="L19" s="106">
        <f t="shared" si="15"/>
        <v>8.1727383479749349</v>
      </c>
      <c r="M19" s="106">
        <f t="shared" si="15"/>
        <v>8.1717139900103497</v>
      </c>
      <c r="N19" s="106">
        <f t="shared" si="15"/>
        <v>7.0735523170905159</v>
      </c>
      <c r="O19" s="106">
        <f t="shared" si="15"/>
        <v>8.1707988980716255</v>
      </c>
      <c r="P19" s="145">
        <f t="shared" si="15"/>
        <v>8.2039292319503083</v>
      </c>
      <c r="Q19" s="145">
        <f t="shared" si="15"/>
        <v>8.1722144707992825</v>
      </c>
      <c r="R19" s="146">
        <f t="shared" si="15"/>
        <v>7.9336417470021638</v>
      </c>
      <c r="S19" s="147">
        <f t="shared" si="15"/>
        <v>8.1728349272789895</v>
      </c>
      <c r="T19" s="146">
        <v>7.93</v>
      </c>
      <c r="U19" s="146">
        <f>U18/U17*100</f>
        <v>7.9291208509619082</v>
      </c>
      <c r="V19" s="147" t="e">
        <f>V18/V17*100</f>
        <v>#REF!</v>
      </c>
      <c r="W19" s="146">
        <f>W18/W17*100</f>
        <v>7.9300045811442663</v>
      </c>
      <c r="X19" s="146">
        <f>X18/X17*100</f>
        <v>7.8985611591428997</v>
      </c>
      <c r="Y19" s="147">
        <f>Y18/Y17*100</f>
        <v>7.8985573960893189</v>
      </c>
      <c r="Z19" s="116">
        <f t="shared" si="0"/>
        <v>3.1443422001366628E-2</v>
      </c>
      <c r="AA19" s="117">
        <f t="shared" si="1"/>
        <v>-3.763053580740916E-6</v>
      </c>
      <c r="AB19" s="148">
        <f>AB18/AB17*100</f>
        <v>7.9300045811442663</v>
      </c>
      <c r="AC19" s="149">
        <v>7.0860555177816531</v>
      </c>
      <c r="AD19" s="122">
        <f t="shared" si="2"/>
        <v>-0.84394906336261322</v>
      </c>
      <c r="AE19" s="150">
        <f>AE18/AE17*100</f>
        <v>7.0860555177816531</v>
      </c>
      <c r="AF19" s="123">
        <f t="shared" si="3"/>
        <v>0</v>
      </c>
      <c r="AG19" s="151" t="e">
        <f>AG18/AG17*100</f>
        <v>#REF!</v>
      </c>
      <c r="AH19" s="151">
        <f>AH18/AH17*100</f>
        <v>4.3872563983291295</v>
      </c>
      <c r="AI19" s="152">
        <f>AI18/AI17*100</f>
        <v>3.8635833880747468</v>
      </c>
      <c r="AJ19" s="152">
        <v>4.3899999999999997</v>
      </c>
      <c r="AK19" s="126">
        <f t="shared" si="4"/>
        <v>2.7436016708701771E-3</v>
      </c>
      <c r="AL19" s="153">
        <f t="shared" ref="AL19:BA19" si="16">AL18/AL17*100</f>
        <v>3.6971151782261846</v>
      </c>
      <c r="AM19" s="152">
        <f t="shared" si="16"/>
        <v>3.8743474684136006</v>
      </c>
      <c r="AN19" s="152">
        <f t="shared" si="16"/>
        <v>2.1573157754252192</v>
      </c>
      <c r="AO19" s="152">
        <f>AO18/AO17*100</f>
        <v>3.8777163904235725</v>
      </c>
      <c r="AP19" s="154">
        <f>AO19-AJ19</f>
        <v>-0.51228360957642716</v>
      </c>
      <c r="AQ19" s="153">
        <f>AQ18/AQ17*100</f>
        <v>3.8777163904235725</v>
      </c>
      <c r="AR19" s="123">
        <f>AQ19-AO19</f>
        <v>0</v>
      </c>
      <c r="AS19" s="152">
        <f t="shared" si="16"/>
        <v>3.6971114164589118</v>
      </c>
      <c r="AT19" s="152">
        <f>AT18/AT17*100</f>
        <v>3.979117459432592</v>
      </c>
      <c r="AU19" s="151">
        <f>AT19-AS19</f>
        <v>0.28200604297368015</v>
      </c>
      <c r="AV19" s="152">
        <v>3.7</v>
      </c>
      <c r="AW19" s="152">
        <f>AV19-AT19</f>
        <v>-0.27911745943259181</v>
      </c>
      <c r="AX19" s="152">
        <f t="shared" si="16"/>
        <v>3.8743430563724668</v>
      </c>
      <c r="AY19" s="152">
        <f t="shared" si="16"/>
        <v>2.1573157754252192</v>
      </c>
      <c r="AZ19" s="152">
        <f t="shared" si="16"/>
        <v>3.6971114164589118</v>
      </c>
      <c r="BA19" s="152">
        <f t="shared" si="16"/>
        <v>3.6971114164589118</v>
      </c>
      <c r="BB19" s="152">
        <f>BB18/BB17*100</f>
        <v>3.1073181132834184</v>
      </c>
      <c r="BC19" s="151">
        <f t="shared" si="7"/>
        <v>-0.58979330317549339</v>
      </c>
      <c r="BD19" s="153">
        <f>BB19</f>
        <v>3.1073181132834184</v>
      </c>
      <c r="BE19" s="123">
        <f t="shared" si="14"/>
        <v>0</v>
      </c>
      <c r="BF19" s="151">
        <f>BF18/BF17*100</f>
        <v>2.5206366031643377</v>
      </c>
      <c r="BG19" s="152">
        <v>2.52</v>
      </c>
      <c r="BH19" s="156">
        <f t="shared" si="8"/>
        <v>-6.3660316433766795E-4</v>
      </c>
      <c r="BI19" s="152">
        <f>BI18/BI17*100</f>
        <v>1.8327355366350142</v>
      </c>
      <c r="BJ19" s="151">
        <v>1.83</v>
      </c>
      <c r="BK19" s="128">
        <f t="shared" si="9"/>
        <v>-2.7355366350141352E-3</v>
      </c>
      <c r="BL19" s="151">
        <f>BL18/BL17*100</f>
        <v>1.5782272832515944</v>
      </c>
      <c r="BM19" s="151">
        <f>BM18/BM17*100</f>
        <v>1.8527917669283336</v>
      </c>
      <c r="BN19" s="153">
        <f>BN18/BN17*100</f>
        <v>1.3950373587167904</v>
      </c>
      <c r="BO19" s="152">
        <f>BL19</f>
        <v>1.5782272832515944</v>
      </c>
      <c r="BP19" s="152">
        <f>BP18/BP17*100</f>
        <v>1.6142018626775494</v>
      </c>
      <c r="BQ19" s="152">
        <v>1.58</v>
      </c>
      <c r="BR19" s="151">
        <v>1.86459</v>
      </c>
      <c r="BS19" s="151">
        <v>1.4</v>
      </c>
      <c r="BT19" s="156">
        <f>BT18/BT17*100</f>
        <v>1.5790658021900712</v>
      </c>
      <c r="BU19" s="157">
        <f>BU18/BU17*100</f>
        <v>1.8527917669283336</v>
      </c>
      <c r="BV19" s="158">
        <f>BV18/BV17*100</f>
        <v>1.3962260615592528</v>
      </c>
      <c r="BW19" s="101">
        <f t="shared" si="10"/>
        <v>-3.4201862677549322E-2</v>
      </c>
      <c r="BX19" s="153">
        <f>BO19</f>
        <v>1.5782272832515944</v>
      </c>
      <c r="BY19" s="152">
        <f>BX19</f>
        <v>1.5782272832515944</v>
      </c>
      <c r="BZ19" s="156">
        <f>BX19</f>
        <v>1.5782272832515944</v>
      </c>
      <c r="CA19" s="153">
        <f>CA18/CA17*100</f>
        <v>1.5790343738308878</v>
      </c>
      <c r="CB19" s="123">
        <v>1.58</v>
      </c>
      <c r="CC19" s="123">
        <v>1.58</v>
      </c>
      <c r="CD19" s="123">
        <v>1.58</v>
      </c>
      <c r="CE19" s="123">
        <f t="shared" si="11"/>
        <v>9.6562616911222143E-4</v>
      </c>
    </row>
    <row r="20" spans="1:85" ht="25.5" customHeight="1">
      <c r="A20" s="102">
        <v>5</v>
      </c>
      <c r="B20" s="169" t="s">
        <v>104</v>
      </c>
      <c r="C20" s="104" t="s">
        <v>100</v>
      </c>
      <c r="D20" s="135">
        <f t="shared" ref="D20:Y20" si="17">D27+D23</f>
        <v>58932</v>
      </c>
      <c r="E20" s="142">
        <f t="shared" si="17"/>
        <v>16740</v>
      </c>
      <c r="F20" s="142">
        <f t="shared" si="17"/>
        <v>32114</v>
      </c>
      <c r="G20" s="142">
        <f t="shared" si="17"/>
        <v>19954</v>
      </c>
      <c r="H20" s="142">
        <f t="shared" si="17"/>
        <v>68808</v>
      </c>
      <c r="I20" s="142">
        <f t="shared" si="17"/>
        <v>0</v>
      </c>
      <c r="J20" s="142">
        <f t="shared" si="17"/>
        <v>58932</v>
      </c>
      <c r="K20" s="170">
        <f t="shared" si="17"/>
        <v>68808</v>
      </c>
      <c r="L20" s="106">
        <f t="shared" si="17"/>
        <v>17863.8</v>
      </c>
      <c r="M20" s="171">
        <f t="shared" si="17"/>
        <v>20407</v>
      </c>
      <c r="N20" s="106">
        <f t="shared" si="17"/>
        <v>13394</v>
      </c>
      <c r="O20" s="106">
        <f t="shared" si="17"/>
        <v>16667</v>
      </c>
      <c r="P20" s="145">
        <f t="shared" si="17"/>
        <v>26306</v>
      </c>
      <c r="Q20" s="145">
        <f t="shared" si="17"/>
        <v>32249</v>
      </c>
      <c r="R20" s="146">
        <f t="shared" si="17"/>
        <v>57563.8</v>
      </c>
      <c r="S20" s="147">
        <f t="shared" si="17"/>
        <v>69324</v>
      </c>
      <c r="T20" s="146" t="e">
        <f t="shared" si="17"/>
        <v>#REF!</v>
      </c>
      <c r="U20" s="146">
        <f t="shared" si="17"/>
        <v>69346</v>
      </c>
      <c r="V20" s="147" t="e">
        <f t="shared" si="17"/>
        <v>#REF!</v>
      </c>
      <c r="W20" s="146">
        <f t="shared" si="17"/>
        <v>69276.42</v>
      </c>
      <c r="X20" s="146">
        <f t="shared" si="17"/>
        <v>67626</v>
      </c>
      <c r="Y20" s="147">
        <f t="shared" si="17"/>
        <v>67626</v>
      </c>
      <c r="Z20" s="116">
        <f t="shared" si="0"/>
        <v>1650.4199999999983</v>
      </c>
      <c r="AA20" s="117">
        <f t="shared" si="1"/>
        <v>0</v>
      </c>
      <c r="AB20" s="148">
        <f>AB27+AB23</f>
        <v>69276.42</v>
      </c>
      <c r="AC20" s="149">
        <v>62860.3</v>
      </c>
      <c r="AD20" s="122">
        <f t="shared" si="2"/>
        <v>-6416.1199999999953</v>
      </c>
      <c r="AE20" s="150">
        <f>AE27+AE23</f>
        <v>62860.299999999996</v>
      </c>
      <c r="AF20" s="123">
        <f t="shared" si="3"/>
        <v>0</v>
      </c>
      <c r="AG20" s="151" t="e">
        <f>AG27+AG23</f>
        <v>#REF!</v>
      </c>
      <c r="AH20" s="151">
        <f>AH27+AH23</f>
        <v>63739.92</v>
      </c>
      <c r="AI20" s="152">
        <f>AI22</f>
        <v>63515.6</v>
      </c>
      <c r="AJ20" s="152">
        <f>AJ27+AJ23</f>
        <v>66626.02</v>
      </c>
      <c r="AK20" s="126">
        <f t="shared" si="4"/>
        <v>2886.1000000000058</v>
      </c>
      <c r="AL20" s="153">
        <f>AL22</f>
        <v>73961.88</v>
      </c>
      <c r="AM20" s="123">
        <f>AL20-AN20</f>
        <v>66205.456000000006</v>
      </c>
      <c r="AN20" s="151">
        <f>AN22</f>
        <v>7756.424</v>
      </c>
      <c r="AO20" s="152">
        <f>AO27+AO23</f>
        <v>65243</v>
      </c>
      <c r="AP20" s="154">
        <f>AO20-AJ20</f>
        <v>-1383.0200000000041</v>
      </c>
      <c r="AQ20" s="153">
        <f>AQ27+AQ23</f>
        <v>65243</v>
      </c>
      <c r="AR20" s="123">
        <f>AQ20-AO20</f>
        <v>0</v>
      </c>
      <c r="AS20" s="123">
        <f>AS22</f>
        <v>73961.88</v>
      </c>
      <c r="AT20" s="152">
        <f>AT27+AT23</f>
        <v>63248.36</v>
      </c>
      <c r="AU20" s="122">
        <f>AT20-AS20</f>
        <v>-10713.520000000004</v>
      </c>
      <c r="AV20" s="152">
        <f>AV27+AV23</f>
        <v>63004.625753088942</v>
      </c>
      <c r="AW20" s="123">
        <f>AV20-AT20</f>
        <v>-243.73424691105902</v>
      </c>
      <c r="AX20" s="123">
        <f>AX22</f>
        <v>66205.460000000006</v>
      </c>
      <c r="AY20" s="151">
        <f>AY22</f>
        <v>7756.424</v>
      </c>
      <c r="AZ20" s="123">
        <f>AZ22</f>
        <v>73961.88</v>
      </c>
      <c r="BA20" s="123">
        <f>BA22</f>
        <v>73961.88</v>
      </c>
      <c r="BB20" s="152">
        <f>BB27+BB23</f>
        <v>61183.008000000002</v>
      </c>
      <c r="BC20" s="122">
        <f t="shared" si="7"/>
        <v>-12778.872000000003</v>
      </c>
      <c r="BD20" s="155">
        <f>BD22</f>
        <v>59945.104586305133</v>
      </c>
      <c r="BE20" s="123">
        <f t="shared" si="14"/>
        <v>-1237.9034136948685</v>
      </c>
      <c r="BF20" s="151">
        <f>BF27+BF23</f>
        <v>75151.53</v>
      </c>
      <c r="BG20" s="152">
        <f>BG27+BG23</f>
        <v>73980.92</v>
      </c>
      <c r="BH20" s="156">
        <f t="shared" si="8"/>
        <v>-1170.6100000000006</v>
      </c>
      <c r="BI20" s="152">
        <f>BI17-BI18</f>
        <v>30401.695</v>
      </c>
      <c r="BJ20" s="151">
        <f>BJ21+BJ22</f>
        <v>29897.588939218309</v>
      </c>
      <c r="BK20" s="128">
        <f t="shared" si="9"/>
        <v>-504.10606078169076</v>
      </c>
      <c r="BL20" s="151">
        <f>BL17-BL18</f>
        <v>28055.52</v>
      </c>
      <c r="BM20" s="151">
        <f>BM17-BM18</f>
        <v>11196.289999999999</v>
      </c>
      <c r="BN20" s="153">
        <f>BN17-BN18</f>
        <v>16859.23</v>
      </c>
      <c r="BO20" s="152">
        <f>BO21+BO22</f>
        <v>27599.871837361425</v>
      </c>
      <c r="BP20" s="152">
        <f>BP21+BP22</f>
        <v>21056.620999999999</v>
      </c>
      <c r="BQ20" s="152">
        <f>BQ21+BQ22</f>
        <v>20604.135849177983</v>
      </c>
      <c r="BR20" s="151">
        <f>BR22</f>
        <v>10740.641837361423</v>
      </c>
      <c r="BS20" s="151">
        <f>BS21</f>
        <v>16859.23</v>
      </c>
      <c r="BT20" s="156">
        <f>BT17-BT18</f>
        <v>28036.02</v>
      </c>
      <c r="BU20" s="157">
        <f>BU17-BU18</f>
        <v>11196.289999999999</v>
      </c>
      <c r="BV20" s="158">
        <f>BV17-BV18</f>
        <v>16839.73</v>
      </c>
      <c r="BW20" s="101">
        <f t="shared" si="10"/>
        <v>-452.48515082201629</v>
      </c>
      <c r="BX20" s="153">
        <f>BX21+BX22</f>
        <v>27599.871837361425</v>
      </c>
      <c r="BY20" s="152">
        <f>BY21+BY22</f>
        <v>27599.871837361425</v>
      </c>
      <c r="BZ20" s="156">
        <f>BZ21+BZ22</f>
        <v>27599.871837361425</v>
      </c>
      <c r="CA20" s="153">
        <f>CA21+CA22</f>
        <v>28036.026000000002</v>
      </c>
      <c r="CB20" s="123">
        <f>CB22+CB21</f>
        <v>36999.217468259638</v>
      </c>
      <c r="CC20" s="123">
        <f>CC22+CC21</f>
        <v>36999.217468259638</v>
      </c>
      <c r="CD20" s="123">
        <f>CD22+CD21</f>
        <v>36999.217468259638</v>
      </c>
      <c r="CE20" s="123">
        <f t="shared" si="11"/>
        <v>8963.1914682596362</v>
      </c>
    </row>
    <row r="21" spans="1:85" ht="48" customHeight="1">
      <c r="A21" s="134" t="s">
        <v>105</v>
      </c>
      <c r="B21" s="169" t="s">
        <v>106</v>
      </c>
      <c r="C21" s="104" t="s">
        <v>100</v>
      </c>
      <c r="D21" s="135"/>
      <c r="E21" s="142"/>
      <c r="F21" s="142"/>
      <c r="G21" s="136"/>
      <c r="H21" s="136"/>
      <c r="I21" s="136"/>
      <c r="J21" s="136"/>
      <c r="K21" s="172"/>
      <c r="L21" s="106"/>
      <c r="M21" s="171"/>
      <c r="N21" s="106"/>
      <c r="O21" s="106"/>
      <c r="P21" s="145"/>
      <c r="Q21" s="145"/>
      <c r="R21" s="146"/>
      <c r="S21" s="147"/>
      <c r="T21" s="146"/>
      <c r="U21" s="146"/>
      <c r="V21" s="147"/>
      <c r="W21" s="146"/>
      <c r="X21" s="146"/>
      <c r="Y21" s="147"/>
      <c r="Z21" s="116"/>
      <c r="AA21" s="117"/>
      <c r="AB21" s="148"/>
      <c r="AC21" s="149"/>
      <c r="AD21" s="122"/>
      <c r="AE21" s="150"/>
      <c r="AF21" s="123"/>
      <c r="AG21" s="151"/>
      <c r="AH21" s="151"/>
      <c r="AI21" s="152"/>
      <c r="AJ21" s="152"/>
      <c r="AK21" s="126"/>
      <c r="AL21" s="153"/>
      <c r="AM21" s="123"/>
      <c r="AN21" s="151"/>
      <c r="AO21" s="152"/>
      <c r="AP21" s="154"/>
      <c r="AQ21" s="153"/>
      <c r="AR21" s="123"/>
      <c r="AS21" s="123"/>
      <c r="AT21" s="152"/>
      <c r="AU21" s="122"/>
      <c r="AV21" s="152"/>
      <c r="AW21" s="123"/>
      <c r="AX21" s="123"/>
      <c r="AY21" s="151"/>
      <c r="AZ21" s="123"/>
      <c r="BA21" s="123"/>
      <c r="BB21" s="152"/>
      <c r="BC21" s="122"/>
      <c r="BD21" s="155"/>
      <c r="BE21" s="123"/>
      <c r="BF21" s="151"/>
      <c r="BG21" s="152"/>
      <c r="BH21" s="156"/>
      <c r="BI21" s="152">
        <v>12800.186</v>
      </c>
      <c r="BJ21" s="151">
        <f>BI21</f>
        <v>12800.186</v>
      </c>
      <c r="BK21" s="128">
        <f t="shared" si="9"/>
        <v>0</v>
      </c>
      <c r="BL21" s="151"/>
      <c r="BM21" s="151"/>
      <c r="BN21" s="153"/>
      <c r="BO21" s="152">
        <f>BR21+BS21</f>
        <v>16859.23</v>
      </c>
      <c r="BP21" s="152">
        <v>13359.746999999999</v>
      </c>
      <c r="BQ21" s="152">
        <v>13359.746999999999</v>
      </c>
      <c r="BR21" s="151">
        <f>0</f>
        <v>0</v>
      </c>
      <c r="BS21" s="151">
        <v>16859.23</v>
      </c>
      <c r="BT21" s="156">
        <f>BU21+BV21</f>
        <v>16839.73</v>
      </c>
      <c r="BU21" s="157"/>
      <c r="BV21" s="158">
        <f>BV20</f>
        <v>16839.73</v>
      </c>
      <c r="BW21" s="101">
        <f t="shared" si="10"/>
        <v>0</v>
      </c>
      <c r="BX21" s="153">
        <f>BO21</f>
        <v>16859.23</v>
      </c>
      <c r="BY21" s="152">
        <f>BO21</f>
        <v>16859.23</v>
      </c>
      <c r="BZ21" s="156">
        <f>BX21</f>
        <v>16859.23</v>
      </c>
      <c r="CA21" s="153">
        <v>16839.734</v>
      </c>
      <c r="CB21" s="123">
        <f>BX21</f>
        <v>16859.23</v>
      </c>
      <c r="CC21" s="123">
        <f>BY21</f>
        <v>16859.23</v>
      </c>
      <c r="CD21" s="123">
        <f>BZ21</f>
        <v>16859.23</v>
      </c>
      <c r="CE21" s="123">
        <f t="shared" si="11"/>
        <v>19.495999999999185</v>
      </c>
      <c r="CF21" s="8"/>
    </row>
    <row r="22" spans="1:85" ht="25.5" customHeight="1">
      <c r="A22" s="134" t="s">
        <v>107</v>
      </c>
      <c r="B22" s="103" t="s">
        <v>108</v>
      </c>
      <c r="C22" s="104" t="s">
        <v>100</v>
      </c>
      <c r="D22" s="135">
        <f>D20</f>
        <v>58932</v>
      </c>
      <c r="E22" s="142">
        <f>E20</f>
        <v>16740</v>
      </c>
      <c r="F22" s="142">
        <f>F20</f>
        <v>32114</v>
      </c>
      <c r="G22" s="143">
        <f>G27</f>
        <v>19954</v>
      </c>
      <c r="H22" s="143">
        <f>H27</f>
        <v>66035</v>
      </c>
      <c r="I22" s="143">
        <f>I27</f>
        <v>0</v>
      </c>
      <c r="J22" s="143">
        <f t="shared" ref="J22:Y22" si="18">J20</f>
        <v>58932</v>
      </c>
      <c r="K22" s="144">
        <f t="shared" si="18"/>
        <v>68808</v>
      </c>
      <c r="L22" s="106">
        <f t="shared" si="18"/>
        <v>17863.8</v>
      </c>
      <c r="M22" s="171">
        <f t="shared" si="18"/>
        <v>20407</v>
      </c>
      <c r="N22" s="106">
        <f t="shared" si="18"/>
        <v>13394</v>
      </c>
      <c r="O22" s="106">
        <f t="shared" si="18"/>
        <v>16667</v>
      </c>
      <c r="P22" s="145">
        <f t="shared" si="18"/>
        <v>26306</v>
      </c>
      <c r="Q22" s="145">
        <f t="shared" si="18"/>
        <v>32249</v>
      </c>
      <c r="R22" s="146">
        <f t="shared" si="18"/>
        <v>57563.8</v>
      </c>
      <c r="S22" s="147">
        <f t="shared" si="18"/>
        <v>69324</v>
      </c>
      <c r="T22" s="146" t="e">
        <f t="shared" si="18"/>
        <v>#REF!</v>
      </c>
      <c r="U22" s="146">
        <f t="shared" si="18"/>
        <v>69346</v>
      </c>
      <c r="V22" s="147" t="e">
        <f t="shared" si="18"/>
        <v>#REF!</v>
      </c>
      <c r="W22" s="146">
        <f t="shared" si="18"/>
        <v>69276.42</v>
      </c>
      <c r="X22" s="146">
        <f t="shared" si="18"/>
        <v>67626</v>
      </c>
      <c r="Y22" s="147">
        <f t="shared" si="18"/>
        <v>67626</v>
      </c>
      <c r="Z22" s="116">
        <f t="shared" si="0"/>
        <v>1650.4199999999983</v>
      </c>
      <c r="AA22" s="117">
        <f t="shared" si="1"/>
        <v>0</v>
      </c>
      <c r="AB22" s="148">
        <f>AB20</f>
        <v>69276.42</v>
      </c>
      <c r="AC22" s="149">
        <v>62860.3</v>
      </c>
      <c r="AD22" s="122">
        <f t="shared" si="2"/>
        <v>-6416.1199999999953</v>
      </c>
      <c r="AE22" s="150">
        <f>AE20</f>
        <v>62860.299999999996</v>
      </c>
      <c r="AF22" s="123">
        <f t="shared" si="3"/>
        <v>0</v>
      </c>
      <c r="AG22" s="151" t="e">
        <f>AG20</f>
        <v>#REF!</v>
      </c>
      <c r="AH22" s="151">
        <f>AH20</f>
        <v>63739.92</v>
      </c>
      <c r="AI22" s="152">
        <f>AI23+AI27</f>
        <v>63515.6</v>
      </c>
      <c r="AJ22" s="152">
        <f>AJ20</f>
        <v>66626.02</v>
      </c>
      <c r="AK22" s="126">
        <f t="shared" si="4"/>
        <v>2886.1000000000058</v>
      </c>
      <c r="AL22" s="153">
        <f>AL23+AL27</f>
        <v>73961.88</v>
      </c>
      <c r="AM22" s="123">
        <f>AL22-AN22</f>
        <v>66205.456000000006</v>
      </c>
      <c r="AN22" s="151">
        <f>AN27</f>
        <v>7756.424</v>
      </c>
      <c r="AO22" s="152">
        <f>AO20</f>
        <v>65243</v>
      </c>
      <c r="AP22" s="154">
        <f t="shared" ref="AP22:AP27" si="19">AO22-AJ22</f>
        <v>-1383.0200000000041</v>
      </c>
      <c r="AQ22" s="153">
        <f>AQ20</f>
        <v>65243</v>
      </c>
      <c r="AR22" s="123">
        <f t="shared" ref="AR22:AR27" si="20">AQ22-AO22</f>
        <v>0</v>
      </c>
      <c r="AS22" s="152">
        <f>AS23+AS27</f>
        <v>73961.88</v>
      </c>
      <c r="AT22" s="152">
        <f>AT20</f>
        <v>63248.36</v>
      </c>
      <c r="AU22" s="151">
        <f t="shared" ref="AU22:AU27" si="21">AT22-AS22</f>
        <v>-10713.520000000004</v>
      </c>
      <c r="AV22" s="152">
        <f>AV20</f>
        <v>63004.625753088942</v>
      </c>
      <c r="AW22" s="152">
        <f t="shared" ref="AW22:AW27" si="22">AV22-AT22</f>
        <v>-243.73424691105902</v>
      </c>
      <c r="AX22" s="152">
        <f>AX23+AX27</f>
        <v>66205.460000000006</v>
      </c>
      <c r="AY22" s="151">
        <f>AY27</f>
        <v>7756.424</v>
      </c>
      <c r="AZ22" s="152">
        <f>AZ23+AZ27</f>
        <v>73961.88</v>
      </c>
      <c r="BA22" s="152">
        <f>BA23+BA27</f>
        <v>73961.88</v>
      </c>
      <c r="BB22" s="152">
        <f>BB20</f>
        <v>61183.008000000002</v>
      </c>
      <c r="BC22" s="151">
        <f t="shared" si="7"/>
        <v>-12778.872000000003</v>
      </c>
      <c r="BD22" s="153">
        <f>BD27/(1-BD24/100)</f>
        <v>59945.104586305133</v>
      </c>
      <c r="BE22" s="123">
        <f t="shared" si="14"/>
        <v>-1237.9034136948685</v>
      </c>
      <c r="BF22" s="151">
        <f>BF20</f>
        <v>75151.53</v>
      </c>
      <c r="BG22" s="152">
        <f>BG20</f>
        <v>73980.92</v>
      </c>
      <c r="BH22" s="151">
        <f>BH20</f>
        <v>-1170.6100000000006</v>
      </c>
      <c r="BI22" s="152">
        <f>BI20-BI21</f>
        <v>17601.508999999998</v>
      </c>
      <c r="BJ22" s="151">
        <f>BJ27/(1-BJ24/100)</f>
        <v>17097.402939218311</v>
      </c>
      <c r="BK22" s="128">
        <f t="shared" si="9"/>
        <v>-504.10606078168712</v>
      </c>
      <c r="BL22" s="151">
        <f>BL20</f>
        <v>28055.52</v>
      </c>
      <c r="BM22" s="151">
        <f>BM20</f>
        <v>11196.289999999999</v>
      </c>
      <c r="BN22" s="153">
        <f>BN20</f>
        <v>16859.23</v>
      </c>
      <c r="BO22" s="152">
        <f>BO27/(1-BO24/100)</f>
        <v>10740.641837361423</v>
      </c>
      <c r="BP22" s="152">
        <f>BP23+BP27</f>
        <v>7696.8739999999998</v>
      </c>
      <c r="BQ22" s="152">
        <f>BQ23+BQ27</f>
        <v>7244.3888491779844</v>
      </c>
      <c r="BR22" s="151">
        <f>BR27/(1-BR24/100)</f>
        <v>10740.641837361423</v>
      </c>
      <c r="BS22" s="151">
        <f>BS20-BS21</f>
        <v>0</v>
      </c>
      <c r="BT22" s="156">
        <f>BT20-BT21</f>
        <v>11196.29</v>
      </c>
      <c r="BU22" s="157">
        <f>BU20</f>
        <v>11196.289999999999</v>
      </c>
      <c r="BV22" s="158">
        <f>BV20-BV21</f>
        <v>0</v>
      </c>
      <c r="BW22" s="101">
        <f t="shared" si="10"/>
        <v>-452.48515082201538</v>
      </c>
      <c r="BX22" s="153">
        <f>BX27/(1-BX24/100)</f>
        <v>10740.641837361423</v>
      </c>
      <c r="BY22" s="152">
        <f>BY27/(1-BY24/100)</f>
        <v>10740.641837361423</v>
      </c>
      <c r="BZ22" s="156">
        <f>BZ27/(1-BZ24/100)</f>
        <v>10740.641837361423</v>
      </c>
      <c r="CA22" s="153">
        <f>CA23+CA27</f>
        <v>11196.292000000001</v>
      </c>
      <c r="CB22" s="123">
        <f>CB27+CB23</f>
        <v>20139.987468259642</v>
      </c>
      <c r="CC22" s="123">
        <f>CC27+CC23</f>
        <v>20139.987468259642</v>
      </c>
      <c r="CD22" s="123">
        <f>CD27+CD23</f>
        <v>20139.987468259642</v>
      </c>
      <c r="CE22" s="123">
        <f t="shared" si="11"/>
        <v>8943.6954682596406</v>
      </c>
      <c r="CF22" s="8"/>
      <c r="CG22" s="1" t="s">
        <v>109</v>
      </c>
    </row>
    <row r="23" spans="1:85" ht="23.25" customHeight="1">
      <c r="A23" s="102">
        <v>6</v>
      </c>
      <c r="B23" s="103" t="s">
        <v>110</v>
      </c>
      <c r="C23" s="104" t="s">
        <v>100</v>
      </c>
      <c r="D23" s="135">
        <v>2244</v>
      </c>
      <c r="E23" s="173"/>
      <c r="F23" s="143">
        <v>2773</v>
      </c>
      <c r="G23" s="143"/>
      <c r="H23" s="159">
        <f>SUM(E23:G23)</f>
        <v>2773</v>
      </c>
      <c r="I23" s="160"/>
      <c r="J23" s="109">
        <v>2244</v>
      </c>
      <c r="K23" s="110">
        <v>2773</v>
      </c>
      <c r="L23" s="112"/>
      <c r="M23" s="108"/>
      <c r="N23" s="112"/>
      <c r="O23" s="112"/>
      <c r="P23" s="161">
        <v>2271</v>
      </c>
      <c r="Q23" s="161">
        <v>2784</v>
      </c>
      <c r="R23" s="117">
        <f>L23+N23+P23</f>
        <v>2271</v>
      </c>
      <c r="S23" s="116">
        <f>M23+O23+Q23</f>
        <v>2784</v>
      </c>
      <c r="T23" s="117" t="e">
        <f>T27/(100-#REF!)*#REF!</f>
        <v>#REF!</v>
      </c>
      <c r="U23" s="116">
        <f>U25+U26</f>
        <v>2774</v>
      </c>
      <c r="V23" s="116" t="e">
        <f>V27/(100-#REF!)*#REF!</f>
        <v>#REF!</v>
      </c>
      <c r="W23" s="117">
        <f>W25+W26</f>
        <v>2736.42</v>
      </c>
      <c r="X23" s="117">
        <v>2599</v>
      </c>
      <c r="Y23" s="117">
        <v>2599</v>
      </c>
      <c r="Z23" s="116">
        <f t="shared" si="0"/>
        <v>137.42000000000007</v>
      </c>
      <c r="AA23" s="117">
        <f t="shared" si="1"/>
        <v>0</v>
      </c>
      <c r="AB23" s="162">
        <f>AB25+AB26</f>
        <v>2736.42</v>
      </c>
      <c r="AC23" s="149">
        <v>2371.7800000000002</v>
      </c>
      <c r="AD23" s="122">
        <f t="shared" si="2"/>
        <v>-364.63999999999987</v>
      </c>
      <c r="AE23" s="163">
        <f>AE25+AE26</f>
        <v>2371.7799999999997</v>
      </c>
      <c r="AF23" s="123">
        <f t="shared" si="3"/>
        <v>0</v>
      </c>
      <c r="AG23" s="122" t="e">
        <f>AG25+AG26</f>
        <v>#REF!</v>
      </c>
      <c r="AH23" s="122">
        <f>AH25+AH26</f>
        <v>1528.88</v>
      </c>
      <c r="AI23" s="123">
        <f>AI25+AI26</f>
        <v>1814.6</v>
      </c>
      <c r="AJ23" s="123">
        <f>AJ25+AJ26</f>
        <v>1599.02</v>
      </c>
      <c r="AK23" s="126">
        <f t="shared" si="4"/>
        <v>70.139999999999873</v>
      </c>
      <c r="AL23" s="155">
        <f>AL25+AL26</f>
        <v>1528.88</v>
      </c>
      <c r="AM23" s="123">
        <f>AL23-AN23</f>
        <v>1528.88</v>
      </c>
      <c r="AN23" s="122">
        <v>0</v>
      </c>
      <c r="AO23" s="123">
        <f>AO25+AO26</f>
        <v>1548</v>
      </c>
      <c r="AP23" s="154">
        <f t="shared" si="19"/>
        <v>-51.019999999999982</v>
      </c>
      <c r="AQ23" s="155">
        <f>AQ25+AQ26</f>
        <v>1548</v>
      </c>
      <c r="AR23" s="123">
        <f t="shared" si="20"/>
        <v>0</v>
      </c>
      <c r="AS23" s="123">
        <f>AS25+AS26</f>
        <v>1528.88</v>
      </c>
      <c r="AT23" s="123">
        <f>AT25+AT26</f>
        <v>1547.9199999999998</v>
      </c>
      <c r="AU23" s="122">
        <f t="shared" si="21"/>
        <v>19.039999999999736</v>
      </c>
      <c r="AV23" s="123">
        <f>AV27/(100-AV24)*AV24</f>
        <v>1304.195753088941</v>
      </c>
      <c r="AW23" s="123">
        <f t="shared" si="22"/>
        <v>-243.7242469110588</v>
      </c>
      <c r="AX23" s="123">
        <f>AX25+AX26</f>
        <v>1528.88</v>
      </c>
      <c r="AY23" s="122">
        <v>0</v>
      </c>
      <c r="AZ23" s="123">
        <f>AZ25+AZ26</f>
        <v>1528.88</v>
      </c>
      <c r="BA23" s="123">
        <f>BA25+BA26</f>
        <v>1528.88</v>
      </c>
      <c r="BB23" s="123">
        <f>BB25+BB26</f>
        <v>2477.04</v>
      </c>
      <c r="BC23" s="122">
        <f t="shared" si="7"/>
        <v>948.15999999999985</v>
      </c>
      <c r="BD23" s="155">
        <f>BD22*BD24/100</f>
        <v>1239.1365863051371</v>
      </c>
      <c r="BE23" s="123">
        <f t="shared" si="14"/>
        <v>-1237.9034136948628</v>
      </c>
      <c r="BF23" s="122">
        <v>2718.53</v>
      </c>
      <c r="BG23" s="123">
        <f>BG25+BG26</f>
        <v>1547.9199999999998</v>
      </c>
      <c r="BH23" s="122">
        <f>BH25+BH26</f>
        <v>1547.9199999999998</v>
      </c>
      <c r="BI23" s="123">
        <v>861.83900000000006</v>
      </c>
      <c r="BJ23" s="122">
        <f>BJ22*BJ24/100</f>
        <v>357.73293921831208</v>
      </c>
      <c r="BK23" s="128">
        <f t="shared" si="9"/>
        <v>-504.10606078168797</v>
      </c>
      <c r="BL23" s="151">
        <f>BM23+BN23</f>
        <v>677.67</v>
      </c>
      <c r="BM23" s="122">
        <v>677.67</v>
      </c>
      <c r="BN23" s="155">
        <v>0</v>
      </c>
      <c r="BO23" s="123">
        <f>BO22*BO24/100</f>
        <v>222.02183736142368</v>
      </c>
      <c r="BP23" s="123">
        <f>BP25+BP26</f>
        <v>602.44399999999996</v>
      </c>
      <c r="BQ23" s="123">
        <f>BQ27/(100-BQ24)*BQ24</f>
        <v>149.95884917798426</v>
      </c>
      <c r="BR23" s="122">
        <f>BR22*BR24/100</f>
        <v>222.02183736142368</v>
      </c>
      <c r="BS23" s="122">
        <f>BN23</f>
        <v>0</v>
      </c>
      <c r="BT23" s="164">
        <f>BT25+BT26</f>
        <v>677.67</v>
      </c>
      <c r="BU23" s="165">
        <f>BU25+BU26</f>
        <v>677.67</v>
      </c>
      <c r="BV23" s="166">
        <f>BV25+BV26</f>
        <v>0</v>
      </c>
      <c r="BW23" s="101">
        <f t="shared" si="10"/>
        <v>-452.48515082201573</v>
      </c>
      <c r="BX23" s="155">
        <f>BX22*BX24/100</f>
        <v>222.02183736142368</v>
      </c>
      <c r="BY23" s="123">
        <f>BY22*BY24/100</f>
        <v>222.02183736142368</v>
      </c>
      <c r="BZ23" s="164">
        <f>BZ22*BZ24/100</f>
        <v>222.02183736142368</v>
      </c>
      <c r="CA23" s="155">
        <f>CA25+CA26</f>
        <v>677.67200000000003</v>
      </c>
      <c r="CB23" s="123">
        <f>CB34/(100-CB24)*CB24</f>
        <v>765.88380159297446</v>
      </c>
      <c r="CC23" s="123">
        <f>CC34/(100-CC24)*CC24</f>
        <v>765.88380159297446</v>
      </c>
      <c r="CD23" s="123">
        <f>CD34/(100-CD24)*CD24</f>
        <v>765.88380159297446</v>
      </c>
      <c r="CE23" s="123">
        <f t="shared" si="11"/>
        <v>88.211801592974439</v>
      </c>
    </row>
    <row r="24" spans="1:85" s="133" customFormat="1" ht="22.5" customHeight="1">
      <c r="A24" s="168"/>
      <c r="B24" s="103" t="s">
        <v>111</v>
      </c>
      <c r="C24" s="104" t="s">
        <v>103</v>
      </c>
      <c r="D24" s="105"/>
      <c r="E24" s="173"/>
      <c r="F24" s="143"/>
      <c r="G24" s="143"/>
      <c r="H24" s="174"/>
      <c r="I24" s="175"/>
      <c r="J24" s="139"/>
      <c r="K24" s="140"/>
      <c r="L24" s="112"/>
      <c r="M24" s="108"/>
      <c r="N24" s="112"/>
      <c r="O24" s="112"/>
      <c r="P24" s="161"/>
      <c r="Q24" s="161"/>
      <c r="R24" s="116">
        <f>R23/R22*100</f>
        <v>3.9451877742609067</v>
      </c>
      <c r="S24" s="116">
        <f>S23/S22*100</f>
        <v>4.0159252207027869</v>
      </c>
      <c r="T24" s="117"/>
      <c r="U24" s="116">
        <f t="shared" ref="U24:AI24" si="23">U23/U22*100</f>
        <v>4.0002307270787067</v>
      </c>
      <c r="V24" s="116" t="e">
        <f t="shared" si="23"/>
        <v>#REF!</v>
      </c>
      <c r="W24" s="116">
        <f t="shared" si="23"/>
        <v>3.9500020353245735</v>
      </c>
      <c r="X24" s="116">
        <f t="shared" si="23"/>
        <v>3.8431964037500368</v>
      </c>
      <c r="Y24" s="116">
        <f t="shared" si="23"/>
        <v>3.8431964037500368</v>
      </c>
      <c r="Z24" s="116">
        <f t="shared" si="23"/>
        <v>8.3263654100168569</v>
      </c>
      <c r="AA24" s="116" t="e">
        <f t="shared" si="23"/>
        <v>#DIV/0!</v>
      </c>
      <c r="AB24" s="116">
        <f t="shared" si="23"/>
        <v>3.9500020353245735</v>
      </c>
      <c r="AC24" s="116">
        <f t="shared" si="23"/>
        <v>3.7730968512717884</v>
      </c>
      <c r="AD24" s="116">
        <f t="shared" si="23"/>
        <v>5.6831854765808636</v>
      </c>
      <c r="AE24" s="116">
        <f t="shared" si="23"/>
        <v>3.7730968512717884</v>
      </c>
      <c r="AF24" s="116" t="e">
        <f t="shared" si="23"/>
        <v>#DIV/0!</v>
      </c>
      <c r="AG24" s="116" t="e">
        <f t="shared" si="23"/>
        <v>#REF!</v>
      </c>
      <c r="AH24" s="116">
        <f t="shared" si="23"/>
        <v>2.3986224017852549</v>
      </c>
      <c r="AI24" s="117">
        <f t="shared" si="23"/>
        <v>2.8569359338493219</v>
      </c>
      <c r="AJ24" s="117">
        <f>AJ23/AJ22*100</f>
        <v>2.3999932759003162</v>
      </c>
      <c r="AK24" s="126">
        <f t="shared" si="4"/>
        <v>1.3708741150613157E-3</v>
      </c>
      <c r="AL24" s="116">
        <f t="shared" ref="AL24:BA24" si="24">AL23/AL22*100</f>
        <v>2.0671188996277543</v>
      </c>
      <c r="AM24" s="117">
        <f t="shared" si="24"/>
        <v>2.309296079767202</v>
      </c>
      <c r="AN24" s="117">
        <f t="shared" si="24"/>
        <v>0</v>
      </c>
      <c r="AO24" s="117">
        <f>AO23/AO22*100</f>
        <v>2.3726683322348756</v>
      </c>
      <c r="AP24" s="154">
        <f t="shared" si="19"/>
        <v>-2.7324943665440582E-2</v>
      </c>
      <c r="AQ24" s="116">
        <f>AQ23/AQ22*100</f>
        <v>2.3726683322348756</v>
      </c>
      <c r="AR24" s="123">
        <f t="shared" si="20"/>
        <v>0</v>
      </c>
      <c r="AS24" s="117">
        <f t="shared" si="24"/>
        <v>2.0671188996277543</v>
      </c>
      <c r="AT24" s="117">
        <f>AT23/AT22*100</f>
        <v>2.4473678052679939</v>
      </c>
      <c r="AU24" s="163">
        <f t="shared" si="21"/>
        <v>0.38024890564023961</v>
      </c>
      <c r="AV24" s="117">
        <v>2.0699999999999998</v>
      </c>
      <c r="AW24" s="117">
        <f t="shared" si="22"/>
        <v>-0.37736780526799407</v>
      </c>
      <c r="AX24" s="117">
        <f t="shared" si="24"/>
        <v>2.3092959402442035</v>
      </c>
      <c r="AY24" s="117">
        <f t="shared" si="24"/>
        <v>0</v>
      </c>
      <c r="AZ24" s="117">
        <f t="shared" si="24"/>
        <v>2.0671188996277543</v>
      </c>
      <c r="BA24" s="117">
        <f t="shared" si="24"/>
        <v>2.0671188996277543</v>
      </c>
      <c r="BB24" s="117">
        <f>BB23/BB22*100</f>
        <v>4.0485750553487003</v>
      </c>
      <c r="BC24" s="163">
        <f t="shared" si="7"/>
        <v>1.981456155720946</v>
      </c>
      <c r="BD24" s="116">
        <f>BA24</f>
        <v>2.0671188996277543</v>
      </c>
      <c r="BE24" s="123">
        <f t="shared" si="14"/>
        <v>-1.981456155720946</v>
      </c>
      <c r="BF24" s="163">
        <f>BF23/BF22*100</f>
        <v>3.6173980755947355</v>
      </c>
      <c r="BG24" s="117">
        <f>BG23/BG22*100</f>
        <v>2.092323263890203</v>
      </c>
      <c r="BH24" s="163">
        <f>BH23/BH22*100</f>
        <v>-132.23191327598425</v>
      </c>
      <c r="BI24" s="117">
        <f>BI23/BI22*100</f>
        <v>4.8963926899676622</v>
      </c>
      <c r="BJ24" s="163">
        <f>BG24</f>
        <v>2.092323263890203</v>
      </c>
      <c r="BK24" s="128">
        <f t="shared" si="9"/>
        <v>-2.8040694260774592</v>
      </c>
      <c r="BL24" s="163">
        <f>BL23/BL22*100</f>
        <v>2.415460486920221</v>
      </c>
      <c r="BM24" s="163">
        <f>BM23/BM22*100</f>
        <v>6.0526299336655276</v>
      </c>
      <c r="BN24" s="116">
        <f>BN23/BN22*100</f>
        <v>0</v>
      </c>
      <c r="BO24" s="117">
        <f>BD24</f>
        <v>2.0671188996277543</v>
      </c>
      <c r="BP24" s="117">
        <f>BP23/BP22*100</f>
        <v>7.8271256616647218</v>
      </c>
      <c r="BQ24" s="117">
        <v>2.0699999999999998</v>
      </c>
      <c r="BR24" s="163">
        <f>BD24</f>
        <v>2.0671188996277543</v>
      </c>
      <c r="BS24" s="163">
        <f>BN24</f>
        <v>0</v>
      </c>
      <c r="BT24" s="162">
        <f>BT23/BT22*100</f>
        <v>6.0526299336655258</v>
      </c>
      <c r="BU24" s="176">
        <f>BU23/BU22*100</f>
        <v>6.0526299336655276</v>
      </c>
      <c r="BV24" s="177">
        <v>0</v>
      </c>
      <c r="BW24" s="101">
        <f t="shared" si="10"/>
        <v>-5.7571256616647215</v>
      </c>
      <c r="BX24" s="116">
        <f>BO24</f>
        <v>2.0671188996277543</v>
      </c>
      <c r="BY24" s="117">
        <f>BX24</f>
        <v>2.0671188996277543</v>
      </c>
      <c r="BZ24" s="162">
        <f>BX24</f>
        <v>2.0671188996277543</v>
      </c>
      <c r="CA24" s="116">
        <f>CA23/CA22*100</f>
        <v>6.052646715537608</v>
      </c>
      <c r="CB24" s="123">
        <v>2.0699999999999998</v>
      </c>
      <c r="CC24" s="123">
        <v>2.0699999999999998</v>
      </c>
      <c r="CD24" s="123">
        <v>2.0699999999999998</v>
      </c>
      <c r="CE24" s="123">
        <f t="shared" si="11"/>
        <v>-3.9826467155376082</v>
      </c>
    </row>
    <row r="25" spans="1:85" ht="24.75" customHeight="1">
      <c r="A25" s="178">
        <v>39453</v>
      </c>
      <c r="B25" s="103" t="s">
        <v>112</v>
      </c>
      <c r="C25" s="104" t="s">
        <v>100</v>
      </c>
      <c r="D25" s="135"/>
      <c r="E25" s="173"/>
      <c r="F25" s="143"/>
      <c r="G25" s="143"/>
      <c r="H25" s="137"/>
      <c r="I25" s="138"/>
      <c r="J25" s="139"/>
      <c r="K25" s="140"/>
      <c r="L25" s="112"/>
      <c r="M25" s="108"/>
      <c r="N25" s="112"/>
      <c r="O25" s="112"/>
      <c r="P25" s="161"/>
      <c r="Q25" s="161"/>
      <c r="R25" s="117"/>
      <c r="S25" s="116"/>
      <c r="T25" s="117">
        <v>2177.7199999999998</v>
      </c>
      <c r="U25" s="117">
        <v>2091</v>
      </c>
      <c r="V25" s="116" t="e">
        <f>V23-V26</f>
        <v>#REF!</v>
      </c>
      <c r="W25" s="117">
        <v>2177.7199999999998</v>
      </c>
      <c r="X25" s="117">
        <f>X23-X26</f>
        <v>2299</v>
      </c>
      <c r="Y25" s="117">
        <f>Y23-Y26</f>
        <v>2299</v>
      </c>
      <c r="Z25" s="116">
        <f>W25-X25</f>
        <v>-121.2800000000002</v>
      </c>
      <c r="AA25" s="117">
        <f>Y25-X25</f>
        <v>0</v>
      </c>
      <c r="AB25" s="162">
        <v>2177.7199999999998</v>
      </c>
      <c r="AC25" s="149">
        <v>2102</v>
      </c>
      <c r="AD25" s="122">
        <f>AC25-AB25</f>
        <v>-75.7199999999998</v>
      </c>
      <c r="AE25" s="163">
        <v>2102</v>
      </c>
      <c r="AF25" s="123">
        <f>AE25-AC25</f>
        <v>0</v>
      </c>
      <c r="AG25" s="124" t="e">
        <f>#REF!</f>
        <v>#REF!</v>
      </c>
      <c r="AH25" s="124">
        <v>1375.64</v>
      </c>
      <c r="AI25" s="149">
        <v>1566.6</v>
      </c>
      <c r="AJ25" s="123">
        <v>1438.7498513944847</v>
      </c>
      <c r="AK25" s="126">
        <f t="shared" si="4"/>
        <v>63.109851394484622</v>
      </c>
      <c r="AL25" s="155">
        <v>1375.64</v>
      </c>
      <c r="AM25" s="123">
        <f>AL25-AN25</f>
        <v>1375.64</v>
      </c>
      <c r="AN25" s="122">
        <v>0</v>
      </c>
      <c r="AO25" s="123">
        <v>1395</v>
      </c>
      <c r="AP25" s="154">
        <f t="shared" si="19"/>
        <v>-43.749851394484722</v>
      </c>
      <c r="AQ25" s="155">
        <v>1395</v>
      </c>
      <c r="AR25" s="123">
        <f t="shared" si="20"/>
        <v>0</v>
      </c>
      <c r="AS25" s="123">
        <v>1375.64</v>
      </c>
      <c r="AT25" s="123">
        <v>1368.58</v>
      </c>
      <c r="AU25" s="122">
        <f t="shared" si="21"/>
        <v>-7.0600000000001728</v>
      </c>
      <c r="AV25" s="123">
        <f>AV23-AV26</f>
        <v>1150.955753088941</v>
      </c>
      <c r="AW25" s="123">
        <f t="shared" si="22"/>
        <v>-217.62424691105889</v>
      </c>
      <c r="AX25" s="123">
        <v>1375.64</v>
      </c>
      <c r="AY25" s="122">
        <v>0</v>
      </c>
      <c r="AZ25" s="123">
        <v>1375.64</v>
      </c>
      <c r="BA25" s="123">
        <v>1375.64</v>
      </c>
      <c r="BB25" s="123">
        <v>2404.0500000000002</v>
      </c>
      <c r="BC25" s="122">
        <f t="shared" si="7"/>
        <v>1028.4100000000001</v>
      </c>
      <c r="BD25" s="155">
        <f>BD23-BD26</f>
        <v>1166.1465863051371</v>
      </c>
      <c r="BE25" s="123">
        <f t="shared" si="14"/>
        <v>-1237.903413694863</v>
      </c>
      <c r="BF25" s="122"/>
      <c r="BG25" s="123">
        <v>1368.58</v>
      </c>
      <c r="BH25" s="164">
        <f t="shared" si="8"/>
        <v>1368.58</v>
      </c>
      <c r="BI25" s="123">
        <f>BI23-BI26</f>
        <v>832.2</v>
      </c>
      <c r="BJ25" s="122">
        <f>BJ23-BJ26</f>
        <v>333.39293921831211</v>
      </c>
      <c r="BK25" s="128">
        <f t="shared" si="9"/>
        <v>-498.80706078168794</v>
      </c>
      <c r="BL25" s="122">
        <f>BM25</f>
        <v>657.3</v>
      </c>
      <c r="BM25" s="122">
        <v>657.3</v>
      </c>
      <c r="BN25" s="155">
        <v>0</v>
      </c>
      <c r="BO25" s="123">
        <f>BO23-BO26</f>
        <v>201.65183736142367</v>
      </c>
      <c r="BP25" s="123">
        <v>584.005</v>
      </c>
      <c r="BQ25" s="123">
        <f>BQ23-BQ26</f>
        <v>131.51984917798427</v>
      </c>
      <c r="BR25" s="122">
        <f>BR23-BR26</f>
        <v>201.65183736142367</v>
      </c>
      <c r="BS25" s="122">
        <f>BN25</f>
        <v>0</v>
      </c>
      <c r="BT25" s="164">
        <f>BU25+BV25</f>
        <v>657.3</v>
      </c>
      <c r="BU25" s="165">
        <v>657.3</v>
      </c>
      <c r="BV25" s="166">
        <v>0</v>
      </c>
      <c r="BW25" s="101">
        <f t="shared" si="10"/>
        <v>-452.48515082201573</v>
      </c>
      <c r="BX25" s="155">
        <f>BX23-BX26</f>
        <v>197.68183736142367</v>
      </c>
      <c r="BY25" s="123">
        <f>BY23-BY26</f>
        <v>197.68183736142367</v>
      </c>
      <c r="BZ25" s="164">
        <f>BZ23-BZ26</f>
        <v>197.68183736142367</v>
      </c>
      <c r="CA25" s="155">
        <v>657.29700000000003</v>
      </c>
      <c r="CB25" s="123">
        <f>CB23-CB26</f>
        <v>741.54380159297443</v>
      </c>
      <c r="CC25" s="123">
        <f>CC23-CC26</f>
        <v>741.54380159297443</v>
      </c>
      <c r="CD25" s="123">
        <f>CD23-CD26</f>
        <v>741.54380159297443</v>
      </c>
      <c r="CE25" s="123">
        <f t="shared" si="11"/>
        <v>84.246801592974407</v>
      </c>
    </row>
    <row r="26" spans="1:85" ht="18" customHeight="1">
      <c r="A26" s="178">
        <v>39484</v>
      </c>
      <c r="B26" s="103" t="s">
        <v>113</v>
      </c>
      <c r="C26" s="104" t="s">
        <v>100</v>
      </c>
      <c r="D26" s="135"/>
      <c r="E26" s="173"/>
      <c r="F26" s="143"/>
      <c r="G26" s="143"/>
      <c r="H26" s="137"/>
      <c r="I26" s="138"/>
      <c r="J26" s="139"/>
      <c r="K26" s="140"/>
      <c r="L26" s="112"/>
      <c r="M26" s="108"/>
      <c r="N26" s="112"/>
      <c r="O26" s="112"/>
      <c r="P26" s="161"/>
      <c r="Q26" s="161"/>
      <c r="R26" s="117"/>
      <c r="S26" s="116"/>
      <c r="T26" s="117">
        <v>558.70000000000005</v>
      </c>
      <c r="U26" s="117">
        <v>683</v>
      </c>
      <c r="V26" s="116">
        <f>112+571</f>
        <v>683</v>
      </c>
      <c r="W26" s="117">
        <v>558.70000000000005</v>
      </c>
      <c r="X26" s="117">
        <v>300</v>
      </c>
      <c r="Y26" s="117">
        <v>300</v>
      </c>
      <c r="Z26" s="116">
        <f>W26-X26</f>
        <v>258.70000000000005</v>
      </c>
      <c r="AA26" s="117">
        <f>Y26-X26</f>
        <v>0</v>
      </c>
      <c r="AB26" s="162">
        <v>558.70000000000005</v>
      </c>
      <c r="AC26" s="149">
        <v>269.77999999999997</v>
      </c>
      <c r="AD26" s="122">
        <f>AC26-AB26</f>
        <v>-288.92000000000007</v>
      </c>
      <c r="AE26" s="149">
        <v>269.77999999999997</v>
      </c>
      <c r="AF26" s="123">
        <f>AE26-AC26</f>
        <v>0</v>
      </c>
      <c r="AG26" s="124" t="e">
        <f>#REF!</f>
        <v>#REF!</v>
      </c>
      <c r="AH26" s="124">
        <v>153.24</v>
      </c>
      <c r="AI26" s="149">
        <v>248</v>
      </c>
      <c r="AJ26" s="123">
        <v>160.27014860551515</v>
      </c>
      <c r="AK26" s="126">
        <f t="shared" si="4"/>
        <v>7.0301486055151372</v>
      </c>
      <c r="AL26" s="155">
        <v>153.24</v>
      </c>
      <c r="AM26" s="123">
        <f>AL26-AN26</f>
        <v>153.24</v>
      </c>
      <c r="AN26" s="122">
        <v>0</v>
      </c>
      <c r="AO26" s="123">
        <v>153</v>
      </c>
      <c r="AP26" s="154">
        <f t="shared" si="19"/>
        <v>-7.2701486055151463</v>
      </c>
      <c r="AQ26" s="155">
        <v>153</v>
      </c>
      <c r="AR26" s="123">
        <f t="shared" si="20"/>
        <v>0</v>
      </c>
      <c r="AS26" s="123">
        <v>153.24</v>
      </c>
      <c r="AT26" s="123">
        <v>179.34</v>
      </c>
      <c r="AU26" s="122">
        <f t="shared" si="21"/>
        <v>26.099999999999994</v>
      </c>
      <c r="AV26" s="123">
        <v>153.24</v>
      </c>
      <c r="AW26" s="123">
        <f t="shared" si="22"/>
        <v>-26.099999999999994</v>
      </c>
      <c r="AX26" s="123">
        <v>153.24</v>
      </c>
      <c r="AY26" s="122">
        <v>0</v>
      </c>
      <c r="AZ26" s="123">
        <v>153.24</v>
      </c>
      <c r="BA26" s="123">
        <v>153.24</v>
      </c>
      <c r="BB26" s="123">
        <v>72.989999999999995</v>
      </c>
      <c r="BC26" s="122">
        <f t="shared" si="7"/>
        <v>-80.250000000000014</v>
      </c>
      <c r="BD26" s="155">
        <f>BB26</f>
        <v>72.989999999999995</v>
      </c>
      <c r="BE26" s="123">
        <f t="shared" si="14"/>
        <v>0</v>
      </c>
      <c r="BF26" s="122"/>
      <c r="BG26" s="123">
        <v>179.34</v>
      </c>
      <c r="BH26" s="164">
        <f t="shared" si="8"/>
        <v>179.34</v>
      </c>
      <c r="BI26" s="123">
        <v>29.638999999999999</v>
      </c>
      <c r="BJ26" s="122">
        <f>22.15+2.19</f>
        <v>24.34</v>
      </c>
      <c r="BK26" s="128">
        <f t="shared" si="9"/>
        <v>-5.2989999999999995</v>
      </c>
      <c r="BL26" s="122">
        <f>BM26</f>
        <v>20.37</v>
      </c>
      <c r="BM26" s="122">
        <v>20.37</v>
      </c>
      <c r="BN26" s="155">
        <v>0</v>
      </c>
      <c r="BO26" s="123">
        <f>BR26</f>
        <v>20.37</v>
      </c>
      <c r="BP26" s="123">
        <v>18.439</v>
      </c>
      <c r="BQ26" s="123">
        <v>18.439</v>
      </c>
      <c r="BR26" s="122">
        <f>BM26</f>
        <v>20.37</v>
      </c>
      <c r="BS26" s="122">
        <f>BN26</f>
        <v>0</v>
      </c>
      <c r="BT26" s="164">
        <f>BU26+BV26</f>
        <v>20.37</v>
      </c>
      <c r="BU26" s="165">
        <v>20.37</v>
      </c>
      <c r="BV26" s="166">
        <v>0</v>
      </c>
      <c r="BW26" s="101">
        <f t="shared" si="10"/>
        <v>0</v>
      </c>
      <c r="BX26" s="155">
        <f>BJ26</f>
        <v>24.34</v>
      </c>
      <c r="BY26" s="123">
        <f>BX26</f>
        <v>24.34</v>
      </c>
      <c r="BZ26" s="164">
        <f>BX26</f>
        <v>24.34</v>
      </c>
      <c r="CA26" s="155">
        <v>20.375</v>
      </c>
      <c r="CB26" s="123">
        <f>BX26</f>
        <v>24.34</v>
      </c>
      <c r="CC26" s="123">
        <f>BY26</f>
        <v>24.34</v>
      </c>
      <c r="CD26" s="123">
        <f>BZ26</f>
        <v>24.34</v>
      </c>
      <c r="CE26" s="123">
        <f t="shared" si="11"/>
        <v>3.9649999999999999</v>
      </c>
    </row>
    <row r="27" spans="1:85" ht="24.75" customHeight="1">
      <c r="A27" s="102">
        <v>7</v>
      </c>
      <c r="B27" s="103" t="s">
        <v>114</v>
      </c>
      <c r="C27" s="104" t="s">
        <v>100</v>
      </c>
      <c r="D27" s="135">
        <f t="shared" ref="D27:Q27" si="25">D32+D33</f>
        <v>56688</v>
      </c>
      <c r="E27" s="142">
        <f t="shared" si="25"/>
        <v>16740</v>
      </c>
      <c r="F27" s="142">
        <f t="shared" si="25"/>
        <v>29341</v>
      </c>
      <c r="G27" s="143">
        <f t="shared" si="25"/>
        <v>19954</v>
      </c>
      <c r="H27" s="143">
        <f t="shared" si="25"/>
        <v>66035</v>
      </c>
      <c r="I27" s="143">
        <f t="shared" si="25"/>
        <v>0</v>
      </c>
      <c r="J27" s="143">
        <f t="shared" si="25"/>
        <v>56688</v>
      </c>
      <c r="K27" s="144">
        <f t="shared" si="25"/>
        <v>66035</v>
      </c>
      <c r="L27" s="106">
        <f t="shared" si="25"/>
        <v>17863.8</v>
      </c>
      <c r="M27" s="171">
        <f t="shared" si="25"/>
        <v>20407</v>
      </c>
      <c r="N27" s="106">
        <f t="shared" si="25"/>
        <v>13394</v>
      </c>
      <c r="O27" s="106">
        <f t="shared" si="25"/>
        <v>16667</v>
      </c>
      <c r="P27" s="145">
        <f t="shared" si="25"/>
        <v>24035</v>
      </c>
      <c r="Q27" s="145">
        <f t="shared" si="25"/>
        <v>29465</v>
      </c>
      <c r="R27" s="146">
        <f t="shared" ref="R27:AI27" si="26">R33</f>
        <v>55292.800000000003</v>
      </c>
      <c r="S27" s="146">
        <f t="shared" si="26"/>
        <v>66540</v>
      </c>
      <c r="T27" s="146">
        <f t="shared" si="26"/>
        <v>66540</v>
      </c>
      <c r="U27" s="146">
        <f t="shared" si="26"/>
        <v>66572</v>
      </c>
      <c r="V27" s="146">
        <f t="shared" si="26"/>
        <v>66572</v>
      </c>
      <c r="W27" s="146">
        <f t="shared" si="26"/>
        <v>66540</v>
      </c>
      <c r="X27" s="146">
        <f t="shared" si="26"/>
        <v>65027</v>
      </c>
      <c r="Y27" s="146">
        <f t="shared" si="26"/>
        <v>65027</v>
      </c>
      <c r="Z27" s="146">
        <f t="shared" si="26"/>
        <v>1513</v>
      </c>
      <c r="AA27" s="146">
        <f t="shared" si="26"/>
        <v>0</v>
      </c>
      <c r="AB27" s="146">
        <f t="shared" si="26"/>
        <v>66540</v>
      </c>
      <c r="AC27" s="146">
        <f t="shared" si="26"/>
        <v>60488.52</v>
      </c>
      <c r="AD27" s="146">
        <f t="shared" si="26"/>
        <v>-6051.4800000000032</v>
      </c>
      <c r="AE27" s="146">
        <f t="shared" si="26"/>
        <v>60488.52</v>
      </c>
      <c r="AF27" s="146">
        <f t="shared" si="26"/>
        <v>0</v>
      </c>
      <c r="AG27" s="146" t="e">
        <f t="shared" si="26"/>
        <v>#REF!</v>
      </c>
      <c r="AH27" s="146">
        <f t="shared" si="26"/>
        <v>62211.040000000001</v>
      </c>
      <c r="AI27" s="146">
        <f t="shared" si="26"/>
        <v>61701</v>
      </c>
      <c r="AJ27" s="146">
        <f>AJ33</f>
        <v>65027</v>
      </c>
      <c r="AK27" s="179">
        <f>AK33</f>
        <v>2815.9599999999991</v>
      </c>
      <c r="AL27" s="147">
        <f>AL33</f>
        <v>72433</v>
      </c>
      <c r="AM27" s="123">
        <f>AL27-AN27</f>
        <v>64676.576000000001</v>
      </c>
      <c r="AN27" s="150">
        <f>AN33</f>
        <v>7756.424</v>
      </c>
      <c r="AO27" s="146">
        <f>AO33</f>
        <v>63695</v>
      </c>
      <c r="AP27" s="154">
        <f t="shared" si="19"/>
        <v>-1332</v>
      </c>
      <c r="AQ27" s="147">
        <f>AQ33</f>
        <v>63695</v>
      </c>
      <c r="AR27" s="123">
        <f t="shared" si="20"/>
        <v>0</v>
      </c>
      <c r="AS27" s="146">
        <f>AS33</f>
        <v>72433</v>
      </c>
      <c r="AT27" s="146">
        <f>AT33</f>
        <v>61700.44</v>
      </c>
      <c r="AU27" s="150">
        <f t="shared" si="21"/>
        <v>-10732.559999999998</v>
      </c>
      <c r="AV27" s="146">
        <f>AV33+AV32</f>
        <v>61700.43</v>
      </c>
      <c r="AW27" s="146">
        <f t="shared" si="22"/>
        <v>-1.0000000002037268E-2</v>
      </c>
      <c r="AX27" s="123">
        <f>AX33</f>
        <v>64676.58</v>
      </c>
      <c r="AY27" s="150">
        <f>AY33</f>
        <v>7756.424</v>
      </c>
      <c r="AZ27" s="146">
        <f>AZ33</f>
        <v>72433</v>
      </c>
      <c r="BA27" s="146">
        <f>BA33</f>
        <v>72433</v>
      </c>
      <c r="BB27" s="146">
        <f>BB33</f>
        <v>58705.968000000001</v>
      </c>
      <c r="BC27" s="150">
        <f t="shared" si="7"/>
        <v>-13727.031999999999</v>
      </c>
      <c r="BD27" s="147">
        <f>BB27</f>
        <v>58705.968000000001</v>
      </c>
      <c r="BE27" s="123">
        <f t="shared" si="14"/>
        <v>0</v>
      </c>
      <c r="BF27" s="150">
        <f>BF33+BF32</f>
        <v>72433</v>
      </c>
      <c r="BG27" s="146">
        <f>BG33</f>
        <v>72433</v>
      </c>
      <c r="BH27" s="148">
        <f t="shared" si="8"/>
        <v>0</v>
      </c>
      <c r="BI27" s="146">
        <f>BI22-BI23</f>
        <v>16739.669999999998</v>
      </c>
      <c r="BJ27" s="150">
        <f>BJ33</f>
        <v>16739.669999999998</v>
      </c>
      <c r="BK27" s="128">
        <f t="shared" si="9"/>
        <v>0</v>
      </c>
      <c r="BL27" s="150">
        <f>BL22-BL23</f>
        <v>27377.850000000002</v>
      </c>
      <c r="BM27" s="150">
        <f>BM22-BM23</f>
        <v>10518.619999999999</v>
      </c>
      <c r="BN27" s="147">
        <f>BN22-BN23</f>
        <v>16859.23</v>
      </c>
      <c r="BO27" s="146">
        <f>BO33</f>
        <v>10518.62</v>
      </c>
      <c r="BP27" s="146">
        <f>BP33</f>
        <v>7094.43</v>
      </c>
      <c r="BQ27" s="146">
        <f>BQ33</f>
        <v>7094.43</v>
      </c>
      <c r="BR27" s="150">
        <v>10518.62</v>
      </c>
      <c r="BS27" s="150">
        <f>BS22</f>
        <v>0</v>
      </c>
      <c r="BT27" s="148">
        <f>BT22-BT23</f>
        <v>10518.62</v>
      </c>
      <c r="BU27" s="180">
        <f>BU22-BU23</f>
        <v>10518.619999999999</v>
      </c>
      <c r="BV27" s="181">
        <v>0</v>
      </c>
      <c r="BW27" s="101">
        <f t="shared" si="10"/>
        <v>0</v>
      </c>
      <c r="BX27" s="147">
        <f>BX33</f>
        <v>10518.62</v>
      </c>
      <c r="BY27" s="146">
        <f>BY33</f>
        <v>10518.62</v>
      </c>
      <c r="BZ27" s="148">
        <f>BZ33</f>
        <v>10518.62</v>
      </c>
      <c r="CA27" s="147">
        <f>CA33</f>
        <v>10518.62</v>
      </c>
      <c r="CB27" s="123">
        <f>CB34-CB21</f>
        <v>19374.103666666666</v>
      </c>
      <c r="CC27" s="123">
        <f>CC34-CC21</f>
        <v>19374.103666666666</v>
      </c>
      <c r="CD27" s="123">
        <f>CD34-CD21</f>
        <v>19374.103666666666</v>
      </c>
      <c r="CE27" s="123">
        <f t="shared" si="11"/>
        <v>8855.4836666666652</v>
      </c>
    </row>
    <row r="28" spans="1:85" ht="18" hidden="1" customHeight="1">
      <c r="A28" s="102"/>
      <c r="B28" s="182" t="s">
        <v>115</v>
      </c>
      <c r="C28" s="183" t="s">
        <v>116</v>
      </c>
      <c r="D28" s="135"/>
      <c r="E28" s="135"/>
      <c r="F28" s="142"/>
      <c r="G28" s="143"/>
      <c r="H28" s="143"/>
      <c r="I28" s="184"/>
      <c r="J28" s="143"/>
      <c r="K28" s="144"/>
      <c r="L28" s="106"/>
      <c r="M28" s="171"/>
      <c r="N28" s="106"/>
      <c r="O28" s="106"/>
      <c r="P28" s="145"/>
      <c r="Q28" s="145"/>
      <c r="R28" s="146"/>
      <c r="S28" s="147"/>
      <c r="T28" s="146"/>
      <c r="U28" s="146"/>
      <c r="V28" s="147"/>
      <c r="W28" s="146"/>
      <c r="X28" s="146"/>
      <c r="Y28" s="147"/>
      <c r="Z28" s="147"/>
      <c r="AA28" s="146"/>
      <c r="AB28" s="148"/>
      <c r="AC28" s="146"/>
      <c r="AD28" s="150"/>
      <c r="AE28" s="150"/>
      <c r="AF28" s="146"/>
      <c r="AG28" s="150"/>
      <c r="AH28" s="150"/>
      <c r="AI28" s="146"/>
      <c r="AJ28" s="146"/>
      <c r="AK28" s="179"/>
      <c r="AL28" s="147"/>
      <c r="AM28" s="123"/>
      <c r="AN28" s="150"/>
      <c r="AO28" s="146"/>
      <c r="AP28" s="154"/>
      <c r="AQ28" s="147"/>
      <c r="AR28" s="123"/>
      <c r="AS28" s="146"/>
      <c r="AT28" s="146"/>
      <c r="AU28" s="150"/>
      <c r="AV28" s="146"/>
      <c r="AW28" s="146"/>
      <c r="AX28" s="123"/>
      <c r="AY28" s="150"/>
      <c r="AZ28" s="146"/>
      <c r="BA28" s="146"/>
      <c r="BB28" s="146"/>
      <c r="BC28" s="150">
        <f t="shared" si="7"/>
        <v>0</v>
      </c>
      <c r="BD28" s="147"/>
      <c r="BE28" s="123">
        <f t="shared" si="14"/>
        <v>0</v>
      </c>
      <c r="BF28" s="150">
        <f>BF27-BF30</f>
        <v>54686</v>
      </c>
      <c r="BG28" s="146">
        <f>BG27-BG30</f>
        <v>69211.446622675459</v>
      </c>
      <c r="BH28" s="148">
        <f t="shared" si="8"/>
        <v>14525.446622675459</v>
      </c>
      <c r="BI28" s="146"/>
      <c r="BJ28" s="150"/>
      <c r="BK28" s="128">
        <f t="shared" si="9"/>
        <v>0</v>
      </c>
      <c r="BL28" s="150"/>
      <c r="BM28" s="150"/>
      <c r="BN28" s="147"/>
      <c r="BO28" s="146"/>
      <c r="BP28" s="146"/>
      <c r="BQ28" s="146"/>
      <c r="BR28" s="150"/>
      <c r="BS28" s="150"/>
      <c r="BT28" s="148"/>
      <c r="BU28" s="180"/>
      <c r="BV28" s="181"/>
      <c r="BW28" s="101">
        <f t="shared" si="10"/>
        <v>0</v>
      </c>
      <c r="BX28" s="147"/>
      <c r="BY28" s="146"/>
      <c r="BZ28" s="148"/>
      <c r="CA28" s="147"/>
      <c r="CB28" s="123"/>
      <c r="CC28" s="123"/>
      <c r="CD28" s="123"/>
      <c r="CE28" s="123">
        <f t="shared" si="11"/>
        <v>0</v>
      </c>
    </row>
    <row r="29" spans="1:85" ht="18" hidden="1" customHeight="1">
      <c r="A29" s="102"/>
      <c r="B29" s="182" t="s">
        <v>117</v>
      </c>
      <c r="C29" s="183" t="s">
        <v>116</v>
      </c>
      <c r="D29" s="135"/>
      <c r="E29" s="135"/>
      <c r="F29" s="142"/>
      <c r="G29" s="143"/>
      <c r="H29" s="143"/>
      <c r="I29" s="184"/>
      <c r="J29" s="143"/>
      <c r="K29" s="144"/>
      <c r="L29" s="106"/>
      <c r="M29" s="171"/>
      <c r="N29" s="106"/>
      <c r="O29" s="106"/>
      <c r="P29" s="145"/>
      <c r="Q29" s="145"/>
      <c r="R29" s="146"/>
      <c r="S29" s="147"/>
      <c r="T29" s="146"/>
      <c r="U29" s="146"/>
      <c r="V29" s="147"/>
      <c r="W29" s="146"/>
      <c r="X29" s="146"/>
      <c r="Y29" s="147"/>
      <c r="Z29" s="147"/>
      <c r="AA29" s="146"/>
      <c r="AB29" s="148"/>
      <c r="AC29" s="146"/>
      <c r="AD29" s="150"/>
      <c r="AE29" s="150"/>
      <c r="AF29" s="146"/>
      <c r="AG29" s="150"/>
      <c r="AH29" s="150"/>
      <c r="AI29" s="146"/>
      <c r="AJ29" s="146"/>
      <c r="AK29" s="179"/>
      <c r="AL29" s="147"/>
      <c r="AM29" s="123"/>
      <c r="AN29" s="150"/>
      <c r="AO29" s="146"/>
      <c r="AP29" s="154"/>
      <c r="AQ29" s="147"/>
      <c r="AR29" s="123"/>
      <c r="AS29" s="146"/>
      <c r="AT29" s="146"/>
      <c r="AU29" s="150"/>
      <c r="AV29" s="146"/>
      <c r="AW29" s="146"/>
      <c r="AX29" s="123"/>
      <c r="AY29" s="150"/>
      <c r="AZ29" s="146"/>
      <c r="BA29" s="146"/>
      <c r="BB29" s="146"/>
      <c r="BC29" s="150">
        <f t="shared" si="7"/>
        <v>0</v>
      </c>
      <c r="BD29" s="147"/>
      <c r="BE29" s="123">
        <f t="shared" si="14"/>
        <v>0</v>
      </c>
      <c r="BF29" s="150">
        <v>17747</v>
      </c>
      <c r="BG29" s="146">
        <f>BG30</f>
        <v>3221.5533773245334</v>
      </c>
      <c r="BH29" s="148">
        <f t="shared" si="8"/>
        <v>-14525.446622675467</v>
      </c>
      <c r="BI29" s="146"/>
      <c r="BJ29" s="150"/>
      <c r="BK29" s="128">
        <f t="shared" si="9"/>
        <v>0</v>
      </c>
      <c r="BL29" s="150"/>
      <c r="BM29" s="150"/>
      <c r="BN29" s="147"/>
      <c r="BO29" s="146"/>
      <c r="BP29" s="146"/>
      <c r="BQ29" s="146"/>
      <c r="BR29" s="150"/>
      <c r="BS29" s="150"/>
      <c r="BT29" s="148"/>
      <c r="BU29" s="180"/>
      <c r="BV29" s="181"/>
      <c r="BW29" s="101">
        <f t="shared" si="10"/>
        <v>0</v>
      </c>
      <c r="BX29" s="147"/>
      <c r="BY29" s="146"/>
      <c r="BZ29" s="148"/>
      <c r="CA29" s="147"/>
      <c r="CB29" s="123"/>
      <c r="CC29" s="123"/>
      <c r="CD29" s="123"/>
      <c r="CE29" s="123">
        <f t="shared" si="11"/>
        <v>0</v>
      </c>
    </row>
    <row r="30" spans="1:85" ht="18" hidden="1" customHeight="1">
      <c r="A30" s="102"/>
      <c r="B30" s="182" t="s">
        <v>118</v>
      </c>
      <c r="C30" s="183" t="s">
        <v>116</v>
      </c>
      <c r="D30" s="135"/>
      <c r="E30" s="135"/>
      <c r="F30" s="142"/>
      <c r="G30" s="143"/>
      <c r="H30" s="143"/>
      <c r="I30" s="184"/>
      <c r="J30" s="143"/>
      <c r="K30" s="144"/>
      <c r="L30" s="106"/>
      <c r="M30" s="171"/>
      <c r="N30" s="106"/>
      <c r="O30" s="106"/>
      <c r="P30" s="145"/>
      <c r="Q30" s="145"/>
      <c r="R30" s="146"/>
      <c r="S30" s="147"/>
      <c r="T30" s="146"/>
      <c r="U30" s="146"/>
      <c r="V30" s="147"/>
      <c r="W30" s="146"/>
      <c r="X30" s="146"/>
      <c r="Y30" s="147"/>
      <c r="Z30" s="147"/>
      <c r="AA30" s="146"/>
      <c r="AB30" s="148"/>
      <c r="AC30" s="146"/>
      <c r="AD30" s="150"/>
      <c r="AE30" s="150"/>
      <c r="AF30" s="146"/>
      <c r="AG30" s="150"/>
      <c r="AH30" s="150"/>
      <c r="AI30" s="146"/>
      <c r="AJ30" s="146"/>
      <c r="AK30" s="179"/>
      <c r="AL30" s="147"/>
      <c r="AM30" s="123"/>
      <c r="AN30" s="150"/>
      <c r="AO30" s="146"/>
      <c r="AP30" s="154"/>
      <c r="AQ30" s="147"/>
      <c r="AR30" s="123"/>
      <c r="AS30" s="146"/>
      <c r="AT30" s="146"/>
      <c r="AU30" s="150"/>
      <c r="AV30" s="146"/>
      <c r="AW30" s="146"/>
      <c r="AX30" s="123"/>
      <c r="AY30" s="150"/>
      <c r="AZ30" s="146"/>
      <c r="BA30" s="146"/>
      <c r="BB30" s="146"/>
      <c r="BC30" s="150">
        <f t="shared" si="7"/>
        <v>0</v>
      </c>
      <c r="BD30" s="147"/>
      <c r="BE30" s="123">
        <f t="shared" si="14"/>
        <v>0</v>
      </c>
      <c r="BF30" s="150">
        <f>BF29</f>
        <v>17747</v>
      </c>
      <c r="BG30" s="146">
        <f>BG61/16.67*1000</f>
        <v>3221.5533773245334</v>
      </c>
      <c r="BH30" s="148">
        <f t="shared" si="8"/>
        <v>-14525.446622675467</v>
      </c>
      <c r="BI30" s="146"/>
      <c r="BJ30" s="150"/>
      <c r="BK30" s="128">
        <f t="shared" si="9"/>
        <v>0</v>
      </c>
      <c r="BL30" s="150"/>
      <c r="BM30" s="150"/>
      <c r="BN30" s="147"/>
      <c r="BO30" s="146"/>
      <c r="BP30" s="146"/>
      <c r="BQ30" s="146"/>
      <c r="BR30" s="150"/>
      <c r="BS30" s="150"/>
      <c r="BT30" s="148"/>
      <c r="BU30" s="180"/>
      <c r="BV30" s="181"/>
      <c r="BW30" s="101">
        <f t="shared" si="10"/>
        <v>0</v>
      </c>
      <c r="BX30" s="147"/>
      <c r="BY30" s="146"/>
      <c r="BZ30" s="148"/>
      <c r="CA30" s="147"/>
      <c r="CB30" s="123"/>
      <c r="CC30" s="123"/>
      <c r="CD30" s="123"/>
      <c r="CE30" s="123">
        <f t="shared" si="11"/>
        <v>0</v>
      </c>
    </row>
    <row r="31" spans="1:85" ht="18" hidden="1" customHeight="1">
      <c r="A31" s="102"/>
      <c r="B31" s="182" t="s">
        <v>119</v>
      </c>
      <c r="C31" s="183" t="s">
        <v>116</v>
      </c>
      <c r="D31" s="135"/>
      <c r="E31" s="135"/>
      <c r="F31" s="142"/>
      <c r="G31" s="143"/>
      <c r="H31" s="143"/>
      <c r="I31" s="184"/>
      <c r="J31" s="143"/>
      <c r="K31" s="144"/>
      <c r="L31" s="106"/>
      <c r="M31" s="171"/>
      <c r="N31" s="106"/>
      <c r="O31" s="106"/>
      <c r="P31" s="145"/>
      <c r="Q31" s="145"/>
      <c r="R31" s="146"/>
      <c r="S31" s="147"/>
      <c r="T31" s="146"/>
      <c r="U31" s="146"/>
      <c r="V31" s="147"/>
      <c r="W31" s="146"/>
      <c r="X31" s="146"/>
      <c r="Y31" s="147"/>
      <c r="Z31" s="147"/>
      <c r="AA31" s="146"/>
      <c r="AB31" s="148"/>
      <c r="AC31" s="146"/>
      <c r="AD31" s="150"/>
      <c r="AE31" s="150"/>
      <c r="AF31" s="146"/>
      <c r="AG31" s="150"/>
      <c r="AH31" s="150"/>
      <c r="AI31" s="146"/>
      <c r="AJ31" s="146"/>
      <c r="AK31" s="179"/>
      <c r="AL31" s="147"/>
      <c r="AM31" s="123"/>
      <c r="AN31" s="150"/>
      <c r="AO31" s="146"/>
      <c r="AP31" s="154"/>
      <c r="AQ31" s="147"/>
      <c r="AR31" s="123"/>
      <c r="AS31" s="146"/>
      <c r="AT31" s="146"/>
      <c r="AU31" s="150"/>
      <c r="AV31" s="146"/>
      <c r="AW31" s="146"/>
      <c r="AX31" s="123"/>
      <c r="AY31" s="150"/>
      <c r="AZ31" s="146"/>
      <c r="BA31" s="146"/>
      <c r="BB31" s="146"/>
      <c r="BC31" s="150">
        <f t="shared" si="7"/>
        <v>0</v>
      </c>
      <c r="BD31" s="147"/>
      <c r="BE31" s="123">
        <f t="shared" si="14"/>
        <v>0</v>
      </c>
      <c r="BF31" s="150">
        <v>0</v>
      </c>
      <c r="BG31" s="146">
        <v>0</v>
      </c>
      <c r="BH31" s="148">
        <f t="shared" si="8"/>
        <v>0</v>
      </c>
      <c r="BI31" s="146"/>
      <c r="BJ31" s="150"/>
      <c r="BK31" s="128">
        <f t="shared" si="9"/>
        <v>0</v>
      </c>
      <c r="BL31" s="150"/>
      <c r="BM31" s="150"/>
      <c r="BN31" s="147"/>
      <c r="BO31" s="146"/>
      <c r="BP31" s="146"/>
      <c r="BQ31" s="146"/>
      <c r="BR31" s="150"/>
      <c r="BS31" s="150"/>
      <c r="BT31" s="148"/>
      <c r="BU31" s="180"/>
      <c r="BV31" s="181"/>
      <c r="BW31" s="101">
        <f t="shared" si="10"/>
        <v>0</v>
      </c>
      <c r="BX31" s="147"/>
      <c r="BY31" s="146"/>
      <c r="BZ31" s="148"/>
      <c r="CA31" s="147"/>
      <c r="CB31" s="123"/>
      <c r="CC31" s="123"/>
      <c r="CD31" s="123"/>
      <c r="CE31" s="123">
        <f t="shared" si="11"/>
        <v>0</v>
      </c>
    </row>
    <row r="32" spans="1:85" ht="18" hidden="1" customHeight="1">
      <c r="A32" s="134" t="s">
        <v>120</v>
      </c>
      <c r="B32" s="103" t="s">
        <v>121</v>
      </c>
      <c r="C32" s="104" t="s">
        <v>100</v>
      </c>
      <c r="D32" s="135">
        <f>0</f>
        <v>0</v>
      </c>
      <c r="E32" s="105"/>
      <c r="F32" s="106"/>
      <c r="G32" s="106"/>
      <c r="H32" s="106"/>
      <c r="I32" s="160"/>
      <c r="J32" s="109"/>
      <c r="K32" s="110"/>
      <c r="L32" s="111"/>
      <c r="M32" s="108"/>
      <c r="N32" s="111"/>
      <c r="O32" s="112"/>
      <c r="P32" s="113"/>
      <c r="Q32" s="113"/>
      <c r="R32" s="185">
        <v>0</v>
      </c>
      <c r="S32" s="116">
        <v>0</v>
      </c>
      <c r="T32" s="117">
        <v>0</v>
      </c>
      <c r="U32" s="117">
        <v>0</v>
      </c>
      <c r="V32" s="116">
        <v>0</v>
      </c>
      <c r="W32" s="117">
        <v>0</v>
      </c>
      <c r="X32" s="117">
        <v>0</v>
      </c>
      <c r="Y32" s="116">
        <v>0</v>
      </c>
      <c r="Z32" s="116">
        <v>0</v>
      </c>
      <c r="AA32" s="117">
        <v>0</v>
      </c>
      <c r="AB32" s="162">
        <v>0</v>
      </c>
      <c r="AC32" s="149">
        <v>0</v>
      </c>
      <c r="AD32" s="122">
        <f>AC32-AB32</f>
        <v>0</v>
      </c>
      <c r="AE32" s="163">
        <v>0</v>
      </c>
      <c r="AF32" s="123">
        <f>AE32-AC32</f>
        <v>0</v>
      </c>
      <c r="AG32" s="124">
        <v>0</v>
      </c>
      <c r="AH32" s="124">
        <v>0</v>
      </c>
      <c r="AI32" s="149">
        <v>0</v>
      </c>
      <c r="AJ32" s="123">
        <v>0</v>
      </c>
      <c r="AK32" s="126">
        <f>AJ32-AH32</f>
        <v>0</v>
      </c>
      <c r="AL32" s="155">
        <v>0</v>
      </c>
      <c r="AM32" s="123">
        <f>AL32-AN32</f>
        <v>0</v>
      </c>
      <c r="AN32" s="122">
        <v>0</v>
      </c>
      <c r="AO32" s="123">
        <v>0</v>
      </c>
      <c r="AP32" s="154">
        <f>AO32-AJ32</f>
        <v>0</v>
      </c>
      <c r="AQ32" s="155">
        <v>0</v>
      </c>
      <c r="AR32" s="123">
        <f>AQ32-AO32</f>
        <v>0</v>
      </c>
      <c r="AS32" s="123">
        <v>0</v>
      </c>
      <c r="AT32" s="123">
        <v>0</v>
      </c>
      <c r="AU32" s="122">
        <f>AT32-AS32</f>
        <v>0</v>
      </c>
      <c r="AV32" s="123">
        <v>0</v>
      </c>
      <c r="AW32" s="123">
        <f>AV32-AT32</f>
        <v>0</v>
      </c>
      <c r="AX32" s="123">
        <f>AN32-AY32</f>
        <v>0</v>
      </c>
      <c r="AY32" s="122">
        <v>0</v>
      </c>
      <c r="AZ32" s="123">
        <v>0</v>
      </c>
      <c r="BA32" s="123">
        <v>0</v>
      </c>
      <c r="BB32" s="123">
        <v>0</v>
      </c>
      <c r="BC32" s="122">
        <f t="shared" si="7"/>
        <v>0</v>
      </c>
      <c r="BD32" s="155"/>
      <c r="BE32" s="123">
        <f t="shared" si="14"/>
        <v>0</v>
      </c>
      <c r="BF32" s="122">
        <v>0</v>
      </c>
      <c r="BG32" s="123">
        <v>0</v>
      </c>
      <c r="BH32" s="164">
        <f t="shared" si="8"/>
        <v>0</v>
      </c>
      <c r="BI32" s="123"/>
      <c r="BJ32" s="122"/>
      <c r="BK32" s="128">
        <f t="shared" si="9"/>
        <v>0</v>
      </c>
      <c r="BL32" s="122"/>
      <c r="BM32" s="122"/>
      <c r="BN32" s="155"/>
      <c r="BO32" s="123"/>
      <c r="BP32" s="123"/>
      <c r="BQ32" s="123"/>
      <c r="BR32" s="122"/>
      <c r="BS32" s="122"/>
      <c r="BT32" s="164"/>
      <c r="BU32" s="165"/>
      <c r="BV32" s="166"/>
      <c r="BW32" s="101">
        <f t="shared" si="10"/>
        <v>0</v>
      </c>
      <c r="BX32" s="155"/>
      <c r="BY32" s="123"/>
      <c r="BZ32" s="164"/>
      <c r="CA32" s="155"/>
      <c r="CB32" s="123"/>
      <c r="CC32" s="123"/>
      <c r="CD32" s="123"/>
      <c r="CE32" s="123">
        <f t="shared" si="11"/>
        <v>0</v>
      </c>
    </row>
    <row r="33" spans="1:83" ht="41.25" customHeight="1">
      <c r="A33" s="134" t="s">
        <v>122</v>
      </c>
      <c r="B33" s="103" t="s">
        <v>123</v>
      </c>
      <c r="C33" s="104" t="s">
        <v>100</v>
      </c>
      <c r="D33" s="186">
        <f>19269+23746+13673</f>
        <v>56688</v>
      </c>
      <c r="E33" s="187">
        <v>16740</v>
      </c>
      <c r="F33" s="188">
        <v>29341</v>
      </c>
      <c r="G33" s="188">
        <v>19954</v>
      </c>
      <c r="H33" s="159">
        <f>SUM(E33:G33)</f>
        <v>66035</v>
      </c>
      <c r="I33" s="189"/>
      <c r="J33" s="190">
        <v>56688</v>
      </c>
      <c r="K33" s="191">
        <v>66035</v>
      </c>
      <c r="L33" s="112">
        <v>17863.8</v>
      </c>
      <c r="M33" s="108">
        <v>20407</v>
      </c>
      <c r="N33" s="112">
        <v>13394</v>
      </c>
      <c r="O33" s="112">
        <v>16667</v>
      </c>
      <c r="P33" s="161">
        <v>24035</v>
      </c>
      <c r="Q33" s="161">
        <v>29465</v>
      </c>
      <c r="R33" s="117">
        <f>L33+N33+P33</f>
        <v>55292.800000000003</v>
      </c>
      <c r="S33" s="116">
        <f>M33+O33+Q33+1</f>
        <v>66540</v>
      </c>
      <c r="T33" s="117">
        <v>66540</v>
      </c>
      <c r="U33" s="117">
        <v>66572</v>
      </c>
      <c r="V33" s="116">
        <v>66572</v>
      </c>
      <c r="W33" s="117">
        <v>66540</v>
      </c>
      <c r="X33" s="117">
        <v>65027</v>
      </c>
      <c r="Y33" s="116">
        <v>65027</v>
      </c>
      <c r="Z33" s="116">
        <f>W33-X33</f>
        <v>1513</v>
      </c>
      <c r="AA33" s="117">
        <f>Y33-X33</f>
        <v>0</v>
      </c>
      <c r="AB33" s="162">
        <v>66540</v>
      </c>
      <c r="AC33" s="149">
        <v>60488.52</v>
      </c>
      <c r="AD33" s="122">
        <f>AC33-AB33</f>
        <v>-6051.4800000000032</v>
      </c>
      <c r="AE33" s="149">
        <v>60488.52</v>
      </c>
      <c r="AF33" s="123">
        <f>AE33-AC33</f>
        <v>0</v>
      </c>
      <c r="AG33" s="124" t="e">
        <f>#REF!</f>
        <v>#REF!</v>
      </c>
      <c r="AH33" s="124">
        <v>62211.040000000001</v>
      </c>
      <c r="AI33" s="149">
        <v>61701</v>
      </c>
      <c r="AJ33" s="123">
        <v>65027</v>
      </c>
      <c r="AK33" s="126">
        <f>AJ33-AH33</f>
        <v>2815.9599999999991</v>
      </c>
      <c r="AL33" s="155">
        <v>72433</v>
      </c>
      <c r="AM33" s="123">
        <f>AL33-AN33</f>
        <v>64676.576000000001</v>
      </c>
      <c r="AN33" s="122">
        <v>7756.424</v>
      </c>
      <c r="AO33" s="123">
        <v>63695</v>
      </c>
      <c r="AP33" s="123">
        <f>AO33-AJ33</f>
        <v>-1332</v>
      </c>
      <c r="AQ33" s="155">
        <v>63695</v>
      </c>
      <c r="AR33" s="123">
        <f>AQ33-AO33</f>
        <v>0</v>
      </c>
      <c r="AS33" s="123">
        <v>72433</v>
      </c>
      <c r="AT33" s="123">
        <v>61700.44</v>
      </c>
      <c r="AU33" s="122">
        <f>AT33-AS33</f>
        <v>-10732.559999999998</v>
      </c>
      <c r="AV33" s="123">
        <v>61700.43</v>
      </c>
      <c r="AW33" s="123">
        <f>AV33-AT33</f>
        <v>-1.0000000002037268E-2</v>
      </c>
      <c r="AX33" s="123">
        <v>64676.58</v>
      </c>
      <c r="AY33" s="122">
        <v>7756.424</v>
      </c>
      <c r="AZ33" s="123">
        <v>72433</v>
      </c>
      <c r="BA33" s="123">
        <v>72433</v>
      </c>
      <c r="BB33" s="123">
        <v>58705.968000000001</v>
      </c>
      <c r="BC33" s="122">
        <f t="shared" si="7"/>
        <v>-13727.031999999999</v>
      </c>
      <c r="BD33" s="155">
        <f>BD27</f>
        <v>58705.968000000001</v>
      </c>
      <c r="BE33" s="123">
        <f t="shared" si="14"/>
        <v>0</v>
      </c>
      <c r="BF33" s="122">
        <v>72433</v>
      </c>
      <c r="BG33" s="123">
        <v>72433</v>
      </c>
      <c r="BH33" s="164">
        <f t="shared" si="8"/>
        <v>0</v>
      </c>
      <c r="BI33" s="123">
        <f>BI27</f>
        <v>16739.669999999998</v>
      </c>
      <c r="BJ33" s="122">
        <f>BI33</f>
        <v>16739.669999999998</v>
      </c>
      <c r="BK33" s="128">
        <f t="shared" si="9"/>
        <v>0</v>
      </c>
      <c r="BL33" s="122">
        <f>BL27</f>
        <v>27377.850000000002</v>
      </c>
      <c r="BM33" s="122">
        <f>BM27</f>
        <v>10518.619999999999</v>
      </c>
      <c r="BN33" s="155">
        <f>BN27</f>
        <v>16859.23</v>
      </c>
      <c r="BO33" s="123">
        <f>BR33+BS33</f>
        <v>10518.62</v>
      </c>
      <c r="BP33" s="123">
        <v>7094.43</v>
      </c>
      <c r="BQ33" s="123">
        <v>7094.43</v>
      </c>
      <c r="BR33" s="122">
        <f>BR27</f>
        <v>10518.62</v>
      </c>
      <c r="BS33" s="122">
        <f>BS27</f>
        <v>0</v>
      </c>
      <c r="BT33" s="164">
        <f>BT27</f>
        <v>10518.62</v>
      </c>
      <c r="BU33" s="165">
        <f>BU27</f>
        <v>10518.619999999999</v>
      </c>
      <c r="BV33" s="166">
        <v>0</v>
      </c>
      <c r="BW33" s="101">
        <f t="shared" si="10"/>
        <v>0</v>
      </c>
      <c r="BX33" s="155">
        <f>BO33</f>
        <v>10518.62</v>
      </c>
      <c r="BY33" s="123">
        <f>BO33</f>
        <v>10518.62</v>
      </c>
      <c r="BZ33" s="164">
        <f>BO33</f>
        <v>10518.62</v>
      </c>
      <c r="CA33" s="155">
        <v>10518.62</v>
      </c>
      <c r="CB33" s="123">
        <f>CB27</f>
        <v>19374.103666666666</v>
      </c>
      <c r="CC33" s="123">
        <f>CC27</f>
        <v>19374.103666666666</v>
      </c>
      <c r="CD33" s="123">
        <f>CD27</f>
        <v>19374.103666666666</v>
      </c>
      <c r="CE33" s="123">
        <f t="shared" si="11"/>
        <v>8855.4836666666652</v>
      </c>
    </row>
    <row r="34" spans="1:83" s="133" customFormat="1" ht="22.9" customHeight="1">
      <c r="A34" s="134" t="s">
        <v>124</v>
      </c>
      <c r="B34" s="103" t="s">
        <v>125</v>
      </c>
      <c r="C34" s="104" t="s">
        <v>100</v>
      </c>
      <c r="D34" s="192"/>
      <c r="E34" s="193"/>
      <c r="F34" s="193"/>
      <c r="G34" s="193"/>
      <c r="H34" s="194"/>
      <c r="I34" s="195"/>
      <c r="J34" s="196"/>
      <c r="K34" s="196"/>
      <c r="L34" s="197"/>
      <c r="M34" s="197"/>
      <c r="N34" s="197"/>
      <c r="O34" s="197"/>
      <c r="P34" s="197"/>
      <c r="Q34" s="197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9"/>
      <c r="AD34" s="200"/>
      <c r="AE34" s="199"/>
      <c r="AF34" s="200"/>
      <c r="AG34" s="199"/>
      <c r="AH34" s="199"/>
      <c r="AI34" s="199"/>
      <c r="AJ34" s="200"/>
      <c r="AK34" s="201"/>
      <c r="AL34" s="200"/>
      <c r="AM34" s="200"/>
      <c r="AN34" s="200"/>
      <c r="AO34" s="200">
        <f>AO27</f>
        <v>63695</v>
      </c>
      <c r="AP34" s="200">
        <f t="shared" ref="AP34:BH34" si="27">AP27</f>
        <v>-1332</v>
      </c>
      <c r="AQ34" s="200">
        <f t="shared" si="27"/>
        <v>63695</v>
      </c>
      <c r="AR34" s="200">
        <f t="shared" si="27"/>
        <v>0</v>
      </c>
      <c r="AS34" s="200">
        <f t="shared" si="27"/>
        <v>72433</v>
      </c>
      <c r="AT34" s="166">
        <f t="shared" si="27"/>
        <v>61700.44</v>
      </c>
      <c r="AU34" s="202">
        <f t="shared" si="27"/>
        <v>-10732.559999999998</v>
      </c>
      <c r="AV34" s="200">
        <f t="shared" si="27"/>
        <v>61700.43</v>
      </c>
      <c r="AW34" s="200">
        <f t="shared" si="27"/>
        <v>-1.0000000002037268E-2</v>
      </c>
      <c r="AX34" s="200">
        <f t="shared" si="27"/>
        <v>64676.58</v>
      </c>
      <c r="AY34" s="200">
        <f t="shared" si="27"/>
        <v>7756.424</v>
      </c>
      <c r="AZ34" s="200">
        <f t="shared" si="27"/>
        <v>72433</v>
      </c>
      <c r="BA34" s="200">
        <f t="shared" si="27"/>
        <v>72433</v>
      </c>
      <c r="BB34" s="166">
        <f t="shared" si="27"/>
        <v>58705.968000000001</v>
      </c>
      <c r="BC34" s="202">
        <f t="shared" si="27"/>
        <v>-13727.031999999999</v>
      </c>
      <c r="BD34" s="200">
        <f t="shared" si="27"/>
        <v>58705.968000000001</v>
      </c>
      <c r="BE34" s="200">
        <f t="shared" si="27"/>
        <v>0</v>
      </c>
      <c r="BF34" s="200">
        <f t="shared" si="27"/>
        <v>72433</v>
      </c>
      <c r="BG34" s="166">
        <f t="shared" si="27"/>
        <v>72433</v>
      </c>
      <c r="BH34" s="202">
        <f t="shared" si="27"/>
        <v>0</v>
      </c>
      <c r="BI34" s="166">
        <f>BI27+BI21</f>
        <v>29539.856</v>
      </c>
      <c r="BJ34" s="122">
        <f>BI34</f>
        <v>29539.856</v>
      </c>
      <c r="BK34" s="128">
        <f t="shared" si="9"/>
        <v>0</v>
      </c>
      <c r="BL34" s="202"/>
      <c r="BM34" s="200"/>
      <c r="BN34" s="200"/>
      <c r="BO34" s="166">
        <f>BR34+BS34</f>
        <v>27377.85</v>
      </c>
      <c r="BP34" s="166">
        <f>BP35+BP36</f>
        <v>20454.177</v>
      </c>
      <c r="BQ34" s="166">
        <f>BQ35+BQ36</f>
        <v>20454.177</v>
      </c>
      <c r="BR34" s="122">
        <f>BR33+BR21</f>
        <v>10518.62</v>
      </c>
      <c r="BS34" s="122">
        <f>BS33+BS21</f>
        <v>16859.23</v>
      </c>
      <c r="BT34" s="164">
        <f>BT27+BT21</f>
        <v>27358.35</v>
      </c>
      <c r="BU34" s="165">
        <f>BU27+BU21</f>
        <v>10518.619999999999</v>
      </c>
      <c r="BV34" s="166">
        <f>BV27+BV21</f>
        <v>16839.73</v>
      </c>
      <c r="BW34" s="101">
        <f t="shared" si="10"/>
        <v>0</v>
      </c>
      <c r="BX34" s="155">
        <f>BO34</f>
        <v>27377.85</v>
      </c>
      <c r="BY34" s="123">
        <f>BX34</f>
        <v>27377.85</v>
      </c>
      <c r="BZ34" s="164">
        <f>BX34</f>
        <v>27377.85</v>
      </c>
      <c r="CA34" s="155">
        <f>CA35+CA36</f>
        <v>27358.357</v>
      </c>
      <c r="CB34" s="123">
        <v>36233.333666666666</v>
      </c>
      <c r="CC34" s="123">
        <v>36233.333666666666</v>
      </c>
      <c r="CD34" s="123">
        <v>36233.333666666666</v>
      </c>
      <c r="CE34" s="123">
        <f t="shared" si="11"/>
        <v>8874.9766666666656</v>
      </c>
    </row>
    <row r="35" spans="1:83" ht="22.9" customHeight="1">
      <c r="A35" s="134"/>
      <c r="B35" s="203" t="s">
        <v>126</v>
      </c>
      <c r="C35" s="104" t="s">
        <v>100</v>
      </c>
      <c r="D35" s="204"/>
      <c r="E35" s="193"/>
      <c r="F35" s="193"/>
      <c r="G35" s="193"/>
      <c r="H35" s="205"/>
      <c r="I35" s="206"/>
      <c r="J35" s="196"/>
      <c r="K35" s="196"/>
      <c r="L35" s="197"/>
      <c r="M35" s="197"/>
      <c r="N35" s="197"/>
      <c r="O35" s="197"/>
      <c r="P35" s="197"/>
      <c r="Q35" s="197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9"/>
      <c r="AD35" s="200"/>
      <c r="AE35" s="199"/>
      <c r="AF35" s="200"/>
      <c r="AG35" s="199"/>
      <c r="AH35" s="199"/>
      <c r="AI35" s="199"/>
      <c r="AJ35" s="200"/>
      <c r="AK35" s="201"/>
      <c r="AL35" s="200"/>
      <c r="AM35" s="200"/>
      <c r="AN35" s="200"/>
      <c r="AO35" s="200"/>
      <c r="AP35" s="200"/>
      <c r="AQ35" s="200"/>
      <c r="AR35" s="200"/>
      <c r="AS35" s="200"/>
      <c r="AT35" s="166"/>
      <c r="AU35" s="202"/>
      <c r="AV35" s="200"/>
      <c r="AW35" s="200"/>
      <c r="AX35" s="200"/>
      <c r="AY35" s="200"/>
      <c r="AZ35" s="200"/>
      <c r="BA35" s="200"/>
      <c r="BB35" s="166"/>
      <c r="BC35" s="202"/>
      <c r="BD35" s="200"/>
      <c r="BE35" s="200"/>
      <c r="BF35" s="200"/>
      <c r="BG35" s="166"/>
      <c r="BH35" s="202"/>
      <c r="BI35" s="166">
        <v>28501.796999999999</v>
      </c>
      <c r="BJ35" s="122">
        <f>BI35</f>
        <v>28501.796999999999</v>
      </c>
      <c r="BK35" s="128"/>
      <c r="BL35" s="202"/>
      <c r="BM35" s="200"/>
      <c r="BN35" s="200"/>
      <c r="BO35" s="166">
        <v>23561.23</v>
      </c>
      <c r="BP35" s="166">
        <v>16642.509999999998</v>
      </c>
      <c r="BQ35" s="166">
        <v>16642.509999999998</v>
      </c>
      <c r="BR35" s="122"/>
      <c r="BS35" s="122"/>
      <c r="BT35" s="164"/>
      <c r="BU35" s="165"/>
      <c r="BV35" s="166"/>
      <c r="BW35" s="101">
        <f t="shared" si="10"/>
        <v>0</v>
      </c>
      <c r="BX35" s="155">
        <f>BX34-BX36</f>
        <v>26415.765973823633</v>
      </c>
      <c r="BY35" s="123">
        <f>BY34-BY36</f>
        <v>26415.765973823633</v>
      </c>
      <c r="BZ35" s="164">
        <f>BZ34-BZ36</f>
        <v>26415.765973823633</v>
      </c>
      <c r="CA35" s="155">
        <v>23541.737000000001</v>
      </c>
      <c r="CB35" s="125">
        <f>CB34-CB36</f>
        <v>32416.713666666667</v>
      </c>
      <c r="CC35" s="125">
        <f>CC34-CC36</f>
        <v>32416.713666666667</v>
      </c>
      <c r="CD35" s="125">
        <f>CD34-CD36</f>
        <v>32416.713666666667</v>
      </c>
      <c r="CE35" s="123">
        <f t="shared" si="11"/>
        <v>8874.9766666666656</v>
      </c>
    </row>
    <row r="36" spans="1:83" ht="26.45" customHeight="1">
      <c r="A36" s="134"/>
      <c r="B36" s="203" t="s">
        <v>127</v>
      </c>
      <c r="C36" s="104" t="s">
        <v>100</v>
      </c>
      <c r="D36" s="204"/>
      <c r="E36" s="193"/>
      <c r="F36" s="193"/>
      <c r="G36" s="193"/>
      <c r="H36" s="205"/>
      <c r="I36" s="206"/>
      <c r="J36" s="196"/>
      <c r="K36" s="196"/>
      <c r="L36" s="197"/>
      <c r="M36" s="197"/>
      <c r="N36" s="197"/>
      <c r="O36" s="197"/>
      <c r="P36" s="197"/>
      <c r="Q36" s="197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9"/>
      <c r="AD36" s="200"/>
      <c r="AE36" s="199"/>
      <c r="AF36" s="200"/>
      <c r="AG36" s="199"/>
      <c r="AH36" s="199"/>
      <c r="AI36" s="199"/>
      <c r="AJ36" s="200"/>
      <c r="AK36" s="201"/>
      <c r="AL36" s="200"/>
      <c r="AM36" s="200"/>
      <c r="AN36" s="200"/>
      <c r="AO36" s="200"/>
      <c r="AP36" s="200"/>
      <c r="AQ36" s="200"/>
      <c r="AR36" s="200"/>
      <c r="AS36" s="200"/>
      <c r="AT36" s="166"/>
      <c r="AU36" s="202"/>
      <c r="AV36" s="200"/>
      <c r="AW36" s="200"/>
      <c r="AX36" s="200"/>
      <c r="AY36" s="200"/>
      <c r="AZ36" s="200"/>
      <c r="BA36" s="200"/>
      <c r="BB36" s="166"/>
      <c r="BC36" s="202"/>
      <c r="BD36" s="200"/>
      <c r="BE36" s="200"/>
      <c r="BF36" s="200"/>
      <c r="BG36" s="166"/>
      <c r="BH36" s="202"/>
      <c r="BI36" s="166">
        <f>BI34-BI35</f>
        <v>1038.0590000000011</v>
      </c>
      <c r="BJ36" s="122">
        <f>BI36</f>
        <v>1038.0590000000011</v>
      </c>
      <c r="BK36" s="128"/>
      <c r="BL36" s="202"/>
      <c r="BM36" s="200"/>
      <c r="BN36" s="200"/>
      <c r="BO36" s="166">
        <v>3816.62</v>
      </c>
      <c r="BP36" s="166">
        <f>BP37</f>
        <v>3811.6669999999999</v>
      </c>
      <c r="BQ36" s="166">
        <f>BQ37</f>
        <v>3811.6669999999999</v>
      </c>
      <c r="BR36" s="122"/>
      <c r="BS36" s="122"/>
      <c r="BT36" s="164"/>
      <c r="BU36" s="165"/>
      <c r="BV36" s="166"/>
      <c r="BW36" s="101">
        <f t="shared" si="10"/>
        <v>0</v>
      </c>
      <c r="BX36" s="155">
        <f>BJ36/BJ34*BX34</f>
        <v>962.0840261763642</v>
      </c>
      <c r="BY36" s="123">
        <f>BX36</f>
        <v>962.0840261763642</v>
      </c>
      <c r="BZ36" s="164">
        <f>BX36</f>
        <v>962.0840261763642</v>
      </c>
      <c r="CA36" s="155">
        <f>CA37</f>
        <v>3816.62</v>
      </c>
      <c r="CB36" s="125">
        <f>CB37</f>
        <v>3816.62</v>
      </c>
      <c r="CC36" s="125">
        <f>CC37</f>
        <v>3816.62</v>
      </c>
      <c r="CD36" s="125">
        <f>CD37</f>
        <v>3816.62</v>
      </c>
      <c r="CE36" s="123">
        <f t="shared" si="11"/>
        <v>0</v>
      </c>
    </row>
    <row r="37" spans="1:83" ht="26.45" customHeight="1" thickBot="1">
      <c r="A37" s="134"/>
      <c r="B37" s="203" t="s">
        <v>128</v>
      </c>
      <c r="C37" s="104" t="s">
        <v>100</v>
      </c>
      <c r="D37" s="204"/>
      <c r="E37" s="193"/>
      <c r="F37" s="193"/>
      <c r="G37" s="193"/>
      <c r="H37" s="205"/>
      <c r="I37" s="206"/>
      <c r="J37" s="196"/>
      <c r="K37" s="196"/>
      <c r="L37" s="197"/>
      <c r="M37" s="197"/>
      <c r="N37" s="197"/>
      <c r="O37" s="197"/>
      <c r="P37" s="197"/>
      <c r="Q37" s="197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9"/>
      <c r="AD37" s="200"/>
      <c r="AE37" s="199"/>
      <c r="AF37" s="200"/>
      <c r="AG37" s="199"/>
      <c r="AH37" s="199"/>
      <c r="AI37" s="199"/>
      <c r="AJ37" s="200"/>
      <c r="AK37" s="201"/>
      <c r="AL37" s="200"/>
      <c r="AM37" s="200"/>
      <c r="AN37" s="200"/>
      <c r="AO37" s="200"/>
      <c r="AP37" s="200"/>
      <c r="AQ37" s="200"/>
      <c r="AR37" s="200"/>
      <c r="AS37" s="200"/>
      <c r="AT37" s="166"/>
      <c r="AU37" s="202"/>
      <c r="AV37" s="200"/>
      <c r="AW37" s="200"/>
      <c r="AX37" s="200"/>
      <c r="AY37" s="200"/>
      <c r="AZ37" s="200"/>
      <c r="BA37" s="200"/>
      <c r="BB37" s="166"/>
      <c r="BC37" s="202"/>
      <c r="BD37" s="200"/>
      <c r="BE37" s="200"/>
      <c r="BF37" s="200"/>
      <c r="BG37" s="166"/>
      <c r="BH37" s="202"/>
      <c r="BI37" s="166">
        <f>BI36</f>
        <v>1038.0590000000011</v>
      </c>
      <c r="BJ37" s="122">
        <f>BJ36</f>
        <v>1038.0590000000011</v>
      </c>
      <c r="BK37" s="128"/>
      <c r="BL37" s="202"/>
      <c r="BM37" s="200"/>
      <c r="BN37" s="200"/>
      <c r="BO37" s="166">
        <f>BO36</f>
        <v>3816.62</v>
      </c>
      <c r="BP37" s="166">
        <v>3811.6669999999999</v>
      </c>
      <c r="BQ37" s="166">
        <v>3811.6669999999999</v>
      </c>
      <c r="BR37" s="122"/>
      <c r="BS37" s="122"/>
      <c r="BT37" s="164"/>
      <c r="BU37" s="165"/>
      <c r="BV37" s="166"/>
      <c r="BW37" s="101">
        <f t="shared" si="10"/>
        <v>0</v>
      </c>
      <c r="BX37" s="155">
        <f>BX36</f>
        <v>962.0840261763642</v>
      </c>
      <c r="BY37" s="123">
        <f>BX37</f>
        <v>962.0840261763642</v>
      </c>
      <c r="BZ37" s="164">
        <f>BX37</f>
        <v>962.0840261763642</v>
      </c>
      <c r="CA37" s="155">
        <v>3816.62</v>
      </c>
      <c r="CB37" s="125">
        <v>3816.62</v>
      </c>
      <c r="CC37" s="125">
        <v>3816.62</v>
      </c>
      <c r="CD37" s="125">
        <v>3816.62</v>
      </c>
      <c r="CE37" s="123">
        <f t="shared" si="11"/>
        <v>0</v>
      </c>
    </row>
    <row r="38" spans="1:83" ht="44.25" hidden="1" customHeight="1">
      <c r="A38" s="134"/>
      <c r="B38" s="203" t="s">
        <v>129</v>
      </c>
      <c r="C38" s="104" t="s">
        <v>100</v>
      </c>
      <c r="D38" s="204"/>
      <c r="E38" s="193"/>
      <c r="F38" s="193"/>
      <c r="G38" s="193"/>
      <c r="H38" s="205"/>
      <c r="I38" s="206"/>
      <c r="J38" s="196"/>
      <c r="K38" s="196"/>
      <c r="L38" s="197"/>
      <c r="M38" s="197"/>
      <c r="N38" s="197"/>
      <c r="O38" s="197"/>
      <c r="P38" s="197"/>
      <c r="Q38" s="197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9"/>
      <c r="AD38" s="200"/>
      <c r="AE38" s="199"/>
      <c r="AF38" s="200"/>
      <c r="AG38" s="199"/>
      <c r="AH38" s="199"/>
      <c r="AI38" s="199"/>
      <c r="AJ38" s="200"/>
      <c r="AK38" s="201"/>
      <c r="AL38" s="200"/>
      <c r="AM38" s="200"/>
      <c r="AN38" s="200"/>
      <c r="AO38" s="200"/>
      <c r="AP38" s="200"/>
      <c r="AQ38" s="200"/>
      <c r="AR38" s="200"/>
      <c r="AS38" s="200"/>
      <c r="AT38" s="166"/>
      <c r="AU38" s="202"/>
      <c r="AV38" s="200"/>
      <c r="AW38" s="200"/>
      <c r="AX38" s="200"/>
      <c r="AY38" s="200"/>
      <c r="AZ38" s="200"/>
      <c r="BA38" s="200"/>
      <c r="BB38" s="166"/>
      <c r="BC38" s="202"/>
      <c r="BD38" s="200"/>
      <c r="BE38" s="200"/>
      <c r="BF38" s="200"/>
      <c r="BG38" s="166"/>
      <c r="BH38" s="202"/>
      <c r="BI38" s="166">
        <v>0</v>
      </c>
      <c r="BJ38" s="122">
        <v>0</v>
      </c>
      <c r="BK38" s="128"/>
      <c r="BL38" s="202"/>
      <c r="BM38" s="200"/>
      <c r="BN38" s="200"/>
      <c r="BO38" s="166">
        <v>0</v>
      </c>
      <c r="BP38" s="166">
        <v>0</v>
      </c>
      <c r="BQ38" s="166">
        <v>0</v>
      </c>
      <c r="BR38" s="122"/>
      <c r="BS38" s="122"/>
      <c r="BT38" s="164"/>
      <c r="BU38" s="165"/>
      <c r="BV38" s="166"/>
      <c r="BW38" s="125">
        <f t="shared" si="10"/>
        <v>0</v>
      </c>
      <c r="BX38" s="155">
        <v>0</v>
      </c>
      <c r="BY38" s="123">
        <f>BX38</f>
        <v>0</v>
      </c>
      <c r="BZ38" s="164">
        <v>0</v>
      </c>
      <c r="CA38" s="155">
        <v>0</v>
      </c>
      <c r="CB38" s="125">
        <v>0</v>
      </c>
      <c r="CC38" s="125">
        <v>0</v>
      </c>
      <c r="CD38" s="125">
        <v>0</v>
      </c>
      <c r="CE38" s="123">
        <f t="shared" si="11"/>
        <v>0</v>
      </c>
    </row>
    <row r="39" spans="1:83" ht="44.25" hidden="1" customHeight="1">
      <c r="A39" s="207"/>
      <c r="B39" s="208" t="s">
        <v>130</v>
      </c>
      <c r="C39" s="104" t="s">
        <v>100</v>
      </c>
      <c r="D39" s="209"/>
      <c r="E39" s="210"/>
      <c r="F39" s="210"/>
      <c r="G39" s="210"/>
      <c r="H39" s="211"/>
      <c r="I39" s="212"/>
      <c r="J39" s="213"/>
      <c r="K39" s="213"/>
      <c r="L39" s="214"/>
      <c r="M39" s="214"/>
      <c r="N39" s="214"/>
      <c r="O39" s="214"/>
      <c r="P39" s="214"/>
      <c r="Q39" s="214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6"/>
      <c r="AD39" s="217"/>
      <c r="AE39" s="216"/>
      <c r="AF39" s="217"/>
      <c r="AG39" s="216"/>
      <c r="AH39" s="216"/>
      <c r="AI39" s="216"/>
      <c r="AJ39" s="217"/>
      <c r="AK39" s="218"/>
      <c r="AL39" s="217"/>
      <c r="AM39" s="217"/>
      <c r="AN39" s="217"/>
      <c r="AO39" s="217"/>
      <c r="AP39" s="217"/>
      <c r="AQ39" s="217"/>
      <c r="AR39" s="217"/>
      <c r="AS39" s="217"/>
      <c r="AT39" s="219"/>
      <c r="AU39" s="217"/>
      <c r="AV39" s="217"/>
      <c r="AW39" s="217"/>
      <c r="AX39" s="217"/>
      <c r="AY39" s="217"/>
      <c r="AZ39" s="217"/>
      <c r="BA39" s="217"/>
      <c r="BB39" s="219"/>
      <c r="BC39" s="217"/>
      <c r="BD39" s="217"/>
      <c r="BE39" s="217"/>
      <c r="BF39" s="217"/>
      <c r="BG39" s="219"/>
      <c r="BH39" s="217"/>
      <c r="BI39" s="219"/>
      <c r="BJ39" s="217"/>
      <c r="BK39" s="220"/>
      <c r="BL39" s="217"/>
      <c r="BM39" s="217"/>
      <c r="BN39" s="217"/>
      <c r="BO39" s="219"/>
      <c r="BP39" s="221">
        <v>65478.38</v>
      </c>
      <c r="BQ39" s="221">
        <f>BP39</f>
        <v>65478.38</v>
      </c>
      <c r="BR39" s="219"/>
      <c r="BS39" s="217"/>
      <c r="BT39" s="217"/>
      <c r="BU39" s="222"/>
      <c r="BV39" s="223"/>
      <c r="BW39" s="125">
        <f t="shared" si="10"/>
        <v>0</v>
      </c>
      <c r="BX39" s="224"/>
      <c r="BY39" s="225"/>
      <c r="BZ39" s="217"/>
      <c r="CA39" s="224"/>
      <c r="CB39" s="226"/>
      <c r="CC39" s="226"/>
      <c r="CD39" s="226"/>
      <c r="CE39" s="227">
        <f t="shared" si="11"/>
        <v>0</v>
      </c>
    </row>
    <row r="40" spans="1:83" s="261" customFormat="1" ht="19.5" customHeight="1" thickBot="1">
      <c r="A40" s="228"/>
      <c r="B40" s="229" t="s">
        <v>131</v>
      </c>
      <c r="C40" s="230"/>
      <c r="D40" s="231"/>
      <c r="E40" s="232"/>
      <c r="F40" s="231"/>
      <c r="G40" s="231"/>
      <c r="H40" s="233"/>
      <c r="I40" s="234" t="s">
        <v>132</v>
      </c>
      <c r="J40" s="235"/>
      <c r="K40" s="236"/>
      <c r="L40" s="237"/>
      <c r="M40" s="238"/>
      <c r="N40" s="237"/>
      <c r="O40" s="238"/>
      <c r="P40" s="237"/>
      <c r="Q40" s="239"/>
      <c r="R40" s="240"/>
      <c r="S40" s="241"/>
      <c r="T40" s="242"/>
      <c r="U40" s="242"/>
      <c r="V40" s="241"/>
      <c r="W40" s="242"/>
      <c r="X40" s="242"/>
      <c r="Y40" s="241"/>
      <c r="Z40" s="243"/>
      <c r="AA40" s="244"/>
      <c r="AB40" s="245"/>
      <c r="AC40" s="246"/>
      <c r="AD40" s="247"/>
      <c r="AE40" s="248"/>
      <c r="AF40" s="247"/>
      <c r="AG40" s="249"/>
      <c r="AH40" s="249"/>
      <c r="AI40" s="246"/>
      <c r="AJ40" s="250"/>
      <c r="AK40" s="251"/>
      <c r="AL40" s="252"/>
      <c r="AM40" s="250"/>
      <c r="AN40" s="253"/>
      <c r="AO40" s="254"/>
      <c r="AP40" s="250"/>
      <c r="AQ40" s="255"/>
      <c r="AR40" s="250"/>
      <c r="AS40" s="254"/>
      <c r="AT40" s="254"/>
      <c r="AU40" s="254"/>
      <c r="AV40" s="254"/>
      <c r="AW40" s="250"/>
      <c r="AX40" s="250"/>
      <c r="AY40" s="253"/>
      <c r="AZ40" s="254"/>
      <c r="BA40" s="250"/>
      <c r="BB40" s="254"/>
      <c r="BC40" s="250"/>
      <c r="BD40" s="256"/>
      <c r="BE40" s="250"/>
      <c r="BF40" s="253"/>
      <c r="BG40" s="250"/>
      <c r="BH40" s="254"/>
      <c r="BI40" s="257"/>
      <c r="BJ40" s="252"/>
      <c r="BK40" s="258"/>
      <c r="BL40" s="253"/>
      <c r="BM40" s="254"/>
      <c r="BN40" s="254"/>
      <c r="BO40" s="250"/>
      <c r="BP40" s="250"/>
      <c r="BQ40" s="250"/>
      <c r="BR40" s="250"/>
      <c r="BS40" s="256"/>
      <c r="BT40" s="252"/>
      <c r="BU40" s="259"/>
      <c r="BV40" s="260"/>
      <c r="BW40" s="258"/>
      <c r="BX40" s="252"/>
      <c r="BY40" s="254"/>
      <c r="BZ40" s="255"/>
      <c r="CA40" s="252"/>
      <c r="CB40" s="258"/>
      <c r="CC40" s="258"/>
      <c r="CD40" s="258"/>
      <c r="CE40" s="250"/>
    </row>
    <row r="41" spans="1:83" ht="36" customHeight="1">
      <c r="A41" s="70">
        <v>9</v>
      </c>
      <c r="B41" s="71" t="s">
        <v>133</v>
      </c>
      <c r="C41" s="72" t="s">
        <v>134</v>
      </c>
      <c r="D41" s="262">
        <f t="shared" ref="D41:K41" si="28">D43</f>
        <v>10821</v>
      </c>
      <c r="E41" s="262">
        <f t="shared" si="28"/>
        <v>3064</v>
      </c>
      <c r="F41" s="263">
        <f t="shared" si="28"/>
        <v>5677</v>
      </c>
      <c r="G41" s="263">
        <f t="shared" si="28"/>
        <v>3568</v>
      </c>
      <c r="H41" s="263">
        <f t="shared" si="28"/>
        <v>12309</v>
      </c>
      <c r="I41" s="263">
        <f t="shared" si="28"/>
        <v>0</v>
      </c>
      <c r="J41" s="263">
        <f t="shared" si="28"/>
        <v>10821</v>
      </c>
      <c r="K41" s="264">
        <f t="shared" si="28"/>
        <v>12309</v>
      </c>
      <c r="L41" s="263">
        <f>L50*L17/1000</f>
        <v>3194.29754</v>
      </c>
      <c r="M41" s="265">
        <f>M43</f>
        <v>3649</v>
      </c>
      <c r="N41" s="263">
        <f>N50*N17/1000</f>
        <v>2451.7448549999999</v>
      </c>
      <c r="O41" s="262">
        <v>3087</v>
      </c>
      <c r="P41" s="263">
        <f>P43</f>
        <v>4652.2</v>
      </c>
      <c r="Q41" s="264">
        <f>Q43</f>
        <v>5701</v>
      </c>
      <c r="R41" s="266">
        <f>L41+N41+P41</f>
        <v>10298.242395000001</v>
      </c>
      <c r="S41" s="85">
        <f>S43</f>
        <v>12437</v>
      </c>
      <c r="T41" s="266" t="e">
        <f>T51*T20/1000</f>
        <v>#REF!</v>
      </c>
      <c r="U41" s="266">
        <f>U42+U43+U44</f>
        <v>12406.05</v>
      </c>
      <c r="V41" s="266" t="e">
        <f>V51*V20/1000</f>
        <v>#REF!</v>
      </c>
      <c r="W41" s="266">
        <f>W42+W43+W44</f>
        <v>12393.55</v>
      </c>
      <c r="X41" s="266">
        <f>X42+X43+X44</f>
        <v>12069.369000000001</v>
      </c>
      <c r="Y41" s="267">
        <f>Y42+Y43+Y44</f>
        <v>12069.369000000001</v>
      </c>
      <c r="Z41" s="267">
        <f>W41-X41</f>
        <v>324.18099999999868</v>
      </c>
      <c r="AA41" s="266">
        <f>Y41-X41</f>
        <v>0</v>
      </c>
      <c r="AB41" s="268">
        <f>AB42+AB43+AB44</f>
        <v>12393.55</v>
      </c>
      <c r="AC41" s="269">
        <v>11717.31</v>
      </c>
      <c r="AD41" s="89">
        <f>AC41-AB41</f>
        <v>-676.23999999999978</v>
      </c>
      <c r="AE41" s="270">
        <f>AE51*AE20/1000</f>
        <v>11245.706274443743</v>
      </c>
      <c r="AF41" s="91">
        <f>AE41-AC41</f>
        <v>-471.6037255562569</v>
      </c>
      <c r="AG41" s="271">
        <v>14212.66</v>
      </c>
      <c r="AH41" s="154">
        <f>AH42+AH43+AH44</f>
        <v>11226.775500000002</v>
      </c>
      <c r="AI41" s="154">
        <f>AI42+AI43+AI44</f>
        <v>10821.509390000001</v>
      </c>
      <c r="AJ41" s="154">
        <f>AJ51*AJ20/1000</f>
        <v>11734.840902599999</v>
      </c>
      <c r="AK41" s="93">
        <f t="shared" ref="AK41:AK46" si="29">AJ41-AH41</f>
        <v>508.06540259999747</v>
      </c>
      <c r="AL41" s="94">
        <f>AL42+AL43+AL44</f>
        <v>12809.029799999998</v>
      </c>
      <c r="AM41" s="154">
        <f>AL41-AN41</f>
        <v>11403.942799999999</v>
      </c>
      <c r="AN41" s="91">
        <f>AN42+AN43+AN44</f>
        <v>1405.087</v>
      </c>
      <c r="AO41" s="272">
        <f>AO42+AO43+AO44</f>
        <v>11629.220000000001</v>
      </c>
      <c r="AP41" s="154">
        <f>AO41-AJ41</f>
        <v>-105.62090259999786</v>
      </c>
      <c r="AQ41" s="89">
        <f>AQ51*AQ20/1000</f>
        <v>11491.249589999999</v>
      </c>
      <c r="AR41" s="154">
        <f>AQ41-AO41</f>
        <v>-137.97041000000172</v>
      </c>
      <c r="AS41" s="91">
        <f>AS51*AS20/1000</f>
        <v>12601.625114400002</v>
      </c>
      <c r="AT41" s="272">
        <f>AT42+AT43+AT44</f>
        <v>10796.470000000001</v>
      </c>
      <c r="AU41" s="154">
        <f>AT41-AS41</f>
        <v>-1805.1551144000005</v>
      </c>
      <c r="AV41" s="91">
        <f>AV51*AV20/1000</f>
        <v>10734.728135811294</v>
      </c>
      <c r="AW41" s="91">
        <f>AV41-AT41</f>
        <v>-61.741864188707041</v>
      </c>
      <c r="AX41" s="154">
        <f>AX42+AX43+AX44</f>
        <v>11396.566400000002</v>
      </c>
      <c r="AY41" s="272">
        <f>AY50*AY17/1000</f>
        <v>1341.1649759200002</v>
      </c>
      <c r="AZ41" s="91">
        <f>AZ51*AZ20/1000</f>
        <v>12601.625114400002</v>
      </c>
      <c r="BA41" s="91">
        <f>BA42+BA43+BA44</f>
        <v>12522.450600000002</v>
      </c>
      <c r="BB41" s="272">
        <f>BB42+BB43+BB44</f>
        <v>10480.089999999998</v>
      </c>
      <c r="BC41" s="154">
        <f t="shared" si="7"/>
        <v>-2042.3606000000036</v>
      </c>
      <c r="BD41" s="272">
        <f>BD51*BD20/1000</f>
        <v>10149.27704506483</v>
      </c>
      <c r="BE41" s="154">
        <f t="shared" si="14"/>
        <v>-330.81295493516882</v>
      </c>
      <c r="BF41" s="273">
        <f>BF42+BF43+BF44</f>
        <v>12813.534</v>
      </c>
      <c r="BG41" s="91">
        <f>BG51*BG20/1000</f>
        <v>12613.746859999999</v>
      </c>
      <c r="BH41" s="154">
        <f t="shared" si="8"/>
        <v>-199.78714000000036</v>
      </c>
      <c r="BI41" s="272">
        <v>5001.8280000000004</v>
      </c>
      <c r="BJ41" s="272">
        <f>BJ51*BJ20/1000</f>
        <v>4918.8901305888521</v>
      </c>
      <c r="BK41" s="101">
        <f t="shared" si="9"/>
        <v>-82.937869411148313</v>
      </c>
      <c r="BL41" s="274">
        <f>BM41+BN41</f>
        <v>4612.25</v>
      </c>
      <c r="BM41" s="272">
        <v>1916.17</v>
      </c>
      <c r="BN41" s="272">
        <v>2696.08</v>
      </c>
      <c r="BO41" s="91">
        <f>BR41+BS41</f>
        <v>4456.607164362531</v>
      </c>
      <c r="BP41" s="91">
        <f>BP42</f>
        <v>3455.55</v>
      </c>
      <c r="BQ41" s="91">
        <f>BQ51*BQ20/1000</f>
        <v>3326.9498155667688</v>
      </c>
      <c r="BR41" s="91">
        <f>BR50*BR17/1000</f>
        <v>1804.7836545248026</v>
      </c>
      <c r="BS41" s="94">
        <f>BS50*BS17/1000</f>
        <v>2651.8235098377286</v>
      </c>
      <c r="BT41" s="272">
        <v>4609.08</v>
      </c>
      <c r="BU41" s="275">
        <f>BU42+BU43</f>
        <v>1916.17</v>
      </c>
      <c r="BV41" s="276">
        <f>BV42+BV43</f>
        <v>2692.91</v>
      </c>
      <c r="BW41" s="101">
        <f t="shared" si="10"/>
        <v>-128.60018443323133</v>
      </c>
      <c r="BX41" s="272">
        <f>BX51*BX20/1000</f>
        <v>4456.6071643625301</v>
      </c>
      <c r="BY41" s="154">
        <f>BY51*BY20/1000</f>
        <v>4456.6071643625301</v>
      </c>
      <c r="BZ41" s="274">
        <f>BZ51*BZ20/1000</f>
        <v>4456.6071643625301</v>
      </c>
      <c r="CA41" s="272">
        <f>CA42</f>
        <v>4609.0780000000004</v>
      </c>
      <c r="CB41" s="101">
        <f>CB51*CB20/1000</f>
        <v>5974.2636445998842</v>
      </c>
      <c r="CC41" s="101">
        <f>CC51*CC20/1000</f>
        <v>5974.2636445998842</v>
      </c>
      <c r="CD41" s="101">
        <f>CD51*CD20/1000</f>
        <v>5974.2636445998842</v>
      </c>
      <c r="CE41" s="154">
        <f t="shared" si="11"/>
        <v>1365.1856445998837</v>
      </c>
    </row>
    <row r="42" spans="1:83" ht="27.75" customHeight="1">
      <c r="A42" s="277" t="s">
        <v>135</v>
      </c>
      <c r="B42" s="103" t="s">
        <v>136</v>
      </c>
      <c r="C42" s="104" t="s">
        <v>134</v>
      </c>
      <c r="D42" s="135"/>
      <c r="E42" s="278"/>
      <c r="F42" s="136"/>
      <c r="G42" s="136"/>
      <c r="H42" s="143"/>
      <c r="I42" s="279"/>
      <c r="J42" s="109"/>
      <c r="K42" s="110"/>
      <c r="L42" s="111"/>
      <c r="M42" s="108"/>
      <c r="N42" s="111"/>
      <c r="O42" s="280"/>
      <c r="P42" s="112"/>
      <c r="Q42" s="161"/>
      <c r="R42" s="115"/>
      <c r="S42" s="116"/>
      <c r="T42" s="117"/>
      <c r="U42" s="117"/>
      <c r="V42" s="117"/>
      <c r="W42" s="117"/>
      <c r="X42" s="117"/>
      <c r="Y42" s="116"/>
      <c r="Z42" s="116">
        <f>W42-X42</f>
        <v>0</v>
      </c>
      <c r="AA42" s="117">
        <f>Y42-X42</f>
        <v>0</v>
      </c>
      <c r="AB42" s="162"/>
      <c r="AC42" s="149">
        <v>1609.13</v>
      </c>
      <c r="AD42" s="122">
        <f>AC42-AB42</f>
        <v>1609.13</v>
      </c>
      <c r="AE42" s="163">
        <f>AC42</f>
        <v>1609.13</v>
      </c>
      <c r="AF42" s="123">
        <f>AE42-AC42</f>
        <v>0</v>
      </c>
      <c r="AG42" s="124">
        <v>7097.19</v>
      </c>
      <c r="AH42" s="124">
        <f>AH46*1.14</f>
        <v>5554.5473999999995</v>
      </c>
      <c r="AI42" s="149">
        <v>4089.5250000000001</v>
      </c>
      <c r="AJ42" s="123">
        <f>AJ41-AJ43-AJ44</f>
        <v>6062.6109025999986</v>
      </c>
      <c r="AK42" s="126">
        <f t="shared" si="29"/>
        <v>508.06350259999908</v>
      </c>
      <c r="AL42" s="155">
        <v>5616.32</v>
      </c>
      <c r="AM42" s="123">
        <f>AL42-AN42</f>
        <v>4211.2330000000002</v>
      </c>
      <c r="AN42" s="123">
        <v>1405.087</v>
      </c>
      <c r="AO42" s="123">
        <v>6049.22</v>
      </c>
      <c r="AP42" s="154">
        <f>AO42-AJ42</f>
        <v>-13.390902599998299</v>
      </c>
      <c r="AQ42" s="122">
        <f>AQ41-AQ43-AQ44</f>
        <v>5911.2495899999994</v>
      </c>
      <c r="AR42" s="123">
        <f>AQ42-AO42</f>
        <v>-137.97041000000081</v>
      </c>
      <c r="AS42" s="123">
        <f>AS41-AS43-AS44</f>
        <v>6191.2136144000015</v>
      </c>
      <c r="AT42" s="123">
        <v>5859.63</v>
      </c>
      <c r="AU42" s="123">
        <f>AT42-AS42</f>
        <v>-331.58361440000135</v>
      </c>
      <c r="AV42" s="123">
        <f>AV41-AV43-AV44</f>
        <v>5797.888135811294</v>
      </c>
      <c r="AW42" s="123">
        <f>AV42-AT42</f>
        <v>-61.741864188706131</v>
      </c>
      <c r="AX42" s="123">
        <f>AX46*1.14</f>
        <v>4203.8526000000002</v>
      </c>
      <c r="AY42" s="155">
        <f>AY41</f>
        <v>1341.1649759200002</v>
      </c>
      <c r="AZ42" s="123">
        <f>AZ41-AZ43-AZ44</f>
        <v>6191.2136144000015</v>
      </c>
      <c r="BA42" s="123">
        <f>BA46*1.14</f>
        <v>6704.3468400000002</v>
      </c>
      <c r="BB42" s="123">
        <v>6044.65</v>
      </c>
      <c r="BC42" s="123">
        <f t="shared" si="7"/>
        <v>-659.69684000000052</v>
      </c>
      <c r="BD42" s="155">
        <f>BD41-BD43-BD44</f>
        <v>5713.8370450648299</v>
      </c>
      <c r="BE42" s="123">
        <f t="shared" si="14"/>
        <v>-330.81295493516973</v>
      </c>
      <c r="BF42" s="122">
        <v>5966.0529999999999</v>
      </c>
      <c r="BG42" s="123">
        <f>BG41-BG44-BG43</f>
        <v>6795.6430999999984</v>
      </c>
      <c r="BH42" s="123">
        <f t="shared" si="8"/>
        <v>829.59009999999853</v>
      </c>
      <c r="BI42" s="272">
        <v>3809.4690000000001</v>
      </c>
      <c r="BJ42" s="272">
        <f>BJ46*[2]энергосервис!$E$15</f>
        <v>3800.470520649732</v>
      </c>
      <c r="BK42" s="125">
        <f t="shared" si="9"/>
        <v>-8.9984793502680986</v>
      </c>
      <c r="BL42" s="274">
        <f>BM42+BN42</f>
        <v>4612.25</v>
      </c>
      <c r="BM42" s="123">
        <v>1916.17</v>
      </c>
      <c r="BN42" s="123">
        <v>2696.08</v>
      </c>
      <c r="BO42" s="123">
        <f t="shared" ref="BO42:BT42" si="30">BO41</f>
        <v>4456.607164362531</v>
      </c>
      <c r="BP42" s="123">
        <v>3455.55</v>
      </c>
      <c r="BQ42" s="123">
        <f>BQ41</f>
        <v>3326.9498155667688</v>
      </c>
      <c r="BR42" s="123">
        <f t="shared" si="30"/>
        <v>1804.7836545248026</v>
      </c>
      <c r="BS42" s="155">
        <f t="shared" si="30"/>
        <v>2651.8235098377286</v>
      </c>
      <c r="BT42" s="272">
        <f t="shared" si="30"/>
        <v>4609.08</v>
      </c>
      <c r="BU42" s="165">
        <v>1916.17</v>
      </c>
      <c r="BV42" s="166">
        <v>2692.91</v>
      </c>
      <c r="BW42" s="101">
        <f t="shared" si="10"/>
        <v>-128.60018443323133</v>
      </c>
      <c r="BX42" s="272">
        <f>BX41</f>
        <v>4456.6071643625301</v>
      </c>
      <c r="BY42" s="154">
        <f>BY41</f>
        <v>4456.6071643625301</v>
      </c>
      <c r="BZ42" s="274">
        <f>BZ41</f>
        <v>4456.6071643625301</v>
      </c>
      <c r="CA42" s="272">
        <v>4609.0780000000004</v>
      </c>
      <c r="CB42" s="125">
        <f>CB41</f>
        <v>5974.2636445998842</v>
      </c>
      <c r="CC42" s="125">
        <f>CC41</f>
        <v>5974.2636445998842</v>
      </c>
      <c r="CD42" s="125">
        <f>CD41</f>
        <v>5974.2636445998842</v>
      </c>
      <c r="CE42" s="123">
        <f t="shared" si="11"/>
        <v>1365.1856445998837</v>
      </c>
    </row>
    <row r="43" spans="1:83" ht="18" hidden="1" customHeight="1">
      <c r="A43" s="277" t="s">
        <v>137</v>
      </c>
      <c r="B43" s="103" t="s">
        <v>138</v>
      </c>
      <c r="C43" s="104" t="s">
        <v>134</v>
      </c>
      <c r="D43" s="135">
        <f>3532+4740+2549</f>
        <v>10821</v>
      </c>
      <c r="E43" s="105">
        <v>3064</v>
      </c>
      <c r="F43" s="106">
        <v>5677</v>
      </c>
      <c r="G43" s="106">
        <v>3568</v>
      </c>
      <c r="H43" s="106">
        <f>SUM(E43:G43)</f>
        <v>12309</v>
      </c>
      <c r="I43" s="279"/>
      <c r="J43" s="109">
        <v>10821</v>
      </c>
      <c r="K43" s="110">
        <v>12309</v>
      </c>
      <c r="L43" s="112">
        <f>L41</f>
        <v>3194.29754</v>
      </c>
      <c r="M43" s="108">
        <v>3649</v>
      </c>
      <c r="N43" s="112">
        <f>N41</f>
        <v>2451.7448549999999</v>
      </c>
      <c r="O43" s="280">
        <f>O41</f>
        <v>3087</v>
      </c>
      <c r="P43" s="112">
        <v>4652.2</v>
      </c>
      <c r="Q43" s="161">
        <v>5701</v>
      </c>
      <c r="R43" s="117">
        <f>L43+N43+P43</f>
        <v>10298.242395000001</v>
      </c>
      <c r="S43" s="116">
        <f>M43+O43+Q43</f>
        <v>12437</v>
      </c>
      <c r="T43" s="117" t="e">
        <f>T41</f>
        <v>#REF!</v>
      </c>
      <c r="U43" s="117">
        <v>12406.05</v>
      </c>
      <c r="V43" s="117" t="e">
        <f>V41</f>
        <v>#REF!</v>
      </c>
      <c r="W43" s="117">
        <v>12393.55</v>
      </c>
      <c r="X43" s="117">
        <v>12069.369000000001</v>
      </c>
      <c r="Y43" s="117">
        <v>12069.369000000001</v>
      </c>
      <c r="Z43" s="116">
        <f>W43-X43</f>
        <v>324.18099999999868</v>
      </c>
      <c r="AA43" s="117">
        <f>Y43-X43</f>
        <v>0</v>
      </c>
      <c r="AB43" s="162">
        <v>12393.55</v>
      </c>
      <c r="AC43" s="149">
        <v>9194.7999999999993</v>
      </c>
      <c r="AD43" s="122">
        <f>AC43-AB43</f>
        <v>-3198.75</v>
      </c>
      <c r="AE43" s="163">
        <f>AE41-AE42-AE44</f>
        <v>8723.1962744437424</v>
      </c>
      <c r="AF43" s="123">
        <f>AE43-AC43</f>
        <v>-471.6037255562569</v>
      </c>
      <c r="AG43" s="124">
        <v>4758.8500000000004</v>
      </c>
      <c r="AH43" s="124">
        <f>AH48*1.37</f>
        <v>4758.8457000000008</v>
      </c>
      <c r="AI43" s="149">
        <f>AI48*1.37</f>
        <v>6235.2083900000007</v>
      </c>
      <c r="AJ43" s="123">
        <v>4758.8500000000004</v>
      </c>
      <c r="AK43" s="126">
        <f t="shared" si="29"/>
        <v>4.2999999996027327E-3</v>
      </c>
      <c r="AL43" s="153">
        <f>AL48*1.37</f>
        <v>6019.1498000000001</v>
      </c>
      <c r="AM43" s="123">
        <f>AL43-AN43</f>
        <v>6019.1498000000001</v>
      </c>
      <c r="AN43" s="152">
        <v>0</v>
      </c>
      <c r="AO43" s="152">
        <v>5185</v>
      </c>
      <c r="AP43" s="154">
        <f>AO43-AJ43</f>
        <v>426.14999999999964</v>
      </c>
      <c r="AQ43" s="153">
        <v>5185</v>
      </c>
      <c r="AR43" s="123">
        <f>AQ43-AO43</f>
        <v>0</v>
      </c>
      <c r="AS43" s="152">
        <f>AS48*1.37</f>
        <v>5497.0291000000007</v>
      </c>
      <c r="AT43" s="152">
        <v>4581.0200000000004</v>
      </c>
      <c r="AU43" s="152">
        <f>AT43-AS43</f>
        <v>-916.00910000000022</v>
      </c>
      <c r="AV43" s="152">
        <v>4581.0200000000004</v>
      </c>
      <c r="AW43" s="152">
        <f>AV43-AT43</f>
        <v>0</v>
      </c>
      <c r="AX43" s="123">
        <f>AX48*1.37</f>
        <v>6019.1498000000001</v>
      </c>
      <c r="AY43" s="153">
        <v>0</v>
      </c>
      <c r="AZ43" s="152">
        <f>AZ48*1.37</f>
        <v>5497.0291000000007</v>
      </c>
      <c r="BA43" s="152">
        <f>BA48*1.37</f>
        <v>5236.1400000000003</v>
      </c>
      <c r="BB43" s="152">
        <v>4183.8599999999997</v>
      </c>
      <c r="BC43" s="152">
        <f t="shared" si="7"/>
        <v>-1052.2800000000007</v>
      </c>
      <c r="BD43" s="153">
        <f>BB43</f>
        <v>4183.8599999999997</v>
      </c>
      <c r="BE43" s="123">
        <f t="shared" si="14"/>
        <v>0</v>
      </c>
      <c r="BF43" s="151">
        <v>5942.3</v>
      </c>
      <c r="BG43" s="152">
        <f>BG48*1.37</f>
        <v>5236.1400000000003</v>
      </c>
      <c r="BH43" s="152">
        <f t="shared" si="8"/>
        <v>-706.15999999999985</v>
      </c>
      <c r="BI43" s="152">
        <v>1192.3579999999999</v>
      </c>
      <c r="BJ43" s="153">
        <f>BJ41-BJ42</f>
        <v>1118.4196099391202</v>
      </c>
      <c r="BK43" s="125">
        <f t="shared" si="9"/>
        <v>-73.938390060879783</v>
      </c>
      <c r="BL43" s="151">
        <v>0</v>
      </c>
      <c r="BM43" s="152">
        <v>0</v>
      </c>
      <c r="BN43" s="152">
        <v>0</v>
      </c>
      <c r="BO43" s="152">
        <v>0</v>
      </c>
      <c r="BP43" s="152">
        <v>0</v>
      </c>
      <c r="BQ43" s="152">
        <v>0</v>
      </c>
      <c r="BR43" s="152">
        <v>0</v>
      </c>
      <c r="BS43" s="152">
        <v>0</v>
      </c>
      <c r="BT43" s="281">
        <v>0</v>
      </c>
      <c r="BU43" s="157">
        <v>0</v>
      </c>
      <c r="BV43" s="158">
        <v>0</v>
      </c>
      <c r="BW43" s="101">
        <f t="shared" si="10"/>
        <v>0</v>
      </c>
      <c r="BX43" s="153">
        <v>0</v>
      </c>
      <c r="BY43" s="152">
        <v>0</v>
      </c>
      <c r="BZ43" s="156">
        <v>0</v>
      </c>
      <c r="CA43" s="153">
        <v>0</v>
      </c>
      <c r="CB43" s="125">
        <f t="shared" ref="CB43:CD44" si="31">BW43</f>
        <v>0</v>
      </c>
      <c r="CC43" s="125">
        <f t="shared" si="31"/>
        <v>0</v>
      </c>
      <c r="CD43" s="125">
        <f t="shared" si="31"/>
        <v>0</v>
      </c>
      <c r="CE43" s="123">
        <f t="shared" si="11"/>
        <v>0</v>
      </c>
    </row>
    <row r="44" spans="1:83" ht="18" hidden="1" customHeight="1">
      <c r="A44" s="277" t="s">
        <v>139</v>
      </c>
      <c r="B44" s="103" t="s">
        <v>140</v>
      </c>
      <c r="C44" s="104" t="s">
        <v>134</v>
      </c>
      <c r="D44" s="135"/>
      <c r="E44" s="105"/>
      <c r="F44" s="106"/>
      <c r="G44" s="106"/>
      <c r="H44" s="106"/>
      <c r="I44" s="279"/>
      <c r="J44" s="109"/>
      <c r="K44" s="110"/>
      <c r="L44" s="112"/>
      <c r="M44" s="108"/>
      <c r="N44" s="112"/>
      <c r="O44" s="280"/>
      <c r="P44" s="112"/>
      <c r="Q44" s="161"/>
      <c r="R44" s="117"/>
      <c r="S44" s="116"/>
      <c r="T44" s="117"/>
      <c r="U44" s="117"/>
      <c r="V44" s="117"/>
      <c r="W44" s="117"/>
      <c r="X44" s="117"/>
      <c r="Y44" s="117"/>
      <c r="Z44" s="116"/>
      <c r="AA44" s="117"/>
      <c r="AB44" s="162"/>
      <c r="AC44" s="149">
        <v>913.38</v>
      </c>
      <c r="AD44" s="122">
        <f>AC44-AB44</f>
        <v>913.38</v>
      </c>
      <c r="AE44" s="163">
        <f>AC44</f>
        <v>913.38</v>
      </c>
      <c r="AF44" s="123">
        <f>AE44-AC44</f>
        <v>0</v>
      </c>
      <c r="AG44" s="124">
        <v>2356.63</v>
      </c>
      <c r="AH44" s="124">
        <f>AH49*0.84</f>
        <v>913.38239999999985</v>
      </c>
      <c r="AI44" s="149">
        <f>AI49*0.84</f>
        <v>496.77599999999995</v>
      </c>
      <c r="AJ44" s="123">
        <v>913.38</v>
      </c>
      <c r="AK44" s="126">
        <f t="shared" si="29"/>
        <v>-2.3999999998522981E-3</v>
      </c>
      <c r="AL44" s="153">
        <v>1173.56</v>
      </c>
      <c r="AM44" s="123">
        <f>AL44-AN44</f>
        <v>1173.56</v>
      </c>
      <c r="AN44" s="152">
        <v>0</v>
      </c>
      <c r="AO44" s="152">
        <v>395</v>
      </c>
      <c r="AP44" s="154">
        <f>AO44-AJ44</f>
        <v>-518.38</v>
      </c>
      <c r="AQ44" s="153">
        <v>395</v>
      </c>
      <c r="AR44" s="123">
        <f>AQ44-AO44</f>
        <v>0</v>
      </c>
      <c r="AS44" s="123">
        <f>AS49*0.84</f>
        <v>913.38239999999985</v>
      </c>
      <c r="AT44" s="152">
        <v>355.82</v>
      </c>
      <c r="AU44" s="123">
        <f>AT44-AS44</f>
        <v>-557.5623999999998</v>
      </c>
      <c r="AV44" s="152">
        <v>355.82</v>
      </c>
      <c r="AW44" s="123">
        <f>AV44-AT44</f>
        <v>0</v>
      </c>
      <c r="AX44" s="123">
        <f>AX49*0.84</f>
        <v>1173.5639999999999</v>
      </c>
      <c r="AY44" s="153">
        <v>0</v>
      </c>
      <c r="AZ44" s="123">
        <f>AZ49*0.84</f>
        <v>913.38239999999985</v>
      </c>
      <c r="BA44" s="123">
        <f>BA49*0.84</f>
        <v>581.96375999999998</v>
      </c>
      <c r="BB44" s="152">
        <v>251.58</v>
      </c>
      <c r="BC44" s="123">
        <f t="shared" si="7"/>
        <v>-330.38375999999994</v>
      </c>
      <c r="BD44" s="155">
        <f>BB44</f>
        <v>251.58</v>
      </c>
      <c r="BE44" s="123">
        <f t="shared" si="14"/>
        <v>0</v>
      </c>
      <c r="BF44" s="151">
        <v>905.18100000000004</v>
      </c>
      <c r="BG44" s="123">
        <f>BG49*0.84</f>
        <v>581.96375999999998</v>
      </c>
      <c r="BH44" s="152">
        <f t="shared" si="8"/>
        <v>-323.21724000000006</v>
      </c>
      <c r="BI44" s="152">
        <v>0</v>
      </c>
      <c r="BJ44" s="153">
        <v>0</v>
      </c>
      <c r="BK44" s="125">
        <f t="shared" si="9"/>
        <v>0</v>
      </c>
      <c r="BL44" s="151">
        <v>0</v>
      </c>
      <c r="BM44" s="152">
        <v>0</v>
      </c>
      <c r="BN44" s="152">
        <v>0</v>
      </c>
      <c r="BO44" s="152">
        <v>0</v>
      </c>
      <c r="BP44" s="152">
        <v>0</v>
      </c>
      <c r="BQ44" s="152">
        <v>0</v>
      </c>
      <c r="BR44" s="152">
        <v>0</v>
      </c>
      <c r="BS44" s="152">
        <v>0</v>
      </c>
      <c r="BT44" s="281">
        <v>0</v>
      </c>
      <c r="BU44" s="157">
        <v>0</v>
      </c>
      <c r="BV44" s="158">
        <v>0</v>
      </c>
      <c r="BW44" s="101">
        <f t="shared" si="10"/>
        <v>0</v>
      </c>
      <c r="BX44" s="153">
        <v>0</v>
      </c>
      <c r="BY44" s="152">
        <v>0</v>
      </c>
      <c r="BZ44" s="156">
        <v>0</v>
      </c>
      <c r="CA44" s="153">
        <v>0</v>
      </c>
      <c r="CB44" s="125">
        <f t="shared" si="31"/>
        <v>0</v>
      </c>
      <c r="CC44" s="125">
        <f t="shared" si="31"/>
        <v>0</v>
      </c>
      <c r="CD44" s="125">
        <f t="shared" si="31"/>
        <v>0</v>
      </c>
      <c r="CE44" s="123">
        <f t="shared" si="11"/>
        <v>0</v>
      </c>
    </row>
    <row r="45" spans="1:83" ht="42.75" customHeight="1">
      <c r="A45" s="134" t="s">
        <v>141</v>
      </c>
      <c r="B45" s="103" t="s">
        <v>142</v>
      </c>
      <c r="C45" s="104"/>
      <c r="D45" s="135"/>
      <c r="E45" s="135"/>
      <c r="F45" s="142"/>
      <c r="G45" s="142"/>
      <c r="H45" s="106"/>
      <c r="I45" s="279"/>
      <c r="J45" s="109"/>
      <c r="K45" s="110"/>
      <c r="L45" s="111"/>
      <c r="M45" s="108"/>
      <c r="N45" s="111"/>
      <c r="O45" s="280"/>
      <c r="P45" s="111"/>
      <c r="Q45" s="113"/>
      <c r="R45" s="115"/>
      <c r="S45" s="116"/>
      <c r="T45" s="117"/>
      <c r="U45" s="117"/>
      <c r="V45" s="117"/>
      <c r="W45" s="117"/>
      <c r="X45" s="117"/>
      <c r="Y45" s="117"/>
      <c r="Z45" s="116"/>
      <c r="AA45" s="117"/>
      <c r="AB45" s="162"/>
      <c r="AC45" s="149"/>
      <c r="AD45" s="122"/>
      <c r="AE45" s="163"/>
      <c r="AF45" s="123"/>
      <c r="AG45" s="124"/>
      <c r="AH45" s="124"/>
      <c r="AI45" s="125">
        <f>AI44/AI49</f>
        <v>0.84</v>
      </c>
      <c r="AJ45" s="125"/>
      <c r="AK45" s="126">
        <f t="shared" si="29"/>
        <v>0</v>
      </c>
      <c r="AL45" s="125"/>
      <c r="AM45" s="123">
        <f>AL44/AL49</f>
        <v>0.83987690546053106</v>
      </c>
      <c r="AN45" s="125">
        <f>AN42/AN46</f>
        <v>1.1430004303272521</v>
      </c>
      <c r="AO45" s="125"/>
      <c r="AP45" s="154"/>
      <c r="AQ45" s="127"/>
      <c r="AR45" s="123"/>
      <c r="AS45" s="123"/>
      <c r="AT45" s="125"/>
      <c r="AU45" s="123"/>
      <c r="AV45" s="123"/>
      <c r="AW45" s="123"/>
      <c r="AX45" s="123"/>
      <c r="AY45" s="127"/>
      <c r="AZ45" s="123"/>
      <c r="BA45" s="123"/>
      <c r="BB45" s="125"/>
      <c r="BC45" s="123"/>
      <c r="BD45" s="155"/>
      <c r="BE45" s="123"/>
      <c r="BF45" s="128"/>
      <c r="BG45" s="123"/>
      <c r="BH45" s="125"/>
      <c r="BI45" s="125"/>
      <c r="BJ45" s="127"/>
      <c r="BK45" s="125"/>
      <c r="BL45" s="128"/>
      <c r="BM45" s="125"/>
      <c r="BN45" s="125"/>
      <c r="BO45" s="123"/>
      <c r="BP45" s="123"/>
      <c r="BQ45" s="123"/>
      <c r="BR45" s="282"/>
      <c r="BS45" s="155"/>
      <c r="BT45" s="281"/>
      <c r="BU45" s="131"/>
      <c r="BV45" s="132"/>
      <c r="BW45" s="101">
        <f t="shared" si="10"/>
        <v>0</v>
      </c>
      <c r="BX45" s="127"/>
      <c r="BY45" s="125"/>
      <c r="BZ45" s="129"/>
      <c r="CA45" s="127"/>
      <c r="CB45" s="125"/>
      <c r="CC45" s="125"/>
      <c r="CD45" s="125"/>
      <c r="CE45" s="123">
        <f t="shared" si="11"/>
        <v>0</v>
      </c>
    </row>
    <row r="46" spans="1:83" ht="22.5">
      <c r="A46" s="277" t="s">
        <v>80</v>
      </c>
      <c r="B46" s="103" t="s">
        <v>143</v>
      </c>
      <c r="C46" s="104" t="s">
        <v>144</v>
      </c>
      <c r="D46" s="135"/>
      <c r="E46" s="135"/>
      <c r="F46" s="142"/>
      <c r="G46" s="142"/>
      <c r="H46" s="142"/>
      <c r="I46" s="279">
        <f>I42/1.14</f>
        <v>0</v>
      </c>
      <c r="J46" s="109"/>
      <c r="K46" s="110"/>
      <c r="L46" s="111"/>
      <c r="M46" s="108"/>
      <c r="N46" s="111"/>
      <c r="O46" s="280"/>
      <c r="P46" s="111"/>
      <c r="Q46" s="113"/>
      <c r="R46" s="115"/>
      <c r="S46" s="116"/>
      <c r="T46" s="117"/>
      <c r="U46" s="117"/>
      <c r="V46" s="117"/>
      <c r="W46" s="117"/>
      <c r="X46" s="117"/>
      <c r="Y46" s="117"/>
      <c r="Z46" s="116"/>
      <c r="AA46" s="117"/>
      <c r="AB46" s="162"/>
      <c r="AC46" s="149">
        <v>1408.72</v>
      </c>
      <c r="AD46" s="122">
        <f>AC46-AB46</f>
        <v>1408.72</v>
      </c>
      <c r="AE46" s="163">
        <f>AC46</f>
        <v>1408.72</v>
      </c>
      <c r="AF46" s="123">
        <f>AE46-AC46</f>
        <v>0</v>
      </c>
      <c r="AG46" s="124">
        <v>6225.6</v>
      </c>
      <c r="AH46" s="124">
        <v>4872.41</v>
      </c>
      <c r="AI46" s="149">
        <v>3582.6239999999998</v>
      </c>
      <c r="AJ46" s="123">
        <v>5318.07</v>
      </c>
      <c r="AK46" s="126">
        <f t="shared" si="29"/>
        <v>445.65999999999985</v>
      </c>
      <c r="AL46" s="155">
        <v>4916.8900000000003</v>
      </c>
      <c r="AM46" s="123">
        <f>AL46-AN46</f>
        <v>3687.5930000000003</v>
      </c>
      <c r="AN46" s="123">
        <v>1229.297</v>
      </c>
      <c r="AO46" s="123">
        <v>5292.3990000000003</v>
      </c>
      <c r="AP46" s="154">
        <f t="shared" ref="AP46:AP51" si="32">AO46-AJ46</f>
        <v>-25.670999999999367</v>
      </c>
      <c r="AQ46" s="122">
        <f>AQ42/1.143</f>
        <v>5171.6969291338573</v>
      </c>
      <c r="AR46" s="123">
        <f t="shared" ref="AR46:AR51" si="33">AQ46-AO46</f>
        <v>-120.702070866143</v>
      </c>
      <c r="AS46" s="123">
        <f>AS42/1.14</f>
        <v>5430.8891354385978</v>
      </c>
      <c r="AT46" s="123">
        <v>5124.8900000000003</v>
      </c>
      <c r="AU46" s="123">
        <f t="shared" ref="AU46:AU51" si="34">AT46-AS46</f>
        <v>-305.99913543859748</v>
      </c>
      <c r="AV46" s="123">
        <f>AV42/1.14</f>
        <v>5085.8667857993814</v>
      </c>
      <c r="AW46" s="123">
        <f t="shared" ref="AW46:AW51" si="35">AV46-AT46</f>
        <v>-39.023214200618895</v>
      </c>
      <c r="AX46" s="123">
        <v>3687.59</v>
      </c>
      <c r="AY46" s="155">
        <f>AY42/1.14</f>
        <v>1176.4605051929827</v>
      </c>
      <c r="AZ46" s="123">
        <f>AZ42/1.14</f>
        <v>5430.8891354385978</v>
      </c>
      <c r="BA46" s="123">
        <v>5881.0060000000003</v>
      </c>
      <c r="BB46" s="123">
        <v>5273.71</v>
      </c>
      <c r="BC46" s="123">
        <f t="shared" si="7"/>
        <v>-607.29600000000028</v>
      </c>
      <c r="BD46" s="155">
        <f>BD42/(BB42/BB46)</f>
        <v>4985.089221531246</v>
      </c>
      <c r="BE46" s="123">
        <f t="shared" si="14"/>
        <v>-288.620778468754</v>
      </c>
      <c r="BF46" s="122">
        <v>5233.3789999999999</v>
      </c>
      <c r="BG46" s="123">
        <f>BG42/1.14</f>
        <v>5961.0904385964905</v>
      </c>
      <c r="BH46" s="123">
        <f t="shared" si="8"/>
        <v>727.71143859649055</v>
      </c>
      <c r="BI46" s="123">
        <v>3324.65</v>
      </c>
      <c r="BJ46" s="155">
        <v>3317.5</v>
      </c>
      <c r="BK46" s="125">
        <f t="shared" si="9"/>
        <v>-7.1500000000000909</v>
      </c>
      <c r="BL46" s="122">
        <f>BM46+BN46</f>
        <v>4045.83</v>
      </c>
      <c r="BM46" s="123">
        <v>1680.85</v>
      </c>
      <c r="BN46" s="123">
        <v>2364.98</v>
      </c>
      <c r="BO46" s="123">
        <f>BR46+BS46</f>
        <v>3888.2075502750904</v>
      </c>
      <c r="BP46" s="123">
        <v>3000.2809999999999</v>
      </c>
      <c r="BQ46" s="123">
        <f>BQ41/1.152</f>
        <v>2887.9772704572647</v>
      </c>
      <c r="BR46" s="123">
        <f>BR42/(BB42/BB46)</f>
        <v>1574.5999531327698</v>
      </c>
      <c r="BS46" s="155">
        <f>BS42/(BB42/BB46)</f>
        <v>2313.6075971423206</v>
      </c>
      <c r="BT46" s="272">
        <f>BU46+BV46</f>
        <v>4043.0499999999997</v>
      </c>
      <c r="BU46" s="165">
        <v>1680.85</v>
      </c>
      <c r="BV46" s="166">
        <v>2362.1999999999998</v>
      </c>
      <c r="BW46" s="101">
        <f t="shared" si="10"/>
        <v>-112.30372954273525</v>
      </c>
      <c r="BX46" s="155">
        <f>BX42/1.147</f>
        <v>3885.4465251634961</v>
      </c>
      <c r="BY46" s="123">
        <f>BY41/1.147</f>
        <v>3885.4465251634961</v>
      </c>
      <c r="BZ46" s="164">
        <f>BZ42/1.147</f>
        <v>3885.4465251634961</v>
      </c>
      <c r="CA46" s="155">
        <v>4043.0509999999999</v>
      </c>
      <c r="CB46" s="125">
        <f>CB41/1.152</f>
        <v>5185.9927470485109</v>
      </c>
      <c r="CC46" s="125">
        <f>CC41/1.152</f>
        <v>5185.9927470485109</v>
      </c>
      <c r="CD46" s="125">
        <f>CD41/1.152</f>
        <v>5185.9927470485109</v>
      </c>
      <c r="CE46" s="123">
        <f t="shared" si="11"/>
        <v>1142.9417470485109</v>
      </c>
    </row>
    <row r="47" spans="1:83" ht="22.5">
      <c r="A47" s="277"/>
      <c r="B47" s="103" t="s">
        <v>145</v>
      </c>
      <c r="C47" s="104" t="s">
        <v>144</v>
      </c>
      <c r="D47" s="135"/>
      <c r="E47" s="135"/>
      <c r="F47" s="142"/>
      <c r="G47" s="142"/>
      <c r="H47" s="142"/>
      <c r="I47" s="279"/>
      <c r="J47" s="109"/>
      <c r="K47" s="110"/>
      <c r="L47" s="111"/>
      <c r="M47" s="108"/>
      <c r="N47" s="111"/>
      <c r="O47" s="280"/>
      <c r="P47" s="111"/>
      <c r="Q47" s="113"/>
      <c r="R47" s="115"/>
      <c r="S47" s="116"/>
      <c r="T47" s="117"/>
      <c r="U47" s="117"/>
      <c r="V47" s="117"/>
      <c r="W47" s="117"/>
      <c r="X47" s="117"/>
      <c r="Y47" s="117"/>
      <c r="Z47" s="116"/>
      <c r="AA47" s="117"/>
      <c r="AB47" s="162"/>
      <c r="AC47" s="149"/>
      <c r="AD47" s="122"/>
      <c r="AE47" s="163"/>
      <c r="AF47" s="123"/>
      <c r="AG47" s="124"/>
      <c r="AH47" s="124"/>
      <c r="AI47" s="123">
        <v>4891.8</v>
      </c>
      <c r="AJ47" s="123"/>
      <c r="AK47" s="126"/>
      <c r="AL47" s="155">
        <v>8326.7999999999993</v>
      </c>
      <c r="AM47" s="123">
        <f>AL47-AN47</f>
        <v>6926.7999999999993</v>
      </c>
      <c r="AN47" s="123">
        <v>1400</v>
      </c>
      <c r="AO47" s="123">
        <v>8326.7999999999993</v>
      </c>
      <c r="AP47" s="154">
        <f t="shared" si="32"/>
        <v>8326.7999999999993</v>
      </c>
      <c r="AQ47" s="123">
        <v>8326.7999999999993</v>
      </c>
      <c r="AR47" s="123">
        <f t="shared" si="33"/>
        <v>0</v>
      </c>
      <c r="AS47" s="123">
        <v>8326.7999999999993</v>
      </c>
      <c r="AT47" s="123">
        <f>AO47</f>
        <v>8326.7999999999993</v>
      </c>
      <c r="AU47" s="123">
        <f t="shared" si="34"/>
        <v>0</v>
      </c>
      <c r="AV47" s="123"/>
      <c r="AW47" s="123">
        <f t="shared" si="35"/>
        <v>-8326.7999999999993</v>
      </c>
      <c r="AX47" s="123">
        <v>6926.8</v>
      </c>
      <c r="AY47" s="155">
        <v>1400</v>
      </c>
      <c r="AZ47" s="123">
        <v>8326.7999999999993</v>
      </c>
      <c r="BA47" s="123">
        <v>8326.7999999999993</v>
      </c>
      <c r="BB47" s="123">
        <f>BA47</f>
        <v>8326.7999999999993</v>
      </c>
      <c r="BC47" s="123">
        <f t="shared" si="7"/>
        <v>0</v>
      </c>
      <c r="BD47" s="155">
        <f>BA47</f>
        <v>8326.7999999999993</v>
      </c>
      <c r="BE47" s="123">
        <f t="shared" si="14"/>
        <v>0</v>
      </c>
      <c r="BF47" s="122"/>
      <c r="BG47" s="123">
        <f>BD47</f>
        <v>8326.7999999999993</v>
      </c>
      <c r="BH47" s="123"/>
      <c r="BI47" s="123">
        <f>BO47</f>
        <v>4405</v>
      </c>
      <c r="BJ47" s="155">
        <f>BI47</f>
        <v>4405</v>
      </c>
      <c r="BK47" s="125">
        <f t="shared" si="9"/>
        <v>0</v>
      </c>
      <c r="BL47" s="122">
        <v>8326.7999999999993</v>
      </c>
      <c r="BM47" s="123"/>
      <c r="BN47" s="123"/>
      <c r="BO47" s="123">
        <f>1655+2750</f>
        <v>4405</v>
      </c>
      <c r="BP47" s="123">
        <v>4045</v>
      </c>
      <c r="BQ47" s="123">
        <v>4045</v>
      </c>
      <c r="BR47" s="123">
        <v>4045</v>
      </c>
      <c r="BS47" s="123">
        <v>4045</v>
      </c>
      <c r="BT47" s="123">
        <v>4045</v>
      </c>
      <c r="BU47" s="123">
        <v>4045</v>
      </c>
      <c r="BV47" s="123">
        <v>4045</v>
      </c>
      <c r="BW47" s="101">
        <f t="shared" si="10"/>
        <v>0</v>
      </c>
      <c r="BX47" s="155">
        <f>BT47</f>
        <v>4045</v>
      </c>
      <c r="BY47" s="123">
        <f>BX47</f>
        <v>4045</v>
      </c>
      <c r="BZ47" s="164">
        <f>BY47</f>
        <v>4045</v>
      </c>
      <c r="CA47" s="155">
        <f>BZ47</f>
        <v>4045</v>
      </c>
      <c r="CB47" s="125">
        <v>4045</v>
      </c>
      <c r="CC47" s="125">
        <f t="shared" ref="CC47:CD49" si="36">BX47</f>
        <v>4045</v>
      </c>
      <c r="CD47" s="125">
        <f t="shared" si="36"/>
        <v>4045</v>
      </c>
      <c r="CE47" s="123">
        <f t="shared" si="11"/>
        <v>0</v>
      </c>
    </row>
    <row r="48" spans="1:83" ht="18" hidden="1" customHeight="1">
      <c r="A48" s="277" t="s">
        <v>81</v>
      </c>
      <c r="B48" s="103" t="s">
        <v>146</v>
      </c>
      <c r="C48" s="104" t="s">
        <v>147</v>
      </c>
      <c r="D48" s="135">
        <f>2727+3692+1968</f>
        <v>8387</v>
      </c>
      <c r="E48" s="135">
        <v>2365</v>
      </c>
      <c r="F48" s="142">
        <v>4422</v>
      </c>
      <c r="G48" s="142">
        <v>2907</v>
      </c>
      <c r="H48" s="106">
        <f>SUM(E48:G48)</f>
        <v>9694</v>
      </c>
      <c r="I48" s="279"/>
      <c r="J48" s="109">
        <v>7899</v>
      </c>
      <c r="K48" s="110">
        <v>8985</v>
      </c>
      <c r="L48" s="112">
        <f t="shared" ref="L48:Q48" si="37">L43/1.37</f>
        <v>2331.6040437956203</v>
      </c>
      <c r="M48" s="108">
        <f t="shared" si="37"/>
        <v>2663.5036496350363</v>
      </c>
      <c r="N48" s="112">
        <f t="shared" si="37"/>
        <v>1789.5947846715326</v>
      </c>
      <c r="O48" s="280">
        <f t="shared" si="37"/>
        <v>2253.2846715328465</v>
      </c>
      <c r="P48" s="112">
        <f t="shared" si="37"/>
        <v>3395.7664233576638</v>
      </c>
      <c r="Q48" s="161">
        <f t="shared" si="37"/>
        <v>4161.3138686131388</v>
      </c>
      <c r="R48" s="117">
        <f>L48+N48+P48</f>
        <v>7516.9652518248167</v>
      </c>
      <c r="S48" s="116">
        <f>M48+O48+Q48</f>
        <v>9078.1021897810206</v>
      </c>
      <c r="T48" s="117" t="e">
        <f>T43/1.37</f>
        <v>#REF!</v>
      </c>
      <c r="U48" s="117">
        <v>9055.51</v>
      </c>
      <c r="V48" s="117" t="e">
        <f>V43/1.37</f>
        <v>#REF!</v>
      </c>
      <c r="W48" s="117">
        <v>9046.39</v>
      </c>
      <c r="X48" s="117">
        <v>8809.76</v>
      </c>
      <c r="Y48" s="117">
        <v>8809.76</v>
      </c>
      <c r="Z48" s="116">
        <f>W48-X48</f>
        <v>236.6299999999992</v>
      </c>
      <c r="AA48" s="117">
        <f>Y48-X48</f>
        <v>0</v>
      </c>
      <c r="AB48" s="162">
        <v>9046.39</v>
      </c>
      <c r="AC48" s="149">
        <v>6711.53</v>
      </c>
      <c r="AD48" s="122">
        <f>AC48-AB48</f>
        <v>-2334.8599999999997</v>
      </c>
      <c r="AE48" s="163">
        <f>AE43/1.39</f>
        <v>6275.6807729811098</v>
      </c>
      <c r="AF48" s="123">
        <f>AE48-AC48</f>
        <v>-435.84922701888991</v>
      </c>
      <c r="AG48" s="124">
        <v>3473.61</v>
      </c>
      <c r="AH48" s="124">
        <v>3473.61</v>
      </c>
      <c r="AI48" s="149">
        <v>4551.2470000000003</v>
      </c>
      <c r="AJ48" s="123">
        <v>3473.61</v>
      </c>
      <c r="AK48" s="126">
        <f>AJ48-AH48</f>
        <v>0</v>
      </c>
      <c r="AL48" s="155">
        <v>4393.54</v>
      </c>
      <c r="AM48" s="123">
        <f>AL48-AN48</f>
        <v>4393.54</v>
      </c>
      <c r="AN48" s="123">
        <v>0</v>
      </c>
      <c r="AO48" s="123">
        <v>3822</v>
      </c>
      <c r="AP48" s="154">
        <f t="shared" si="32"/>
        <v>348.38999999999987</v>
      </c>
      <c r="AQ48" s="123">
        <v>3822</v>
      </c>
      <c r="AR48" s="123">
        <f t="shared" si="33"/>
        <v>0</v>
      </c>
      <c r="AS48" s="123">
        <v>4012.43</v>
      </c>
      <c r="AT48" s="123">
        <v>3343.81</v>
      </c>
      <c r="AU48" s="123">
        <f t="shared" si="34"/>
        <v>-668.61999999999989</v>
      </c>
      <c r="AV48" s="123">
        <v>3343.81</v>
      </c>
      <c r="AW48" s="123">
        <f t="shared" si="35"/>
        <v>0</v>
      </c>
      <c r="AX48" s="123">
        <v>4393.54</v>
      </c>
      <c r="AY48" s="155">
        <v>0</v>
      </c>
      <c r="AZ48" s="123">
        <v>4012.43</v>
      </c>
      <c r="BA48" s="123">
        <v>3822</v>
      </c>
      <c r="BB48" s="123">
        <v>3053.91</v>
      </c>
      <c r="BC48" s="123">
        <f t="shared" si="7"/>
        <v>-768.09000000000015</v>
      </c>
      <c r="BD48" s="155">
        <f>BB48</f>
        <v>3053.91</v>
      </c>
      <c r="BE48" s="123">
        <f t="shared" si="14"/>
        <v>0</v>
      </c>
      <c r="BF48" s="122">
        <v>4369.3379999999997</v>
      </c>
      <c r="BG48" s="123">
        <v>3822</v>
      </c>
      <c r="BH48" s="123">
        <f t="shared" si="8"/>
        <v>-547.33799999999974</v>
      </c>
      <c r="BI48" s="123">
        <v>870.33500000000004</v>
      </c>
      <c r="BJ48" s="155">
        <f>BJ43/1.37</f>
        <v>816.36467878767894</v>
      </c>
      <c r="BK48" s="125">
        <f t="shared" si="9"/>
        <v>-53.970321212321096</v>
      </c>
      <c r="BL48" s="122">
        <v>0</v>
      </c>
      <c r="BM48" s="123">
        <v>0</v>
      </c>
      <c r="BN48" s="123">
        <v>0</v>
      </c>
      <c r="BO48" s="123">
        <v>0</v>
      </c>
      <c r="BP48" s="123">
        <v>0</v>
      </c>
      <c r="BQ48" s="123">
        <v>0</v>
      </c>
      <c r="BR48" s="123">
        <v>0</v>
      </c>
      <c r="BS48" s="123">
        <v>0</v>
      </c>
      <c r="BT48" s="281">
        <v>0</v>
      </c>
      <c r="BU48" s="165">
        <v>0</v>
      </c>
      <c r="BV48" s="166">
        <v>0</v>
      </c>
      <c r="BW48" s="101">
        <f t="shared" si="10"/>
        <v>0</v>
      </c>
      <c r="BX48" s="155">
        <v>0</v>
      </c>
      <c r="BY48" s="123">
        <v>0</v>
      </c>
      <c r="BZ48" s="164">
        <v>0</v>
      </c>
      <c r="CA48" s="155">
        <v>0</v>
      </c>
      <c r="CB48" s="125">
        <f>BW48</f>
        <v>0</v>
      </c>
      <c r="CC48" s="125">
        <f t="shared" si="36"/>
        <v>0</v>
      </c>
      <c r="CD48" s="125">
        <f t="shared" si="36"/>
        <v>0</v>
      </c>
      <c r="CE48" s="123">
        <f t="shared" si="11"/>
        <v>0</v>
      </c>
    </row>
    <row r="49" spans="1:86" ht="18" hidden="1" customHeight="1">
      <c r="A49" s="277" t="s">
        <v>148</v>
      </c>
      <c r="B49" s="169" t="s">
        <v>140</v>
      </c>
      <c r="C49" s="104" t="s">
        <v>147</v>
      </c>
      <c r="D49" s="135"/>
      <c r="E49" s="135"/>
      <c r="F49" s="135"/>
      <c r="G49" s="135"/>
      <c r="H49" s="105"/>
      <c r="I49" s="189"/>
      <c r="J49" s="283"/>
      <c r="K49" s="284"/>
      <c r="L49" s="112"/>
      <c r="M49" s="108"/>
      <c r="N49" s="112"/>
      <c r="O49" s="280"/>
      <c r="P49" s="112"/>
      <c r="Q49" s="161"/>
      <c r="R49" s="117"/>
      <c r="S49" s="116"/>
      <c r="T49" s="117"/>
      <c r="U49" s="117"/>
      <c r="V49" s="116"/>
      <c r="W49" s="117"/>
      <c r="X49" s="117"/>
      <c r="Y49" s="116"/>
      <c r="Z49" s="116"/>
      <c r="AA49" s="117"/>
      <c r="AB49" s="162"/>
      <c r="AC49" s="149">
        <v>1087.3599999999999</v>
      </c>
      <c r="AD49" s="122">
        <f>AC49-AB49</f>
        <v>1087.3599999999999</v>
      </c>
      <c r="AE49" s="163">
        <f>AC49</f>
        <v>1087.3599999999999</v>
      </c>
      <c r="AF49" s="123">
        <f>AE49-AC49</f>
        <v>0</v>
      </c>
      <c r="AG49" s="124">
        <v>2805.51</v>
      </c>
      <c r="AH49" s="124">
        <v>1087.3599999999999</v>
      </c>
      <c r="AI49" s="149">
        <v>591.4</v>
      </c>
      <c r="AJ49" s="123">
        <v>1087.3599999999999</v>
      </c>
      <c r="AK49" s="126">
        <f>AJ49-AH49</f>
        <v>0</v>
      </c>
      <c r="AL49" s="155">
        <v>1397.3</v>
      </c>
      <c r="AM49" s="123">
        <v>1397.1</v>
      </c>
      <c r="AN49" s="123">
        <v>0</v>
      </c>
      <c r="AO49" s="123">
        <v>471</v>
      </c>
      <c r="AP49" s="154">
        <f t="shared" si="32"/>
        <v>-616.3599999999999</v>
      </c>
      <c r="AQ49" s="123">
        <v>471</v>
      </c>
      <c r="AR49" s="123">
        <f t="shared" si="33"/>
        <v>0</v>
      </c>
      <c r="AS49" s="123">
        <v>1087.3599999999999</v>
      </c>
      <c r="AT49" s="123">
        <v>423.6</v>
      </c>
      <c r="AU49" s="123">
        <f t="shared" si="34"/>
        <v>-663.75999999999988</v>
      </c>
      <c r="AV49" s="123">
        <v>423.6</v>
      </c>
      <c r="AW49" s="123">
        <f t="shared" si="35"/>
        <v>0</v>
      </c>
      <c r="AX49" s="123">
        <v>1397.1</v>
      </c>
      <c r="AY49" s="155">
        <v>0</v>
      </c>
      <c r="AZ49" s="123">
        <v>1087.3599999999999</v>
      </c>
      <c r="BA49" s="123">
        <v>692.81399999999996</v>
      </c>
      <c r="BB49" s="123">
        <v>299.5</v>
      </c>
      <c r="BC49" s="123">
        <f t="shared" si="7"/>
        <v>-393.31399999999996</v>
      </c>
      <c r="BD49" s="155">
        <f>BB49</f>
        <v>299.5</v>
      </c>
      <c r="BE49" s="123">
        <f t="shared" si="14"/>
        <v>0</v>
      </c>
      <c r="BF49" s="122">
        <v>1267.2529999999999</v>
      </c>
      <c r="BG49" s="123">
        <v>692.81399999999996</v>
      </c>
      <c r="BH49" s="123">
        <f t="shared" si="8"/>
        <v>-574.43899999999996</v>
      </c>
      <c r="BI49" s="123">
        <v>0</v>
      </c>
      <c r="BJ49" s="155">
        <v>0</v>
      </c>
      <c r="BK49" s="125">
        <f t="shared" si="9"/>
        <v>0</v>
      </c>
      <c r="BL49" s="122">
        <v>0</v>
      </c>
      <c r="BM49" s="123">
        <v>0</v>
      </c>
      <c r="BN49" s="123">
        <v>0</v>
      </c>
      <c r="BO49" s="123">
        <v>0</v>
      </c>
      <c r="BP49" s="123">
        <v>0</v>
      </c>
      <c r="BQ49" s="123">
        <v>0</v>
      </c>
      <c r="BR49" s="123">
        <v>0</v>
      </c>
      <c r="BS49" s="123">
        <v>0</v>
      </c>
      <c r="BT49" s="155">
        <v>0</v>
      </c>
      <c r="BU49" s="165">
        <v>0</v>
      </c>
      <c r="BV49" s="166">
        <v>0</v>
      </c>
      <c r="BW49" s="101">
        <f t="shared" si="10"/>
        <v>0</v>
      </c>
      <c r="BX49" s="155">
        <v>0</v>
      </c>
      <c r="BY49" s="123">
        <v>0</v>
      </c>
      <c r="BZ49" s="164">
        <v>0</v>
      </c>
      <c r="CA49" s="155">
        <v>0</v>
      </c>
      <c r="CB49" s="125">
        <f>BW49</f>
        <v>0</v>
      </c>
      <c r="CC49" s="125">
        <f t="shared" si="36"/>
        <v>0</v>
      </c>
      <c r="CD49" s="125">
        <f t="shared" si="36"/>
        <v>0</v>
      </c>
      <c r="CE49" s="123">
        <f t="shared" si="11"/>
        <v>0</v>
      </c>
    </row>
    <row r="50" spans="1:86" ht="41.25" customHeight="1">
      <c r="A50" s="134" t="s">
        <v>82</v>
      </c>
      <c r="B50" s="103" t="s">
        <v>149</v>
      </c>
      <c r="C50" s="104" t="s">
        <v>150</v>
      </c>
      <c r="D50" s="105">
        <f t="shared" ref="D50:K50" si="38">D41*1000/D17</f>
        <v>166.93149036607377</v>
      </c>
      <c r="E50" s="105">
        <f t="shared" si="38"/>
        <v>168.07460230389469</v>
      </c>
      <c r="F50" s="105">
        <f t="shared" si="38"/>
        <v>162.32986389111289</v>
      </c>
      <c r="G50" s="105">
        <f t="shared" si="38"/>
        <v>164.19696272434422</v>
      </c>
      <c r="H50" s="105">
        <f t="shared" si="38"/>
        <v>164.26893716970054</v>
      </c>
      <c r="I50" s="105" t="e">
        <f t="shared" si="38"/>
        <v>#DIV/0!</v>
      </c>
      <c r="J50" s="105">
        <f t="shared" si="38"/>
        <v>166.93149036607377</v>
      </c>
      <c r="K50" s="171">
        <f t="shared" si="38"/>
        <v>164.26893716970054</v>
      </c>
      <c r="L50" s="106">
        <v>164.2</v>
      </c>
      <c r="M50" s="171">
        <f>M41*1000/M17</f>
        <v>164.19925302614408</v>
      </c>
      <c r="N50" s="106">
        <v>170.1</v>
      </c>
      <c r="O50" s="106">
        <f t="shared" ref="O50:Y50" si="39">O41*1000/O17</f>
        <v>170.08264462809916</v>
      </c>
      <c r="P50" s="106">
        <f t="shared" si="39"/>
        <v>162.34078933593887</v>
      </c>
      <c r="Q50" s="145">
        <f t="shared" si="39"/>
        <v>162.33377943563315</v>
      </c>
      <c r="R50" s="146">
        <f t="shared" si="39"/>
        <v>164.70797162700873</v>
      </c>
      <c r="S50" s="147">
        <f t="shared" si="39"/>
        <v>164.74156886639997</v>
      </c>
      <c r="T50" s="146" t="e">
        <f t="shared" si="39"/>
        <v>#REF!</v>
      </c>
      <c r="U50" s="146">
        <f t="shared" si="39"/>
        <v>164.71547461525165</v>
      </c>
      <c r="V50" s="147" t="e">
        <f t="shared" si="39"/>
        <v>#REF!</v>
      </c>
      <c r="W50" s="146">
        <f t="shared" si="39"/>
        <v>164.71320136395033</v>
      </c>
      <c r="X50" s="146">
        <f t="shared" si="39"/>
        <v>164.37557312294632</v>
      </c>
      <c r="Y50" s="147">
        <f t="shared" si="39"/>
        <v>164.37557983895528</v>
      </c>
      <c r="Z50" s="116">
        <f>W50-X50</f>
        <v>0.3376282410040119</v>
      </c>
      <c r="AA50" s="117">
        <f>Y50-X50</f>
        <v>6.7160089542994683E-6</v>
      </c>
      <c r="AB50" s="148">
        <f>AB41*1000/AB17</f>
        <v>164.71320136395033</v>
      </c>
      <c r="AC50" s="149">
        <v>173.19</v>
      </c>
      <c r="AD50" s="122">
        <f>AC50-AB50</f>
        <v>8.476798636049665</v>
      </c>
      <c r="AE50" s="150">
        <f>AE41*1000/AE17</f>
        <v>166.22381935205223</v>
      </c>
      <c r="AF50" s="123">
        <f>AE50-AC50</f>
        <v>-6.9661806479477661</v>
      </c>
      <c r="AG50" s="151" t="e">
        <f>AG41*1000/AG17</f>
        <v>#REF!</v>
      </c>
      <c r="AH50" s="151">
        <f>AH41*1000/AH17</f>
        <v>168.40667627995461</v>
      </c>
      <c r="AI50" s="152">
        <f>AI41*1000/AI17</f>
        <v>163.79301070711782</v>
      </c>
      <c r="AJ50" s="152">
        <f>AJ41*1000/AJ17</f>
        <v>168.39789299999998</v>
      </c>
      <c r="AK50" s="126">
        <f>AJ50-AH50</f>
        <v>-8.7832799546276874E-3</v>
      </c>
      <c r="AL50" s="153">
        <f>AL41*1000/AL17</f>
        <v>166.78139083377386</v>
      </c>
      <c r="AM50" s="152">
        <f>AM41*1000/AM17</f>
        <v>165.57720606635294</v>
      </c>
      <c r="AN50" s="152">
        <f>AN41*1000/AN17</f>
        <v>177.24338387000904</v>
      </c>
      <c r="AO50" s="153">
        <f>AO41*1000/AO17</f>
        <v>171.33289134438309</v>
      </c>
      <c r="AP50" s="154">
        <f t="shared" si="32"/>
        <v>2.9349983443831036</v>
      </c>
      <c r="AQ50" s="153">
        <f>AQ41*1000/AQ17</f>
        <v>169.30017812154696</v>
      </c>
      <c r="AR50" s="123">
        <f t="shared" si="33"/>
        <v>-2.0327132228361222</v>
      </c>
      <c r="AS50" s="152">
        <f>AS41*1000/AS17</f>
        <v>164.08086156863732</v>
      </c>
      <c r="AT50" s="153">
        <f>AT41*1000/AT17</f>
        <v>163.90726616828641</v>
      </c>
      <c r="AU50" s="152">
        <f t="shared" si="34"/>
        <v>-0.17359540035090504</v>
      </c>
      <c r="AV50" s="152">
        <f>AV41*1000/AV17</f>
        <v>164.07594</v>
      </c>
      <c r="AW50" s="152">
        <f t="shared" si="35"/>
        <v>0.16867383171359052</v>
      </c>
      <c r="AX50" s="152">
        <f>AX41*1000/AX17</f>
        <v>165.47010353854083</v>
      </c>
      <c r="AY50" s="153">
        <v>169.18</v>
      </c>
      <c r="AZ50" s="152">
        <f>AZ41*1000/AZ17</f>
        <v>164.08086156863732</v>
      </c>
      <c r="BA50" s="152">
        <f>BA41*1000/BA17</f>
        <v>163.04996099675907</v>
      </c>
      <c r="BB50" s="153">
        <f>BB41*1000/BB17</f>
        <v>165.96830716694402</v>
      </c>
      <c r="BC50" s="152">
        <f t="shared" si="7"/>
        <v>2.9183461701849467</v>
      </c>
      <c r="BD50" s="153">
        <f>BD41/BD17*1000</f>
        <v>164.04853722321866</v>
      </c>
      <c r="BE50" s="123">
        <f t="shared" si="14"/>
        <v>-1.9197699437253561</v>
      </c>
      <c r="BF50" s="151">
        <f>BF41*1000/BF17</f>
        <v>166.20488460896397</v>
      </c>
      <c r="BG50" s="152">
        <f>BG41*1000/BG17</f>
        <v>166.20339999999999</v>
      </c>
      <c r="BH50" s="152">
        <f>BH41*1000/BH17</f>
        <v>166.29867050520744</v>
      </c>
      <c r="BI50" s="152">
        <f>BI41*1000/BI17</f>
        <v>161.5093408694035</v>
      </c>
      <c r="BJ50" s="153">
        <f>BJ41/BJ17*1000</f>
        <v>161.51384150127157</v>
      </c>
      <c r="BK50" s="125">
        <f t="shared" si="9"/>
        <v>4.5006318680691493E-3</v>
      </c>
      <c r="BL50" s="156">
        <f t="shared" ref="BL50:BQ50" si="40">BL41/BL17*1000</f>
        <v>161.80267598419948</v>
      </c>
      <c r="BM50" s="153">
        <f t="shared" si="40"/>
        <v>167.97236941876724</v>
      </c>
      <c r="BN50" s="153">
        <f t="shared" si="40"/>
        <v>157.68624526618999</v>
      </c>
      <c r="BO50" s="152">
        <f t="shared" si="40"/>
        <v>158.91863506846124</v>
      </c>
      <c r="BP50" s="152">
        <f t="shared" si="40"/>
        <v>161.45850027572067</v>
      </c>
      <c r="BQ50" s="152">
        <f t="shared" si="40"/>
        <v>158.91877399999998</v>
      </c>
      <c r="BR50" s="152">
        <v>164.9</v>
      </c>
      <c r="BS50" s="153">
        <v>155.09</v>
      </c>
      <c r="BT50" s="153">
        <f>BT41*1000/BT17</f>
        <v>161.80255235673314</v>
      </c>
      <c r="BU50" s="157">
        <f>BU41*1000/BU17</f>
        <v>167.97236941876724</v>
      </c>
      <c r="BV50" s="158">
        <f>BV41*1000/BV17</f>
        <v>157.68132201440667</v>
      </c>
      <c r="BW50" s="101">
        <f t="shared" si="10"/>
        <v>-2.5397262757206818</v>
      </c>
      <c r="BX50" s="153">
        <f t="shared" ref="BX50:CD50" si="41">BX41/BX17*1000</f>
        <v>158.92362834270853</v>
      </c>
      <c r="BY50" s="152">
        <f t="shared" si="41"/>
        <v>158.92362834270853</v>
      </c>
      <c r="BZ50" s="156">
        <f t="shared" si="41"/>
        <v>158.92362834270853</v>
      </c>
      <c r="CA50" s="153">
        <f t="shared" si="41"/>
        <v>161.8024991867008</v>
      </c>
      <c r="CB50" s="123">
        <f t="shared" si="41"/>
        <v>158.91877400000001</v>
      </c>
      <c r="CC50" s="123">
        <f t="shared" si="41"/>
        <v>158.91877400000001</v>
      </c>
      <c r="CD50" s="123">
        <f t="shared" si="41"/>
        <v>158.91877400000001</v>
      </c>
      <c r="CE50" s="123">
        <f t="shared" si="11"/>
        <v>-2.8837251867007865</v>
      </c>
    </row>
    <row r="51" spans="1:86" ht="44.25" customHeight="1" thickBot="1">
      <c r="A51" s="285">
        <v>12</v>
      </c>
      <c r="B51" s="286" t="s">
        <v>151</v>
      </c>
      <c r="C51" s="46" t="s">
        <v>150</v>
      </c>
      <c r="D51" s="287">
        <f t="shared" ref="D51:S51" si="42">D41*1000/D20</f>
        <v>183.61840765628182</v>
      </c>
      <c r="E51" s="288">
        <f t="shared" si="42"/>
        <v>183.03464755077658</v>
      </c>
      <c r="F51" s="289">
        <f t="shared" si="42"/>
        <v>176.77648377654606</v>
      </c>
      <c r="G51" s="289">
        <f t="shared" si="42"/>
        <v>178.81126591159668</v>
      </c>
      <c r="H51" s="289">
        <f t="shared" si="42"/>
        <v>178.88908266480641</v>
      </c>
      <c r="I51" s="289" t="e">
        <f t="shared" si="42"/>
        <v>#DIV/0!</v>
      </c>
      <c r="J51" s="289">
        <f t="shared" si="42"/>
        <v>183.61840765628182</v>
      </c>
      <c r="K51" s="290">
        <f t="shared" si="42"/>
        <v>178.88908266480641</v>
      </c>
      <c r="L51" s="291">
        <f t="shared" si="42"/>
        <v>178.81400038065809</v>
      </c>
      <c r="M51" s="292">
        <f t="shared" si="42"/>
        <v>178.81119223795756</v>
      </c>
      <c r="N51" s="291">
        <f t="shared" si="42"/>
        <v>183.04799574436313</v>
      </c>
      <c r="O51" s="293">
        <f t="shared" si="42"/>
        <v>185.21629567408652</v>
      </c>
      <c r="P51" s="291">
        <f t="shared" si="42"/>
        <v>176.8493879723257</v>
      </c>
      <c r="Q51" s="294">
        <f t="shared" si="42"/>
        <v>176.78067536977892</v>
      </c>
      <c r="R51" s="295">
        <f t="shared" si="42"/>
        <v>178.90136500717466</v>
      </c>
      <c r="S51" s="296">
        <f t="shared" si="42"/>
        <v>179.40395822514569</v>
      </c>
      <c r="T51" s="295">
        <v>178.9</v>
      </c>
      <c r="U51" s="295">
        <f>U41*1000/U20</f>
        <v>178.90072967438641</v>
      </c>
      <c r="V51" s="296">
        <v>178.9</v>
      </c>
      <c r="W51" s="295">
        <f>W41*1000/W20</f>
        <v>178.89997779908373</v>
      </c>
      <c r="X51" s="295">
        <f>X41*1000/X20</f>
        <v>178.47231833910035</v>
      </c>
      <c r="Y51" s="296">
        <f>Y41*1000/Y20</f>
        <v>178.47231833910035</v>
      </c>
      <c r="Z51" s="297">
        <f>W51-X51</f>
        <v>0.42765945998337429</v>
      </c>
      <c r="AA51" s="298">
        <f>Y51-X51</f>
        <v>0</v>
      </c>
      <c r="AB51" s="299">
        <f>AB41*1000/AB20</f>
        <v>178.89997779908373</v>
      </c>
      <c r="AC51" s="300">
        <v>186.4</v>
      </c>
      <c r="AD51" s="301">
        <f>AC51-AB51</f>
        <v>7.5000222009162769</v>
      </c>
      <c r="AE51" s="302">
        <f>AB51</f>
        <v>178.89997779908373</v>
      </c>
      <c r="AF51" s="303">
        <f>AE51-AC51</f>
        <v>-7.5000222009162769</v>
      </c>
      <c r="AG51" s="304" t="e">
        <f>AG41*1000/AG20</f>
        <v>#REF!</v>
      </c>
      <c r="AH51" s="304">
        <f>AH41*1000/AH20</f>
        <v>176.13413226750208</v>
      </c>
      <c r="AI51" s="305">
        <f>AI41*1000/AI20</f>
        <v>170.37561465214847</v>
      </c>
      <c r="AJ51" s="305">
        <v>176.13</v>
      </c>
      <c r="AK51" s="306">
        <f>AJ51-AH51</f>
        <v>-4.1322675020865063E-3</v>
      </c>
      <c r="AL51" s="307">
        <f>AL41*1000/AL20</f>
        <v>173.18421056901201</v>
      </c>
      <c r="AM51" s="308">
        <f>AM41*1000/AM20</f>
        <v>172.25080059866966</v>
      </c>
      <c r="AN51" s="308">
        <f>AN41*1000/AN20</f>
        <v>181.15139141439406</v>
      </c>
      <c r="AO51" s="309">
        <f>AO41*1000/AO20</f>
        <v>178.24471590822006</v>
      </c>
      <c r="AP51" s="310">
        <f t="shared" si="32"/>
        <v>2.1147159082200631</v>
      </c>
      <c r="AQ51" s="307">
        <v>176.13</v>
      </c>
      <c r="AR51" s="227">
        <f t="shared" si="33"/>
        <v>-2.1147159082200631</v>
      </c>
      <c r="AS51" s="308">
        <v>170.38</v>
      </c>
      <c r="AT51" s="309">
        <f>AT41*1000/AT20</f>
        <v>170.69960391067849</v>
      </c>
      <c r="AU51" s="308">
        <f t="shared" si="34"/>
        <v>0.31960391067849514</v>
      </c>
      <c r="AV51" s="308">
        <v>170.38</v>
      </c>
      <c r="AW51" s="308">
        <f t="shared" si="35"/>
        <v>-0.31960391067849514</v>
      </c>
      <c r="AX51" s="308">
        <f>AX41*1000/AX20</f>
        <v>172.13937339911243</v>
      </c>
      <c r="AY51" s="307">
        <f>AY41*1000/AY20</f>
        <v>172.91021944133018</v>
      </c>
      <c r="AZ51" s="308">
        <v>170.38</v>
      </c>
      <c r="BA51" s="308">
        <f>BA41*1000/BA20</f>
        <v>169.3095226892556</v>
      </c>
      <c r="BB51" s="309">
        <f>BB41*1000/BB20</f>
        <v>171.29085905681521</v>
      </c>
      <c r="BC51" s="305">
        <f t="shared" si="7"/>
        <v>1.9813363675596065</v>
      </c>
      <c r="BD51" s="309">
        <f>BA51</f>
        <v>169.3095226892556</v>
      </c>
      <c r="BE51" s="227">
        <f t="shared" si="14"/>
        <v>-1.9813363675596065</v>
      </c>
      <c r="BF51" s="304">
        <f>BF41*1000/BF20</f>
        <v>170.5026364732694</v>
      </c>
      <c r="BG51" s="308">
        <v>170.5</v>
      </c>
      <c r="BH51" s="305">
        <f t="shared" si="8"/>
        <v>-2.6364732694048598E-3</v>
      </c>
      <c r="BI51" s="309">
        <f>BI41/BI20*1000</f>
        <v>164.52464245825769</v>
      </c>
      <c r="BJ51" s="309">
        <f>BI51</f>
        <v>164.52464245825769</v>
      </c>
      <c r="BK51" s="311">
        <f t="shared" si="9"/>
        <v>0</v>
      </c>
      <c r="BL51" s="312">
        <f t="shared" ref="BL51:BS51" si="43">BL41/BL20*1000</f>
        <v>164.39723804798484</v>
      </c>
      <c r="BM51" s="309">
        <f t="shared" si="43"/>
        <v>171.14329836043908</v>
      </c>
      <c r="BN51" s="309">
        <f t="shared" si="43"/>
        <v>159.9171492410982</v>
      </c>
      <c r="BO51" s="308">
        <f t="shared" si="43"/>
        <v>161.47202387837561</v>
      </c>
      <c r="BP51" s="308">
        <f>BP41/BP20*1000</f>
        <v>164.10752703389591</v>
      </c>
      <c r="BQ51" s="308">
        <v>161.47</v>
      </c>
      <c r="BR51" s="308">
        <f>BR41/BR20*1000</f>
        <v>168.03312891850146</v>
      </c>
      <c r="BS51" s="307">
        <f t="shared" si="43"/>
        <v>157.29208924949293</v>
      </c>
      <c r="BT51" s="309">
        <f>BT41/BT20*1000</f>
        <v>164.39851305570477</v>
      </c>
      <c r="BU51" s="313">
        <f>BU41/BU20*1000</f>
        <v>171.14329836043908</v>
      </c>
      <c r="BV51" s="314">
        <f>BV41/BV20*1000</f>
        <v>159.91408413317791</v>
      </c>
      <c r="BW51" s="226">
        <f t="shared" si="10"/>
        <v>-2.6375270338959069</v>
      </c>
      <c r="BX51" s="309">
        <f>BO51</f>
        <v>161.47202387837561</v>
      </c>
      <c r="BY51" s="305">
        <f>BX51</f>
        <v>161.47202387837561</v>
      </c>
      <c r="BZ51" s="312">
        <f>BX51</f>
        <v>161.47202387837561</v>
      </c>
      <c r="CA51" s="309">
        <f>CA41/CA20*1000</f>
        <v>164.39840653593347</v>
      </c>
      <c r="CB51" s="227">
        <v>161.47</v>
      </c>
      <c r="CC51" s="227">
        <f>CB51</f>
        <v>161.47</v>
      </c>
      <c r="CD51" s="227">
        <f>CB51</f>
        <v>161.47</v>
      </c>
      <c r="CE51" s="227">
        <f t="shared" si="11"/>
        <v>-2.9284065359334761</v>
      </c>
    </row>
    <row r="52" spans="1:86" ht="19.5" customHeight="1" thickBot="1">
      <c r="A52" s="228"/>
      <c r="B52" s="229" t="s">
        <v>152</v>
      </c>
      <c r="C52" s="230"/>
      <c r="D52" s="231"/>
      <c r="E52" s="232"/>
      <c r="F52" s="231"/>
      <c r="G52" s="231"/>
      <c r="H52" s="233"/>
      <c r="I52" s="315"/>
      <c r="J52" s="316"/>
      <c r="K52" s="236"/>
      <c r="L52" s="237"/>
      <c r="M52" s="317"/>
      <c r="N52" s="237"/>
      <c r="O52" s="318"/>
      <c r="P52" s="237"/>
      <c r="Q52" s="319"/>
      <c r="R52" s="320"/>
      <c r="S52" s="243"/>
      <c r="T52" s="244"/>
      <c r="U52" s="244"/>
      <c r="V52" s="243"/>
      <c r="W52" s="244"/>
      <c r="X52" s="244"/>
      <c r="Y52" s="243"/>
      <c r="Z52" s="321"/>
      <c r="AA52" s="322"/>
      <c r="AB52" s="323"/>
      <c r="AC52" s="246"/>
      <c r="AD52" s="324"/>
      <c r="AE52" s="325"/>
      <c r="AF52" s="324"/>
      <c r="AG52" s="326"/>
      <c r="AH52" s="326"/>
      <c r="AI52" s="327"/>
      <c r="AJ52" s="250"/>
      <c r="AK52" s="328"/>
      <c r="AL52" s="252"/>
      <c r="AM52" s="250"/>
      <c r="AN52" s="253"/>
      <c r="AO52" s="254"/>
      <c r="AP52" s="250"/>
      <c r="AQ52" s="329"/>
      <c r="AR52" s="250"/>
      <c r="AS52" s="330"/>
      <c r="AT52" s="254"/>
      <c r="AU52" s="330"/>
      <c r="AV52" s="330"/>
      <c r="AW52" s="250"/>
      <c r="AX52" s="250"/>
      <c r="AY52" s="253"/>
      <c r="AZ52" s="330"/>
      <c r="BA52" s="250"/>
      <c r="BB52" s="254"/>
      <c r="BC52" s="250"/>
      <c r="BD52" s="256"/>
      <c r="BE52" s="250"/>
      <c r="BF52" s="253"/>
      <c r="BG52" s="250"/>
      <c r="BH52" s="254"/>
      <c r="BI52" s="254"/>
      <c r="BJ52" s="252"/>
      <c r="BK52" s="258"/>
      <c r="BL52" s="253"/>
      <c r="BM52" s="254"/>
      <c r="BN52" s="254"/>
      <c r="BO52" s="250"/>
      <c r="BP52" s="250"/>
      <c r="BQ52" s="250"/>
      <c r="BR52" s="250"/>
      <c r="BS52" s="256"/>
      <c r="BT52" s="252"/>
      <c r="BU52" s="259"/>
      <c r="BV52" s="260"/>
      <c r="BW52" s="258"/>
      <c r="BX52" s="252"/>
      <c r="BY52" s="254"/>
      <c r="BZ52" s="255"/>
      <c r="CA52" s="252"/>
      <c r="CB52" s="258"/>
      <c r="CC52" s="258"/>
      <c r="CD52" s="258"/>
      <c r="CE52" s="331"/>
    </row>
    <row r="53" spans="1:86" ht="23.25" customHeight="1">
      <c r="A53" s="332">
        <v>13</v>
      </c>
      <c r="B53" s="333" t="s">
        <v>153</v>
      </c>
      <c r="C53" s="334" t="s">
        <v>154</v>
      </c>
      <c r="D53" s="136">
        <f>573.1+751+573.1</f>
        <v>1897.1999999999998</v>
      </c>
      <c r="E53" s="278">
        <v>697</v>
      </c>
      <c r="F53" s="136">
        <v>1063.5</v>
      </c>
      <c r="G53" s="136">
        <v>586</v>
      </c>
      <c r="H53" s="159">
        <f>SUM(E53:G53)</f>
        <v>2346.5</v>
      </c>
      <c r="I53" s="335"/>
      <c r="J53" s="336">
        <v>1897.2</v>
      </c>
      <c r="K53" s="337">
        <v>2346.5</v>
      </c>
      <c r="L53" s="338">
        <f>L54*L20/1000</f>
        <v>525.19571999999994</v>
      </c>
      <c r="M53" s="339">
        <v>654.29999999999995</v>
      </c>
      <c r="N53" s="338">
        <f>N54*N20/1000</f>
        <v>202.24939999999998</v>
      </c>
      <c r="O53" s="340">
        <v>274.2</v>
      </c>
      <c r="P53" s="341">
        <f>P54*P20/1000</f>
        <v>754.98219999999992</v>
      </c>
      <c r="Q53" s="342">
        <v>864.1</v>
      </c>
      <c r="R53" s="154">
        <f>L53+N53+P53</f>
        <v>1482.4273199999998</v>
      </c>
      <c r="S53" s="155">
        <f>M53+O53+Q53</f>
        <v>1792.6</v>
      </c>
      <c r="T53" s="154" t="e">
        <f>T54*T20/1000</f>
        <v>#REF!</v>
      </c>
      <c r="U53" s="272">
        <v>1786</v>
      </c>
      <c r="V53" s="272" t="e">
        <f>V54*V20/1000</f>
        <v>#REF!</v>
      </c>
      <c r="W53" s="154">
        <v>1783.87</v>
      </c>
      <c r="X53" s="154">
        <v>1937</v>
      </c>
      <c r="Y53" s="272">
        <f>Y54*Y20/1000</f>
        <v>1741.3695</v>
      </c>
      <c r="Z53" s="272">
        <f>W53-X53</f>
        <v>-153.13000000000011</v>
      </c>
      <c r="AA53" s="154">
        <f>Y53-X53</f>
        <v>-195.63049999999998</v>
      </c>
      <c r="AB53" s="274">
        <v>1783.87</v>
      </c>
      <c r="AC53" s="88">
        <v>1466.4</v>
      </c>
      <c r="AD53" s="89">
        <f>AC53-AB53</f>
        <v>-317.4699999999998</v>
      </c>
      <c r="AE53" s="343">
        <v>1466.4</v>
      </c>
      <c r="AF53" s="91">
        <f>AE53-AC53</f>
        <v>0</v>
      </c>
      <c r="AG53" s="344" t="e">
        <f>#REF!</f>
        <v>#REF!</v>
      </c>
      <c r="AH53" s="344">
        <v>1553.35</v>
      </c>
      <c r="AI53" s="343">
        <v>1487.9359999999999</v>
      </c>
      <c r="AJ53" s="154">
        <f>AJ54*AJ20/1000</f>
        <v>1554.3850465999999</v>
      </c>
      <c r="AK53" s="94" t="e">
        <f>AJ53-AG53</f>
        <v>#REF!</v>
      </c>
      <c r="AL53" s="272">
        <v>1742.1</v>
      </c>
      <c r="AM53" s="154">
        <f>AL53-AN53</f>
        <v>1624.26</v>
      </c>
      <c r="AN53" s="273">
        <v>117.84</v>
      </c>
      <c r="AO53" s="273">
        <v>1754.145</v>
      </c>
      <c r="AP53" s="154">
        <f>AO53-AJ53</f>
        <v>199.75995340000009</v>
      </c>
      <c r="AQ53" s="89">
        <f>AQ54*AQ20/1000</f>
        <v>1522.1191899999999</v>
      </c>
      <c r="AR53" s="154">
        <f>AQ53-AO53</f>
        <v>-232.02581000000009</v>
      </c>
      <c r="AS53" s="91">
        <f>AS54*AS20/1000</f>
        <v>1725.5306604</v>
      </c>
      <c r="AT53" s="273">
        <v>1272.5999999999999</v>
      </c>
      <c r="AU53" s="154">
        <f>AT53-AS53</f>
        <v>-452.93066040000008</v>
      </c>
      <c r="AV53" s="273">
        <v>1272.5999999999999</v>
      </c>
      <c r="AW53" s="91">
        <f>AV53-AT53</f>
        <v>0</v>
      </c>
      <c r="AX53" s="154">
        <f>AX54*AX20/1000</f>
        <v>1544.5733818000001</v>
      </c>
      <c r="AY53" s="273">
        <v>117.84</v>
      </c>
      <c r="AZ53" s="91">
        <f>AZ54*AZ20/1000</f>
        <v>1725.5306604</v>
      </c>
      <c r="BA53" s="91">
        <f>BA54*BA20/1000</f>
        <v>1725.5306604</v>
      </c>
      <c r="BB53" s="273">
        <v>1566.26</v>
      </c>
      <c r="BC53" s="154">
        <f t="shared" si="7"/>
        <v>-159.2706604</v>
      </c>
      <c r="BD53" s="272">
        <f>BD54*BD20/1000</f>
        <v>1398.5192899984988</v>
      </c>
      <c r="BE53" s="154">
        <f t="shared" si="14"/>
        <v>-167.74071000150116</v>
      </c>
      <c r="BF53" s="273">
        <v>1725.53</v>
      </c>
      <c r="BG53" s="91">
        <f>BG54*BG20/1000</f>
        <v>1494.4145839999999</v>
      </c>
      <c r="BH53" s="154">
        <f t="shared" si="8"/>
        <v>-231.1154160000001</v>
      </c>
      <c r="BI53" s="273">
        <v>739.32799999999997</v>
      </c>
      <c r="BJ53" s="274">
        <f>BJ54*BJ20/1000</f>
        <v>603.93129657220982</v>
      </c>
      <c r="BK53" s="101">
        <f t="shared" si="9"/>
        <v>-135.39670342779016</v>
      </c>
      <c r="BL53" s="273">
        <f>BM53+BN53</f>
        <v>759.55</v>
      </c>
      <c r="BM53" s="273">
        <v>239.78</v>
      </c>
      <c r="BN53" s="273">
        <v>519.77</v>
      </c>
      <c r="BO53" s="91">
        <f>BR53+BS53</f>
        <v>668.19011114120633</v>
      </c>
      <c r="BP53" s="91">
        <v>660.82</v>
      </c>
      <c r="BQ53" s="91">
        <f>BQ54*BQ17/1000</f>
        <v>506.83410781202906</v>
      </c>
      <c r="BR53" s="91">
        <f>BR54*BR20/1000</f>
        <v>216.53133944120631</v>
      </c>
      <c r="BS53" s="94">
        <f>BS54*BS20/1000</f>
        <v>451.65877169999999</v>
      </c>
      <c r="BT53" s="272">
        <f>BU53+BV53</f>
        <v>772.04</v>
      </c>
      <c r="BU53" s="275">
        <v>239.78</v>
      </c>
      <c r="BV53" s="276">
        <v>532.26</v>
      </c>
      <c r="BW53" s="101">
        <f t="shared" si="10"/>
        <v>-153.98589218797099</v>
      </c>
      <c r="BX53" s="272">
        <f>BX54*BX20/1000</f>
        <v>668.19011114120633</v>
      </c>
      <c r="BY53" s="154">
        <f>BY54*BY20/1000</f>
        <v>668.19011114120633</v>
      </c>
      <c r="BZ53" s="274">
        <f>BZ54*BZ20/1000</f>
        <v>668.19011114120633</v>
      </c>
      <c r="CA53" s="272">
        <v>772.03700000000003</v>
      </c>
      <c r="CB53" s="101">
        <f>CB54*CB20/1000</f>
        <v>895.75105490656586</v>
      </c>
      <c r="CC53" s="101">
        <f>CC54*CC20/1000</f>
        <v>895.75105490656586</v>
      </c>
      <c r="CD53" s="101">
        <f>CD54*CD20/1000</f>
        <v>895.75105490656586</v>
      </c>
      <c r="CE53" s="154">
        <f t="shared" si="11"/>
        <v>123.71405490656582</v>
      </c>
    </row>
    <row r="54" spans="1:86" ht="39.75" customHeight="1" thickBot="1">
      <c r="A54" s="332">
        <v>14</v>
      </c>
      <c r="B54" s="333" t="s">
        <v>155</v>
      </c>
      <c r="C54" s="334" t="s">
        <v>156</v>
      </c>
      <c r="D54" s="291">
        <f t="shared" ref="D54:K54" si="44">D53/D20*1000</f>
        <v>32.193036041539401</v>
      </c>
      <c r="E54" s="291">
        <f t="shared" si="44"/>
        <v>41.636798088410991</v>
      </c>
      <c r="F54" s="291">
        <f t="shared" si="44"/>
        <v>33.116397832720935</v>
      </c>
      <c r="G54" s="345">
        <f t="shared" si="44"/>
        <v>29.367545354314924</v>
      </c>
      <c r="H54" s="345">
        <f t="shared" si="44"/>
        <v>34.102139286129521</v>
      </c>
      <c r="I54" s="345" t="e">
        <f t="shared" si="44"/>
        <v>#DIV/0!</v>
      </c>
      <c r="J54" s="345">
        <f t="shared" si="44"/>
        <v>32.193036041539408</v>
      </c>
      <c r="K54" s="346">
        <f t="shared" si="44"/>
        <v>34.102139286129521</v>
      </c>
      <c r="L54" s="291">
        <v>29.4</v>
      </c>
      <c r="M54" s="292">
        <v>30.4</v>
      </c>
      <c r="N54" s="291">
        <v>15.1</v>
      </c>
      <c r="O54" s="293">
        <f>O53/O20*1000</f>
        <v>16.451670966580668</v>
      </c>
      <c r="P54" s="294">
        <v>28.7</v>
      </c>
      <c r="Q54" s="294">
        <f>Q53/Q20*1000</f>
        <v>26.794629290830724</v>
      </c>
      <c r="R54" s="295">
        <f>R53/R20*1000</f>
        <v>25.752770317456452</v>
      </c>
      <c r="S54" s="296">
        <f>S53/S20*1000</f>
        <v>25.858288615775198</v>
      </c>
      <c r="T54" s="295">
        <v>25.75</v>
      </c>
      <c r="U54" s="296">
        <f>U53/U20*1000</f>
        <v>25.754910160643728</v>
      </c>
      <c r="V54" s="296">
        <v>25.75</v>
      </c>
      <c r="W54" s="295">
        <f>W53*1000/W20</f>
        <v>25.750031540313429</v>
      </c>
      <c r="X54" s="295">
        <f>X53*1000/X20</f>
        <v>28.642829680891964</v>
      </c>
      <c r="Y54" s="296">
        <v>25.75</v>
      </c>
      <c r="Z54" s="347">
        <f>W54-X54</f>
        <v>-2.8927981405785346</v>
      </c>
      <c r="AA54" s="227">
        <f>Y54-X54</f>
        <v>-2.892829680891964</v>
      </c>
      <c r="AB54" s="299">
        <f>AB53*1000/AB20</f>
        <v>25.750031540313429</v>
      </c>
      <c r="AC54" s="348">
        <f>AC53*1000/AC20</f>
        <v>23.327919211330521</v>
      </c>
      <c r="AD54" s="301">
        <f>AC54-AB54</f>
        <v>-2.4221123289829087</v>
      </c>
      <c r="AE54" s="302">
        <f>AE53*1000/AE20</f>
        <v>23.327919211330524</v>
      </c>
      <c r="AF54" s="303">
        <f>AE54-AC54</f>
        <v>0</v>
      </c>
      <c r="AG54" s="304" t="e">
        <f>AG53*1000/AG20</f>
        <v>#REF!</v>
      </c>
      <c r="AH54" s="304">
        <f>AH53*1000/AH20</f>
        <v>24.370127857079208</v>
      </c>
      <c r="AI54" s="305">
        <f>AI53*1000/AI20</f>
        <v>23.426307867673454</v>
      </c>
      <c r="AJ54" s="305">
        <v>23.33</v>
      </c>
      <c r="AK54" s="349" t="e">
        <f>AJ54-AG54</f>
        <v>#REF!</v>
      </c>
      <c r="AL54" s="309">
        <f>AL53*1000/AL20</f>
        <v>23.554025397948237</v>
      </c>
      <c r="AM54" s="305">
        <f>AM53*1000/AM20</f>
        <v>24.533627560846341</v>
      </c>
      <c r="AN54" s="305">
        <f>AN53*1000/AN20</f>
        <v>15.192568121598304</v>
      </c>
      <c r="AO54" s="309">
        <f>AO53*1000/AO20</f>
        <v>26.886332633385958</v>
      </c>
      <c r="AP54" s="310">
        <f>AO54-AJ54</f>
        <v>3.55633263338596</v>
      </c>
      <c r="AQ54" s="309">
        <v>23.33</v>
      </c>
      <c r="AR54" s="227">
        <f>AQ54-AO54</f>
        <v>-3.55633263338596</v>
      </c>
      <c r="AS54" s="308">
        <v>23.33</v>
      </c>
      <c r="AT54" s="309">
        <f>AT53*1000/AT20</f>
        <v>20.120679808931015</v>
      </c>
      <c r="AU54" s="305">
        <f>AT54-AS54</f>
        <v>-3.2093201910689828</v>
      </c>
      <c r="AV54" s="309">
        <f>AV53*1000/AV20</f>
        <v>20.198516930919283</v>
      </c>
      <c r="AW54" s="308">
        <f>AV54-AT54</f>
        <v>7.7837121988267199E-2</v>
      </c>
      <c r="AX54" s="305">
        <v>23.33</v>
      </c>
      <c r="AY54" s="305">
        <f>AY53*1000/AY20</f>
        <v>15.192568121598304</v>
      </c>
      <c r="AZ54" s="308">
        <v>23.33</v>
      </c>
      <c r="BA54" s="308">
        <v>23.33</v>
      </c>
      <c r="BB54" s="309">
        <f>BB53*1000/BB20</f>
        <v>25.599591311365405</v>
      </c>
      <c r="BC54" s="305">
        <f t="shared" si="7"/>
        <v>2.2695913113654065</v>
      </c>
      <c r="BD54" s="309">
        <f>BA54</f>
        <v>23.33</v>
      </c>
      <c r="BE54" s="227">
        <f t="shared" si="14"/>
        <v>-2.2695913113654065</v>
      </c>
      <c r="BF54" s="304">
        <f>BF53*1000/BF20</f>
        <v>22.960676915027545</v>
      </c>
      <c r="BG54" s="308">
        <v>20.2</v>
      </c>
      <c r="BH54" s="305">
        <f t="shared" si="8"/>
        <v>-2.7606769150275454</v>
      </c>
      <c r="BI54" s="309">
        <f>BI53/BI20*1000</f>
        <v>24.318644075601707</v>
      </c>
      <c r="BJ54" s="309">
        <v>20.2</v>
      </c>
      <c r="BK54" s="311">
        <f t="shared" si="9"/>
        <v>-4.1186440756017078</v>
      </c>
      <c r="BL54" s="312">
        <f>BL53*1000/BL20</f>
        <v>27.073103617398644</v>
      </c>
      <c r="BM54" s="309">
        <f>BM53/BM20*1000</f>
        <v>21.416022628924406</v>
      </c>
      <c r="BN54" s="309">
        <f>BN53/BN20*1000</f>
        <v>30.829996387735385</v>
      </c>
      <c r="BO54" s="308">
        <f>BO53/BO20*1000</f>
        <v>24.209899056005398</v>
      </c>
      <c r="BP54" s="308">
        <f>BP53/BP20*1000</f>
        <v>31.383002999389127</v>
      </c>
      <c r="BQ54" s="308">
        <v>24.21</v>
      </c>
      <c r="BR54" s="308">
        <v>20.16</v>
      </c>
      <c r="BS54" s="307">
        <v>26.79</v>
      </c>
      <c r="BT54" s="309">
        <f>BT53/BT20*1000</f>
        <v>27.537432203287054</v>
      </c>
      <c r="BU54" s="313">
        <f>BU53/BU20*1000</f>
        <v>21.416022628924406</v>
      </c>
      <c r="BV54" s="314">
        <f>BV53/BV20*1000</f>
        <v>31.607395130444491</v>
      </c>
      <c r="BW54" s="226">
        <f t="shared" si="10"/>
        <v>-7.1730029993891264</v>
      </c>
      <c r="BX54" s="309">
        <f>BO54</f>
        <v>24.209899056005398</v>
      </c>
      <c r="BY54" s="305">
        <f>BX54</f>
        <v>24.209899056005398</v>
      </c>
      <c r="BZ54" s="312">
        <f>BX54</f>
        <v>24.209899056005398</v>
      </c>
      <c r="CA54" s="309">
        <f>CA53/CA20*1000</f>
        <v>27.5373193048116</v>
      </c>
      <c r="CB54" s="227">
        <v>24.21</v>
      </c>
      <c r="CC54" s="227">
        <f>CB54</f>
        <v>24.21</v>
      </c>
      <c r="CD54" s="227">
        <f>CC54</f>
        <v>24.21</v>
      </c>
      <c r="CE54" s="227">
        <f t="shared" si="11"/>
        <v>-3.3273193048115992</v>
      </c>
      <c r="CF54" s="350"/>
      <c r="CG54" s="351"/>
      <c r="CH54" s="351"/>
    </row>
    <row r="55" spans="1:86" ht="24" customHeight="1" thickBot="1">
      <c r="A55" s="228"/>
      <c r="B55" s="229" t="s">
        <v>157</v>
      </c>
      <c r="C55" s="230"/>
      <c r="D55" s="231"/>
      <c r="E55" s="232"/>
      <c r="F55" s="231"/>
      <c r="G55" s="231"/>
      <c r="H55" s="233"/>
      <c r="I55" s="352"/>
      <c r="J55" s="316"/>
      <c r="K55" s="236"/>
      <c r="L55" s="237"/>
      <c r="M55" s="317"/>
      <c r="N55" s="237"/>
      <c r="O55" s="318"/>
      <c r="P55" s="239"/>
      <c r="Q55" s="239"/>
      <c r="R55" s="320"/>
      <c r="S55" s="243"/>
      <c r="T55" s="244"/>
      <c r="U55" s="243"/>
      <c r="V55" s="243"/>
      <c r="W55" s="244"/>
      <c r="X55" s="244"/>
      <c r="Y55" s="243"/>
      <c r="Z55" s="243"/>
      <c r="AA55" s="244"/>
      <c r="AB55" s="323"/>
      <c r="AC55" s="246"/>
      <c r="AD55" s="353"/>
      <c r="AE55" s="325"/>
      <c r="AF55" s="353"/>
      <c r="AG55" s="326"/>
      <c r="AH55" s="326"/>
      <c r="AI55" s="327"/>
      <c r="AJ55" s="250"/>
      <c r="AK55" s="354"/>
      <c r="AL55" s="252"/>
      <c r="AM55" s="250"/>
      <c r="AN55" s="253"/>
      <c r="AO55" s="253"/>
      <c r="AP55" s="250"/>
      <c r="AQ55" s="255"/>
      <c r="AR55" s="250"/>
      <c r="AS55" s="254"/>
      <c r="AT55" s="253"/>
      <c r="AU55" s="254"/>
      <c r="AV55" s="254"/>
      <c r="AW55" s="250"/>
      <c r="AX55" s="250"/>
      <c r="AY55" s="253"/>
      <c r="AZ55" s="254"/>
      <c r="BA55" s="250"/>
      <c r="BB55" s="253"/>
      <c r="BC55" s="250"/>
      <c r="BD55" s="256"/>
      <c r="BE55" s="250"/>
      <c r="BF55" s="253"/>
      <c r="BG55" s="250"/>
      <c r="BH55" s="254"/>
      <c r="BI55" s="253"/>
      <c r="BJ55" s="255"/>
      <c r="BK55" s="258"/>
      <c r="BL55" s="253"/>
      <c r="BM55" s="253"/>
      <c r="BN55" s="253"/>
      <c r="BO55" s="355"/>
      <c r="BP55" s="355"/>
      <c r="BQ55" s="355"/>
      <c r="BR55" s="355"/>
      <c r="BS55" s="356"/>
      <c r="BT55" s="252"/>
      <c r="BU55" s="259"/>
      <c r="BV55" s="260"/>
      <c r="BW55" s="258"/>
      <c r="BX55" s="252"/>
      <c r="BY55" s="254"/>
      <c r="BZ55" s="255"/>
      <c r="CA55" s="252"/>
      <c r="CB55" s="258"/>
      <c r="CC55" s="258"/>
      <c r="CD55" s="258"/>
      <c r="CE55" s="357"/>
      <c r="CF55" s="351"/>
      <c r="CG55" s="351"/>
      <c r="CH55" s="351"/>
    </row>
    <row r="56" spans="1:86" ht="37.5">
      <c r="A56" s="102">
        <v>15</v>
      </c>
      <c r="B56" s="71" t="s">
        <v>158</v>
      </c>
      <c r="C56" s="104" t="s">
        <v>144</v>
      </c>
      <c r="D56" s="136">
        <f>229.827+71.955+43.456</f>
        <v>345.238</v>
      </c>
      <c r="E56" s="135">
        <v>52.192999999999998</v>
      </c>
      <c r="F56" s="142">
        <v>89.998000000000005</v>
      </c>
      <c r="G56" s="142">
        <v>240.624</v>
      </c>
      <c r="H56" s="159">
        <f>SUM(E56:G56)</f>
        <v>382.815</v>
      </c>
      <c r="I56" s="335"/>
      <c r="J56" s="139">
        <v>345.238</v>
      </c>
      <c r="K56" s="140">
        <v>382.815</v>
      </c>
      <c r="L56" s="358"/>
      <c r="M56" s="175">
        <v>48.929000000000002</v>
      </c>
      <c r="N56" s="358"/>
      <c r="O56" s="359">
        <v>10.452</v>
      </c>
      <c r="P56" s="360"/>
      <c r="Q56" s="360">
        <v>84.102000000000004</v>
      </c>
      <c r="R56" s="361"/>
      <c r="S56" s="116">
        <f>M56+O56+Q56</f>
        <v>143.483</v>
      </c>
      <c r="T56" s="266">
        <v>143.47999999999999</v>
      </c>
      <c r="U56" s="267">
        <v>143.62</v>
      </c>
      <c r="V56" s="267">
        <v>143.62</v>
      </c>
      <c r="W56" s="266">
        <v>143.47999999999999</v>
      </c>
      <c r="X56" s="266">
        <v>114.771</v>
      </c>
      <c r="Y56" s="266">
        <v>114.771</v>
      </c>
      <c r="Z56" s="272">
        <f>W56-X56</f>
        <v>28.708999999999989</v>
      </c>
      <c r="AA56" s="154">
        <f>Y56-X56</f>
        <v>0</v>
      </c>
      <c r="AB56" s="268">
        <v>143.47999999999999</v>
      </c>
      <c r="AC56" s="269">
        <v>87.68</v>
      </c>
      <c r="AD56" s="89">
        <f>AC56-AB56</f>
        <v>-55.799999999999983</v>
      </c>
      <c r="AE56" s="270">
        <v>87.683999999999997</v>
      </c>
      <c r="AF56" s="91">
        <f>AE56-AC56</f>
        <v>3.9999999999906777E-3</v>
      </c>
      <c r="AG56" s="362" t="e">
        <f>#REF!</f>
        <v>#REF!</v>
      </c>
      <c r="AH56" s="363">
        <v>82.76</v>
      </c>
      <c r="AI56" s="364">
        <v>113.529</v>
      </c>
      <c r="AJ56" s="154">
        <v>92.61</v>
      </c>
      <c r="AK56" s="94">
        <f>AJ56-AH56</f>
        <v>9.8499999999999943</v>
      </c>
      <c r="AL56" s="272">
        <v>164.19300000000001</v>
      </c>
      <c r="AM56" s="154">
        <f>AL56-AN56</f>
        <v>114.39000000000001</v>
      </c>
      <c r="AN56" s="273">
        <v>49.802999999999997</v>
      </c>
      <c r="AO56" s="273">
        <v>139.22300000000001</v>
      </c>
      <c r="AP56" s="154">
        <f>AO56-AJ56</f>
        <v>46.613000000000014</v>
      </c>
      <c r="AQ56" s="274">
        <v>90.69</v>
      </c>
      <c r="AR56" s="154">
        <f>AQ56-AO56</f>
        <v>-48.533000000000015</v>
      </c>
      <c r="AS56" s="91">
        <v>120.56</v>
      </c>
      <c r="AT56" s="273">
        <v>86.18</v>
      </c>
      <c r="AU56" s="154">
        <f>AT56-AS56</f>
        <v>-34.379999999999995</v>
      </c>
      <c r="AV56" s="273">
        <v>75.03</v>
      </c>
      <c r="AW56" s="91">
        <f>AV56-AT56</f>
        <v>-11.150000000000006</v>
      </c>
      <c r="AX56" s="154">
        <v>105.33</v>
      </c>
      <c r="AY56" s="91">
        <f>AY74*AY20/1000</f>
        <v>24.432735600000001</v>
      </c>
      <c r="AZ56" s="91">
        <v>120.56</v>
      </c>
      <c r="BA56" s="91">
        <v>120.56</v>
      </c>
      <c r="BB56" s="273">
        <v>131.52000000000001</v>
      </c>
      <c r="BC56" s="154">
        <f t="shared" si="7"/>
        <v>10.960000000000008</v>
      </c>
      <c r="BD56" s="272">
        <f>BD74*BD20/1000</f>
        <v>97.712251350627469</v>
      </c>
      <c r="BE56" s="154">
        <f t="shared" si="14"/>
        <v>-33.807748649372542</v>
      </c>
      <c r="BF56" s="365">
        <v>120.56</v>
      </c>
      <c r="BG56" s="95">
        <f>BG74*BG20/1000</f>
        <v>88.037294799999984</v>
      </c>
      <c r="BH56" s="154">
        <f t="shared" si="8"/>
        <v>-32.522705200000019</v>
      </c>
      <c r="BI56" s="273">
        <v>42.971899999999998</v>
      </c>
      <c r="BJ56" s="274">
        <f>BJ74*BJ20/1000</f>
        <v>42.155600404297815</v>
      </c>
      <c r="BK56" s="101">
        <f t="shared" si="9"/>
        <v>-0.81629959570218347</v>
      </c>
      <c r="BL56" s="273">
        <v>71.02</v>
      </c>
      <c r="BM56" s="273">
        <v>20.45</v>
      </c>
      <c r="BN56" s="274">
        <v>49.5</v>
      </c>
      <c r="BO56" s="91">
        <f>BO74*BO20/1000</f>
        <v>69.866568072500826</v>
      </c>
      <c r="BP56" s="95">
        <f>BP67+BP71</f>
        <v>54.594064000000003</v>
      </c>
      <c r="BQ56" s="95">
        <f>BQ74*BQ20/1000</f>
        <v>52.128463698420298</v>
      </c>
      <c r="BR56" s="85">
        <f>BM56</f>
        <v>20.45</v>
      </c>
      <c r="BS56" s="91">
        <f>BO56-BR56</f>
        <v>49.416568072500823</v>
      </c>
      <c r="BT56" s="272">
        <f>BU56+BV56</f>
        <v>71.02</v>
      </c>
      <c r="BU56" s="275">
        <v>21.47</v>
      </c>
      <c r="BV56" s="276">
        <v>49.55</v>
      </c>
      <c r="BW56" s="101">
        <f t="shared" si="10"/>
        <v>-2.4656003015797054</v>
      </c>
      <c r="BX56" s="272">
        <f>BX74*BX20/1000</f>
        <v>38.9158192906796</v>
      </c>
      <c r="BY56" s="154">
        <f>BY74*BY20/1000</f>
        <v>38.9158192906796</v>
      </c>
      <c r="BZ56" s="274">
        <f>BZ74*BZ20/1000</f>
        <v>38.9158192906796</v>
      </c>
      <c r="CA56" s="272">
        <f>CA67+CA69</f>
        <v>69.869759999999999</v>
      </c>
      <c r="CB56" s="101">
        <f>CB67+CB68+CB69</f>
        <v>55.239679999999993</v>
      </c>
      <c r="CC56" s="101">
        <f>CC67+CC68+CC69</f>
        <v>55.239679999999993</v>
      </c>
      <c r="CD56" s="101">
        <f>CD67+CD68+CD69</f>
        <v>55.239679999999993</v>
      </c>
      <c r="CE56" s="154">
        <f t="shared" si="11"/>
        <v>-14.630080000000007</v>
      </c>
      <c r="CF56" s="351"/>
      <c r="CG56" s="350"/>
      <c r="CH56" s="351"/>
    </row>
    <row r="57" spans="1:86" ht="18.75" hidden="1" customHeight="1">
      <c r="A57" s="366"/>
      <c r="B57" s="367" t="s">
        <v>159</v>
      </c>
      <c r="C57" s="104" t="s">
        <v>160</v>
      </c>
      <c r="D57" s="368"/>
      <c r="E57" s="369"/>
      <c r="F57" s="368"/>
      <c r="G57" s="368"/>
      <c r="H57" s="370"/>
      <c r="I57" s="371"/>
      <c r="J57" s="372"/>
      <c r="K57" s="373"/>
      <c r="L57" s="374"/>
      <c r="M57" s="375"/>
      <c r="N57" s="374"/>
      <c r="O57" s="376"/>
      <c r="P57" s="377"/>
      <c r="Q57" s="377"/>
      <c r="R57" s="378"/>
      <c r="S57" s="379"/>
      <c r="T57" s="380"/>
      <c r="U57" s="117"/>
      <c r="V57" s="117"/>
      <c r="W57" s="117"/>
      <c r="X57" s="117"/>
      <c r="Y57" s="117"/>
      <c r="Z57" s="123"/>
      <c r="AA57" s="123"/>
      <c r="AB57" s="117"/>
      <c r="AC57" s="149"/>
      <c r="AD57" s="123"/>
      <c r="AE57" s="117"/>
      <c r="AF57" s="123"/>
      <c r="AG57" s="152"/>
      <c r="AH57" s="381"/>
      <c r="AI57" s="381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>
        <f t="shared" si="7"/>
        <v>0</v>
      </c>
      <c r="BD57" s="155"/>
      <c r="BE57" s="123">
        <f t="shared" si="14"/>
        <v>0</v>
      </c>
      <c r="BF57" s="128">
        <f>BF56</f>
        <v>120.56</v>
      </c>
      <c r="BG57" s="125">
        <f>BG56</f>
        <v>88.037294799999984</v>
      </c>
      <c r="BH57" s="123">
        <f t="shared" si="8"/>
        <v>-32.522705200000019</v>
      </c>
      <c r="BI57" s="123"/>
      <c r="BJ57" s="155"/>
      <c r="BK57" s="125">
        <f t="shared" si="9"/>
        <v>0</v>
      </c>
      <c r="BL57" s="122"/>
      <c r="BM57" s="123"/>
      <c r="BN57" s="155"/>
      <c r="BO57" s="125"/>
      <c r="BP57" s="125"/>
      <c r="BQ57" s="125"/>
      <c r="BR57" s="116">
        <f t="shared" ref="BR57:BR66" ca="1" si="45">BO57-BS57</f>
        <v>0</v>
      </c>
      <c r="BS57" s="123">
        <f t="shared" ref="BS57:BS73" ca="1" si="46">BO57-BR57</f>
        <v>49.416568072500823</v>
      </c>
      <c r="BT57" s="155"/>
      <c r="BU57" s="165"/>
      <c r="BV57" s="166"/>
      <c r="BW57" s="101">
        <f t="shared" si="10"/>
        <v>0</v>
      </c>
      <c r="BX57" s="155"/>
      <c r="BY57" s="123"/>
      <c r="BZ57" s="164"/>
      <c r="CA57" s="155"/>
      <c r="CB57" s="125">
        <f t="shared" ref="CB57:CD66" si="47">BW57</f>
        <v>0</v>
      </c>
      <c r="CC57" s="125">
        <f t="shared" si="47"/>
        <v>0</v>
      </c>
      <c r="CD57" s="125">
        <f t="shared" si="47"/>
        <v>0</v>
      </c>
      <c r="CE57" s="123">
        <f t="shared" si="11"/>
        <v>0</v>
      </c>
      <c r="CF57" s="351"/>
      <c r="CG57" s="351"/>
      <c r="CH57" s="351"/>
    </row>
    <row r="58" spans="1:86" ht="18.75" hidden="1" customHeight="1">
      <c r="A58" s="366"/>
      <c r="B58" s="382" t="s">
        <v>161</v>
      </c>
      <c r="C58" s="104" t="s">
        <v>162</v>
      </c>
      <c r="D58" s="368"/>
      <c r="E58" s="369"/>
      <c r="F58" s="368"/>
      <c r="G58" s="368"/>
      <c r="H58" s="370"/>
      <c r="I58" s="371"/>
      <c r="J58" s="372"/>
      <c r="K58" s="373"/>
      <c r="L58" s="374"/>
      <c r="M58" s="375"/>
      <c r="N58" s="374"/>
      <c r="O58" s="376"/>
      <c r="P58" s="377"/>
      <c r="Q58" s="377"/>
      <c r="R58" s="378"/>
      <c r="S58" s="379"/>
      <c r="T58" s="380"/>
      <c r="U58" s="117"/>
      <c r="V58" s="117"/>
      <c r="W58" s="117"/>
      <c r="X58" s="117"/>
      <c r="Y58" s="117"/>
      <c r="Z58" s="123"/>
      <c r="AA58" s="123"/>
      <c r="AB58" s="117"/>
      <c r="AC58" s="149"/>
      <c r="AD58" s="123"/>
      <c r="AE58" s="117"/>
      <c r="AF58" s="123"/>
      <c r="AG58" s="152"/>
      <c r="AH58" s="381"/>
      <c r="AI58" s="381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>
        <f t="shared" si="7"/>
        <v>0</v>
      </c>
      <c r="BD58" s="155"/>
      <c r="BE58" s="123">
        <f t="shared" si="14"/>
        <v>0</v>
      </c>
      <c r="BF58" s="128"/>
      <c r="BG58" s="125">
        <v>0</v>
      </c>
      <c r="BH58" s="123">
        <f t="shared" si="8"/>
        <v>0</v>
      </c>
      <c r="BI58" s="123"/>
      <c r="BJ58" s="155"/>
      <c r="BK58" s="125">
        <f t="shared" si="9"/>
        <v>0</v>
      </c>
      <c r="BL58" s="122"/>
      <c r="BM58" s="123"/>
      <c r="BN58" s="155"/>
      <c r="BO58" s="125"/>
      <c r="BP58" s="125"/>
      <c r="BQ58" s="125"/>
      <c r="BR58" s="116">
        <f t="shared" ca="1" si="45"/>
        <v>0</v>
      </c>
      <c r="BS58" s="123">
        <f t="shared" ca="1" si="46"/>
        <v>49.416568072500823</v>
      </c>
      <c r="BT58" s="155"/>
      <c r="BU58" s="165"/>
      <c r="BV58" s="166"/>
      <c r="BW58" s="101">
        <f t="shared" si="10"/>
        <v>0</v>
      </c>
      <c r="BX58" s="155"/>
      <c r="BY58" s="123"/>
      <c r="BZ58" s="164"/>
      <c r="CA58" s="155"/>
      <c r="CB58" s="125">
        <f t="shared" si="47"/>
        <v>0</v>
      </c>
      <c r="CC58" s="125">
        <f t="shared" si="47"/>
        <v>0</v>
      </c>
      <c r="CD58" s="125">
        <f t="shared" si="47"/>
        <v>0</v>
      </c>
      <c r="CE58" s="123">
        <f t="shared" si="11"/>
        <v>0</v>
      </c>
      <c r="CF58" s="351"/>
      <c r="CG58" s="351"/>
      <c r="CH58" s="351"/>
    </row>
    <row r="59" spans="1:86" ht="18.75" hidden="1" customHeight="1">
      <c r="A59" s="366"/>
      <c r="B59" s="367" t="s">
        <v>163</v>
      </c>
      <c r="C59" s="104" t="s">
        <v>164</v>
      </c>
      <c r="D59" s="368"/>
      <c r="E59" s="369"/>
      <c r="F59" s="368"/>
      <c r="G59" s="368"/>
      <c r="H59" s="370"/>
      <c r="I59" s="371"/>
      <c r="J59" s="372"/>
      <c r="K59" s="373"/>
      <c r="L59" s="374"/>
      <c r="M59" s="375"/>
      <c r="N59" s="374"/>
      <c r="O59" s="376"/>
      <c r="P59" s="377"/>
      <c r="Q59" s="377"/>
      <c r="R59" s="378"/>
      <c r="S59" s="379"/>
      <c r="T59" s="380"/>
      <c r="U59" s="117"/>
      <c r="V59" s="117"/>
      <c r="W59" s="117"/>
      <c r="X59" s="117"/>
      <c r="Y59" s="117"/>
      <c r="Z59" s="123"/>
      <c r="AA59" s="123"/>
      <c r="AB59" s="117"/>
      <c r="AC59" s="149"/>
      <c r="AD59" s="123"/>
      <c r="AE59" s="117"/>
      <c r="AF59" s="123"/>
      <c r="AG59" s="152"/>
      <c r="AH59" s="381"/>
      <c r="AI59" s="381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>
        <f t="shared" si="7"/>
        <v>0</v>
      </c>
      <c r="BD59" s="155"/>
      <c r="BE59" s="123">
        <f t="shared" si="14"/>
        <v>0</v>
      </c>
      <c r="BF59" s="128"/>
      <c r="BG59" s="125">
        <v>0</v>
      </c>
      <c r="BH59" s="123">
        <f t="shared" si="8"/>
        <v>0</v>
      </c>
      <c r="BI59" s="123"/>
      <c r="BJ59" s="155"/>
      <c r="BK59" s="125">
        <f t="shared" si="9"/>
        <v>0</v>
      </c>
      <c r="BL59" s="122"/>
      <c r="BM59" s="123"/>
      <c r="BN59" s="155"/>
      <c r="BO59" s="125"/>
      <c r="BP59" s="125"/>
      <c r="BQ59" s="125"/>
      <c r="BR59" s="116">
        <f t="shared" ca="1" si="45"/>
        <v>0</v>
      </c>
      <c r="BS59" s="123">
        <f t="shared" ca="1" si="46"/>
        <v>49.416568072500823</v>
      </c>
      <c r="BT59" s="155"/>
      <c r="BU59" s="165"/>
      <c r="BV59" s="166"/>
      <c r="BW59" s="101">
        <f t="shared" si="10"/>
        <v>0</v>
      </c>
      <c r="BX59" s="155"/>
      <c r="BY59" s="123"/>
      <c r="BZ59" s="164"/>
      <c r="CA59" s="155"/>
      <c r="CB59" s="125">
        <f t="shared" si="47"/>
        <v>0</v>
      </c>
      <c r="CC59" s="125">
        <f t="shared" si="47"/>
        <v>0</v>
      </c>
      <c r="CD59" s="125">
        <f t="shared" si="47"/>
        <v>0</v>
      </c>
      <c r="CE59" s="123">
        <f t="shared" si="11"/>
        <v>0</v>
      </c>
      <c r="CF59" s="351"/>
      <c r="CG59" s="351"/>
      <c r="CH59" s="351"/>
    </row>
    <row r="60" spans="1:86" ht="18.75" hidden="1" customHeight="1">
      <c r="A60" s="383" t="s">
        <v>165</v>
      </c>
      <c r="B60" s="367" t="s">
        <v>166</v>
      </c>
      <c r="C60" s="104" t="s">
        <v>167</v>
      </c>
      <c r="D60" s="368"/>
      <c r="E60" s="369"/>
      <c r="F60" s="368"/>
      <c r="G60" s="368"/>
      <c r="H60" s="370"/>
      <c r="I60" s="371"/>
      <c r="J60" s="372"/>
      <c r="K60" s="373"/>
      <c r="L60" s="374"/>
      <c r="M60" s="375"/>
      <c r="N60" s="374"/>
      <c r="O60" s="376"/>
      <c r="P60" s="377"/>
      <c r="Q60" s="377"/>
      <c r="R60" s="378"/>
      <c r="S60" s="379"/>
      <c r="T60" s="380"/>
      <c r="U60" s="117"/>
      <c r="V60" s="117"/>
      <c r="W60" s="117"/>
      <c r="X60" s="117"/>
      <c r="Y60" s="117"/>
      <c r="Z60" s="123"/>
      <c r="AA60" s="123"/>
      <c r="AB60" s="117"/>
      <c r="AC60" s="149"/>
      <c r="AD60" s="123"/>
      <c r="AE60" s="117"/>
      <c r="AF60" s="123"/>
      <c r="AG60" s="152"/>
      <c r="AH60" s="381"/>
      <c r="AI60" s="381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>
        <f t="shared" si="7"/>
        <v>0</v>
      </c>
      <c r="BD60" s="155"/>
      <c r="BE60" s="123">
        <f t="shared" si="14"/>
        <v>0</v>
      </c>
      <c r="BF60" s="128">
        <f>BF56-BF61</f>
        <v>34.334000000000003</v>
      </c>
      <c r="BG60" s="125">
        <v>34.334000000000003</v>
      </c>
      <c r="BH60" s="123">
        <f t="shared" si="8"/>
        <v>0</v>
      </c>
      <c r="BI60" s="123"/>
      <c r="BJ60" s="155"/>
      <c r="BK60" s="125">
        <f t="shared" si="9"/>
        <v>0</v>
      </c>
      <c r="BL60" s="122"/>
      <c r="BM60" s="123"/>
      <c r="BN60" s="155"/>
      <c r="BO60" s="125"/>
      <c r="BP60" s="125"/>
      <c r="BQ60" s="125"/>
      <c r="BR60" s="116">
        <f t="shared" ca="1" si="45"/>
        <v>0</v>
      </c>
      <c r="BS60" s="123">
        <f t="shared" ca="1" si="46"/>
        <v>49.416568072500823</v>
      </c>
      <c r="BT60" s="155"/>
      <c r="BU60" s="165"/>
      <c r="BV60" s="166"/>
      <c r="BW60" s="101">
        <f t="shared" si="10"/>
        <v>0</v>
      </c>
      <c r="BX60" s="155"/>
      <c r="BY60" s="123"/>
      <c r="BZ60" s="164"/>
      <c r="CA60" s="155"/>
      <c r="CB60" s="125">
        <f t="shared" si="47"/>
        <v>0</v>
      </c>
      <c r="CC60" s="125">
        <f t="shared" si="47"/>
        <v>0</v>
      </c>
      <c r="CD60" s="125">
        <f t="shared" si="47"/>
        <v>0</v>
      </c>
      <c r="CE60" s="123">
        <f t="shared" si="11"/>
        <v>0</v>
      </c>
      <c r="CF60" s="351"/>
      <c r="CG60" s="351"/>
      <c r="CH60" s="351"/>
    </row>
    <row r="61" spans="1:86" ht="18.75" hidden="1" customHeight="1">
      <c r="A61" s="383" t="s">
        <v>168</v>
      </c>
      <c r="B61" s="382" t="s">
        <v>169</v>
      </c>
      <c r="C61" s="104" t="s">
        <v>170</v>
      </c>
      <c r="D61" s="368"/>
      <c r="E61" s="369"/>
      <c r="F61" s="368"/>
      <c r="G61" s="368"/>
      <c r="H61" s="370"/>
      <c r="I61" s="371"/>
      <c r="J61" s="372"/>
      <c r="K61" s="373"/>
      <c r="L61" s="374"/>
      <c r="M61" s="375"/>
      <c r="N61" s="374"/>
      <c r="O61" s="376"/>
      <c r="P61" s="377"/>
      <c r="Q61" s="377"/>
      <c r="R61" s="378"/>
      <c r="S61" s="379"/>
      <c r="T61" s="380"/>
      <c r="U61" s="117"/>
      <c r="V61" s="117"/>
      <c r="W61" s="117"/>
      <c r="X61" s="117"/>
      <c r="Y61" s="117"/>
      <c r="Z61" s="123"/>
      <c r="AA61" s="123"/>
      <c r="AB61" s="117"/>
      <c r="AC61" s="149"/>
      <c r="AD61" s="123"/>
      <c r="AE61" s="117"/>
      <c r="AF61" s="123"/>
      <c r="AG61" s="152"/>
      <c r="AH61" s="381"/>
      <c r="AI61" s="381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>
        <f t="shared" si="7"/>
        <v>0</v>
      </c>
      <c r="BD61" s="155"/>
      <c r="BE61" s="123">
        <f t="shared" si="14"/>
        <v>0</v>
      </c>
      <c r="BF61" s="128">
        <v>86.225999999999999</v>
      </c>
      <c r="BG61" s="125">
        <f>BG56-BG60</f>
        <v>53.703294799999981</v>
      </c>
      <c r="BH61" s="123">
        <f t="shared" si="8"/>
        <v>-32.522705200000019</v>
      </c>
      <c r="BI61" s="123"/>
      <c r="BJ61" s="155"/>
      <c r="BK61" s="125">
        <f t="shared" si="9"/>
        <v>0</v>
      </c>
      <c r="BL61" s="122"/>
      <c r="BM61" s="123"/>
      <c r="BN61" s="155"/>
      <c r="BO61" s="125"/>
      <c r="BP61" s="125"/>
      <c r="BQ61" s="125"/>
      <c r="BR61" s="116">
        <f t="shared" ca="1" si="45"/>
        <v>0</v>
      </c>
      <c r="BS61" s="123">
        <f t="shared" ca="1" si="46"/>
        <v>49.416568072500823</v>
      </c>
      <c r="BT61" s="155"/>
      <c r="BU61" s="165"/>
      <c r="BV61" s="166"/>
      <c r="BW61" s="101">
        <f t="shared" si="10"/>
        <v>0</v>
      </c>
      <c r="BX61" s="155"/>
      <c r="BY61" s="123"/>
      <c r="BZ61" s="164"/>
      <c r="CA61" s="155"/>
      <c r="CB61" s="125">
        <f t="shared" si="47"/>
        <v>0</v>
      </c>
      <c r="CC61" s="125">
        <f t="shared" si="47"/>
        <v>0</v>
      </c>
      <c r="CD61" s="125">
        <f t="shared" si="47"/>
        <v>0</v>
      </c>
      <c r="CE61" s="123">
        <f t="shared" si="11"/>
        <v>0</v>
      </c>
      <c r="CF61" s="351"/>
      <c r="CG61" s="351"/>
      <c r="CH61" s="351"/>
    </row>
    <row r="62" spans="1:86" ht="18.75" hidden="1" customHeight="1">
      <c r="A62" s="383"/>
      <c r="B62" s="367" t="s">
        <v>118</v>
      </c>
      <c r="C62" s="104" t="s">
        <v>171</v>
      </c>
      <c r="D62" s="368"/>
      <c r="E62" s="369"/>
      <c r="F62" s="368"/>
      <c r="G62" s="368"/>
      <c r="H62" s="370"/>
      <c r="I62" s="371"/>
      <c r="J62" s="372"/>
      <c r="K62" s="373"/>
      <c r="L62" s="374"/>
      <c r="M62" s="375"/>
      <c r="N62" s="374"/>
      <c r="O62" s="376"/>
      <c r="P62" s="377"/>
      <c r="Q62" s="377"/>
      <c r="R62" s="378"/>
      <c r="S62" s="379"/>
      <c r="T62" s="380"/>
      <c r="U62" s="117"/>
      <c r="V62" s="117"/>
      <c r="W62" s="117"/>
      <c r="X62" s="117"/>
      <c r="Y62" s="117"/>
      <c r="Z62" s="123"/>
      <c r="AA62" s="123"/>
      <c r="AB62" s="117"/>
      <c r="AC62" s="149"/>
      <c r="AD62" s="123"/>
      <c r="AE62" s="117"/>
      <c r="AF62" s="123"/>
      <c r="AG62" s="152"/>
      <c r="AH62" s="381"/>
      <c r="AI62" s="381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>
        <f t="shared" si="7"/>
        <v>0</v>
      </c>
      <c r="BD62" s="155"/>
      <c r="BE62" s="123">
        <f t="shared" si="14"/>
        <v>0</v>
      </c>
      <c r="BF62" s="128">
        <f>BF61</f>
        <v>86.225999999999999</v>
      </c>
      <c r="BG62" s="125">
        <f>BG61</f>
        <v>53.703294799999981</v>
      </c>
      <c r="BH62" s="123">
        <f t="shared" si="8"/>
        <v>-32.522705200000019</v>
      </c>
      <c r="BI62" s="123"/>
      <c r="BJ62" s="155"/>
      <c r="BK62" s="125">
        <f t="shared" si="9"/>
        <v>0</v>
      </c>
      <c r="BL62" s="122"/>
      <c r="BM62" s="123"/>
      <c r="BN62" s="155"/>
      <c r="BO62" s="125"/>
      <c r="BP62" s="125"/>
      <c r="BQ62" s="125"/>
      <c r="BR62" s="116">
        <f t="shared" ca="1" si="45"/>
        <v>0</v>
      </c>
      <c r="BS62" s="123">
        <f t="shared" ca="1" si="46"/>
        <v>49.416568072500823</v>
      </c>
      <c r="BT62" s="155"/>
      <c r="BU62" s="165"/>
      <c r="BV62" s="166"/>
      <c r="BW62" s="101">
        <f t="shared" si="10"/>
        <v>0</v>
      </c>
      <c r="BX62" s="155"/>
      <c r="BY62" s="123"/>
      <c r="BZ62" s="164"/>
      <c r="CA62" s="155"/>
      <c r="CB62" s="125">
        <f t="shared" si="47"/>
        <v>0</v>
      </c>
      <c r="CC62" s="125">
        <f t="shared" si="47"/>
        <v>0</v>
      </c>
      <c r="CD62" s="125">
        <f t="shared" si="47"/>
        <v>0</v>
      </c>
      <c r="CE62" s="123">
        <f t="shared" si="11"/>
        <v>0</v>
      </c>
      <c r="CF62" s="351"/>
      <c r="CG62" s="351"/>
      <c r="CH62" s="351"/>
    </row>
    <row r="63" spans="1:86" ht="18.75" hidden="1" customHeight="1">
      <c r="A63" s="383"/>
      <c r="B63" s="382" t="s">
        <v>119</v>
      </c>
      <c r="C63" s="104" t="s">
        <v>172</v>
      </c>
      <c r="D63" s="368"/>
      <c r="E63" s="369"/>
      <c r="F63" s="368"/>
      <c r="G63" s="368"/>
      <c r="H63" s="370"/>
      <c r="I63" s="371"/>
      <c r="J63" s="372"/>
      <c r="K63" s="373"/>
      <c r="L63" s="374"/>
      <c r="M63" s="375"/>
      <c r="N63" s="374"/>
      <c r="O63" s="376"/>
      <c r="P63" s="377"/>
      <c r="Q63" s="377"/>
      <c r="R63" s="378"/>
      <c r="S63" s="379"/>
      <c r="T63" s="380"/>
      <c r="U63" s="117"/>
      <c r="V63" s="117"/>
      <c r="W63" s="117"/>
      <c r="X63" s="117"/>
      <c r="Y63" s="117"/>
      <c r="Z63" s="123"/>
      <c r="AA63" s="123"/>
      <c r="AB63" s="117"/>
      <c r="AC63" s="149"/>
      <c r="AD63" s="123"/>
      <c r="AE63" s="117"/>
      <c r="AF63" s="123"/>
      <c r="AG63" s="152"/>
      <c r="AH63" s="381"/>
      <c r="AI63" s="381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>
        <f t="shared" si="7"/>
        <v>0</v>
      </c>
      <c r="BD63" s="155"/>
      <c r="BE63" s="123">
        <f t="shared" si="14"/>
        <v>0</v>
      </c>
      <c r="BF63" s="128">
        <v>0</v>
      </c>
      <c r="BG63" s="125">
        <v>0</v>
      </c>
      <c r="BH63" s="123">
        <f t="shared" si="8"/>
        <v>0</v>
      </c>
      <c r="BI63" s="123"/>
      <c r="BJ63" s="155"/>
      <c r="BK63" s="125">
        <f t="shared" si="9"/>
        <v>0</v>
      </c>
      <c r="BL63" s="122"/>
      <c r="BM63" s="123"/>
      <c r="BN63" s="155"/>
      <c r="BO63" s="125"/>
      <c r="BP63" s="125"/>
      <c r="BQ63" s="125"/>
      <c r="BR63" s="116">
        <f t="shared" ca="1" si="45"/>
        <v>0</v>
      </c>
      <c r="BS63" s="123">
        <f t="shared" ca="1" si="46"/>
        <v>49.416568072500823</v>
      </c>
      <c r="BT63" s="155"/>
      <c r="BU63" s="165"/>
      <c r="BV63" s="166"/>
      <c r="BW63" s="101">
        <f t="shared" si="10"/>
        <v>0</v>
      </c>
      <c r="BX63" s="155"/>
      <c r="BY63" s="123"/>
      <c r="BZ63" s="164"/>
      <c r="CA63" s="155"/>
      <c r="CB63" s="125">
        <f t="shared" si="47"/>
        <v>0</v>
      </c>
      <c r="CC63" s="125">
        <f t="shared" si="47"/>
        <v>0</v>
      </c>
      <c r="CD63" s="125">
        <f t="shared" si="47"/>
        <v>0</v>
      </c>
      <c r="CE63" s="123">
        <f t="shared" si="11"/>
        <v>0</v>
      </c>
      <c r="CF63" s="351"/>
      <c r="CG63" s="351"/>
      <c r="CH63" s="351"/>
    </row>
    <row r="64" spans="1:86" ht="36" hidden="1" customHeight="1">
      <c r="A64" s="383"/>
      <c r="B64" s="384" t="s">
        <v>173</v>
      </c>
      <c r="C64" s="104" t="s">
        <v>174</v>
      </c>
      <c r="D64" s="368"/>
      <c r="E64" s="369"/>
      <c r="F64" s="368"/>
      <c r="G64" s="368"/>
      <c r="H64" s="370"/>
      <c r="I64" s="371"/>
      <c r="J64" s="372"/>
      <c r="K64" s="373"/>
      <c r="L64" s="374"/>
      <c r="M64" s="375"/>
      <c r="N64" s="374"/>
      <c r="O64" s="376"/>
      <c r="P64" s="377"/>
      <c r="Q64" s="377"/>
      <c r="R64" s="378"/>
      <c r="S64" s="379"/>
      <c r="T64" s="380"/>
      <c r="U64" s="117"/>
      <c r="V64" s="117"/>
      <c r="W64" s="117"/>
      <c r="X64" s="117"/>
      <c r="Y64" s="117"/>
      <c r="Z64" s="123"/>
      <c r="AA64" s="123"/>
      <c r="AB64" s="117"/>
      <c r="AC64" s="149"/>
      <c r="AD64" s="123"/>
      <c r="AE64" s="117"/>
      <c r="AF64" s="123"/>
      <c r="AG64" s="152"/>
      <c r="AH64" s="381"/>
      <c r="AI64" s="381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>
        <f t="shared" si="7"/>
        <v>0</v>
      </c>
      <c r="BD64" s="155"/>
      <c r="BE64" s="123">
        <f t="shared" si="14"/>
        <v>0</v>
      </c>
      <c r="BF64" s="128"/>
      <c r="BG64" s="125"/>
      <c r="BH64" s="123">
        <f t="shared" si="8"/>
        <v>0</v>
      </c>
      <c r="BI64" s="123"/>
      <c r="BJ64" s="155"/>
      <c r="BK64" s="125">
        <f t="shared" si="9"/>
        <v>0</v>
      </c>
      <c r="BL64" s="122"/>
      <c r="BM64" s="123"/>
      <c r="BN64" s="155"/>
      <c r="BO64" s="125"/>
      <c r="BP64" s="125"/>
      <c r="BQ64" s="125"/>
      <c r="BR64" s="116">
        <f t="shared" ca="1" si="45"/>
        <v>0</v>
      </c>
      <c r="BS64" s="123">
        <f t="shared" ca="1" si="46"/>
        <v>49.416568072500823</v>
      </c>
      <c r="BT64" s="155"/>
      <c r="BU64" s="165"/>
      <c r="BV64" s="166"/>
      <c r="BW64" s="101">
        <f t="shared" si="10"/>
        <v>0</v>
      </c>
      <c r="BX64" s="155"/>
      <c r="BY64" s="123"/>
      <c r="BZ64" s="164"/>
      <c r="CA64" s="155"/>
      <c r="CB64" s="125">
        <f t="shared" si="47"/>
        <v>0</v>
      </c>
      <c r="CC64" s="125">
        <f t="shared" si="47"/>
        <v>0</v>
      </c>
      <c r="CD64" s="125">
        <f t="shared" si="47"/>
        <v>0</v>
      </c>
      <c r="CE64" s="123">
        <f t="shared" si="11"/>
        <v>0</v>
      </c>
      <c r="CF64" s="351"/>
      <c r="CG64" s="351"/>
      <c r="CH64" s="351"/>
    </row>
    <row r="65" spans="1:138" ht="18.75" hidden="1" customHeight="1">
      <c r="A65" s="383"/>
      <c r="B65" s="385" t="s">
        <v>175</v>
      </c>
      <c r="C65" s="104" t="s">
        <v>176</v>
      </c>
      <c r="D65" s="368"/>
      <c r="E65" s="369"/>
      <c r="F65" s="368"/>
      <c r="G65" s="368"/>
      <c r="H65" s="370"/>
      <c r="I65" s="371"/>
      <c r="J65" s="372"/>
      <c r="K65" s="373"/>
      <c r="L65" s="374"/>
      <c r="M65" s="375"/>
      <c r="N65" s="374"/>
      <c r="O65" s="376"/>
      <c r="P65" s="377"/>
      <c r="Q65" s="377"/>
      <c r="R65" s="378"/>
      <c r="S65" s="379"/>
      <c r="T65" s="380"/>
      <c r="U65" s="117"/>
      <c r="V65" s="117"/>
      <c r="W65" s="117"/>
      <c r="X65" s="117"/>
      <c r="Y65" s="117"/>
      <c r="Z65" s="123"/>
      <c r="AA65" s="123"/>
      <c r="AB65" s="117"/>
      <c r="AC65" s="149"/>
      <c r="AD65" s="123"/>
      <c r="AE65" s="117"/>
      <c r="AF65" s="123"/>
      <c r="AG65" s="152"/>
      <c r="AH65" s="381"/>
      <c r="AI65" s="381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>
        <f t="shared" si="7"/>
        <v>0</v>
      </c>
      <c r="BD65" s="155"/>
      <c r="BE65" s="123">
        <f t="shared" si="14"/>
        <v>0</v>
      </c>
      <c r="BF65" s="128"/>
      <c r="BG65" s="125"/>
      <c r="BH65" s="123">
        <f t="shared" si="8"/>
        <v>0</v>
      </c>
      <c r="BI65" s="123"/>
      <c r="BJ65" s="155"/>
      <c r="BK65" s="125">
        <f t="shared" si="9"/>
        <v>0</v>
      </c>
      <c r="BL65" s="122"/>
      <c r="BM65" s="123"/>
      <c r="BN65" s="155"/>
      <c r="BO65" s="125"/>
      <c r="BP65" s="125"/>
      <c r="BQ65" s="125"/>
      <c r="BR65" s="116">
        <f t="shared" ca="1" si="45"/>
        <v>0</v>
      </c>
      <c r="BS65" s="123">
        <f t="shared" ca="1" si="46"/>
        <v>49.416568072500823</v>
      </c>
      <c r="BT65" s="155"/>
      <c r="BU65" s="165"/>
      <c r="BV65" s="166"/>
      <c r="BW65" s="101">
        <f t="shared" si="10"/>
        <v>0</v>
      </c>
      <c r="BX65" s="155"/>
      <c r="BY65" s="123"/>
      <c r="BZ65" s="164"/>
      <c r="CA65" s="155"/>
      <c r="CB65" s="125">
        <f t="shared" si="47"/>
        <v>0</v>
      </c>
      <c r="CC65" s="125">
        <f t="shared" si="47"/>
        <v>0</v>
      </c>
      <c r="CD65" s="125">
        <f t="shared" si="47"/>
        <v>0</v>
      </c>
      <c r="CE65" s="123">
        <f t="shared" si="11"/>
        <v>0</v>
      </c>
      <c r="CF65" s="351"/>
      <c r="CG65" s="351"/>
      <c r="CH65" s="351"/>
    </row>
    <row r="66" spans="1:138" ht="18" hidden="1" customHeight="1">
      <c r="A66" s="383"/>
      <c r="B66" s="385" t="s">
        <v>177</v>
      </c>
      <c r="C66" s="104" t="s">
        <v>178</v>
      </c>
      <c r="D66" s="368"/>
      <c r="E66" s="369"/>
      <c r="F66" s="368"/>
      <c r="G66" s="368"/>
      <c r="H66" s="370"/>
      <c r="I66" s="371"/>
      <c r="J66" s="372"/>
      <c r="K66" s="373"/>
      <c r="L66" s="374"/>
      <c r="M66" s="375"/>
      <c r="N66" s="374"/>
      <c r="O66" s="376"/>
      <c r="P66" s="377"/>
      <c r="Q66" s="377"/>
      <c r="R66" s="378"/>
      <c r="S66" s="379"/>
      <c r="T66" s="380"/>
      <c r="U66" s="117"/>
      <c r="V66" s="117"/>
      <c r="W66" s="117"/>
      <c r="X66" s="117"/>
      <c r="Y66" s="117"/>
      <c r="Z66" s="123"/>
      <c r="AA66" s="123"/>
      <c r="AB66" s="117"/>
      <c r="AC66" s="149"/>
      <c r="AD66" s="123"/>
      <c r="AE66" s="117"/>
      <c r="AF66" s="123"/>
      <c r="AG66" s="152"/>
      <c r="AH66" s="381"/>
      <c r="AI66" s="381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>
        <f t="shared" si="7"/>
        <v>0</v>
      </c>
      <c r="BD66" s="155"/>
      <c r="BE66" s="123">
        <f t="shared" si="14"/>
        <v>0</v>
      </c>
      <c r="BF66" s="128"/>
      <c r="BG66" s="125"/>
      <c r="BH66" s="123">
        <f t="shared" si="8"/>
        <v>0</v>
      </c>
      <c r="BI66" s="123"/>
      <c r="BJ66" s="155"/>
      <c r="BK66" s="125">
        <f t="shared" si="9"/>
        <v>0</v>
      </c>
      <c r="BL66" s="122"/>
      <c r="BM66" s="123"/>
      <c r="BN66" s="155"/>
      <c r="BO66" s="125"/>
      <c r="BP66" s="125"/>
      <c r="BQ66" s="125"/>
      <c r="BR66" s="116">
        <f t="shared" ca="1" si="45"/>
        <v>0</v>
      </c>
      <c r="BS66" s="123">
        <f t="shared" ca="1" si="46"/>
        <v>49.416568072500823</v>
      </c>
      <c r="BT66" s="155"/>
      <c r="BU66" s="165"/>
      <c r="BV66" s="166"/>
      <c r="BW66" s="101">
        <f t="shared" si="10"/>
        <v>0</v>
      </c>
      <c r="BX66" s="155"/>
      <c r="BY66" s="123"/>
      <c r="BZ66" s="164"/>
      <c r="CA66" s="155"/>
      <c r="CB66" s="125">
        <f t="shared" si="47"/>
        <v>0</v>
      </c>
      <c r="CC66" s="125">
        <f t="shared" si="47"/>
        <v>0</v>
      </c>
      <c r="CD66" s="125">
        <f t="shared" si="47"/>
        <v>0</v>
      </c>
      <c r="CE66" s="123">
        <f t="shared" si="11"/>
        <v>0</v>
      </c>
      <c r="CF66" s="351"/>
      <c r="CG66" s="351"/>
      <c r="CH66" s="351"/>
    </row>
    <row r="67" spans="1:138" ht="22.15" hidden="1" customHeight="1">
      <c r="A67" s="383"/>
      <c r="B67" s="203" t="s">
        <v>179</v>
      </c>
      <c r="C67" s="104" t="s">
        <v>144</v>
      </c>
      <c r="D67" s="368"/>
      <c r="E67" s="369"/>
      <c r="F67" s="368"/>
      <c r="G67" s="368"/>
      <c r="H67" s="370"/>
      <c r="I67" s="371"/>
      <c r="J67" s="372"/>
      <c r="K67" s="373"/>
      <c r="L67" s="374"/>
      <c r="M67" s="375"/>
      <c r="N67" s="374"/>
      <c r="O67" s="376"/>
      <c r="P67" s="377"/>
      <c r="Q67" s="377"/>
      <c r="R67" s="378"/>
      <c r="S67" s="379"/>
      <c r="T67" s="380"/>
      <c r="U67" s="386"/>
      <c r="V67" s="386"/>
      <c r="W67" s="380"/>
      <c r="X67" s="380"/>
      <c r="Y67" s="380"/>
      <c r="Z67" s="272"/>
      <c r="AA67" s="154"/>
      <c r="AB67" s="387"/>
      <c r="AC67" s="269"/>
      <c r="AD67" s="273"/>
      <c r="AE67" s="388"/>
      <c r="AF67" s="154"/>
      <c r="AG67" s="344"/>
      <c r="AH67" s="363"/>
      <c r="AI67" s="389"/>
      <c r="AJ67" s="310"/>
      <c r="AK67" s="272"/>
      <c r="AL67" s="272"/>
      <c r="AM67" s="154"/>
      <c r="AN67" s="273"/>
      <c r="AO67" s="273"/>
      <c r="AP67" s="154"/>
      <c r="AQ67" s="274"/>
      <c r="AR67" s="154"/>
      <c r="AS67" s="154"/>
      <c r="AT67" s="273"/>
      <c r="AU67" s="154"/>
      <c r="AV67" s="273"/>
      <c r="AW67" s="154"/>
      <c r="AX67" s="154"/>
      <c r="AY67" s="154"/>
      <c r="AZ67" s="154"/>
      <c r="BA67" s="154"/>
      <c r="BB67" s="273"/>
      <c r="BC67" s="154"/>
      <c r="BD67" s="272"/>
      <c r="BE67" s="123"/>
      <c r="BF67" s="365"/>
      <c r="BG67" s="101"/>
      <c r="BH67" s="154"/>
      <c r="BI67" s="273">
        <v>25.647856999999998</v>
      </c>
      <c r="BJ67" s="274">
        <f>BJ56-BJ68-BJ69</f>
        <v>24.273376874297796</v>
      </c>
      <c r="BK67" s="125"/>
      <c r="BL67" s="273"/>
      <c r="BM67" s="273"/>
      <c r="BN67" s="274"/>
      <c r="BO67" s="125">
        <f>6247/1000</f>
        <v>6.2469999999999999</v>
      </c>
      <c r="BP67" s="125">
        <v>1.2270000000000001</v>
      </c>
      <c r="BQ67" s="125">
        <f>BP67</f>
        <v>1.2270000000000001</v>
      </c>
      <c r="BR67" s="116"/>
      <c r="BS67" s="123"/>
      <c r="BT67" s="272"/>
      <c r="BU67" s="165"/>
      <c r="BV67" s="166"/>
      <c r="BW67" s="101">
        <f t="shared" si="10"/>
        <v>0</v>
      </c>
      <c r="BX67" s="272">
        <f>BX56-BX68-BX69</f>
        <v>22.300098574319605</v>
      </c>
      <c r="BY67" s="154">
        <f t="shared" ref="BY67:BY72" si="48">BX67</f>
        <v>22.300098574319605</v>
      </c>
      <c r="BZ67" s="274">
        <f t="shared" ref="BZ67:BZ72" si="49">BX67</f>
        <v>22.300098574319605</v>
      </c>
      <c r="CA67" s="272">
        <v>1.4077599999999999</v>
      </c>
      <c r="CB67" s="123">
        <v>1.2270000000000001</v>
      </c>
      <c r="CC67" s="123">
        <v>1.2270000000000001</v>
      </c>
      <c r="CD67" s="123">
        <v>1.2270000000000001</v>
      </c>
      <c r="CE67" s="123">
        <f t="shared" si="11"/>
        <v>-0.18075999999999981</v>
      </c>
      <c r="CF67" s="351"/>
      <c r="CG67" s="350"/>
      <c r="CH67" s="351"/>
    </row>
    <row r="68" spans="1:138" ht="22.15" hidden="1" customHeight="1">
      <c r="A68" s="383"/>
      <c r="B68" s="169" t="s">
        <v>180</v>
      </c>
      <c r="C68" s="104" t="s">
        <v>144</v>
      </c>
      <c r="D68" s="368"/>
      <c r="E68" s="369"/>
      <c r="F68" s="368"/>
      <c r="G68" s="368"/>
      <c r="H68" s="370"/>
      <c r="I68" s="371"/>
      <c r="J68" s="372"/>
      <c r="K68" s="373"/>
      <c r="L68" s="374"/>
      <c r="M68" s="375"/>
      <c r="N68" s="374"/>
      <c r="O68" s="376"/>
      <c r="P68" s="377"/>
      <c r="Q68" s="377"/>
      <c r="R68" s="378"/>
      <c r="S68" s="379"/>
      <c r="T68" s="380"/>
      <c r="U68" s="386"/>
      <c r="V68" s="386"/>
      <c r="W68" s="380"/>
      <c r="X68" s="380"/>
      <c r="Y68" s="380"/>
      <c r="Z68" s="272"/>
      <c r="AA68" s="154"/>
      <c r="AB68" s="387"/>
      <c r="AC68" s="269"/>
      <c r="AD68" s="273"/>
      <c r="AE68" s="388"/>
      <c r="AF68" s="154"/>
      <c r="AG68" s="344"/>
      <c r="AH68" s="363"/>
      <c r="AI68" s="389"/>
      <c r="AJ68" s="310"/>
      <c r="AK68" s="272"/>
      <c r="AL68" s="272"/>
      <c r="AM68" s="154"/>
      <c r="AN68" s="273"/>
      <c r="AO68" s="273"/>
      <c r="AP68" s="154"/>
      <c r="AQ68" s="274"/>
      <c r="AR68" s="154"/>
      <c r="AS68" s="154"/>
      <c r="AT68" s="273"/>
      <c r="AU68" s="154"/>
      <c r="AV68" s="273"/>
      <c r="AW68" s="154"/>
      <c r="AX68" s="154"/>
      <c r="AY68" s="154"/>
      <c r="AZ68" s="154"/>
      <c r="BA68" s="154"/>
      <c r="BB68" s="273"/>
      <c r="BC68" s="154"/>
      <c r="BD68" s="272"/>
      <c r="BE68" s="123"/>
      <c r="BF68" s="365"/>
      <c r="BG68" s="101"/>
      <c r="BH68" s="154"/>
      <c r="BI68" s="273"/>
      <c r="BJ68" s="274">
        <f>525.84/1000</f>
        <v>0.52584000000000009</v>
      </c>
      <c r="BK68" s="125"/>
      <c r="BL68" s="273"/>
      <c r="BM68" s="273"/>
      <c r="BN68" s="274"/>
      <c r="BO68" s="125"/>
      <c r="BP68" s="125"/>
      <c r="BQ68" s="125"/>
      <c r="BR68" s="116"/>
      <c r="BS68" s="123"/>
      <c r="BT68" s="272"/>
      <c r="BU68" s="165"/>
      <c r="BV68" s="166"/>
      <c r="BW68" s="101">
        <f t="shared" si="10"/>
        <v>0</v>
      </c>
      <c r="BX68" s="272">
        <f>BJ68</f>
        <v>0.52584000000000009</v>
      </c>
      <c r="BY68" s="154">
        <f>BX68</f>
        <v>0.52584000000000009</v>
      </c>
      <c r="BZ68" s="274">
        <f t="shared" si="49"/>
        <v>0.52584000000000009</v>
      </c>
      <c r="CA68" s="272"/>
      <c r="CB68" s="123">
        <v>0.53</v>
      </c>
      <c r="CC68" s="123">
        <v>0.53</v>
      </c>
      <c r="CD68" s="123">
        <v>0.53</v>
      </c>
      <c r="CE68" s="123">
        <f t="shared" si="11"/>
        <v>0.53</v>
      </c>
      <c r="CF68" s="351"/>
      <c r="CG68" s="351"/>
      <c r="CH68" s="351"/>
    </row>
    <row r="69" spans="1:138" ht="22.15" hidden="1" customHeight="1">
      <c r="A69" s="383"/>
      <c r="B69" s="203" t="s">
        <v>127</v>
      </c>
      <c r="C69" s="104" t="s">
        <v>144</v>
      </c>
      <c r="D69" s="368"/>
      <c r="E69" s="369"/>
      <c r="F69" s="368"/>
      <c r="G69" s="368"/>
      <c r="H69" s="370"/>
      <c r="I69" s="371"/>
      <c r="J69" s="372"/>
      <c r="K69" s="373"/>
      <c r="L69" s="374"/>
      <c r="M69" s="375"/>
      <c r="N69" s="374"/>
      <c r="O69" s="376"/>
      <c r="P69" s="377"/>
      <c r="Q69" s="377"/>
      <c r="R69" s="378"/>
      <c r="S69" s="379"/>
      <c r="T69" s="380"/>
      <c r="U69" s="386"/>
      <c r="V69" s="386"/>
      <c r="W69" s="380"/>
      <c r="X69" s="380"/>
      <c r="Y69" s="380"/>
      <c r="Z69" s="272"/>
      <c r="AA69" s="154"/>
      <c r="AB69" s="387"/>
      <c r="AC69" s="269"/>
      <c r="AD69" s="273"/>
      <c r="AE69" s="388"/>
      <c r="AF69" s="154"/>
      <c r="AG69" s="344"/>
      <c r="AH69" s="363"/>
      <c r="AI69" s="389"/>
      <c r="AJ69" s="310"/>
      <c r="AK69" s="272"/>
      <c r="AL69" s="272"/>
      <c r="AM69" s="154"/>
      <c r="AN69" s="273"/>
      <c r="AO69" s="273"/>
      <c r="AP69" s="154"/>
      <c r="AQ69" s="274"/>
      <c r="AR69" s="154"/>
      <c r="AS69" s="154"/>
      <c r="AT69" s="273"/>
      <c r="AU69" s="154"/>
      <c r="AV69" s="273"/>
      <c r="AW69" s="154"/>
      <c r="AX69" s="154"/>
      <c r="AY69" s="154"/>
      <c r="AZ69" s="154"/>
      <c r="BA69" s="154"/>
      <c r="BB69" s="273"/>
      <c r="BC69" s="154"/>
      <c r="BD69" s="272"/>
      <c r="BE69" s="123"/>
      <c r="BF69" s="365"/>
      <c r="BG69" s="101"/>
      <c r="BH69" s="154"/>
      <c r="BI69" s="273">
        <f>BI71</f>
        <v>17.324043</v>
      </c>
      <c r="BJ69" s="274">
        <f>BJ71+BJ70</f>
        <v>17.356383530000016</v>
      </c>
      <c r="BK69" s="125"/>
      <c r="BL69" s="273"/>
      <c r="BM69" s="273"/>
      <c r="BN69" s="274"/>
      <c r="BO69" s="125">
        <f>BO36*16.67/1000</f>
        <v>63.623055400000005</v>
      </c>
      <c r="BP69" s="125">
        <f>BP71</f>
        <v>53.367064000000006</v>
      </c>
      <c r="BQ69" s="125">
        <f>BQ71</f>
        <v>50.851463698420304</v>
      </c>
      <c r="BR69" s="116"/>
      <c r="BS69" s="123"/>
      <c r="BT69" s="272"/>
      <c r="BU69" s="165"/>
      <c r="BV69" s="166"/>
      <c r="BW69" s="101">
        <f t="shared" si="10"/>
        <v>-2.5156003015797026</v>
      </c>
      <c r="BX69" s="272">
        <f>BX70+BX71</f>
        <v>16.089880716359993</v>
      </c>
      <c r="BY69" s="154">
        <f t="shared" si="48"/>
        <v>16.089880716359993</v>
      </c>
      <c r="BZ69" s="274">
        <f t="shared" si="49"/>
        <v>16.089880716359993</v>
      </c>
      <c r="CA69" s="272">
        <f>CA71</f>
        <v>68.462000000000003</v>
      </c>
      <c r="CB69" s="123">
        <f>CB70+CB71</f>
        <v>53.482679999999995</v>
      </c>
      <c r="CC69" s="123">
        <f>CC70+CC71</f>
        <v>53.482679999999995</v>
      </c>
      <c r="CD69" s="123">
        <f>CD70+CD71</f>
        <v>53.482679999999995</v>
      </c>
      <c r="CE69" s="123">
        <f t="shared" si="11"/>
        <v>-14.979320000000008</v>
      </c>
      <c r="CF69" s="351"/>
      <c r="CG69" s="351"/>
      <c r="CH69" s="351"/>
    </row>
    <row r="70" spans="1:138" ht="22.15" hidden="1" customHeight="1">
      <c r="A70" s="383"/>
      <c r="B70" s="169" t="s">
        <v>180</v>
      </c>
      <c r="C70" s="104" t="s">
        <v>144</v>
      </c>
      <c r="D70" s="368"/>
      <c r="E70" s="369"/>
      <c r="F70" s="368"/>
      <c r="G70" s="368"/>
      <c r="H70" s="370"/>
      <c r="I70" s="371"/>
      <c r="J70" s="372"/>
      <c r="K70" s="373"/>
      <c r="L70" s="374"/>
      <c r="M70" s="375"/>
      <c r="N70" s="374"/>
      <c r="O70" s="376"/>
      <c r="P70" s="377"/>
      <c r="Q70" s="377"/>
      <c r="R70" s="378"/>
      <c r="S70" s="379"/>
      <c r="T70" s="380"/>
      <c r="U70" s="386"/>
      <c r="V70" s="386"/>
      <c r="W70" s="380"/>
      <c r="X70" s="380"/>
      <c r="Y70" s="380"/>
      <c r="Z70" s="272"/>
      <c r="AA70" s="154"/>
      <c r="AB70" s="387"/>
      <c r="AC70" s="269"/>
      <c r="AD70" s="273"/>
      <c r="AE70" s="388"/>
      <c r="AF70" s="154"/>
      <c r="AG70" s="344"/>
      <c r="AH70" s="363"/>
      <c r="AI70" s="389"/>
      <c r="AJ70" s="310"/>
      <c r="AK70" s="272"/>
      <c r="AL70" s="272"/>
      <c r="AM70" s="154"/>
      <c r="AN70" s="273"/>
      <c r="AO70" s="273"/>
      <c r="AP70" s="154"/>
      <c r="AQ70" s="274"/>
      <c r="AR70" s="154"/>
      <c r="AS70" s="154"/>
      <c r="AT70" s="273"/>
      <c r="AU70" s="154"/>
      <c r="AV70" s="273"/>
      <c r="AW70" s="154"/>
      <c r="AX70" s="154"/>
      <c r="AY70" s="154"/>
      <c r="AZ70" s="154"/>
      <c r="BA70" s="154"/>
      <c r="BB70" s="273"/>
      <c r="BC70" s="154"/>
      <c r="BD70" s="272"/>
      <c r="BE70" s="123"/>
      <c r="BF70" s="365"/>
      <c r="BG70" s="101"/>
      <c r="BH70" s="154"/>
      <c r="BI70" s="273"/>
      <c r="BJ70" s="274">
        <f>51.94/1000</f>
        <v>5.194E-2</v>
      </c>
      <c r="BK70" s="125"/>
      <c r="BL70" s="273"/>
      <c r="BM70" s="273"/>
      <c r="BN70" s="274"/>
      <c r="BO70" s="125"/>
      <c r="BP70" s="125">
        <v>0.05</v>
      </c>
      <c r="BQ70" s="125">
        <v>0.05</v>
      </c>
      <c r="BR70" s="116"/>
      <c r="BS70" s="123"/>
      <c r="BT70" s="272"/>
      <c r="BU70" s="165"/>
      <c r="BV70" s="166"/>
      <c r="BW70" s="101">
        <f t="shared" si="10"/>
        <v>0</v>
      </c>
      <c r="BX70" s="272">
        <f>BJ70</f>
        <v>5.194E-2</v>
      </c>
      <c r="BY70" s="154">
        <f>BX70</f>
        <v>5.194E-2</v>
      </c>
      <c r="BZ70" s="274">
        <f t="shared" si="49"/>
        <v>5.194E-2</v>
      </c>
      <c r="CA70" s="272"/>
      <c r="CB70" s="123">
        <v>0.05</v>
      </c>
      <c r="CC70" s="123">
        <v>0.05</v>
      </c>
      <c r="CD70" s="123">
        <v>0.05</v>
      </c>
      <c r="CE70" s="123">
        <f t="shared" si="11"/>
        <v>0.05</v>
      </c>
      <c r="CF70" s="351"/>
      <c r="CG70" s="351"/>
      <c r="CH70" s="351"/>
    </row>
    <row r="71" spans="1:138" ht="22.15" hidden="1" customHeight="1">
      <c r="A71" s="383"/>
      <c r="B71" s="203" t="s">
        <v>128</v>
      </c>
      <c r="C71" s="104" t="s">
        <v>144</v>
      </c>
      <c r="D71" s="368"/>
      <c r="E71" s="369"/>
      <c r="F71" s="368"/>
      <c r="G71" s="368"/>
      <c r="H71" s="370"/>
      <c r="I71" s="371"/>
      <c r="J71" s="372"/>
      <c r="K71" s="373"/>
      <c r="L71" s="374"/>
      <c r="M71" s="375"/>
      <c r="N71" s="374"/>
      <c r="O71" s="376"/>
      <c r="P71" s="377"/>
      <c r="Q71" s="377"/>
      <c r="R71" s="378"/>
      <c r="S71" s="379"/>
      <c r="T71" s="380"/>
      <c r="U71" s="386"/>
      <c r="V71" s="386"/>
      <c r="W71" s="380"/>
      <c r="X71" s="380"/>
      <c r="Y71" s="380"/>
      <c r="Z71" s="272"/>
      <c r="AA71" s="154"/>
      <c r="AB71" s="387"/>
      <c r="AC71" s="269"/>
      <c r="AD71" s="273"/>
      <c r="AE71" s="388"/>
      <c r="AF71" s="154"/>
      <c r="AG71" s="344"/>
      <c r="AH71" s="363"/>
      <c r="AI71" s="389"/>
      <c r="AJ71" s="310"/>
      <c r="AK71" s="272"/>
      <c r="AL71" s="272"/>
      <c r="AM71" s="154"/>
      <c r="AN71" s="273"/>
      <c r="AO71" s="273"/>
      <c r="AP71" s="154"/>
      <c r="AQ71" s="274"/>
      <c r="AR71" s="154"/>
      <c r="AS71" s="154"/>
      <c r="AT71" s="273"/>
      <c r="AU71" s="154"/>
      <c r="AV71" s="273"/>
      <c r="AW71" s="154"/>
      <c r="AX71" s="154"/>
      <c r="AY71" s="154"/>
      <c r="AZ71" s="154"/>
      <c r="BA71" s="154"/>
      <c r="BB71" s="273"/>
      <c r="BC71" s="154"/>
      <c r="BD71" s="272"/>
      <c r="BE71" s="123"/>
      <c r="BF71" s="365"/>
      <c r="BG71" s="101"/>
      <c r="BH71" s="154"/>
      <c r="BI71" s="273">
        <f>17.324043</f>
        <v>17.324043</v>
      </c>
      <c r="BJ71" s="274">
        <f>BJ37*16.67/1000</f>
        <v>17.304443530000018</v>
      </c>
      <c r="BK71" s="125"/>
      <c r="BL71" s="273"/>
      <c r="BM71" s="273"/>
      <c r="BN71" s="274"/>
      <c r="BO71" s="125"/>
      <c r="BP71" s="125">
        <f>53.417064-BP70</f>
        <v>53.367064000000006</v>
      </c>
      <c r="BQ71" s="125">
        <f>BQ56-BQ67-BQ70</f>
        <v>50.851463698420304</v>
      </c>
      <c r="BR71" s="116"/>
      <c r="BS71" s="123"/>
      <c r="BT71" s="272"/>
      <c r="BU71" s="165"/>
      <c r="BV71" s="166"/>
      <c r="BW71" s="101">
        <f t="shared" si="10"/>
        <v>-2.5156003015797026</v>
      </c>
      <c r="BX71" s="272">
        <f>BX36*16.67/1000</f>
        <v>16.037940716359994</v>
      </c>
      <c r="BY71" s="154">
        <f t="shared" si="48"/>
        <v>16.037940716359994</v>
      </c>
      <c r="BZ71" s="274">
        <f t="shared" si="49"/>
        <v>16.037940716359994</v>
      </c>
      <c r="CA71" s="272">
        <v>68.462000000000003</v>
      </c>
      <c r="CB71" s="123">
        <f>CB36*14/1000</f>
        <v>53.432679999999998</v>
      </c>
      <c r="CC71" s="123">
        <f>CC36*14/1000</f>
        <v>53.432679999999998</v>
      </c>
      <c r="CD71" s="123">
        <f>CD36*14/1000</f>
        <v>53.432679999999998</v>
      </c>
      <c r="CE71" s="123">
        <f t="shared" si="11"/>
        <v>-15.029320000000006</v>
      </c>
      <c r="CF71" s="351"/>
      <c r="CG71" s="351"/>
      <c r="CH71" s="351"/>
    </row>
    <row r="72" spans="1:138" ht="37.15" hidden="1" customHeight="1">
      <c r="A72" s="383"/>
      <c r="B72" s="203" t="s">
        <v>129</v>
      </c>
      <c r="C72" s="104" t="s">
        <v>144</v>
      </c>
      <c r="D72" s="368"/>
      <c r="E72" s="369"/>
      <c r="F72" s="368"/>
      <c r="G72" s="368"/>
      <c r="H72" s="370"/>
      <c r="I72" s="371"/>
      <c r="J72" s="372"/>
      <c r="K72" s="373"/>
      <c r="L72" s="374"/>
      <c r="M72" s="375"/>
      <c r="N72" s="374"/>
      <c r="O72" s="376"/>
      <c r="P72" s="377"/>
      <c r="Q72" s="377"/>
      <c r="R72" s="378"/>
      <c r="S72" s="379"/>
      <c r="T72" s="380"/>
      <c r="U72" s="386"/>
      <c r="V72" s="386"/>
      <c r="W72" s="380"/>
      <c r="X72" s="380"/>
      <c r="Y72" s="380"/>
      <c r="Z72" s="272"/>
      <c r="AA72" s="154"/>
      <c r="AB72" s="387"/>
      <c r="AC72" s="269"/>
      <c r="AD72" s="273"/>
      <c r="AE72" s="388"/>
      <c r="AF72" s="154"/>
      <c r="AG72" s="344"/>
      <c r="AH72" s="363"/>
      <c r="AI72" s="389"/>
      <c r="AJ72" s="310"/>
      <c r="AK72" s="272"/>
      <c r="AL72" s="272"/>
      <c r="AM72" s="154"/>
      <c r="AN72" s="273"/>
      <c r="AO72" s="273"/>
      <c r="AP72" s="154"/>
      <c r="AQ72" s="274"/>
      <c r="AR72" s="154"/>
      <c r="AS72" s="154"/>
      <c r="AT72" s="273"/>
      <c r="AU72" s="154"/>
      <c r="AV72" s="273"/>
      <c r="AW72" s="154"/>
      <c r="AX72" s="154"/>
      <c r="AY72" s="154"/>
      <c r="AZ72" s="154"/>
      <c r="BA72" s="154"/>
      <c r="BB72" s="273"/>
      <c r="BC72" s="154"/>
      <c r="BD72" s="272"/>
      <c r="BE72" s="123"/>
      <c r="BF72" s="365"/>
      <c r="BG72" s="101"/>
      <c r="BH72" s="154"/>
      <c r="BI72" s="273">
        <v>0</v>
      </c>
      <c r="BJ72" s="274">
        <v>0</v>
      </c>
      <c r="BK72" s="125"/>
      <c r="BL72" s="273"/>
      <c r="BM72" s="273"/>
      <c r="BN72" s="274"/>
      <c r="BO72" s="125"/>
      <c r="BP72" s="125"/>
      <c r="BQ72" s="125"/>
      <c r="BR72" s="116"/>
      <c r="BS72" s="123"/>
      <c r="BT72" s="272"/>
      <c r="BU72" s="165"/>
      <c r="BV72" s="166"/>
      <c r="BW72" s="101">
        <f t="shared" si="10"/>
        <v>0</v>
      </c>
      <c r="BX72" s="272">
        <v>0</v>
      </c>
      <c r="BY72" s="154">
        <f t="shared" si="48"/>
        <v>0</v>
      </c>
      <c r="BZ72" s="274">
        <f t="shared" si="49"/>
        <v>0</v>
      </c>
      <c r="CA72" s="272">
        <v>0</v>
      </c>
      <c r="CB72" s="123">
        <f>BW72</f>
        <v>0</v>
      </c>
      <c r="CC72" s="123">
        <f>BX72</f>
        <v>0</v>
      </c>
      <c r="CD72" s="123">
        <f>BY72</f>
        <v>0</v>
      </c>
      <c r="CE72" s="123">
        <f t="shared" si="11"/>
        <v>0</v>
      </c>
      <c r="CF72" s="351"/>
      <c r="CG72" s="351"/>
      <c r="CH72" s="351"/>
    </row>
    <row r="73" spans="1:138" ht="22.5">
      <c r="A73" s="102">
        <v>16</v>
      </c>
      <c r="B73" s="103" t="s">
        <v>181</v>
      </c>
      <c r="C73" s="104" t="s">
        <v>144</v>
      </c>
      <c r="D73" s="368"/>
      <c r="E73" s="369"/>
      <c r="F73" s="368"/>
      <c r="G73" s="368"/>
      <c r="H73" s="370"/>
      <c r="I73" s="371"/>
      <c r="J73" s="372"/>
      <c r="K73" s="373"/>
      <c r="L73" s="374"/>
      <c r="M73" s="375"/>
      <c r="N73" s="374"/>
      <c r="O73" s="376"/>
      <c r="P73" s="377"/>
      <c r="Q73" s="377"/>
      <c r="R73" s="378"/>
      <c r="S73" s="379"/>
      <c r="T73" s="380"/>
      <c r="U73" s="386">
        <v>5.36</v>
      </c>
      <c r="V73" s="386">
        <v>5.36</v>
      </c>
      <c r="W73" s="380">
        <v>14.3</v>
      </c>
      <c r="X73" s="380">
        <v>9.7050000000000001</v>
      </c>
      <c r="Y73" s="380">
        <v>9.7050000000000001</v>
      </c>
      <c r="Z73" s="272">
        <f>W73-X73</f>
        <v>4.5950000000000006</v>
      </c>
      <c r="AA73" s="154">
        <f>Y73-X73</f>
        <v>0</v>
      </c>
      <c r="AB73" s="387">
        <v>14.3</v>
      </c>
      <c r="AC73" s="269">
        <v>17.68</v>
      </c>
      <c r="AD73" s="273">
        <f>AC73-AB73</f>
        <v>3.379999999999999</v>
      </c>
      <c r="AE73" s="388">
        <f>AB73</f>
        <v>14.3</v>
      </c>
      <c r="AF73" s="154">
        <f>AE73-AC73</f>
        <v>-3.379999999999999</v>
      </c>
      <c r="AG73" s="344" t="e">
        <f>#REF!</f>
        <v>#REF!</v>
      </c>
      <c r="AH73" s="363">
        <v>10.43</v>
      </c>
      <c r="AI73" s="389">
        <v>73.991</v>
      </c>
      <c r="AJ73" s="310">
        <v>14.3</v>
      </c>
      <c r="AK73" s="272">
        <f>AJ73-AH73</f>
        <v>3.870000000000001</v>
      </c>
      <c r="AL73" s="272">
        <v>83.602999999999994</v>
      </c>
      <c r="AM73" s="154">
        <f>AL73-AN73</f>
        <v>82.804999999999993</v>
      </c>
      <c r="AN73" s="273">
        <v>0.79800000000000004</v>
      </c>
      <c r="AO73" s="273">
        <v>43.405000000000001</v>
      </c>
      <c r="AP73" s="154">
        <f>AO73-AJ73</f>
        <v>29.105</v>
      </c>
      <c r="AQ73" s="274">
        <v>14.3</v>
      </c>
      <c r="AR73" s="154">
        <f>AQ73-AO73</f>
        <v>-29.105</v>
      </c>
      <c r="AS73" s="154">
        <v>33.79</v>
      </c>
      <c r="AT73" s="273">
        <v>42.27</v>
      </c>
      <c r="AU73" s="154">
        <f>AT73-AS73</f>
        <v>8.480000000000004</v>
      </c>
      <c r="AV73" s="273">
        <v>31.8</v>
      </c>
      <c r="AW73" s="154">
        <f>AV73-AT73</f>
        <v>-10.470000000000002</v>
      </c>
      <c r="AX73" s="154"/>
      <c r="AY73" s="154"/>
      <c r="AZ73" s="154">
        <v>33.79</v>
      </c>
      <c r="BA73" s="154">
        <v>33.79</v>
      </c>
      <c r="BB73" s="273">
        <v>47.62</v>
      </c>
      <c r="BC73" s="154">
        <f t="shared" si="7"/>
        <v>13.829999999999998</v>
      </c>
      <c r="BD73" s="272">
        <f>BA73/BA56*BD56</f>
        <v>27.386338529675694</v>
      </c>
      <c r="BE73" s="123">
        <f t="shared" si="14"/>
        <v>-20.233661470324304</v>
      </c>
      <c r="BF73" s="365">
        <v>42.27</v>
      </c>
      <c r="BG73" s="101">
        <v>33.79</v>
      </c>
      <c r="BH73" s="154">
        <f t="shared" si="8"/>
        <v>-8.480000000000004</v>
      </c>
      <c r="BI73" s="273">
        <v>25.237739999999999</v>
      </c>
      <c r="BJ73" s="274">
        <f>BJ67+BJ68</f>
        <v>24.799216874297795</v>
      </c>
      <c r="BK73" s="125">
        <f t="shared" si="9"/>
        <v>-0.4385231257022042</v>
      </c>
      <c r="BL73" s="273">
        <f>BM73+BN73</f>
        <v>50.41</v>
      </c>
      <c r="BM73" s="273">
        <v>0.91</v>
      </c>
      <c r="BN73" s="274">
        <v>49.5</v>
      </c>
      <c r="BO73" s="123">
        <v>6.2469999999999999</v>
      </c>
      <c r="BP73" s="125">
        <v>0.79776000000000002</v>
      </c>
      <c r="BQ73" s="125">
        <v>0.79776000000000002</v>
      </c>
      <c r="BR73" s="116">
        <f>BM73</f>
        <v>0.91</v>
      </c>
      <c r="BS73" s="123">
        <f t="shared" si="46"/>
        <v>5.3369999999999997</v>
      </c>
      <c r="BT73" s="272">
        <v>50.45</v>
      </c>
      <c r="BU73" s="165">
        <v>0.91</v>
      </c>
      <c r="BV73" s="166">
        <v>49.55</v>
      </c>
      <c r="BW73" s="101">
        <f t="shared" si="10"/>
        <v>0</v>
      </c>
      <c r="BX73" s="272">
        <f>BX67+BX68</f>
        <v>22.825938574319604</v>
      </c>
      <c r="BY73" s="154">
        <f>BY67+BY68</f>
        <v>22.825938574319604</v>
      </c>
      <c r="BZ73" s="274">
        <f>BZ67+BZ68</f>
        <v>22.825938574319604</v>
      </c>
      <c r="CA73" s="272">
        <v>50.454818000000003</v>
      </c>
      <c r="CB73" s="125">
        <f>CB67+CB68</f>
        <v>1.7570000000000001</v>
      </c>
      <c r="CC73" s="125">
        <f>CC67+CC68</f>
        <v>1.7570000000000001</v>
      </c>
      <c r="CD73" s="125">
        <f>CD67+CD68</f>
        <v>1.7570000000000001</v>
      </c>
      <c r="CE73" s="123">
        <f t="shared" si="11"/>
        <v>-48.697818000000005</v>
      </c>
      <c r="CF73" s="351"/>
      <c r="CG73" s="351"/>
      <c r="CH73" s="351"/>
    </row>
    <row r="74" spans="1:138" s="133" customFormat="1" ht="51.75" customHeight="1" thickBot="1">
      <c r="A74" s="285">
        <v>17</v>
      </c>
      <c r="B74" s="286" t="s">
        <v>182</v>
      </c>
      <c r="C74" s="46" t="s">
        <v>183</v>
      </c>
      <c r="D74" s="390">
        <f t="shared" ref="D74:K74" si="50">D56/D20*1000</f>
        <v>5.8582433991719274</v>
      </c>
      <c r="E74" s="390">
        <f t="shared" si="50"/>
        <v>3.1178614097968933</v>
      </c>
      <c r="F74" s="289">
        <f t="shared" si="50"/>
        <v>2.8024537584853961</v>
      </c>
      <c r="G74" s="289">
        <f t="shared" si="50"/>
        <v>12.05893555176907</v>
      </c>
      <c r="H74" s="289">
        <f t="shared" si="50"/>
        <v>5.5635245901639347</v>
      </c>
      <c r="I74" s="289" t="e">
        <f t="shared" si="50"/>
        <v>#DIV/0!</v>
      </c>
      <c r="J74" s="289">
        <f t="shared" si="50"/>
        <v>5.8582433991719274</v>
      </c>
      <c r="K74" s="290">
        <f t="shared" si="50"/>
        <v>5.5635245901639347</v>
      </c>
      <c r="L74" s="390"/>
      <c r="M74" s="391">
        <f>M56/M20*1000</f>
        <v>2.3976576664869897</v>
      </c>
      <c r="N74" s="390"/>
      <c r="O74" s="287">
        <f>O56/O20*1000</f>
        <v>0.62710745785084299</v>
      </c>
      <c r="P74" s="392"/>
      <c r="Q74" s="392">
        <f>Q56/Q20*1000</f>
        <v>2.6078948184439832</v>
      </c>
      <c r="R74" s="348"/>
      <c r="S74" s="393">
        <f t="shared" ref="S74:Y74" si="51">S56/S20*1000</f>
        <v>2.0697449656684554</v>
      </c>
      <c r="T74" s="348" t="e">
        <f t="shared" si="51"/>
        <v>#REF!</v>
      </c>
      <c r="U74" s="393">
        <f t="shared" si="51"/>
        <v>2.0710639402416868</v>
      </c>
      <c r="V74" s="393" t="e">
        <f t="shared" si="51"/>
        <v>#REF!</v>
      </c>
      <c r="W74" s="348">
        <f t="shared" si="51"/>
        <v>2.0711231902572336</v>
      </c>
      <c r="X74" s="348">
        <f t="shared" si="51"/>
        <v>1.6971431106379204</v>
      </c>
      <c r="Y74" s="393">
        <f t="shared" si="51"/>
        <v>1.6971431106379204</v>
      </c>
      <c r="Z74" s="349">
        <f>W74-X74</f>
        <v>0.37398007961931312</v>
      </c>
      <c r="AA74" s="303">
        <f>Y74-X74</f>
        <v>0</v>
      </c>
      <c r="AB74" s="394">
        <f>AB56/AB20*1000</f>
        <v>2.0711231902572336</v>
      </c>
      <c r="AC74" s="395">
        <v>1.39</v>
      </c>
      <c r="AD74" s="301">
        <f>AC74-AB74</f>
        <v>-0.68112319025723367</v>
      </c>
      <c r="AE74" s="396">
        <f>AE56/AE20*1000</f>
        <v>1.3949026651161385</v>
      </c>
      <c r="AF74" s="303">
        <f>AE74-AC74</f>
        <v>4.9026651161385715E-3</v>
      </c>
      <c r="AG74" s="397" t="e">
        <f>AG56/AG20*1000</f>
        <v>#REF!</v>
      </c>
      <c r="AH74" s="398">
        <f>AH56/AH20*1000</f>
        <v>1.2984013786022952</v>
      </c>
      <c r="AI74" s="308">
        <f>AI56/AI20*1000</f>
        <v>1.7874191537197162</v>
      </c>
      <c r="AJ74" s="308">
        <f>AJ56/AJ20*1000</f>
        <v>1.3899974814644489</v>
      </c>
      <c r="AK74" s="349">
        <f>AJ74-AH74</f>
        <v>9.1596102862153694E-2</v>
      </c>
      <c r="AL74" s="307">
        <f>AL56/AL20*1000</f>
        <v>2.2199679077925007</v>
      </c>
      <c r="AM74" s="308">
        <f>AM56/AM20*1000</f>
        <v>1.7278032191183761</v>
      </c>
      <c r="AN74" s="308">
        <f>AN56/AN20*1000</f>
        <v>6.4208712674809938</v>
      </c>
      <c r="AO74" s="308">
        <f>AO56/AO20*1000</f>
        <v>2.1339147494750397</v>
      </c>
      <c r="AP74" s="225">
        <f>AO74-AJ74</f>
        <v>0.74391726801059077</v>
      </c>
      <c r="AQ74" s="308">
        <f>AQ56/AQ20*1000</f>
        <v>1.3900341799120211</v>
      </c>
      <c r="AR74" s="303">
        <f>AQ74-AO74</f>
        <v>-0.74388056956301862</v>
      </c>
      <c r="AS74" s="308">
        <f>AS56/AS20*1000</f>
        <v>1.6300288743336433</v>
      </c>
      <c r="AT74" s="308">
        <f>AT56/AT20*1000</f>
        <v>1.3625649740167176</v>
      </c>
      <c r="AU74" s="308">
        <f>AT74-AS74</f>
        <v>-0.26746390031692568</v>
      </c>
      <c r="AV74" s="308">
        <f>AV56/AV20*1000</f>
        <v>1.1908649421081829</v>
      </c>
      <c r="AW74" s="308">
        <f>AV74-AT74</f>
        <v>-0.17170003190853467</v>
      </c>
      <c r="AX74" s="308">
        <f>AX56/AX20*1000</f>
        <v>1.5909563954392885</v>
      </c>
      <c r="AY74" s="308">
        <v>3.15</v>
      </c>
      <c r="AZ74" s="308">
        <f>AZ56/AZ20*1000</f>
        <v>1.6300288743336433</v>
      </c>
      <c r="BA74" s="308">
        <f>BA56/BA20*1000</f>
        <v>1.6300288743336433</v>
      </c>
      <c r="BB74" s="308">
        <f>BB56/BB20*1000</f>
        <v>2.1496164425260034</v>
      </c>
      <c r="BC74" s="308">
        <f t="shared" si="7"/>
        <v>0.51958756819236007</v>
      </c>
      <c r="BD74" s="307">
        <f>BA74</f>
        <v>1.6300288743336433</v>
      </c>
      <c r="BE74" s="303">
        <f t="shared" si="14"/>
        <v>-0.51958756819236007</v>
      </c>
      <c r="BF74" s="397">
        <f>BF56/BF20*1000</f>
        <v>1.6042254894877057</v>
      </c>
      <c r="BG74" s="308">
        <v>1.19</v>
      </c>
      <c r="BH74" s="308">
        <f t="shared" si="8"/>
        <v>-0.41422548948770577</v>
      </c>
      <c r="BI74" s="308">
        <f>BI56/BI20*1000</f>
        <v>1.4134705318239658</v>
      </c>
      <c r="BJ74" s="307">
        <v>1.41</v>
      </c>
      <c r="BK74" s="399">
        <f t="shared" si="9"/>
        <v>-3.4705318239658389E-3</v>
      </c>
      <c r="BL74" s="397">
        <f>BL56/BL20*1000</f>
        <v>2.5314091487165449</v>
      </c>
      <c r="BM74" s="308">
        <f>BM56/BM20*1000</f>
        <v>1.82649788456712</v>
      </c>
      <c r="BN74" s="307">
        <f>BN56/BN20*1000</f>
        <v>2.9360771518034929</v>
      </c>
      <c r="BO74" s="308">
        <f>BL74</f>
        <v>2.5314091487165449</v>
      </c>
      <c r="BP74" s="308">
        <f>BP56/BP20*1000</f>
        <v>2.5927267247674735</v>
      </c>
      <c r="BQ74" s="308">
        <v>2.5299999999999998</v>
      </c>
      <c r="BR74" s="307">
        <f>BR56/BR20*1000</f>
        <v>1.9039830495850334</v>
      </c>
      <c r="BS74" s="308">
        <f>BS56/BS20*1000</f>
        <v>2.9311284128931643</v>
      </c>
      <c r="BT74" s="307">
        <f>BT56/BT20*1000</f>
        <v>2.533169829383771</v>
      </c>
      <c r="BU74" s="400">
        <f>BU56/BU20*1000</f>
        <v>1.9175994905455289</v>
      </c>
      <c r="BV74" s="401">
        <f>BV56/BV20*1000</f>
        <v>2.9424462268694329</v>
      </c>
      <c r="BW74" s="399">
        <f t="shared" si="10"/>
        <v>-6.2726724767473652E-2</v>
      </c>
      <c r="BX74" s="307">
        <v>1.41</v>
      </c>
      <c r="BY74" s="308">
        <f>BX74</f>
        <v>1.41</v>
      </c>
      <c r="BZ74" s="398">
        <f>BX74</f>
        <v>1.41</v>
      </c>
      <c r="CA74" s="307">
        <f>CA56/CA20*1000</f>
        <v>2.4921420746292644</v>
      </c>
      <c r="CB74" s="303">
        <f>CB56/CB20*1000</f>
        <v>1.4929959004508195</v>
      </c>
      <c r="CC74" s="303">
        <f>CC56/CC20*1000</f>
        <v>1.4929959004508195</v>
      </c>
      <c r="CD74" s="303">
        <f>CD56/CD20*1000</f>
        <v>1.4929959004508195</v>
      </c>
      <c r="CE74" s="402">
        <f t="shared" si="11"/>
        <v>-0.99914617417844487</v>
      </c>
      <c r="CF74" s="403"/>
      <c r="CG74" s="403"/>
      <c r="CH74" s="403"/>
      <c r="CI74" s="404"/>
      <c r="CJ74" s="404"/>
      <c r="CK74" s="404"/>
      <c r="CL74" s="404"/>
      <c r="CM74" s="404"/>
      <c r="CN74" s="404"/>
      <c r="CO74" s="404"/>
      <c r="CP74" s="404"/>
      <c r="CQ74" s="404"/>
      <c r="CR74" s="404"/>
      <c r="CS74" s="404"/>
      <c r="CT74" s="404"/>
      <c r="CU74" s="404"/>
      <c r="CV74" s="404"/>
      <c r="CW74" s="404"/>
      <c r="CX74" s="404"/>
      <c r="CY74" s="404"/>
      <c r="CZ74" s="404"/>
      <c r="DA74" s="404"/>
      <c r="DB74" s="404"/>
      <c r="DC74" s="404"/>
      <c r="DD74" s="404"/>
      <c r="DE74" s="404"/>
      <c r="DF74" s="404"/>
      <c r="DG74" s="404"/>
      <c r="DH74" s="404"/>
      <c r="DI74" s="404"/>
      <c r="DJ74" s="404"/>
      <c r="DK74" s="404"/>
      <c r="DL74" s="404"/>
      <c r="DM74" s="404"/>
      <c r="DN74" s="404"/>
      <c r="DO74" s="404"/>
      <c r="DP74" s="404"/>
      <c r="DQ74" s="404"/>
      <c r="DR74" s="404"/>
      <c r="DS74" s="404"/>
      <c r="DT74" s="404"/>
      <c r="DU74" s="404"/>
      <c r="DV74" s="404"/>
      <c r="DW74" s="404"/>
      <c r="DX74" s="404"/>
      <c r="DY74" s="404"/>
      <c r="DZ74" s="404"/>
      <c r="EA74" s="404"/>
      <c r="EB74" s="404"/>
      <c r="EC74" s="404"/>
      <c r="ED74" s="404"/>
      <c r="EE74" s="404"/>
      <c r="EF74" s="404"/>
      <c r="EG74" s="404"/>
      <c r="EH74" s="404"/>
    </row>
    <row r="75" spans="1:138" s="133" customFormat="1" ht="58.15" hidden="1" customHeight="1">
      <c r="A75" s="405">
        <v>18</v>
      </c>
      <c r="B75" s="406" t="s">
        <v>184</v>
      </c>
      <c r="C75" s="407" t="s">
        <v>185</v>
      </c>
      <c r="D75" s="408"/>
      <c r="E75" s="409"/>
      <c r="F75" s="409"/>
      <c r="G75" s="409"/>
      <c r="H75" s="409"/>
      <c r="I75" s="409"/>
      <c r="J75" s="409"/>
      <c r="K75" s="410">
        <f>K60/K27</f>
        <v>0</v>
      </c>
      <c r="L75" s="410"/>
      <c r="M75" s="410">
        <f>M60/M27</f>
        <v>0</v>
      </c>
      <c r="N75" s="411"/>
      <c r="O75" s="410">
        <f>O60/O27</f>
        <v>0</v>
      </c>
      <c r="P75" s="411"/>
      <c r="Q75" s="410">
        <f>Q60/Q27</f>
        <v>0</v>
      </c>
      <c r="R75" s="411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  <c r="AD75" s="412"/>
      <c r="AE75" s="412"/>
      <c r="AF75" s="412"/>
      <c r="AG75" s="412"/>
      <c r="AH75" s="412"/>
      <c r="AI75" s="412"/>
      <c r="AJ75" s="412"/>
      <c r="AK75" s="412"/>
      <c r="AL75" s="412"/>
      <c r="AM75" s="412"/>
      <c r="AN75" s="412"/>
      <c r="AO75" s="412"/>
      <c r="AP75" s="412"/>
      <c r="AQ75" s="412"/>
      <c r="AR75" s="412"/>
      <c r="AS75" s="412"/>
      <c r="AT75" s="413"/>
      <c r="AU75" s="413"/>
      <c r="AV75" s="413"/>
      <c r="AW75" s="413"/>
      <c r="AX75" s="413"/>
      <c r="AY75" s="413"/>
      <c r="AZ75" s="413"/>
      <c r="BA75" s="414"/>
      <c r="BB75" s="415"/>
      <c r="BC75" s="416"/>
      <c r="BD75" s="413"/>
      <c r="BE75" s="413"/>
      <c r="BF75" s="414"/>
      <c r="BG75" s="417"/>
      <c r="BH75" s="418"/>
      <c r="BI75" s="419">
        <f>BI56/BI34*1000</f>
        <v>1.45470919018698</v>
      </c>
      <c r="BJ75" s="419">
        <f t="shared" ref="BJ75:BV75" si="52">BJ56/BJ34*1000</f>
        <v>1.427075352171582</v>
      </c>
      <c r="BK75" s="419" t="e">
        <f t="shared" si="52"/>
        <v>#DIV/0!</v>
      </c>
      <c r="BL75" s="419" t="e">
        <f t="shared" si="52"/>
        <v>#DIV/0!</v>
      </c>
      <c r="BM75" s="419" t="e">
        <f t="shared" si="52"/>
        <v>#DIV/0!</v>
      </c>
      <c r="BN75" s="419" t="e">
        <f t="shared" si="52"/>
        <v>#DIV/0!</v>
      </c>
      <c r="BO75" s="419"/>
      <c r="BP75" s="419">
        <f t="shared" si="52"/>
        <v>2.6690912081185179</v>
      </c>
      <c r="BQ75" s="419">
        <f>BQ56/BQ34*1000</f>
        <v>2.5485485775555916</v>
      </c>
      <c r="BR75" s="419">
        <f t="shared" si="52"/>
        <v>1.9441713836986219</v>
      </c>
      <c r="BS75" s="419">
        <f t="shared" si="52"/>
        <v>2.9311284128931643</v>
      </c>
      <c r="BT75" s="419">
        <f t="shared" si="52"/>
        <v>2.5959167859172796</v>
      </c>
      <c r="BU75" s="419">
        <f t="shared" si="52"/>
        <v>2.0411422791202649</v>
      </c>
      <c r="BV75" s="419">
        <f t="shared" si="52"/>
        <v>2.9424462268694329</v>
      </c>
      <c r="BW75" s="101">
        <f t="shared" si="10"/>
        <v>-0.12054263056292625</v>
      </c>
      <c r="BX75" s="420">
        <f>BX56/BX34*1000</f>
        <v>1.4214344548852302</v>
      </c>
      <c r="BY75" s="421">
        <f>BY56/BY34*1000</f>
        <v>1.4214344548852302</v>
      </c>
      <c r="BZ75" s="422">
        <f>BZ56/BZ34*1000</f>
        <v>1.4214344548852302</v>
      </c>
      <c r="CA75" s="420">
        <f>CA56/CA34*1000</f>
        <v>2.5538726612859097</v>
      </c>
      <c r="CB75" s="420"/>
      <c r="CC75" s="420"/>
      <c r="CD75" s="420">
        <f>CD56/CD34*1000</f>
        <v>1.5245541718072293</v>
      </c>
      <c r="CE75" s="154">
        <f t="shared" si="11"/>
        <v>-1.0293184894786804</v>
      </c>
    </row>
    <row r="76" spans="1:138" ht="22.5" hidden="1">
      <c r="A76" s="115"/>
      <c r="B76" s="203" t="s">
        <v>179</v>
      </c>
      <c r="C76" s="104" t="s">
        <v>183</v>
      </c>
      <c r="D76" s="423"/>
      <c r="E76" s="424"/>
      <c r="F76" s="424"/>
      <c r="G76" s="424"/>
      <c r="H76" s="424"/>
      <c r="I76" s="424"/>
      <c r="J76" s="424"/>
      <c r="K76" s="425">
        <f>K61/K27</f>
        <v>0</v>
      </c>
      <c r="L76" s="425"/>
      <c r="M76" s="425">
        <v>5.0000000000000001E-3</v>
      </c>
      <c r="N76" s="426"/>
      <c r="O76" s="425">
        <v>5.0000000000000001E-3</v>
      </c>
      <c r="P76" s="426"/>
      <c r="Q76" s="425">
        <f>M76</f>
        <v>5.0000000000000001E-3</v>
      </c>
      <c r="R76" s="427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9"/>
      <c r="AU76" s="429"/>
      <c r="AV76" s="429"/>
      <c r="AW76" s="429"/>
      <c r="AX76" s="429"/>
      <c r="AY76" s="429"/>
      <c r="AZ76" s="429"/>
      <c r="BA76" s="430"/>
      <c r="BB76" s="115"/>
      <c r="BC76" s="431"/>
      <c r="BD76" s="429"/>
      <c r="BE76" s="429"/>
      <c r="BF76" s="430"/>
      <c r="BG76" s="115"/>
      <c r="BH76" s="432"/>
      <c r="BI76" s="185">
        <f>BI67/BI35*1000</f>
        <v>0.89986806796778462</v>
      </c>
      <c r="BJ76" s="185">
        <f t="shared" ref="BJ76:BV76" si="53">BJ67/BJ35*1000</f>
        <v>0.85164373580717723</v>
      </c>
      <c r="BK76" s="185" t="e">
        <f t="shared" si="53"/>
        <v>#DIV/0!</v>
      </c>
      <c r="BL76" s="185" t="e">
        <f t="shared" si="53"/>
        <v>#DIV/0!</v>
      </c>
      <c r="BM76" s="185" t="e">
        <f t="shared" si="53"/>
        <v>#DIV/0!</v>
      </c>
      <c r="BN76" s="185" t="e">
        <f t="shared" si="53"/>
        <v>#DIV/0!</v>
      </c>
      <c r="BO76" s="185"/>
      <c r="BP76" s="185">
        <f t="shared" si="53"/>
        <v>7.372685971046436E-2</v>
      </c>
      <c r="BQ76" s="185">
        <f>BQ67/BQ35*1000</f>
        <v>7.372685971046436E-2</v>
      </c>
      <c r="BR76" s="185" t="e">
        <f t="shared" si="53"/>
        <v>#DIV/0!</v>
      </c>
      <c r="BS76" s="185" t="e">
        <f t="shared" si="53"/>
        <v>#DIV/0!</v>
      </c>
      <c r="BT76" s="185" t="e">
        <f t="shared" si="53"/>
        <v>#DIV/0!</v>
      </c>
      <c r="BU76" s="185" t="e">
        <f t="shared" si="53"/>
        <v>#DIV/0!</v>
      </c>
      <c r="BV76" s="185" t="e">
        <f t="shared" si="53"/>
        <v>#DIV/0!</v>
      </c>
      <c r="BW76" s="101">
        <f t="shared" si="10"/>
        <v>0</v>
      </c>
      <c r="BX76" s="433">
        <f>BX67/BX35*1000</f>
        <v>0.84419655278660499</v>
      </c>
      <c r="BY76" s="185">
        <f>BY67/BY35*1000</f>
        <v>0.84419655278660499</v>
      </c>
      <c r="BZ76" s="434">
        <f>BZ67/BZ35*1000</f>
        <v>0.84419655278660499</v>
      </c>
      <c r="CA76" s="433">
        <f>CA67/CA35*1000</f>
        <v>5.9798476212694067E-2</v>
      </c>
      <c r="CB76" s="433"/>
      <c r="CC76" s="433"/>
      <c r="CD76" s="433">
        <f>CD67/CD35*1000</f>
        <v>3.7850844864070692E-2</v>
      </c>
      <c r="CE76" s="123">
        <f t="shared" si="11"/>
        <v>-2.1947631348623375E-2</v>
      </c>
    </row>
    <row r="77" spans="1:138" ht="22.5" hidden="1">
      <c r="A77" s="115"/>
      <c r="B77" s="203" t="s">
        <v>186</v>
      </c>
      <c r="C77" s="104" t="s">
        <v>183</v>
      </c>
      <c r="D77" s="423"/>
      <c r="E77" s="424"/>
      <c r="F77" s="424"/>
      <c r="G77" s="424"/>
      <c r="H77" s="424"/>
      <c r="I77" s="424"/>
      <c r="J77" s="424"/>
      <c r="K77" s="425">
        <f>K62/K27</f>
        <v>0</v>
      </c>
      <c r="L77" s="425"/>
      <c r="M77" s="425">
        <f>M62/M27</f>
        <v>0</v>
      </c>
      <c r="N77" s="426"/>
      <c r="O77" s="425">
        <f>O62/O27</f>
        <v>0</v>
      </c>
      <c r="P77" s="426"/>
      <c r="Q77" s="425">
        <f>Q62/Q27</f>
        <v>0</v>
      </c>
      <c r="R77" s="427"/>
      <c r="S77" s="428"/>
      <c r="T77" s="428"/>
      <c r="U77" s="428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K77" s="428"/>
      <c r="AL77" s="428"/>
      <c r="AM77" s="428"/>
      <c r="AN77" s="428"/>
      <c r="AO77" s="428"/>
      <c r="AP77" s="428"/>
      <c r="AQ77" s="428"/>
      <c r="AR77" s="428"/>
      <c r="AS77" s="428"/>
      <c r="AT77" s="429"/>
      <c r="AU77" s="429"/>
      <c r="AV77" s="429"/>
      <c r="AW77" s="429"/>
      <c r="AX77" s="429"/>
      <c r="AY77" s="429"/>
      <c r="AZ77" s="429"/>
      <c r="BA77" s="430"/>
      <c r="BB77" s="115"/>
      <c r="BC77" s="431"/>
      <c r="BD77" s="429"/>
      <c r="BE77" s="429"/>
      <c r="BF77" s="430"/>
      <c r="BG77" s="115"/>
      <c r="BH77" s="432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01">
        <f t="shared" si="10"/>
        <v>0</v>
      </c>
      <c r="BX77" s="433">
        <f t="shared" ref="BX77:CD78" si="54">BX68/BX35*1000</f>
        <v>1.990629385954867E-2</v>
      </c>
      <c r="BY77" s="185">
        <f t="shared" si="54"/>
        <v>1.990629385954867E-2</v>
      </c>
      <c r="BZ77" s="434">
        <f t="shared" si="54"/>
        <v>1.990629385954867E-2</v>
      </c>
      <c r="CA77" s="433">
        <f t="shared" si="54"/>
        <v>0</v>
      </c>
      <c r="CB77" s="433"/>
      <c r="CC77" s="433"/>
      <c r="CD77" s="433">
        <f t="shared" si="54"/>
        <v>1.634959069108188E-2</v>
      </c>
      <c r="CE77" s="123">
        <f t="shared" si="11"/>
        <v>1.634959069108188E-2</v>
      </c>
    </row>
    <row r="78" spans="1:138" ht="33" hidden="1" customHeight="1">
      <c r="A78" s="115"/>
      <c r="B78" s="203" t="s">
        <v>127</v>
      </c>
      <c r="C78" s="104" t="s">
        <v>183</v>
      </c>
      <c r="D78" s="423"/>
      <c r="E78" s="424"/>
      <c r="F78" s="424"/>
      <c r="G78" s="424"/>
      <c r="H78" s="424"/>
      <c r="I78" s="424"/>
      <c r="J78" s="424"/>
      <c r="K78" s="425">
        <v>0</v>
      </c>
      <c r="L78" s="425"/>
      <c r="M78" s="425">
        <v>0</v>
      </c>
      <c r="N78" s="426"/>
      <c r="O78" s="425">
        <v>0</v>
      </c>
      <c r="P78" s="426"/>
      <c r="Q78" s="425">
        <v>0</v>
      </c>
      <c r="R78" s="426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28"/>
      <c r="AK78" s="428"/>
      <c r="AL78" s="428"/>
      <c r="AM78" s="428"/>
      <c r="AN78" s="428"/>
      <c r="AO78" s="428"/>
      <c r="AP78" s="428"/>
      <c r="AQ78" s="428"/>
      <c r="AR78" s="428"/>
      <c r="AS78" s="428"/>
      <c r="AT78" s="429"/>
      <c r="AU78" s="429"/>
      <c r="AV78" s="429"/>
      <c r="AW78" s="429"/>
      <c r="AX78" s="429"/>
      <c r="AY78" s="429"/>
      <c r="AZ78" s="429"/>
      <c r="BA78" s="430"/>
      <c r="BB78" s="115"/>
      <c r="BC78" s="431"/>
      <c r="BD78" s="429"/>
      <c r="BE78" s="429"/>
      <c r="BF78" s="430"/>
      <c r="BG78" s="115"/>
      <c r="BH78" s="432"/>
      <c r="BI78" s="185">
        <f>BI71/BI37*1000</f>
        <v>16.688880882493173</v>
      </c>
      <c r="BJ78" s="185">
        <f t="shared" ref="BJ78:BV78" si="55">BJ71/BJ37*1000</f>
        <v>16.670000000000002</v>
      </c>
      <c r="BK78" s="185" t="e">
        <f t="shared" si="55"/>
        <v>#DIV/0!</v>
      </c>
      <c r="BL78" s="185" t="e">
        <f t="shared" si="55"/>
        <v>#DIV/0!</v>
      </c>
      <c r="BM78" s="185" t="e">
        <f t="shared" si="55"/>
        <v>#DIV/0!</v>
      </c>
      <c r="BN78" s="185" t="e">
        <f t="shared" si="55"/>
        <v>#DIV/0!</v>
      </c>
      <c r="BO78" s="185"/>
      <c r="BP78" s="185">
        <f t="shared" si="55"/>
        <v>14.000977525056625</v>
      </c>
      <c r="BQ78" s="185">
        <f>BQ71/BQ37*1000</f>
        <v>13.341003738894376</v>
      </c>
      <c r="BR78" s="185" t="e">
        <f t="shared" si="55"/>
        <v>#DIV/0!</v>
      </c>
      <c r="BS78" s="185" t="e">
        <f t="shared" si="55"/>
        <v>#DIV/0!</v>
      </c>
      <c r="BT78" s="185" t="e">
        <f t="shared" si="55"/>
        <v>#DIV/0!</v>
      </c>
      <c r="BU78" s="185" t="e">
        <f t="shared" si="55"/>
        <v>#DIV/0!</v>
      </c>
      <c r="BV78" s="185" t="e">
        <f t="shared" si="55"/>
        <v>#DIV/0!</v>
      </c>
      <c r="BW78" s="101">
        <f t="shared" si="10"/>
        <v>-0.659973786162249</v>
      </c>
      <c r="BX78" s="433">
        <f t="shared" si="54"/>
        <v>16.723986968483853</v>
      </c>
      <c r="BY78" s="185">
        <f t="shared" si="54"/>
        <v>16.723986968483853</v>
      </c>
      <c r="BZ78" s="434">
        <f t="shared" si="54"/>
        <v>16.723986968483853</v>
      </c>
      <c r="CA78" s="433">
        <f t="shared" si="54"/>
        <v>17.937861248958502</v>
      </c>
      <c r="CB78" s="433"/>
      <c r="CC78" s="433"/>
      <c r="CD78" s="433">
        <f t="shared" si="54"/>
        <v>14.013100596863191</v>
      </c>
      <c r="CE78" s="123">
        <f>CD78-CA78</f>
        <v>-3.9247606520953102</v>
      </c>
    </row>
    <row r="79" spans="1:138" ht="22.5" hidden="1">
      <c r="A79" s="115"/>
      <c r="B79" s="203" t="s">
        <v>186</v>
      </c>
      <c r="C79" s="104" t="s">
        <v>183</v>
      </c>
      <c r="D79" s="423"/>
      <c r="E79" s="424"/>
      <c r="F79" s="424"/>
      <c r="G79" s="424"/>
      <c r="H79" s="424"/>
      <c r="I79" s="424"/>
      <c r="J79" s="424"/>
      <c r="K79" s="425"/>
      <c r="L79" s="425"/>
      <c r="M79" s="425"/>
      <c r="N79" s="426"/>
      <c r="O79" s="425"/>
      <c r="P79" s="426"/>
      <c r="Q79" s="425"/>
      <c r="R79" s="426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  <c r="AM79" s="428"/>
      <c r="AN79" s="428"/>
      <c r="AO79" s="428"/>
      <c r="AP79" s="428"/>
      <c r="AQ79" s="428"/>
      <c r="AR79" s="428"/>
      <c r="AS79" s="428"/>
      <c r="AT79" s="429"/>
      <c r="AU79" s="429"/>
      <c r="AV79" s="429"/>
      <c r="AW79" s="429"/>
      <c r="AX79" s="429"/>
      <c r="AY79" s="429"/>
      <c r="AZ79" s="429"/>
      <c r="BA79" s="430"/>
      <c r="BB79" s="115"/>
      <c r="BC79" s="431"/>
      <c r="BD79" s="429"/>
      <c r="BE79" s="429"/>
      <c r="BF79" s="430"/>
      <c r="BG79" s="115"/>
      <c r="BH79" s="432"/>
      <c r="BI79" s="185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01">
        <f>BQ79-BP79</f>
        <v>0</v>
      </c>
      <c r="BX79" s="433">
        <f>BX70/BX37*1000</f>
        <v>5.398696848385115E-2</v>
      </c>
      <c r="BY79" s="185">
        <f>BX79</f>
        <v>5.398696848385115E-2</v>
      </c>
      <c r="BZ79" s="434">
        <f>BX79</f>
        <v>5.398696848385115E-2</v>
      </c>
      <c r="CA79" s="433">
        <f>CA70/CA37*1000</f>
        <v>0</v>
      </c>
      <c r="CB79" s="433"/>
      <c r="CC79" s="433"/>
      <c r="CD79" s="433">
        <f>CD70/CD37*1000</f>
        <v>1.3100596863193087E-2</v>
      </c>
      <c r="CE79" s="123">
        <f>CD79-CA79</f>
        <v>1.3100596863193087E-2</v>
      </c>
    </row>
    <row r="80" spans="1:138" ht="25.5" hidden="1" customHeight="1">
      <c r="A80" s="115"/>
      <c r="B80" s="203" t="s">
        <v>128</v>
      </c>
      <c r="C80" s="104" t="s">
        <v>183</v>
      </c>
      <c r="D80" s="423"/>
      <c r="E80" s="424"/>
      <c r="F80" s="424"/>
      <c r="G80" s="424"/>
      <c r="H80" s="424"/>
      <c r="I80" s="424"/>
      <c r="J80" s="424"/>
      <c r="K80" s="425">
        <v>0</v>
      </c>
      <c r="L80" s="425"/>
      <c r="M80" s="425">
        <v>0</v>
      </c>
      <c r="N80" s="426"/>
      <c r="O80" s="425">
        <v>0</v>
      </c>
      <c r="P80" s="426"/>
      <c r="Q80" s="425">
        <v>0</v>
      </c>
      <c r="R80" s="426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28"/>
      <c r="AM80" s="428"/>
      <c r="AN80" s="428"/>
      <c r="AO80" s="428"/>
      <c r="AP80" s="428"/>
      <c r="AQ80" s="428"/>
      <c r="AR80" s="428"/>
      <c r="AS80" s="428"/>
      <c r="AT80" s="429"/>
      <c r="AU80" s="429"/>
      <c r="AV80" s="429"/>
      <c r="AW80" s="429"/>
      <c r="AX80" s="429"/>
      <c r="AY80" s="429"/>
      <c r="AZ80" s="429"/>
      <c r="BA80" s="430"/>
      <c r="BB80" s="115"/>
      <c r="BC80" s="431"/>
      <c r="BD80" s="429"/>
      <c r="BE80" s="429"/>
      <c r="BF80" s="430"/>
      <c r="BG80" s="115"/>
      <c r="BH80" s="432"/>
      <c r="BI80" s="185">
        <f>BI71/BI37*1000</f>
        <v>16.688880882493173</v>
      </c>
      <c r="BJ80" s="185">
        <f t="shared" ref="BJ80:BV80" si="56">BJ71/BJ37*1000</f>
        <v>16.670000000000002</v>
      </c>
      <c r="BK80" s="185" t="e">
        <f t="shared" si="56"/>
        <v>#DIV/0!</v>
      </c>
      <c r="BL80" s="185" t="e">
        <f t="shared" si="56"/>
        <v>#DIV/0!</v>
      </c>
      <c r="BM80" s="185" t="e">
        <f t="shared" si="56"/>
        <v>#DIV/0!</v>
      </c>
      <c r="BN80" s="185" t="e">
        <f t="shared" si="56"/>
        <v>#DIV/0!</v>
      </c>
      <c r="BO80" s="185"/>
      <c r="BP80" s="185">
        <f t="shared" si="56"/>
        <v>14.000977525056625</v>
      </c>
      <c r="BQ80" s="185">
        <f>BQ71/BQ37*1000</f>
        <v>13.341003738894376</v>
      </c>
      <c r="BR80" s="185" t="e">
        <f t="shared" si="56"/>
        <v>#DIV/0!</v>
      </c>
      <c r="BS80" s="185" t="e">
        <f t="shared" si="56"/>
        <v>#DIV/0!</v>
      </c>
      <c r="BT80" s="185" t="e">
        <f t="shared" si="56"/>
        <v>#DIV/0!</v>
      </c>
      <c r="BU80" s="185" t="e">
        <f t="shared" si="56"/>
        <v>#DIV/0!</v>
      </c>
      <c r="BV80" s="185" t="e">
        <f t="shared" si="56"/>
        <v>#DIV/0!</v>
      </c>
      <c r="BW80" s="101">
        <f>BQ80-BP80</f>
        <v>-0.659973786162249</v>
      </c>
      <c r="BX80" s="433">
        <f>BX71/BX37*1000</f>
        <v>16.670000000000005</v>
      </c>
      <c r="BY80" s="185">
        <f>BY71/BY37*1000</f>
        <v>16.670000000000005</v>
      </c>
      <c r="BZ80" s="434">
        <f>BZ71/BZ37*1000</f>
        <v>16.670000000000005</v>
      </c>
      <c r="CA80" s="433">
        <f>CA71/CA37*1000</f>
        <v>17.937861248958502</v>
      </c>
      <c r="CB80" s="433"/>
      <c r="CC80" s="433"/>
      <c r="CD80" s="433">
        <f>CD71/CD37*1000</f>
        <v>14</v>
      </c>
      <c r="CE80" s="123">
        <f>CD80-CA80</f>
        <v>-3.9378612489585016</v>
      </c>
    </row>
    <row r="81" spans="1:83" ht="57" hidden="1" thickBot="1">
      <c r="A81" s="435"/>
      <c r="B81" s="436" t="s">
        <v>129</v>
      </c>
      <c r="C81" s="437" t="s">
        <v>183</v>
      </c>
      <c r="D81" s="438"/>
      <c r="E81" s="439"/>
      <c r="F81" s="439"/>
      <c r="G81" s="439"/>
      <c r="H81" s="439"/>
      <c r="I81" s="439"/>
      <c r="J81" s="439"/>
      <c r="K81" s="440">
        <v>0</v>
      </c>
      <c r="L81" s="440"/>
      <c r="M81" s="440">
        <v>0</v>
      </c>
      <c r="N81" s="441"/>
      <c r="O81" s="440">
        <v>0</v>
      </c>
      <c r="P81" s="441"/>
      <c r="Q81" s="440">
        <v>0</v>
      </c>
      <c r="R81" s="441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2"/>
      <c r="AQ81" s="442"/>
      <c r="AR81" s="442"/>
      <c r="AS81" s="442"/>
      <c r="AT81" s="443"/>
      <c r="AU81" s="443"/>
      <c r="AV81" s="443"/>
      <c r="AW81" s="443"/>
      <c r="AX81" s="443"/>
      <c r="AY81" s="443"/>
      <c r="AZ81" s="443"/>
      <c r="BA81" s="444"/>
      <c r="BB81" s="435"/>
      <c r="BC81" s="445"/>
      <c r="BD81" s="443"/>
      <c r="BE81" s="443"/>
      <c r="BF81" s="444"/>
      <c r="BG81" s="435"/>
      <c r="BH81" s="446"/>
      <c r="BI81" s="447">
        <v>0</v>
      </c>
      <c r="BJ81" s="447">
        <v>1</v>
      </c>
      <c r="BK81" s="447">
        <v>2</v>
      </c>
      <c r="BL81" s="447">
        <v>3</v>
      </c>
      <c r="BM81" s="447">
        <v>4</v>
      </c>
      <c r="BN81" s="447">
        <v>5</v>
      </c>
      <c r="BO81" s="447"/>
      <c r="BP81" s="447"/>
      <c r="BQ81" s="447"/>
      <c r="BR81" s="447">
        <v>9</v>
      </c>
      <c r="BS81" s="447">
        <v>10</v>
      </c>
      <c r="BT81" s="447">
        <v>11</v>
      </c>
      <c r="BU81" s="447">
        <v>12</v>
      </c>
      <c r="BV81" s="447">
        <v>13</v>
      </c>
      <c r="BW81" s="448">
        <f>BQ81-BP81</f>
        <v>0</v>
      </c>
      <c r="BX81" s="449">
        <v>0</v>
      </c>
      <c r="BY81" s="447">
        <v>0</v>
      </c>
      <c r="BZ81" s="450">
        <v>0</v>
      </c>
      <c r="CA81" s="449">
        <v>0</v>
      </c>
      <c r="CB81" s="449"/>
      <c r="CC81" s="449"/>
      <c r="CD81" s="449">
        <v>0</v>
      </c>
      <c r="CE81" s="303">
        <f>CD81-CA81</f>
        <v>0</v>
      </c>
    </row>
    <row r="83" spans="1:83" ht="23.25">
      <c r="B83" s="451"/>
      <c r="C83" s="451"/>
      <c r="D83" s="451"/>
      <c r="E83" s="451"/>
      <c r="AI83" s="452"/>
      <c r="AT83" s="8">
        <f>AT56-11.155</f>
        <v>75.025000000000006</v>
      </c>
      <c r="AU83" s="8">
        <f>AT73-11.155</f>
        <v>31.115000000000002</v>
      </c>
      <c r="BI83" s="8"/>
      <c r="BJ83" s="8"/>
      <c r="BO83" s="2"/>
      <c r="BP83" s="2"/>
      <c r="BQ83" s="2"/>
      <c r="BR83" s="351">
        <v>1036.5</v>
      </c>
      <c r="BS83" s="1" t="s">
        <v>187</v>
      </c>
      <c r="BU83" s="1">
        <f>2750+1655</f>
        <v>4405</v>
      </c>
    </row>
    <row r="84" spans="1:83" ht="15.75">
      <c r="B84" s="453"/>
      <c r="C84" s="451"/>
      <c r="D84" s="451"/>
      <c r="E84" s="451"/>
    </row>
    <row r="85" spans="1:83" ht="15.75">
      <c r="B85" s="453"/>
      <c r="C85" s="451"/>
      <c r="D85" s="451"/>
      <c r="E85" s="451"/>
      <c r="AP85" s="1">
        <f>1.39*AQ20/1000</f>
        <v>90.687769999999986</v>
      </c>
      <c r="AT85" s="454">
        <f>6544.28*1.6</f>
        <v>10470.848</v>
      </c>
    </row>
    <row r="86" spans="1:83" ht="15.75">
      <c r="B86" s="451"/>
      <c r="C86" s="451"/>
      <c r="D86" s="451"/>
      <c r="E86" s="451"/>
    </row>
    <row r="87" spans="1:83" ht="15.75">
      <c r="B87" s="451"/>
      <c r="C87" s="451"/>
      <c r="D87" s="451"/>
      <c r="E87" s="451"/>
      <c r="AT87" s="8" t="s">
        <v>109</v>
      </c>
    </row>
    <row r="88" spans="1:83" ht="15.75">
      <c r="B88" s="451"/>
      <c r="C88" s="451"/>
      <c r="D88" s="451"/>
      <c r="E88" s="451"/>
    </row>
    <row r="89" spans="1:83" ht="15.75">
      <c r="H89" s="455"/>
      <c r="BY89" s="8">
        <f>'[3]I квартал'!$J$49+'[3]II квартал'!$J$49</f>
        <v>468.10100000000006</v>
      </c>
    </row>
    <row r="90" spans="1:83" ht="15.75">
      <c r="H90" s="455"/>
      <c r="BY90" s="8">
        <f>'[3]III квартал'!$J$49+'[3]IV квартал'!$J$49</f>
        <v>397.13899999999995</v>
      </c>
    </row>
    <row r="91" spans="1:83" ht="15.75">
      <c r="H91" s="455"/>
    </row>
    <row r="92" spans="1:83" ht="15.75">
      <c r="H92" s="455"/>
    </row>
    <row r="93" spans="1:83" ht="15.75">
      <c r="H93" s="455"/>
    </row>
    <row r="94" spans="1:83" ht="15.75">
      <c r="H94" s="455"/>
    </row>
    <row r="95" spans="1:83" ht="15.75">
      <c r="H95" s="455"/>
    </row>
    <row r="96" spans="1:83" ht="15.75">
      <c r="H96" s="455"/>
    </row>
    <row r="97" spans="8:8" ht="15.75">
      <c r="H97" s="455"/>
    </row>
    <row r="98" spans="8:8" ht="15.75">
      <c r="H98" s="455"/>
    </row>
  </sheetData>
  <mergeCells count="83">
    <mergeCell ref="CE9:CE11"/>
    <mergeCell ref="BM10:BM11"/>
    <mergeCell ref="BN10:BN11"/>
    <mergeCell ref="BR10:BR11"/>
    <mergeCell ref="BS10:BS11"/>
    <mergeCell ref="BU10:BU11"/>
    <mergeCell ref="BV10:BV11"/>
    <mergeCell ref="BY9:BY11"/>
    <mergeCell ref="BZ9:BZ11"/>
    <mergeCell ref="CA9:CA11"/>
    <mergeCell ref="CB9:CB11"/>
    <mergeCell ref="CC9:CC11"/>
    <mergeCell ref="CD9:CD11"/>
    <mergeCell ref="BQ9:BQ11"/>
    <mergeCell ref="BR9:BS9"/>
    <mergeCell ref="BT9:BT11"/>
    <mergeCell ref="BU9:BV9"/>
    <mergeCell ref="BW9:BW11"/>
    <mergeCell ref="BX9:BX11"/>
    <mergeCell ref="BJ9:BJ11"/>
    <mergeCell ref="BK9:BK11"/>
    <mergeCell ref="BL9:BL11"/>
    <mergeCell ref="BM9:BN9"/>
    <mergeCell ref="BO9:BO11"/>
    <mergeCell ref="BP9:BP11"/>
    <mergeCell ref="BD9:BD11"/>
    <mergeCell ref="BE9:BE11"/>
    <mergeCell ref="BF9:BF11"/>
    <mergeCell ref="BG9:BG11"/>
    <mergeCell ref="BH9:BH11"/>
    <mergeCell ref="BI9:BI11"/>
    <mergeCell ref="AX9:AX11"/>
    <mergeCell ref="AY9:AY11"/>
    <mergeCell ref="AZ9:AZ11"/>
    <mergeCell ref="BA9:BA11"/>
    <mergeCell ref="BB9:BB11"/>
    <mergeCell ref="BC9:BC11"/>
    <mergeCell ref="AR9:AR11"/>
    <mergeCell ref="AS9:AS11"/>
    <mergeCell ref="AT9:AT11"/>
    <mergeCell ref="AU9:AU11"/>
    <mergeCell ref="AV9:AV11"/>
    <mergeCell ref="AW9:AW11"/>
    <mergeCell ref="AL9:AL11"/>
    <mergeCell ref="AM9:AM11"/>
    <mergeCell ref="AN9:AN11"/>
    <mergeCell ref="AO9:AO11"/>
    <mergeCell ref="AP9:AP11"/>
    <mergeCell ref="AQ9:AQ11"/>
    <mergeCell ref="AF9:AF11"/>
    <mergeCell ref="AG9:AG11"/>
    <mergeCell ref="AH9:AH11"/>
    <mergeCell ref="AI9:AI11"/>
    <mergeCell ref="AJ9:AJ11"/>
    <mergeCell ref="AK9:AK11"/>
    <mergeCell ref="Z9:Z11"/>
    <mergeCell ref="AA9:AA11"/>
    <mergeCell ref="AB9:AB11"/>
    <mergeCell ref="AC9:AC11"/>
    <mergeCell ref="AD9:AD11"/>
    <mergeCell ref="AE9:AE11"/>
    <mergeCell ref="T9:T11"/>
    <mergeCell ref="U9:U11"/>
    <mergeCell ref="V9:V11"/>
    <mergeCell ref="W9:W11"/>
    <mergeCell ref="X9:X11"/>
    <mergeCell ref="Y9:Y11"/>
    <mergeCell ref="J9:J11"/>
    <mergeCell ref="K9:K11"/>
    <mergeCell ref="L9:M10"/>
    <mergeCell ref="N9:O10"/>
    <mergeCell ref="P9:Q10"/>
    <mergeCell ref="R9:S10"/>
    <mergeCell ref="A7:CE7"/>
    <mergeCell ref="A9:A11"/>
    <mergeCell ref="B9:B11"/>
    <mergeCell ref="C9:C11"/>
    <mergeCell ref="D9:D11"/>
    <mergeCell ref="E9:E10"/>
    <mergeCell ref="F9:F10"/>
    <mergeCell ref="G9:G10"/>
    <mergeCell ref="H9:H11"/>
    <mergeCell ref="I9:I10"/>
  </mergeCells>
  <pageMargins left="1.4960629921259843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 нов испр 15-17</vt:lpstr>
      <vt:lpstr>'расп нов испр 15-17'!Область_печати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annikova</dc:creator>
  <cp:lastModifiedBy>annikova</cp:lastModifiedBy>
  <dcterms:created xsi:type="dcterms:W3CDTF">2015-01-13T08:00:57Z</dcterms:created>
  <dcterms:modified xsi:type="dcterms:W3CDTF">2015-01-13T08:26:19Z</dcterms:modified>
</cp:coreProperties>
</file>