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30" yWindow="-210" windowWidth="11895" windowHeight="10515" tabRatio="866" firstSheet="11" activeTab="11"/>
  </bookViews>
  <sheets>
    <sheet name="индексы" sheetId="4" state="hidden" r:id="rId1"/>
    <sheet name="Кальк.2019-2023 (ДИ) (3)" sheetId="86" state="hidden" r:id="rId2"/>
    <sheet name="Кальк.2019-2023 (ДИ) (2)" sheetId="84" state="hidden" r:id="rId3"/>
    <sheet name="Кальк.2019-2023 (ДИ)" sheetId="41" state="hidden" r:id="rId4"/>
    <sheet name="Тарифное меню (3)" sheetId="87" state="hidden" r:id="rId5"/>
    <sheet name="Тарифное меню (2)" sheetId="85" state="hidden" r:id="rId6"/>
    <sheet name="Тарифное меню" sheetId="42" state="hidden" r:id="rId7"/>
    <sheet name="подконтрольные" sheetId="44" state="hidden" r:id="rId8"/>
    <sheet name="Прил2" sheetId="81" state="hidden" r:id="rId9"/>
    <sheet name="Прил3" sheetId="82" state="hidden" r:id="rId10"/>
    <sheet name="прил4" sheetId="83" state="hidden" r:id="rId11"/>
    <sheet name="прил 4 к расп" sheetId="88" r:id="rId12"/>
    <sheet name="переменные на 5 лет" sheetId="20" state="hidden" r:id="rId13"/>
    <sheet name="учет итогов" sheetId="66" state="hidden" r:id="rId14"/>
    <sheet name="Лист1" sheetId="67" state="hidden" r:id="rId15"/>
    <sheet name="амор" sheetId="79" state="hidden" r:id="rId16"/>
    <sheet name="Лист2" sheetId="80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</externalReferences>
  <definedNames>
    <definedName name="\a" localSheetId="15">#REF!</definedName>
    <definedName name="\a" localSheetId="2">#REF!</definedName>
    <definedName name="\a" localSheetId="11">#REF!</definedName>
    <definedName name="\a" localSheetId="8">#REF!</definedName>
    <definedName name="\a" localSheetId="9">#REF!</definedName>
    <definedName name="\a" localSheetId="10">#REF!</definedName>
    <definedName name="\a" localSheetId="5">#REF!</definedName>
    <definedName name="\a">#REF!</definedName>
    <definedName name="\m" localSheetId="15">#REF!</definedName>
    <definedName name="\m" localSheetId="11">#REF!</definedName>
    <definedName name="\m" localSheetId="10">#REF!</definedName>
    <definedName name="\m">#REF!</definedName>
    <definedName name="\n" localSheetId="15">#REF!</definedName>
    <definedName name="\n" localSheetId="11">#REF!</definedName>
    <definedName name="\n" localSheetId="10">#REF!</definedName>
    <definedName name="\n">#REF!</definedName>
    <definedName name="\o" localSheetId="15">#REF!</definedName>
    <definedName name="\o" localSheetId="11">#REF!</definedName>
    <definedName name="\o" localSheetId="10">#REF!</definedName>
    <definedName name="\o">#REF!</definedName>
    <definedName name="\ф23" localSheetId="15">#REF!</definedName>
    <definedName name="\ф23" localSheetId="11">#REF!</definedName>
    <definedName name="\ф23" localSheetId="10">#REF!</definedName>
    <definedName name="\ф23">#REF!</definedName>
    <definedName name="___" localSheetId="15">'[1]7'!$B$25</definedName>
    <definedName name="___" localSheetId="11">'[2]7'!$B$25</definedName>
    <definedName name="___" localSheetId="8">'[2]7'!$B$25</definedName>
    <definedName name="___" localSheetId="9">'[2]7'!$B$25</definedName>
    <definedName name="___">'[2]7'!$B$25</definedName>
    <definedName name="_____A100000" localSheetId="15">#REF!</definedName>
    <definedName name="_____A100000" localSheetId="11">#REF!</definedName>
    <definedName name="_____A100000">#REF!</definedName>
    <definedName name="_____A1000000" localSheetId="15">#REF!</definedName>
    <definedName name="_____A1000000" localSheetId="11">#REF!</definedName>
    <definedName name="_____A1000000">#REF!</definedName>
    <definedName name="____a02" localSheetId="15">#REF!</definedName>
    <definedName name="____a02" localSheetId="11">#REF!</definedName>
    <definedName name="____a02" localSheetId="8">#REF!</definedName>
    <definedName name="____a02" localSheetId="9">#REF!</definedName>
    <definedName name="____a02" localSheetId="10">#REF!</definedName>
    <definedName name="____a02">#REF!</definedName>
    <definedName name="____A1" localSheetId="15">#REF!</definedName>
    <definedName name="____A1" localSheetId="11">#REF!</definedName>
    <definedName name="____A1" localSheetId="8">#REF!</definedName>
    <definedName name="____A1" localSheetId="9">#REF!</definedName>
    <definedName name="____A1" localSheetId="10">#REF!</definedName>
    <definedName name="____A1">#REF!</definedName>
    <definedName name="____A100000" localSheetId="15">#REF!</definedName>
    <definedName name="____A100000" localSheetId="11">#REF!</definedName>
    <definedName name="____A100000">#REF!</definedName>
    <definedName name="____A1000000" localSheetId="15">#REF!</definedName>
    <definedName name="____A1000000" localSheetId="11">#REF!</definedName>
    <definedName name="____A1000000">#REF!</definedName>
    <definedName name="____cur1">'[3]#ССЫЛКА'!$Q$2</definedName>
    <definedName name="____FOT1">'[4]ФОТ по месяцам'!$D$5:$D$41</definedName>
    <definedName name="____gf2" localSheetId="15">#REF!</definedName>
    <definedName name="____gf2" localSheetId="2">#REF!</definedName>
    <definedName name="____gf2" localSheetId="1">#REF!</definedName>
    <definedName name="____gf2" localSheetId="11">#REF!</definedName>
    <definedName name="____gf2" localSheetId="8">#REF!</definedName>
    <definedName name="____gf2" localSheetId="9">#REF!</definedName>
    <definedName name="____gf2" localSheetId="10">#REF!</definedName>
    <definedName name="____gf2" localSheetId="5">#REF!</definedName>
    <definedName name="____gf2" localSheetId="4">#REF!</definedName>
    <definedName name="____gf2">#REF!</definedName>
    <definedName name="____mmm89" localSheetId="15">#REF!</definedName>
    <definedName name="____mmm89" localSheetId="11">#REF!</definedName>
    <definedName name="____mmm89" localSheetId="8">#REF!</definedName>
    <definedName name="____mmm89" localSheetId="9">#REF!</definedName>
    <definedName name="____mmm89" localSheetId="10">#REF!</definedName>
    <definedName name="____mmm89">#REF!</definedName>
    <definedName name="____Ob1" localSheetId="15">#REF!</definedName>
    <definedName name="____Ob1" localSheetId="11">#REF!</definedName>
    <definedName name="____Ob1" localSheetId="8">#REF!</definedName>
    <definedName name="____Ob1" localSheetId="9">#REF!</definedName>
    <definedName name="____Ob1" localSheetId="10">#REF!</definedName>
    <definedName name="____Ob1">#REF!</definedName>
    <definedName name="____qwe1" localSheetId="15">#REF!</definedName>
    <definedName name="____qwe1" localSheetId="11">#REF!</definedName>
    <definedName name="____qwe1" localSheetId="10">#REF!</definedName>
    <definedName name="____qwe1">#REF!</definedName>
    <definedName name="____qwe123" localSheetId="15">#REF!</definedName>
    <definedName name="____qwe123" localSheetId="11">#REF!</definedName>
    <definedName name="____qwe123" localSheetId="10">#REF!</definedName>
    <definedName name="____qwe123">#REF!</definedName>
    <definedName name="____qwe1237" localSheetId="15">#REF!</definedName>
    <definedName name="____qwe1237" localSheetId="11">#REF!</definedName>
    <definedName name="____qwe1237" localSheetId="10">#REF!</definedName>
    <definedName name="____qwe1237">#REF!</definedName>
    <definedName name="____qwe23" localSheetId="15">#REF!</definedName>
    <definedName name="____qwe23" localSheetId="11">#REF!</definedName>
    <definedName name="____qwe23" localSheetId="10">#REF!</definedName>
    <definedName name="____qwe23">#REF!</definedName>
    <definedName name="___a02" localSheetId="15">#REF!</definedName>
    <definedName name="___a02" localSheetId="11">#REF!</definedName>
    <definedName name="___a02" localSheetId="10">#REF!</definedName>
    <definedName name="___a02">#REF!</definedName>
    <definedName name="___A1" localSheetId="15">#REF!</definedName>
    <definedName name="___A1" localSheetId="11">#REF!</definedName>
    <definedName name="___A1" localSheetId="10">#REF!</definedName>
    <definedName name="___A1">#REF!</definedName>
    <definedName name="___A100000" localSheetId="15">#REF!</definedName>
    <definedName name="___A100000" localSheetId="11">#REF!</definedName>
    <definedName name="___A100000">#REF!</definedName>
    <definedName name="___A1000000" localSheetId="15">#REF!</definedName>
    <definedName name="___A1000000" localSheetId="11">#REF!</definedName>
    <definedName name="___A1000000">#REF!</definedName>
    <definedName name="___cur1">'[3]#ССЫЛКА'!$Q$2</definedName>
    <definedName name="___FOT1">'[4]ФОТ по месяцам'!$D$5:$D$41</definedName>
    <definedName name="___gf2" localSheetId="15">#REF!</definedName>
    <definedName name="___gf2" localSheetId="2">#REF!</definedName>
    <definedName name="___gf2" localSheetId="1">#REF!</definedName>
    <definedName name="___gf2" localSheetId="11">#REF!</definedName>
    <definedName name="___gf2" localSheetId="8">#REF!</definedName>
    <definedName name="___gf2" localSheetId="9">#REF!</definedName>
    <definedName name="___gf2" localSheetId="10">#REF!</definedName>
    <definedName name="___gf2" localSheetId="5">#REF!</definedName>
    <definedName name="___gf2" localSheetId="4">#REF!</definedName>
    <definedName name="___gf2">#REF!</definedName>
    <definedName name="___mmm89" localSheetId="15">#REF!</definedName>
    <definedName name="___mmm89" localSheetId="11">#REF!</definedName>
    <definedName name="___mmm89" localSheetId="8">#REF!</definedName>
    <definedName name="___mmm89" localSheetId="9">#REF!</definedName>
    <definedName name="___mmm89" localSheetId="10">#REF!</definedName>
    <definedName name="___mmm89">#REF!</definedName>
    <definedName name="___Ob1" localSheetId="15">#REF!</definedName>
    <definedName name="___Ob1" localSheetId="11">#REF!</definedName>
    <definedName name="___Ob1" localSheetId="8">#REF!</definedName>
    <definedName name="___Ob1" localSheetId="9">#REF!</definedName>
    <definedName name="___Ob1" localSheetId="10">#REF!</definedName>
    <definedName name="___Ob1">#REF!</definedName>
    <definedName name="___qwe1" localSheetId="15">#REF!</definedName>
    <definedName name="___qwe1" localSheetId="11">#REF!</definedName>
    <definedName name="___qwe1" localSheetId="10">#REF!</definedName>
    <definedName name="___qwe1">#REF!</definedName>
    <definedName name="___qwe123" localSheetId="15">#REF!</definedName>
    <definedName name="___qwe123" localSheetId="11">#REF!</definedName>
    <definedName name="___qwe123" localSheetId="10">#REF!</definedName>
    <definedName name="___qwe123">#REF!</definedName>
    <definedName name="___qwe1237" localSheetId="15">#REF!</definedName>
    <definedName name="___qwe1237" localSheetId="11">#REF!</definedName>
    <definedName name="___qwe1237" localSheetId="10">#REF!</definedName>
    <definedName name="___qwe1237">#REF!</definedName>
    <definedName name="___qwe23" localSheetId="15">#REF!</definedName>
    <definedName name="___qwe23" localSheetId="11">#REF!</definedName>
    <definedName name="___qwe23" localSheetId="10">#REF!</definedName>
    <definedName name="___qwe23">#REF!</definedName>
    <definedName name="__123Graph_AMAIN" localSheetId="15" hidden="1">[5]ЦЕНА!#REF!</definedName>
    <definedName name="__123Graph_AMAIN" localSheetId="11" hidden="1">[5]ЦЕНА!#REF!</definedName>
    <definedName name="__123Graph_AMAIN" hidden="1">[5]ЦЕНА!#REF!</definedName>
    <definedName name="__a02" localSheetId="15">#REF!</definedName>
    <definedName name="__a02" localSheetId="2">#REF!</definedName>
    <definedName name="__a02" localSheetId="1">#REF!</definedName>
    <definedName name="__a02" localSheetId="11">#REF!</definedName>
    <definedName name="__a02" localSheetId="8">#REF!</definedName>
    <definedName name="__a02" localSheetId="9">#REF!</definedName>
    <definedName name="__a02" localSheetId="10">#REF!</definedName>
    <definedName name="__a02" localSheetId="5">#REF!</definedName>
    <definedName name="__a02" localSheetId="4">#REF!</definedName>
    <definedName name="__a02">#REF!</definedName>
    <definedName name="__A1" localSheetId="15">#REF!</definedName>
    <definedName name="__A1" localSheetId="11">#REF!</definedName>
    <definedName name="__A1" localSheetId="8">#REF!</definedName>
    <definedName name="__A1" localSheetId="9">#REF!</definedName>
    <definedName name="__A1" localSheetId="10">#REF!</definedName>
    <definedName name="__A1">#REF!</definedName>
    <definedName name="__A100000" localSheetId="15">#REF!</definedName>
    <definedName name="__A100000" localSheetId="11">#REF!</definedName>
    <definedName name="__A100000">#REF!</definedName>
    <definedName name="__A1000000" localSheetId="15">#REF!</definedName>
    <definedName name="__A1000000" localSheetId="11">#REF!</definedName>
    <definedName name="__A1000000">#REF!</definedName>
    <definedName name="__cur1">'[6]#ССЫЛКА'!$Q$2</definedName>
    <definedName name="__FOT1">'[4]ФОТ по месяцам'!$D$5:$D$41</definedName>
    <definedName name="__FY1" localSheetId="15">[7]!__FY1</definedName>
    <definedName name="__FY1" localSheetId="11">#N/A</definedName>
    <definedName name="__FY1" localSheetId="8">#N/A</definedName>
    <definedName name="__FY1" localSheetId="9">#N/A</definedName>
    <definedName name="__FY1">#N/A</definedName>
    <definedName name="__gf2" localSheetId="15">#REF!</definedName>
    <definedName name="__gf2" localSheetId="2">#REF!</definedName>
    <definedName name="__gf2" localSheetId="1">#REF!</definedName>
    <definedName name="__gf2" localSheetId="11">#REF!</definedName>
    <definedName name="__gf2" localSheetId="8">#REF!</definedName>
    <definedName name="__gf2" localSheetId="9">#REF!</definedName>
    <definedName name="__gf2" localSheetId="10">#REF!</definedName>
    <definedName name="__gf2" localSheetId="5">#REF!</definedName>
    <definedName name="__gf2" localSheetId="4">#REF!</definedName>
    <definedName name="__gf2">#REF!</definedName>
    <definedName name="__M8" localSheetId="15">[7]!__M8</definedName>
    <definedName name="__M8" localSheetId="11">#N/A</definedName>
    <definedName name="__M8" localSheetId="8">#N/A</definedName>
    <definedName name="__M8" localSheetId="9">#N/A</definedName>
    <definedName name="__M8">#N/A</definedName>
    <definedName name="__M9" localSheetId="15">[7]!__M9</definedName>
    <definedName name="__M9" localSheetId="11">#N/A</definedName>
    <definedName name="__M9" localSheetId="8">#N/A</definedName>
    <definedName name="__M9" localSheetId="9">#N/A</definedName>
    <definedName name="__M9">#N/A</definedName>
    <definedName name="__mm1" localSheetId="15">[8]ПРОГНОЗ_1!#REF!</definedName>
    <definedName name="__mm1" localSheetId="2">[9]ПРОГНОЗ_1!#REF!</definedName>
    <definedName name="__mm1" localSheetId="1">[9]ПРОГНОЗ_1!#REF!</definedName>
    <definedName name="__mm1" localSheetId="11">[8]ПРОГНОЗ_1!#REF!</definedName>
    <definedName name="__mm1" localSheetId="8">[8]ПРОГНОЗ_1!#REF!</definedName>
    <definedName name="__mm1" localSheetId="9">[8]ПРОГНОЗ_1!#REF!</definedName>
    <definedName name="__mm1" localSheetId="10">[10]ПРОГНОЗ_1!#REF!</definedName>
    <definedName name="__mm1" localSheetId="5">[9]ПРОГНОЗ_1!#REF!</definedName>
    <definedName name="__mm1" localSheetId="4">[9]ПРОГНОЗ_1!#REF!</definedName>
    <definedName name="__mm1">[11]ПРОГНОЗ_1!#REF!</definedName>
    <definedName name="__mmm89" localSheetId="15">#REF!</definedName>
    <definedName name="__mmm89" localSheetId="2">#REF!</definedName>
    <definedName name="__mmm89" localSheetId="1">#REF!</definedName>
    <definedName name="__mmm89" localSheetId="11">#REF!</definedName>
    <definedName name="__mmm89" localSheetId="8">#REF!</definedName>
    <definedName name="__mmm89" localSheetId="9">#REF!</definedName>
    <definedName name="__mmm89" localSheetId="10">#REF!</definedName>
    <definedName name="__mmm89" localSheetId="5">#REF!</definedName>
    <definedName name="__mmm89" localSheetId="4">#REF!</definedName>
    <definedName name="__mmm89">#REF!</definedName>
    <definedName name="__mn5">'[12]BCS APP CR'!$E$24</definedName>
    <definedName name="__Ob1" localSheetId="15">#REF!</definedName>
    <definedName name="__Ob1" localSheetId="2">#REF!</definedName>
    <definedName name="__Ob1" localSheetId="1">#REF!</definedName>
    <definedName name="__Ob1" localSheetId="11">#REF!</definedName>
    <definedName name="__Ob1" localSheetId="8">#REF!</definedName>
    <definedName name="__Ob1" localSheetId="9">#REF!</definedName>
    <definedName name="__Ob1" localSheetId="10">#REF!</definedName>
    <definedName name="__Ob1" localSheetId="5">#REF!</definedName>
    <definedName name="__Ob1" localSheetId="4">#REF!</definedName>
    <definedName name="__Ob1">#REF!</definedName>
    <definedName name="__q11" localSheetId="15">[7]!__q11</definedName>
    <definedName name="__q11" localSheetId="11">#N/A</definedName>
    <definedName name="__q11" localSheetId="8">#N/A</definedName>
    <definedName name="__q11" localSheetId="9">#N/A</definedName>
    <definedName name="__q11">#N/A</definedName>
    <definedName name="__q15" localSheetId="15">[7]!__q15</definedName>
    <definedName name="__q15" localSheetId="11">#N/A</definedName>
    <definedName name="__q15" localSheetId="8">#N/A</definedName>
    <definedName name="__q15" localSheetId="9">#N/A</definedName>
    <definedName name="__q15">#N/A</definedName>
    <definedName name="__q17" localSheetId="15">[7]!__q17</definedName>
    <definedName name="__q17" localSheetId="11">#N/A</definedName>
    <definedName name="__q17" localSheetId="8">#N/A</definedName>
    <definedName name="__q17" localSheetId="9">#N/A</definedName>
    <definedName name="__q17">#N/A</definedName>
    <definedName name="__q2" localSheetId="15">[7]!__q2</definedName>
    <definedName name="__q2" localSheetId="11">#N/A</definedName>
    <definedName name="__q2" localSheetId="8">#N/A</definedName>
    <definedName name="__q2" localSheetId="9">#N/A</definedName>
    <definedName name="__q2">#N/A</definedName>
    <definedName name="__q3" localSheetId="15">[7]!__q3</definedName>
    <definedName name="__q3" localSheetId="11">#N/A</definedName>
    <definedName name="__q3" localSheetId="8">#N/A</definedName>
    <definedName name="__q3" localSheetId="9">#N/A</definedName>
    <definedName name="__q3">#N/A</definedName>
    <definedName name="__q4" localSheetId="15">[7]!__q4</definedName>
    <definedName name="__q4" localSheetId="11">#N/A</definedName>
    <definedName name="__q4" localSheetId="8">#N/A</definedName>
    <definedName name="__q4" localSheetId="9">#N/A</definedName>
    <definedName name="__q4">#N/A</definedName>
    <definedName name="__q5" localSheetId="15">[7]!__q5</definedName>
    <definedName name="__q5" localSheetId="11">#N/A</definedName>
    <definedName name="__q5" localSheetId="8">#N/A</definedName>
    <definedName name="__q5" localSheetId="9">#N/A</definedName>
    <definedName name="__q5">#N/A</definedName>
    <definedName name="__q6" localSheetId="15">[7]!__q6</definedName>
    <definedName name="__q6" localSheetId="11">#N/A</definedName>
    <definedName name="__q6" localSheetId="8">#N/A</definedName>
    <definedName name="__q6" localSheetId="9">#N/A</definedName>
    <definedName name="__q6">#N/A</definedName>
    <definedName name="__q7" localSheetId="15">[7]!__q7</definedName>
    <definedName name="__q7" localSheetId="11">#N/A</definedName>
    <definedName name="__q7" localSheetId="8">#N/A</definedName>
    <definedName name="__q7" localSheetId="9">#N/A</definedName>
    <definedName name="__q7">#N/A</definedName>
    <definedName name="__q8" localSheetId="15">[7]!__q8</definedName>
    <definedName name="__q8" localSheetId="11">#N/A</definedName>
    <definedName name="__q8" localSheetId="8">#N/A</definedName>
    <definedName name="__q8" localSheetId="9">#N/A</definedName>
    <definedName name="__q8">#N/A</definedName>
    <definedName name="__q9" localSheetId="15">[7]!__q9</definedName>
    <definedName name="__q9" localSheetId="11">#N/A</definedName>
    <definedName name="__q9" localSheetId="8">#N/A</definedName>
    <definedName name="__q9" localSheetId="9">#N/A</definedName>
    <definedName name="__q9">#N/A</definedName>
    <definedName name="__qwe1" localSheetId="15">#REF!</definedName>
    <definedName name="__qwe1" localSheetId="2">#REF!</definedName>
    <definedName name="__qwe1" localSheetId="1">#REF!</definedName>
    <definedName name="__qwe1" localSheetId="11">#REF!</definedName>
    <definedName name="__qwe1" localSheetId="8">#REF!</definedName>
    <definedName name="__qwe1" localSheetId="9">#REF!</definedName>
    <definedName name="__qwe1" localSheetId="10">#REF!</definedName>
    <definedName name="__qwe1" localSheetId="5">#REF!</definedName>
    <definedName name="__qwe1" localSheetId="4">#REF!</definedName>
    <definedName name="__qwe1">#REF!</definedName>
    <definedName name="__qwe123" localSheetId="15">#REF!</definedName>
    <definedName name="__qwe123" localSheetId="11">#REF!</definedName>
    <definedName name="__qwe123" localSheetId="8">#REF!</definedName>
    <definedName name="__qwe123" localSheetId="9">#REF!</definedName>
    <definedName name="__qwe123" localSheetId="10">#REF!</definedName>
    <definedName name="__qwe123">#REF!</definedName>
    <definedName name="__qwe1237" localSheetId="15">#REF!</definedName>
    <definedName name="__qwe1237" localSheetId="11">#REF!</definedName>
    <definedName name="__qwe1237" localSheetId="8">#REF!</definedName>
    <definedName name="__qwe1237" localSheetId="9">#REF!</definedName>
    <definedName name="__qwe1237" localSheetId="10">#REF!</definedName>
    <definedName name="__qwe1237">#REF!</definedName>
    <definedName name="__qwe23" localSheetId="15">#REF!</definedName>
    <definedName name="__qwe23" localSheetId="11">#REF!</definedName>
    <definedName name="__qwe23" localSheetId="10">#REF!</definedName>
    <definedName name="__qwe23">#REF!</definedName>
    <definedName name="__sl1" localSheetId="15">#REF!</definedName>
    <definedName name="__sl1" localSheetId="11">#REF!</definedName>
    <definedName name="__sl1">#REF!</definedName>
    <definedName name="__sl10" localSheetId="15">#REF!</definedName>
    <definedName name="__sl10" localSheetId="11">#REF!</definedName>
    <definedName name="__sl10">#REF!</definedName>
    <definedName name="__sl11" localSheetId="15">#REF!</definedName>
    <definedName name="__sl11" localSheetId="11">#REF!</definedName>
    <definedName name="__sl11">#REF!</definedName>
    <definedName name="__sl12" localSheetId="15">#REF!</definedName>
    <definedName name="__sl12" localSheetId="11">#REF!</definedName>
    <definedName name="__sl12">#REF!</definedName>
    <definedName name="__sl13" localSheetId="15">#REF!</definedName>
    <definedName name="__sl13" localSheetId="11">#REF!</definedName>
    <definedName name="__sl13">#REF!</definedName>
    <definedName name="__sl14" localSheetId="15">#REF!</definedName>
    <definedName name="__sl14" localSheetId="11">#REF!</definedName>
    <definedName name="__sl14">#REF!</definedName>
    <definedName name="__sl15" localSheetId="15">#REF!</definedName>
    <definedName name="__sl15" localSheetId="11">#REF!</definedName>
    <definedName name="__sl15">#REF!</definedName>
    <definedName name="__sl16" localSheetId="15">#REF!</definedName>
    <definedName name="__sl16" localSheetId="11">#REF!</definedName>
    <definedName name="__sl16">#REF!</definedName>
    <definedName name="__sl17" localSheetId="15">#REF!</definedName>
    <definedName name="__sl17" localSheetId="11">#REF!</definedName>
    <definedName name="__sl17">#REF!</definedName>
    <definedName name="__sl18" localSheetId="15">#REF!</definedName>
    <definedName name="__sl18" localSheetId="11">#REF!</definedName>
    <definedName name="__sl18">#REF!</definedName>
    <definedName name="__sl19" localSheetId="15">#REF!</definedName>
    <definedName name="__sl19" localSheetId="11">#REF!</definedName>
    <definedName name="__sl19">#REF!</definedName>
    <definedName name="__sl2" localSheetId="15">#REF!</definedName>
    <definedName name="__sl2" localSheetId="11">#REF!</definedName>
    <definedName name="__sl2">#REF!</definedName>
    <definedName name="__sl20" localSheetId="15">#REF!</definedName>
    <definedName name="__sl20" localSheetId="11">#REF!</definedName>
    <definedName name="__sl20">#REF!</definedName>
    <definedName name="__sl21" localSheetId="15">#REF!</definedName>
    <definedName name="__sl21" localSheetId="11">#REF!</definedName>
    <definedName name="__sl21">#REF!</definedName>
    <definedName name="__sl22" localSheetId="15">#REF!</definedName>
    <definedName name="__sl22" localSheetId="11">#REF!</definedName>
    <definedName name="__sl22">#REF!</definedName>
    <definedName name="__sl23" localSheetId="15">#REF!</definedName>
    <definedName name="__sl23" localSheetId="11">#REF!</definedName>
    <definedName name="__sl23">#REF!</definedName>
    <definedName name="__sl24" localSheetId="15">#REF!</definedName>
    <definedName name="__sl24" localSheetId="11">#REF!</definedName>
    <definedName name="__sl24">#REF!</definedName>
    <definedName name="__sl3" localSheetId="15">#REF!</definedName>
    <definedName name="__sl3" localSheetId="11">#REF!</definedName>
    <definedName name="__sl3">#REF!</definedName>
    <definedName name="__sl4" localSheetId="15">#REF!</definedName>
    <definedName name="__sl4" localSheetId="11">#REF!</definedName>
    <definedName name="__sl4">#REF!</definedName>
    <definedName name="__sl5" localSheetId="15">#REF!</definedName>
    <definedName name="__sl5" localSheetId="11">#REF!</definedName>
    <definedName name="__sl5">#REF!</definedName>
    <definedName name="__sl6" localSheetId="15">#REF!</definedName>
    <definedName name="__sl6" localSheetId="11">#REF!</definedName>
    <definedName name="__sl6">#REF!</definedName>
    <definedName name="__sl7" localSheetId="15">#REF!</definedName>
    <definedName name="__sl7" localSheetId="11">#REF!</definedName>
    <definedName name="__sl7">#REF!</definedName>
    <definedName name="__sl8" localSheetId="15">#REF!</definedName>
    <definedName name="__sl8" localSheetId="11">#REF!</definedName>
    <definedName name="__sl8">#REF!</definedName>
    <definedName name="__sl9" localSheetId="15">#REF!</definedName>
    <definedName name="__sl9" localSheetId="11">#REF!</definedName>
    <definedName name="__sl9">#REF!</definedName>
    <definedName name="__sy1" localSheetId="15">#REF!</definedName>
    <definedName name="__sy1" localSheetId="11">#REF!</definedName>
    <definedName name="__sy1">#REF!</definedName>
    <definedName name="__sy10" localSheetId="15">#REF!</definedName>
    <definedName name="__sy10" localSheetId="11">#REF!</definedName>
    <definedName name="__sy10">#REF!</definedName>
    <definedName name="__sy11" localSheetId="15">#REF!</definedName>
    <definedName name="__sy11" localSheetId="11">#REF!</definedName>
    <definedName name="__sy11">#REF!</definedName>
    <definedName name="__sy12" localSheetId="15">#REF!</definedName>
    <definedName name="__sy12" localSheetId="11">#REF!</definedName>
    <definedName name="__sy12">#REF!</definedName>
    <definedName name="__sy13" localSheetId="15">#REF!</definedName>
    <definedName name="__sy13" localSheetId="11">#REF!</definedName>
    <definedName name="__sy13">#REF!</definedName>
    <definedName name="__sy14" localSheetId="15">#REF!</definedName>
    <definedName name="__sy14" localSheetId="11">#REF!</definedName>
    <definedName name="__sy14">#REF!</definedName>
    <definedName name="__sy147" localSheetId="15">#REF!</definedName>
    <definedName name="__sy147" localSheetId="11">#REF!</definedName>
    <definedName name="__sy147">#REF!</definedName>
    <definedName name="__sy15" localSheetId="15">#REF!</definedName>
    <definedName name="__sy15" localSheetId="11">#REF!</definedName>
    <definedName name="__sy15">#REF!</definedName>
    <definedName name="__sy16" localSheetId="15">#REF!</definedName>
    <definedName name="__sy16" localSheetId="11">#REF!</definedName>
    <definedName name="__sy16">#REF!</definedName>
    <definedName name="__sy17" localSheetId="15">#REF!</definedName>
    <definedName name="__sy17" localSheetId="11">#REF!</definedName>
    <definedName name="__sy17">#REF!</definedName>
    <definedName name="__sy18" localSheetId="15">#REF!</definedName>
    <definedName name="__sy18" localSheetId="11">#REF!</definedName>
    <definedName name="__sy18">#REF!</definedName>
    <definedName name="__sy19" localSheetId="15">#REF!</definedName>
    <definedName name="__sy19" localSheetId="11">#REF!</definedName>
    <definedName name="__sy19">#REF!</definedName>
    <definedName name="__sy2" localSheetId="15">#REF!</definedName>
    <definedName name="__sy2" localSheetId="11">#REF!</definedName>
    <definedName name="__sy2">#REF!</definedName>
    <definedName name="__sy20" localSheetId="15">#REF!</definedName>
    <definedName name="__sy20" localSheetId="11">#REF!</definedName>
    <definedName name="__sy20">#REF!</definedName>
    <definedName name="__sy21" localSheetId="15">#REF!</definedName>
    <definedName name="__sy21" localSheetId="11">#REF!</definedName>
    <definedName name="__sy21">#REF!</definedName>
    <definedName name="__sy22" localSheetId="15">#REF!</definedName>
    <definedName name="__sy22" localSheetId="11">#REF!</definedName>
    <definedName name="__sy22">#REF!</definedName>
    <definedName name="__sy23" localSheetId="15">#REF!</definedName>
    <definedName name="__sy23" localSheetId="11">#REF!</definedName>
    <definedName name="__sy23">#REF!</definedName>
    <definedName name="__sy24" localSheetId="15">#REF!</definedName>
    <definedName name="__sy24" localSheetId="11">#REF!</definedName>
    <definedName name="__sy24">#REF!</definedName>
    <definedName name="__sy3" localSheetId="15">#REF!</definedName>
    <definedName name="__sy3" localSheetId="11">#REF!</definedName>
    <definedName name="__sy3">#REF!</definedName>
    <definedName name="__sy4" localSheetId="15">#REF!</definedName>
    <definedName name="__sy4" localSheetId="11">#REF!</definedName>
    <definedName name="__sy4">#REF!</definedName>
    <definedName name="__sy5" localSheetId="15">#REF!</definedName>
    <definedName name="__sy5" localSheetId="11">#REF!</definedName>
    <definedName name="__sy5">#REF!</definedName>
    <definedName name="__sy6" localSheetId="15">#REF!</definedName>
    <definedName name="__sy6" localSheetId="11">#REF!</definedName>
    <definedName name="__sy6">#REF!</definedName>
    <definedName name="__sy67">'[13]APP Systems'!$H$49</definedName>
    <definedName name="__sy7" localSheetId="15">#REF!</definedName>
    <definedName name="__sy7" localSheetId="2">#REF!</definedName>
    <definedName name="__sy7" localSheetId="1">#REF!</definedName>
    <definedName name="__sy7" localSheetId="11">#REF!</definedName>
    <definedName name="__sy7" localSheetId="8">#REF!</definedName>
    <definedName name="__sy7" localSheetId="9">#REF!</definedName>
    <definedName name="__sy7" localSheetId="10">#REF!</definedName>
    <definedName name="__sy7" localSheetId="5">#REF!</definedName>
    <definedName name="__sy7" localSheetId="4">#REF!</definedName>
    <definedName name="__sy7">#REF!</definedName>
    <definedName name="__sy8" localSheetId="15">#REF!</definedName>
    <definedName name="__sy8" localSheetId="11">#REF!</definedName>
    <definedName name="__sy8">#REF!</definedName>
    <definedName name="__sy9" localSheetId="15">#REF!</definedName>
    <definedName name="__sy9" localSheetId="11">#REF!</definedName>
    <definedName name="__sy9">#REF!</definedName>
    <definedName name="__TAX1" localSheetId="15">#REF!</definedName>
    <definedName name="__TAX1" localSheetId="11">#REF!</definedName>
    <definedName name="__TAX1">#REF!</definedName>
    <definedName name="__TAX2" localSheetId="15">#REF!</definedName>
    <definedName name="__TAX2" localSheetId="11">#REF!</definedName>
    <definedName name="__TAX2">#REF!</definedName>
    <definedName name="__TAX3" localSheetId="15">#REF!</definedName>
    <definedName name="__TAX3" localSheetId="11">#REF!</definedName>
    <definedName name="__TAX3">#REF!</definedName>
    <definedName name="_1.Телевизоры" localSheetId="15">'[14]Общие продажи'!#REF!</definedName>
    <definedName name="_1.Телевизоры" localSheetId="11">'[14]Общие продажи'!#REF!</definedName>
    <definedName name="_1.Телевизоры" localSheetId="10">'[14]Общие продажи'!#REF!</definedName>
    <definedName name="_1.Телевизоры">'[14]Общие продажи'!#REF!</definedName>
    <definedName name="_10.УСЛУГИ" localSheetId="15">'[14]Общие продажи'!#REF!</definedName>
    <definedName name="_10.УСЛУГИ" localSheetId="11">'[14]Общие продажи'!#REF!</definedName>
    <definedName name="_10.УСЛУГИ" localSheetId="10">'[14]Общие продажи'!#REF!</definedName>
    <definedName name="_10.УСЛУГИ">'[14]Общие продажи'!#REF!</definedName>
    <definedName name="_11.1.ТВ21" localSheetId="15">'[14]Общие продажи'!#REF!</definedName>
    <definedName name="_11.1.ТВ21" localSheetId="11">'[14]Общие продажи'!#REF!</definedName>
    <definedName name="_11.1.ТВ21" localSheetId="10">'[14]Общие продажи'!#REF!</definedName>
    <definedName name="_11.1.ТВ21">'[14]Общие продажи'!#REF!</definedName>
    <definedName name="_11.2.ТВ21" localSheetId="15">'[14]Общие продажи'!#REF!</definedName>
    <definedName name="_11.2.ТВ21" localSheetId="11">'[14]Общие продажи'!#REF!</definedName>
    <definedName name="_11.2.ТВ21" localSheetId="10">'[14]Общие продажи'!#REF!</definedName>
    <definedName name="_11.2.ТВ21">'[14]Общие продажи'!#REF!</definedName>
    <definedName name="_11.3.ТВ20" localSheetId="15">'[14]Общие продажи'!#REF!</definedName>
    <definedName name="_11.3.ТВ20" localSheetId="11">'[14]Общие продажи'!#REF!</definedName>
    <definedName name="_11.3.ТВ20" localSheetId="10">'[14]Общие продажи'!#REF!</definedName>
    <definedName name="_11.3.ТВ20">'[14]Общие продажи'!#REF!</definedName>
    <definedName name="_11.4.ТВ14" localSheetId="15">'[14]Общие продажи'!#REF!</definedName>
    <definedName name="_11.4.ТВ14" localSheetId="11">'[14]Общие продажи'!#REF!</definedName>
    <definedName name="_11.4.ТВ14" localSheetId="10">'[14]Общие продажи'!#REF!</definedName>
    <definedName name="_11.4.ТВ14">'[14]Общие продажи'!#REF!</definedName>
    <definedName name="_11.5ТВэлитные" localSheetId="15">'[14]Общие продажи'!#REF!</definedName>
    <definedName name="_11.5ТВэлитные" localSheetId="11">'[14]Общие продажи'!#REF!</definedName>
    <definedName name="_11.5ТВэлитные" localSheetId="10">'[14]Общие продажи'!#REF!</definedName>
    <definedName name="_11.5ТВэлитные">'[14]Общие продажи'!#REF!</definedName>
    <definedName name="_11.6АвтоТВ" localSheetId="15">'[14]Общие продажи'!#REF!</definedName>
    <definedName name="_11.6АвтоТВ" localSheetId="11">'[14]Общие продажи'!#REF!</definedName>
    <definedName name="_11.6АвтоТВ" localSheetId="10">'[14]Общие продажи'!#REF!</definedName>
    <definedName name="_11.6АвтоТВ">'[14]Общие продажи'!#REF!</definedName>
    <definedName name="_11.СКИДКИ" localSheetId="15">'[14]Общие продажи'!#REF!</definedName>
    <definedName name="_11.СКИДКИ" localSheetId="11">'[14]Общие продажи'!#REF!</definedName>
    <definedName name="_11.СКИДКИ" localSheetId="10">'[14]Общие продажи'!#REF!</definedName>
    <definedName name="_11.СКИДКИ">'[14]Общие продажи'!#REF!</definedName>
    <definedName name="_12.НЕИЗВ.ТОВАР" localSheetId="15">'[14]Общие продажи'!#REF!</definedName>
    <definedName name="_12.НЕИЗВ.ТОВАР" localSheetId="11">'[14]Общие продажи'!#REF!</definedName>
    <definedName name="_12.НЕИЗВ.ТОВАР" localSheetId="10">'[14]Общие продажи'!#REF!</definedName>
    <definedName name="_12.НЕИЗВ.ТОВАР">'[14]Общие продажи'!#REF!</definedName>
    <definedName name="_2.Видео" localSheetId="15">'[14]Общие продажи'!#REF!</definedName>
    <definedName name="_2.Видео" localSheetId="11">'[14]Общие продажи'!#REF!</definedName>
    <definedName name="_2.Видео" localSheetId="10">'[14]Общие продажи'!#REF!</definedName>
    <definedName name="_2.Видео">'[14]Общие продажи'!#REF!</definedName>
    <definedName name="_22.5.Видеомагн." localSheetId="15">'[14]Общие продажи'!#REF!</definedName>
    <definedName name="_22.5.Видеомагн." localSheetId="11">'[14]Общие продажи'!#REF!</definedName>
    <definedName name="_22.5.Видеомагн." localSheetId="10">'[14]Общие продажи'!#REF!</definedName>
    <definedName name="_22.5.Видеомагн.">'[14]Общие продажи'!#REF!</definedName>
    <definedName name="_22.6.Видеопл.пиш" localSheetId="15">'[14]Общие продажи'!#REF!</definedName>
    <definedName name="_22.6.Видеопл.пиш" localSheetId="11">'[14]Общие продажи'!#REF!</definedName>
    <definedName name="_22.6.Видеопл.пиш" localSheetId="10">'[14]Общие продажи'!#REF!</definedName>
    <definedName name="_22.6.Видеопл.пиш">'[14]Общие продажи'!#REF!</definedName>
    <definedName name="_22.7.Bидеопл.неп" localSheetId="15">'[14]Общие продажи'!#REF!</definedName>
    <definedName name="_22.7.Bидеопл.неп" localSheetId="11">'[14]Общие продажи'!#REF!</definedName>
    <definedName name="_22.7.Bидеопл.неп" localSheetId="10">'[14]Общие продажи'!#REF!</definedName>
    <definedName name="_22.7.Bидеопл.неп">'[14]Общие продажи'!#REF!</definedName>
    <definedName name="_22.8.Bидеокамеры" localSheetId="15">'[14]Общие продажи'!#REF!</definedName>
    <definedName name="_22.8.Bидеокамеры" localSheetId="11">'[14]Общие продажи'!#REF!</definedName>
    <definedName name="_22.8.Bидеокамеры" localSheetId="10">'[14]Общие продажи'!#REF!</definedName>
    <definedName name="_22.8.Bидеокамеры">'[14]Общие продажи'!#REF!</definedName>
    <definedName name="_3.Аудио" localSheetId="15">'[14]Общие продажи'!#REF!</definedName>
    <definedName name="_3.Аудио" localSheetId="11">'[14]Общие продажи'!#REF!</definedName>
    <definedName name="_3.Аудио" localSheetId="10">'[14]Общие продажи'!#REF!</definedName>
    <definedName name="_3.Аудио">'[14]Общие продажи'!#REF!</definedName>
    <definedName name="_3AУДИОMAГНЛ" localSheetId="15">'[14]Общие продажи'!#REF!</definedName>
    <definedName name="_3AУДИОMAГНЛ" localSheetId="11">'[14]Общие продажи'!#REF!</definedName>
    <definedName name="_3AУДИОMAГНЛ" localSheetId="10">'[14]Общие продажи'!#REF!</definedName>
    <definedName name="_3AУДИОMAГНЛ">'[14]Общие продажи'!#REF!</definedName>
    <definedName name="_3MУЗ.ЦЕНТРЫ" localSheetId="15">'[14]Общие продажи'!#REF!</definedName>
    <definedName name="_3MУЗ.ЦЕНТРЫ" localSheetId="11">'[14]Общие продажи'!#REF!</definedName>
    <definedName name="_3MУЗ.ЦЕНТРЫ" localSheetId="10">'[14]Общие продажи'!#REF!</definedName>
    <definedName name="_3MУЗ.ЦЕНТРЫ">'[14]Общие продажи'!#REF!</definedName>
    <definedName name="_3WALKMAN" localSheetId="15">'[14]Общие продажи'!#REF!</definedName>
    <definedName name="_3WALKMAN" localSheetId="11">'[14]Общие продажи'!#REF!</definedName>
    <definedName name="_3WALKMAN" localSheetId="10">'[14]Общие продажи'!#REF!</definedName>
    <definedName name="_3WALKMAN">'[14]Общие продажи'!#REF!</definedName>
    <definedName name="_3Наушники" localSheetId="15">'[14]Общие продажи'!#REF!</definedName>
    <definedName name="_3Наушники" localSheetId="11">'[14]Общие продажи'!#REF!</definedName>
    <definedName name="_3Наушники" localSheetId="10">'[14]Общие продажи'!#REF!</definedName>
    <definedName name="_3Наушники">'[14]Общие продажи'!#REF!</definedName>
    <definedName name="_4.HiFisystem" localSheetId="15">'[14]Общие продажи'!#REF!</definedName>
    <definedName name="_4.HiFisystem" localSheetId="11">'[14]Общие продажи'!#REF!</definedName>
    <definedName name="_4.HiFisystem" localSheetId="10">'[14]Общие продажи'!#REF!</definedName>
    <definedName name="_4.HiFisystem">'[14]Общие продажи'!#REF!</definedName>
    <definedName name="_44.1.Technics" localSheetId="15">'[14]Общие продажи'!#REF!</definedName>
    <definedName name="_44.1.Technics" localSheetId="11">'[14]Общие продажи'!#REF!</definedName>
    <definedName name="_44.1.Technics" localSheetId="10">'[14]Общие продажи'!#REF!</definedName>
    <definedName name="_44.1.Technics">'[14]Общие продажи'!#REF!</definedName>
    <definedName name="_44.10.Yamaha" localSheetId="15">'[14]Общие продажи'!#REF!</definedName>
    <definedName name="_44.10.Yamaha" localSheetId="11">'[14]Общие продажи'!#REF!</definedName>
    <definedName name="_44.10.Yamaha" localSheetId="10">'[14]Общие продажи'!#REF!</definedName>
    <definedName name="_44.10.Yamaha">'[14]Общие продажи'!#REF!</definedName>
    <definedName name="_44.11.Pioneer" localSheetId="15">'[14]Общие продажи'!#REF!</definedName>
    <definedName name="_44.11.Pioneer" localSheetId="11">'[14]Общие продажи'!#REF!</definedName>
    <definedName name="_44.11.Pioneer" localSheetId="10">'[14]Общие продажи'!#REF!</definedName>
    <definedName name="_44.11.Pioneer">'[14]Общие продажи'!#REF!</definedName>
    <definedName name="_44.15.Infinity" localSheetId="15">'[14]Общие продажи'!#REF!</definedName>
    <definedName name="_44.15.Infinity" localSheetId="11">'[14]Общие продажи'!#REF!</definedName>
    <definedName name="_44.15.Infinity" localSheetId="10">'[14]Общие продажи'!#REF!</definedName>
    <definedName name="_44.15.Infinity">'[14]Общие продажи'!#REF!</definedName>
    <definedName name="_44.19.Canton" localSheetId="15">'[14]Общие продажи'!#REF!</definedName>
    <definedName name="_44.19.Canton" localSheetId="11">'[14]Общие продажи'!#REF!</definedName>
    <definedName name="_44.19.Canton" localSheetId="10">'[14]Общие продажи'!#REF!</definedName>
    <definedName name="_44.19.Canton">'[14]Общие продажи'!#REF!</definedName>
    <definedName name="_44.2.Sony" localSheetId="15">'[14]Общие продажи'!#REF!</definedName>
    <definedName name="_44.2.Sony" localSheetId="11">'[14]Общие продажи'!#REF!</definedName>
    <definedName name="_44.2.Sony" localSheetId="10">'[14]Общие продажи'!#REF!</definedName>
    <definedName name="_44.2.Sony">'[14]Общие продажи'!#REF!</definedName>
    <definedName name="_44.21.Paradigm" localSheetId="15">'[14]Общие продажи'!#REF!</definedName>
    <definedName name="_44.21.Paradigm" localSheetId="11">'[14]Общие продажи'!#REF!</definedName>
    <definedName name="_44.21.Paradigm" localSheetId="10">'[14]Общие продажи'!#REF!</definedName>
    <definedName name="_44.21.Paradigm">'[14]Общие продажи'!#REF!</definedName>
    <definedName name="_44.23MBQuart" localSheetId="15">'[14]Общие продажи'!#REF!</definedName>
    <definedName name="_44.23MBQuart" localSheetId="11">'[14]Общие продажи'!#REF!</definedName>
    <definedName name="_44.23MBQuart" localSheetId="10">'[14]Общие продажи'!#REF!</definedName>
    <definedName name="_44.23MBQuart">'[14]Общие продажи'!#REF!</definedName>
    <definedName name="_44.24Tannoy" localSheetId="15">'[14]Общие продажи'!#REF!</definedName>
    <definedName name="_44.24Tannoy" localSheetId="11">'[14]Общие продажи'!#REF!</definedName>
    <definedName name="_44.24Tannoy" localSheetId="10">'[14]Общие продажи'!#REF!</definedName>
    <definedName name="_44.24Tannoy">'[14]Общие продажи'!#REF!</definedName>
    <definedName name="_44.25Mission" localSheetId="15">'[14]Общие продажи'!#REF!</definedName>
    <definedName name="_44.25Mission" localSheetId="11">'[14]Общие продажи'!#REF!</definedName>
    <definedName name="_44.25Mission" localSheetId="10">'[14]Общие продажи'!#REF!</definedName>
    <definedName name="_44.25Mission">'[14]Общие продажи'!#REF!</definedName>
    <definedName name="_44.26HFстойки" localSheetId="15">'[14]Общие продажи'!#REF!</definedName>
    <definedName name="_44.26HFстойки" localSheetId="11">'[14]Общие продажи'!#REF!</definedName>
    <definedName name="_44.26HFстойки" localSheetId="10">'[14]Общие продажи'!#REF!</definedName>
    <definedName name="_44.26HFстойки">'[14]Общие продажи'!#REF!</definedName>
    <definedName name="_44.27HFкомпон." localSheetId="15">'[14]Общие продажи'!#REF!</definedName>
    <definedName name="_44.27HFкомпон." localSheetId="11">'[14]Общие продажи'!#REF!</definedName>
    <definedName name="_44.27HFкомпон." localSheetId="10">'[14]Общие продажи'!#REF!</definedName>
    <definedName name="_44.27HFкомпон.">'[14]Общие продажи'!#REF!</definedName>
    <definedName name="_44.29Проекторы" localSheetId="15">'[14]Общие продажи'!#REF!</definedName>
    <definedName name="_44.29Проекторы" localSheetId="11">'[14]Общие продажи'!#REF!</definedName>
    <definedName name="_44.29Проекторы" localSheetId="10">'[14]Общие продажи'!#REF!</definedName>
    <definedName name="_44.29Проекторы">'[14]Общие продажи'!#REF!</definedName>
    <definedName name="_44.31DVDVidCD" localSheetId="15">'[14]Общие продажи'!#REF!</definedName>
    <definedName name="_44.31DVDVidCD" localSheetId="11">'[14]Общие продажи'!#REF!</definedName>
    <definedName name="_44.31DVDVidCD" localSheetId="10">'[14]Общие продажи'!#REF!</definedName>
    <definedName name="_44.31DVDVidCD">'[14]Общие продажи'!#REF!</definedName>
    <definedName name="_44.34Aud.Selec." localSheetId="15">'[14]Общие продажи'!#REF!</definedName>
    <definedName name="_44.34Aud.Selec." localSheetId="11">'[14]Общие продажи'!#REF!</definedName>
    <definedName name="_44.34Aud.Selec." localSheetId="10">'[14]Общие продажи'!#REF!</definedName>
    <definedName name="_44.34Aud.Selec.">'[14]Общие продажи'!#REF!</definedName>
    <definedName name="_44.35Уцен.товар" localSheetId="15">'[14]Общие продажи'!#REF!</definedName>
    <definedName name="_44.35Уцен.товар" localSheetId="11">'[14]Общие продажи'!#REF!</definedName>
    <definedName name="_44.35Уцен.товар" localSheetId="10">'[14]Общие продажи'!#REF!</definedName>
    <definedName name="_44.35Уцен.товар">'[14]Общие продажи'!#REF!</definedName>
    <definedName name="_44.4.JBL" localSheetId="15">'[14]Общие продажи'!#REF!</definedName>
    <definedName name="_44.4.JBL" localSheetId="11">'[14]Общие продажи'!#REF!</definedName>
    <definedName name="_44.4.JBL" localSheetId="10">'[14]Общие продажи'!#REF!</definedName>
    <definedName name="_44.4.JBL">'[14]Общие продажи'!#REF!</definedName>
    <definedName name="_44.5.Denon" localSheetId="15">'[14]Общие продажи'!#REF!</definedName>
    <definedName name="_44.5.Denon" localSheetId="11">'[14]Общие продажи'!#REF!</definedName>
    <definedName name="_44.5.Denon" localSheetId="10">'[14]Общие продажи'!#REF!</definedName>
    <definedName name="_44.5.Denon">'[14]Общие продажи'!#REF!</definedName>
    <definedName name="_44.8.Marantz" localSheetId="15">'[14]Общие продажи'!#REF!</definedName>
    <definedName name="_44.8.Marantz" localSheetId="11">'[14]Общие продажи'!#REF!</definedName>
    <definedName name="_44.8.Marantz" localSheetId="10">'[14]Общие продажи'!#REF!</definedName>
    <definedName name="_44.8.Marantz">'[14]Общие продажи'!#REF!</definedName>
    <definedName name="_44.9.Jamo" localSheetId="15">'[14]Общие продажи'!#REF!</definedName>
    <definedName name="_44.9.Jamo" localSheetId="11">'[14]Общие продажи'!#REF!</definedName>
    <definedName name="_44.9.Jamo" localSheetId="10">'[14]Общие продажи'!#REF!</definedName>
    <definedName name="_44.9.Jamo">'[14]Общие продажи'!#REF!</definedName>
    <definedName name="_5.ABТОAУДИО" localSheetId="15">'[14]Общие продажи'!#REF!</definedName>
    <definedName name="_5.ABТОAУДИО" localSheetId="11">'[14]Общие продажи'!#REF!</definedName>
    <definedName name="_5.ABТОAУДИО" localSheetId="10">'[14]Общие продажи'!#REF!</definedName>
    <definedName name="_5.ABТОAУДИО">'[14]Общие продажи'!#REF!</definedName>
    <definedName name="_55.1.Panasonic" localSheetId="15">'[14]Общие продажи'!#REF!</definedName>
    <definedName name="_55.1.Panasonic" localSheetId="11">'[14]Общие продажи'!#REF!</definedName>
    <definedName name="_55.1.Panasonic" localSheetId="10">'[14]Общие продажи'!#REF!</definedName>
    <definedName name="_55.1.Panasonic">'[14]Общие продажи'!#REF!</definedName>
    <definedName name="_55.11.Проее" localSheetId="15">'[14]Общие продажи'!#REF!</definedName>
    <definedName name="_55.11.Проее" localSheetId="11">'[14]Общие продажи'!#REF!</definedName>
    <definedName name="_55.11.Проее" localSheetId="10">'[14]Общие продажи'!#REF!</definedName>
    <definedName name="_55.11.Проее">'[14]Общие продажи'!#REF!</definedName>
    <definedName name="_55.12JBL" localSheetId="15">'[14]Общие продажи'!#REF!</definedName>
    <definedName name="_55.12JBL" localSheetId="11">'[14]Общие продажи'!#REF!</definedName>
    <definedName name="_55.12JBL" localSheetId="10">'[14]Общие продажи'!#REF!</definedName>
    <definedName name="_55.12JBL">'[14]Общие продажи'!#REF!</definedName>
    <definedName name="_55.15Infinity" localSheetId="15">'[14]Общие продажи'!#REF!</definedName>
    <definedName name="_55.15Infinity" localSheetId="11">'[14]Общие продажи'!#REF!</definedName>
    <definedName name="_55.15Infinity" localSheetId="10">'[14]Общие продажи'!#REF!</definedName>
    <definedName name="_55.15Infinity">'[14]Общие продажи'!#REF!</definedName>
    <definedName name="_55.2.Sony" localSheetId="15">'[14]Общие продажи'!#REF!</definedName>
    <definedName name="_55.2.Sony" localSheetId="11">'[14]Общие продажи'!#REF!</definedName>
    <definedName name="_55.2.Sony" localSheetId="10">'[14]Общие продажи'!#REF!</definedName>
    <definedName name="_55.2.Sony">'[14]Общие продажи'!#REF!</definedName>
    <definedName name="_55.22Авт.антены" localSheetId="15">'[14]Общие продажи'!#REF!</definedName>
    <definedName name="_55.22Авт.антены" localSheetId="11">'[14]Общие продажи'!#REF!</definedName>
    <definedName name="_55.22Авт.антены" localSheetId="10">'[14]Общие продажи'!#REF!</definedName>
    <definedName name="_55.22Авт.антены">'[14]Общие продажи'!#REF!</definedName>
    <definedName name="_55.23LG" localSheetId="15">'[14]Общие продажи'!#REF!</definedName>
    <definedName name="_55.23LG" localSheetId="11">'[14]Общие продажи'!#REF!</definedName>
    <definedName name="_55.23LG" localSheetId="10">'[14]Общие продажи'!#REF!</definedName>
    <definedName name="_55.23LG">'[14]Общие продажи'!#REF!</definedName>
    <definedName name="_55.24АВТОПРОЕЕ" localSheetId="15">'[14]Общие продажи'!#REF!</definedName>
    <definedName name="_55.24АВТОПРОЕЕ" localSheetId="11">'[14]Общие продажи'!#REF!</definedName>
    <definedName name="_55.24АВТОПРОЕЕ" localSheetId="10">'[14]Общие продажи'!#REF!</definedName>
    <definedName name="_55.24АВТОПРОЕЕ">'[14]Общие продажи'!#REF!</definedName>
    <definedName name="_55.26Aiwa" localSheetId="15">'[14]Общие продажи'!#REF!</definedName>
    <definedName name="_55.26Aiwa" localSheetId="11">'[14]Общие продажи'!#REF!</definedName>
    <definedName name="_55.26Aiwa" localSheetId="10">'[14]Общие продажи'!#REF!</definedName>
    <definedName name="_55.26Aiwa">'[14]Общие продажи'!#REF!</definedName>
    <definedName name="_55.3.Alpine" localSheetId="15">'[14]Общие продажи'!#REF!</definedName>
    <definedName name="_55.3.Alpine" localSheetId="11">'[14]Общие продажи'!#REF!</definedName>
    <definedName name="_55.3.Alpine" localSheetId="10">'[14]Общие продажи'!#REF!</definedName>
    <definedName name="_55.3.Alpine">'[14]Общие продажи'!#REF!</definedName>
    <definedName name="_55.5.Pioneer" localSheetId="15">'[14]Общие продажи'!#REF!</definedName>
    <definedName name="_55.5.Pioneer" localSheetId="11">'[14]Общие продажи'!#REF!</definedName>
    <definedName name="_55.5.Pioneer" localSheetId="10">'[14]Общие продажи'!#REF!</definedName>
    <definedName name="_55.5.Pioneer">'[14]Общие продажи'!#REF!</definedName>
    <definedName name="_55.6.Blaupunct" localSheetId="15">'[14]Общие продажи'!#REF!</definedName>
    <definedName name="_55.6.Blaupunct" localSheetId="11">'[14]Общие продажи'!#REF!</definedName>
    <definedName name="_55.6.Blaupunct" localSheetId="10">'[14]Общие продажи'!#REF!</definedName>
    <definedName name="_55.6.Blaupunct">'[14]Общие продажи'!#REF!</definedName>
    <definedName name="_55.7.Kenwood" localSheetId="15">'[14]Общие продажи'!#REF!</definedName>
    <definedName name="_55.7.Kenwood" localSheetId="11">'[14]Общие продажи'!#REF!</definedName>
    <definedName name="_55.7.Kenwood" localSheetId="10">'[14]Общие продажи'!#REF!</definedName>
    <definedName name="_55.7.Kenwood">'[14]Общие продажи'!#REF!</definedName>
    <definedName name="_55.9.Clarion" localSheetId="15">'[14]Общие продажи'!#REF!</definedName>
    <definedName name="_55.9.Clarion" localSheetId="11">'[14]Общие продажи'!#REF!</definedName>
    <definedName name="_55.9.Clarion" localSheetId="10">'[14]Общие продажи'!#REF!</definedName>
    <definedName name="_55.9.Clarion">'[14]Общие продажи'!#REF!</definedName>
    <definedName name="_5Автокомпоненты" localSheetId="15">'[14]Общие продажи'!#REF!</definedName>
    <definedName name="_5Автокомпоненты" localSheetId="11">'[14]Общие продажи'!#REF!</definedName>
    <definedName name="_5Автокомпоненты" localSheetId="10">'[14]Общие продажи'!#REF!</definedName>
    <definedName name="_5Автокомпоненты">'[14]Общие продажи'!#REF!</definedName>
    <definedName name="_6.ТЕЛЕФОНЫ" localSheetId="15">'[14]Общие продажи'!#REF!</definedName>
    <definedName name="_6.ТЕЛЕФОНЫ" localSheetId="11">'[14]Общие продажи'!#REF!</definedName>
    <definedName name="_6.ТЕЛЕФОНЫ" localSheetId="10">'[14]Общие продажи'!#REF!</definedName>
    <definedName name="_6.ТЕЛЕФОНЫ">'[14]Общие продажи'!#REF!</definedName>
    <definedName name="_66.1.ПР.ТЕЛЕФОНЫ" localSheetId="15">'[14]Общие продажи'!#REF!</definedName>
    <definedName name="_66.1.ПР.ТЕЛЕФОНЫ" localSheetId="11">'[14]Общие продажи'!#REF!</definedName>
    <definedName name="_66.1.ПР.ТЕЛЕФОНЫ" localSheetId="10">'[14]Общие продажи'!#REF!</definedName>
    <definedName name="_66.1.ПР.ТЕЛЕФОНЫ">'[14]Общие продажи'!#REF!</definedName>
    <definedName name="_66.2.ТЕЛЕФОНЫPanas." localSheetId="15">'[14]Общие продажи'!#REF!</definedName>
    <definedName name="_66.2.ТЕЛЕФОНЫPanas." localSheetId="11">'[14]Общие продажи'!#REF!</definedName>
    <definedName name="_66.2.ТЕЛЕФОНЫPanas." localSheetId="10">'[14]Общие продажи'!#REF!</definedName>
    <definedName name="_66.2.ТЕЛЕФОНЫPanas.">'[14]Общие продажи'!#REF!</definedName>
    <definedName name="_7.БЫТ.ТЕХНИКА" localSheetId="15">'[14]Общие продажи'!#REF!</definedName>
    <definedName name="_7.БЫТ.ТЕХНИКА" localSheetId="11">'[14]Общие продажи'!#REF!</definedName>
    <definedName name="_7.БЫТ.ТЕХНИКА" localSheetId="10">'[14]Общие продажи'!#REF!</definedName>
    <definedName name="_7.БЫТ.ТЕХНИКА">'[14]Общие продажи'!#REF!</definedName>
    <definedName name="_77.1.PANASONIC" localSheetId="15">'[14]Общие продажи'!#REF!</definedName>
    <definedName name="_77.1.PANASONIC" localSheetId="11">'[14]Общие продажи'!#REF!</definedName>
    <definedName name="_77.1.PANASONIC" localSheetId="10">'[14]Общие продажи'!#REF!</definedName>
    <definedName name="_77.1.PANASONIC">'[14]Общие продажи'!#REF!</definedName>
    <definedName name="_77.10.INDESITARISTON" localSheetId="15">'[14]Общие продажи'!#REF!</definedName>
    <definedName name="_77.10.INDESITARISTON" localSheetId="11">'[14]Общие продажи'!#REF!</definedName>
    <definedName name="_77.10.INDESITARISTON" localSheetId="10">'[14]Общие продажи'!#REF!</definedName>
    <definedName name="_77.10.INDESITARISTON">'[14]Общие продажи'!#REF!</definedName>
    <definedName name="_77.12.BRAUN" localSheetId="15">'[14]Общие продажи'!#REF!</definedName>
    <definedName name="_77.12.BRAUN" localSheetId="11">'[14]Общие продажи'!#REF!</definedName>
    <definedName name="_77.12.BRAUN" localSheetId="10">'[14]Общие продажи'!#REF!</definedName>
    <definedName name="_77.12.BRAUN">'[14]Общие продажи'!#REF!</definedName>
    <definedName name="_77.14.BROTHER" localSheetId="15">'[14]Общие продажи'!#REF!</definedName>
    <definedName name="_77.14.BROTHER" localSheetId="11">'[14]Общие продажи'!#REF!</definedName>
    <definedName name="_77.14.BROTHER" localSheetId="10">'[14]Общие продажи'!#REF!</definedName>
    <definedName name="_77.14.BROTHER">'[14]Общие продажи'!#REF!</definedName>
    <definedName name="_77.15.ZANUSSI" localSheetId="15">'[14]Общие продажи'!#REF!</definedName>
    <definedName name="_77.15.ZANUSSI" localSheetId="11">'[14]Общие продажи'!#REF!</definedName>
    <definedName name="_77.15.ZANUSSI" localSheetId="10">'[14]Общие продажи'!#REF!</definedName>
    <definedName name="_77.15.ZANUSSI">'[14]Общие продажи'!#REF!</definedName>
    <definedName name="_77.16.GoldStar" localSheetId="15">'[14]Общие продажи'!#REF!</definedName>
    <definedName name="_77.16.GoldStar" localSheetId="11">'[14]Общие продажи'!#REF!</definedName>
    <definedName name="_77.16.GoldStar" localSheetId="10">'[14]Общие продажи'!#REF!</definedName>
    <definedName name="_77.16.GoldStar">'[14]Общие продажи'!#REF!</definedName>
    <definedName name="_77.17.THOMAS" localSheetId="15">'[14]Общие продажи'!#REF!</definedName>
    <definedName name="_77.17.THOMAS" localSheetId="11">'[14]Общие продажи'!#REF!</definedName>
    <definedName name="_77.17.THOMAS" localSheetId="10">'[14]Общие продажи'!#REF!</definedName>
    <definedName name="_77.17.THOMAS">'[14]Общие продажи'!#REF!</definedName>
    <definedName name="_77.19.Проая" localSheetId="15">'[14]Общие продажи'!#REF!</definedName>
    <definedName name="_77.19.Проая" localSheetId="11">'[14]Общие продажи'!#REF!</definedName>
    <definedName name="_77.19.Проая" localSheetId="10">'[14]Общие продажи'!#REF!</definedName>
    <definedName name="_77.19.Проая">'[14]Общие продажи'!#REF!</definedName>
    <definedName name="_77.2.SHARP" localSheetId="15">'[14]Общие продажи'!#REF!</definedName>
    <definedName name="_77.2.SHARP" localSheetId="11">'[14]Общие продажи'!#REF!</definedName>
    <definedName name="_77.2.SHARP" localSheetId="10">'[14]Общие продажи'!#REF!</definedName>
    <definedName name="_77.2.SHARP">'[14]Общие продажи'!#REF!</definedName>
    <definedName name="_77.20.MOULINEX" localSheetId="15">'[14]Общие продажи'!#REF!</definedName>
    <definedName name="_77.20.MOULINEX" localSheetId="11">'[14]Общие продажи'!#REF!</definedName>
    <definedName name="_77.20.MOULINEX" localSheetId="10">'[14]Общие продажи'!#REF!</definedName>
    <definedName name="_77.20.MOULINEX">'[14]Общие продажи'!#REF!</definedName>
    <definedName name="_77.21.BOSCHSIEM" localSheetId="15">'[14]Общие продажи'!#REF!</definedName>
    <definedName name="_77.21.BOSCHSIEM" localSheetId="11">'[14]Общие продажи'!#REF!</definedName>
    <definedName name="_77.21.BOSCHSIEM" localSheetId="10">'[14]Общие продажи'!#REF!</definedName>
    <definedName name="_77.21.BOSCHSIEM">'[14]Общие продажи'!#REF!</definedName>
    <definedName name="_77.24KRUPS" localSheetId="15">'[14]Общие продажи'!#REF!</definedName>
    <definedName name="_77.24KRUPS" localSheetId="11">'[14]Общие продажи'!#REF!</definedName>
    <definedName name="_77.24KRUPS" localSheetId="10">'[14]Общие продажи'!#REF!</definedName>
    <definedName name="_77.24KRUPS">'[14]Общие продажи'!#REF!</definedName>
    <definedName name="_77.25VESTFROST" localSheetId="15">'[14]Общие продажи'!#REF!</definedName>
    <definedName name="_77.25VESTFROST" localSheetId="11">'[14]Общие продажи'!#REF!</definedName>
    <definedName name="_77.25VESTFROST" localSheetId="10">'[14]Общие продажи'!#REF!</definedName>
    <definedName name="_77.25VESTFROST">'[14]Общие продажи'!#REF!</definedName>
    <definedName name="_77.30FUNAI" localSheetId="15">'[14]Общие продажи'!#REF!</definedName>
    <definedName name="_77.30FUNAI" localSheetId="11">'[14]Общие продажи'!#REF!</definedName>
    <definedName name="_77.30FUNAI" localSheetId="10">'[14]Общие продажи'!#REF!</definedName>
    <definedName name="_77.30FUNAI">'[14]Общие продажи'!#REF!</definedName>
    <definedName name="_77.31DAEWOO" localSheetId="15">'[14]Общие продажи'!#REF!</definedName>
    <definedName name="_77.31DAEWOO" localSheetId="11">'[14]Общие продажи'!#REF!</definedName>
    <definedName name="_77.31DAEWOO" localSheetId="10">'[14]Общие продажи'!#REF!</definedName>
    <definedName name="_77.31DAEWOO">'[14]Общие продажи'!#REF!</definedName>
    <definedName name="_77.32ELECTROLUX" localSheetId="15">'[14]Общие продажи'!#REF!</definedName>
    <definedName name="_77.32ELECTROLUX" localSheetId="11">'[14]Общие продажи'!#REF!</definedName>
    <definedName name="_77.32ELECTROLUX" localSheetId="10">'[14]Общие продажи'!#REF!</definedName>
    <definedName name="_77.32ELECTROLUX">'[14]Общие продажи'!#REF!</definedName>
    <definedName name="_77.33VAXGALAXY" localSheetId="15">'[14]Общие продажи'!#REF!</definedName>
    <definedName name="_77.33VAXGALAXY" localSheetId="11">'[14]Общие продажи'!#REF!</definedName>
    <definedName name="_77.33VAXGALAXY" localSheetId="10">'[14]Общие продажи'!#REF!</definedName>
    <definedName name="_77.33VAXGALAXY">'[14]Общие продажи'!#REF!</definedName>
    <definedName name="_77.34HITACHI" localSheetId="15">'[14]Общие продажи'!#REF!</definedName>
    <definedName name="_77.34HITACHI" localSheetId="11">'[14]Общие продажи'!#REF!</definedName>
    <definedName name="_77.34HITACHI" localSheetId="10">'[14]Общие продажи'!#REF!</definedName>
    <definedName name="_77.34HITACHI">'[14]Общие продажи'!#REF!</definedName>
    <definedName name="_77.35ПОСУДА" localSheetId="15">'[14]Общие продажи'!#REF!</definedName>
    <definedName name="_77.35ПОСУДА" localSheetId="11">'[14]Общие продажи'!#REF!</definedName>
    <definedName name="_77.35ПОСУДА" localSheetId="10">'[14]Общие продажи'!#REF!</definedName>
    <definedName name="_77.35ПОСУДА">'[14]Общие продажи'!#REF!</definedName>
    <definedName name="_77.37Rosenlew" localSheetId="15">'[14]Общие продажи'!#REF!</definedName>
    <definedName name="_77.37Rosenlew" localSheetId="11">'[14]Общие продажи'!#REF!</definedName>
    <definedName name="_77.37Rosenlew" localSheetId="10">'[14]Общие продажи'!#REF!</definedName>
    <definedName name="_77.37Rosenlew">'[14]Общие продажи'!#REF!</definedName>
    <definedName name="_77.4.ROWENTA" localSheetId="15">'[14]Общие продажи'!#REF!</definedName>
    <definedName name="_77.4.ROWENTA" localSheetId="11">'[14]Общие продажи'!#REF!</definedName>
    <definedName name="_77.4.ROWENTA" localSheetId="10">'[14]Общие продажи'!#REF!</definedName>
    <definedName name="_77.4.ROWENTA">'[14]Общие продажи'!#REF!</definedName>
    <definedName name="_77.40Кондицион." localSheetId="15">'[14]Общие продажи'!#REF!</definedName>
    <definedName name="_77.40Кондицион." localSheetId="11">'[14]Общие продажи'!#REF!</definedName>
    <definedName name="_77.40Кондицион." localSheetId="10">'[14]Общие продажи'!#REF!</definedName>
    <definedName name="_77.40Кондицион.">'[14]Общие продажи'!#REF!</definedName>
    <definedName name="_77.41Моющ.срва" localSheetId="15">'[14]Общие продажи'!#REF!</definedName>
    <definedName name="_77.41Моющ.срва" localSheetId="11">'[14]Общие продажи'!#REF!</definedName>
    <definedName name="_77.41Моющ.срва" localSheetId="10">'[14]Общие продажи'!#REF!</definedName>
    <definedName name="_77.41Моющ.срва">'[14]Общие продажи'!#REF!</definedName>
    <definedName name="_77.42Фильт.вод." localSheetId="15">'[14]Общие продажи'!#REF!</definedName>
    <definedName name="_77.42Фильт.вод." localSheetId="11">'[14]Общие продажи'!#REF!</definedName>
    <definedName name="_77.42Фильт.вод." localSheetId="10">'[14]Общие продажи'!#REF!</definedName>
    <definedName name="_77.42Фильт.вод.">'[14]Общие продажи'!#REF!</definedName>
    <definedName name="_77.44Elica" localSheetId="15">'[14]Общие продажи'!#REF!</definedName>
    <definedName name="_77.44Elica" localSheetId="11">'[14]Общие продажи'!#REF!</definedName>
    <definedName name="_77.44Elica" localSheetId="10">'[14]Общие продажи'!#REF!</definedName>
    <definedName name="_77.44Elica">'[14]Общие продажи'!#REF!</definedName>
    <definedName name="_77.46AEG" localSheetId="15">'[14]Общие продажи'!#REF!</definedName>
    <definedName name="_77.46AEG" localSheetId="11">'[14]Общие продажи'!#REF!</definedName>
    <definedName name="_77.46AEG" localSheetId="10">'[14]Общие продажи'!#REF!</definedName>
    <definedName name="_77.46AEG">'[14]Общие продажи'!#REF!</definedName>
    <definedName name="_77.47Liebherr" localSheetId="15">'[14]Общие продажи'!#REF!</definedName>
    <definedName name="_77.47Liebherr" localSheetId="11">'[14]Общие продажи'!#REF!</definedName>
    <definedName name="_77.47Liebherr" localSheetId="10">'[14]Общие продажи'!#REF!</definedName>
    <definedName name="_77.47Liebherr">'[14]Общие продажи'!#REF!</definedName>
    <definedName name="_77.48Soehnle" localSheetId="15">'[14]Общие продажи'!#REF!</definedName>
    <definedName name="_77.48Soehnle" localSheetId="11">'[14]Общие продажи'!#REF!</definedName>
    <definedName name="_77.48Soehnle" localSheetId="10">'[14]Общие продажи'!#REF!</definedName>
    <definedName name="_77.48Soehnle">'[14]Общие продажи'!#REF!</definedName>
    <definedName name="_77.49Binatone" localSheetId="15">'[14]Общие продажи'!#REF!</definedName>
    <definedName name="_77.49Binatone" localSheetId="11">'[14]Общие продажи'!#REF!</definedName>
    <definedName name="_77.49Binatone" localSheetId="10">'[14]Общие продажи'!#REF!</definedName>
    <definedName name="_77.49Binatone">'[14]Общие продажи'!#REF!</definedName>
    <definedName name="_77.5.SAMSUNG" localSheetId="15">'[14]Общие продажи'!#REF!</definedName>
    <definedName name="_77.5.SAMSUNG" localSheetId="11">'[14]Общие продажи'!#REF!</definedName>
    <definedName name="_77.5.SAMSUNG" localSheetId="10">'[14]Общие продажи'!#REF!</definedName>
    <definedName name="_77.5.SAMSUNG">'[14]Общие продажи'!#REF!</definedName>
    <definedName name="_77.50FOX" localSheetId="15">'[14]Общие продажи'!#REF!</definedName>
    <definedName name="_77.50FOX" localSheetId="11">'[14]Общие продажи'!#REF!</definedName>
    <definedName name="_77.50FOX" localSheetId="10">'[14]Общие продажи'!#REF!</definedName>
    <definedName name="_77.50FOX">'[14]Общие продажи'!#REF!</definedName>
    <definedName name="_77.6.TEFAL" localSheetId="15">'[14]Общие продажи'!#REF!</definedName>
    <definedName name="_77.6.TEFAL" localSheetId="11">'[14]Общие продажи'!#REF!</definedName>
    <definedName name="_77.6.TEFAL" localSheetId="10">'[14]Общие продажи'!#REF!</definedName>
    <definedName name="_77.6.TEFAL">'[14]Общие продажи'!#REF!</definedName>
    <definedName name="_77.7.SUPRA" localSheetId="15">'[14]Общие продажи'!#REF!</definedName>
    <definedName name="_77.7.SUPRA" localSheetId="11">'[14]Общие продажи'!#REF!</definedName>
    <definedName name="_77.7.SUPRA" localSheetId="10">'[14]Общие продажи'!#REF!</definedName>
    <definedName name="_77.7.SUPRA">'[14]Общие продажи'!#REF!</definedName>
    <definedName name="_77.8.PHILIPS" localSheetId="15">'[14]Общие продажи'!#REF!</definedName>
    <definedName name="_77.8.PHILIPS" localSheetId="11">'[14]Общие продажи'!#REF!</definedName>
    <definedName name="_77.8.PHILIPS" localSheetId="10">'[14]Общие продажи'!#REF!</definedName>
    <definedName name="_77.8.PHILIPS">'[14]Общие продажи'!#REF!</definedName>
    <definedName name="_77.9.CANDY" localSheetId="15">'[14]Общие продажи'!#REF!</definedName>
    <definedName name="_77.9.CANDY" localSheetId="11">'[14]Общие продажи'!#REF!</definedName>
    <definedName name="_77.9.CANDY" localSheetId="10">'[14]Общие продажи'!#REF!</definedName>
    <definedName name="_77.9.CANDY">'[14]Общие продажи'!#REF!</definedName>
    <definedName name="_8.ПРОЕЕ" localSheetId="15">'[14]Общие продажи'!#REF!</definedName>
    <definedName name="_8.ПРОЕЕ" localSheetId="11">'[14]Общие продажи'!#REF!</definedName>
    <definedName name="_8.ПРОЕЕ" localSheetId="10">'[14]Общие продажи'!#REF!</definedName>
    <definedName name="_8.ПРОЕЕ">'[14]Общие продажи'!#REF!</definedName>
    <definedName name="_80110.11Тов.дост" localSheetId="15">'[14]Общие продажи'!#REF!</definedName>
    <definedName name="_80110.11Тов.дост" localSheetId="11">'[14]Общие продажи'!#REF!</definedName>
    <definedName name="_80110.11Тов.дост" localSheetId="10">'[14]Общие продажи'!#REF!</definedName>
    <definedName name="_80110.11Тов.дост">'[14]Общие продажи'!#REF!</definedName>
    <definedName name="_80110.14Подкл.БТ" localSheetId="15">'[14]Общие продажи'!#REF!</definedName>
    <definedName name="_80110.14Подкл.БТ" localSheetId="11">'[14]Общие продажи'!#REF!</definedName>
    <definedName name="_80110.14Подкл.БТ" localSheetId="10">'[14]Общие продажи'!#REF!</definedName>
    <definedName name="_80110.14Подкл.БТ">'[14]Общие продажи'!#REF!</definedName>
    <definedName name="_802Скидка" localSheetId="15">'[14]Общие продажи'!#REF!</definedName>
    <definedName name="_802Скидка" localSheetId="11">'[14]Общие продажи'!#REF!</definedName>
    <definedName name="_802Скидка" localSheetId="10">'[14]Общие продажи'!#REF!</definedName>
    <definedName name="_802Скидка">'[14]Общие продажи'!#REF!</definedName>
    <definedName name="_88.1.Фототехника" localSheetId="15">'[14]Общие продажи'!#REF!</definedName>
    <definedName name="_88.1.Фототехника" localSheetId="11">'[14]Общие продажи'!#REF!</definedName>
    <definedName name="_88.1.Фототехника" localSheetId="10">'[14]Общие продажи'!#REF!</definedName>
    <definedName name="_88.1.Фототехника">'[14]Общие продажи'!#REF!</definedName>
    <definedName name="_88.10.Бат.акк." localSheetId="15">'[14]Общие продажи'!#REF!</definedName>
    <definedName name="_88.10.Бат.акк." localSheetId="11">'[14]Общие продажи'!#REF!</definedName>
    <definedName name="_88.10.Бат.акк." localSheetId="10">'[14]Общие продажи'!#REF!</definedName>
    <definedName name="_88.10.Бат.акк.">'[14]Общие продажи'!#REF!</definedName>
    <definedName name="_88.11.Кейсысум.ехлы" localSheetId="15">'[14]Общие продажи'!#REF!</definedName>
    <definedName name="_88.11.Кейсысум.ехлы" localSheetId="11">'[14]Общие продажи'!#REF!</definedName>
    <definedName name="_88.11.Кейсысум.ехлы" localSheetId="10">'[14]Общие продажи'!#REF!</definedName>
    <definedName name="_88.11.Кейсысум.ехлы">'[14]Общие продажи'!#REF!</definedName>
    <definedName name="_88.12.Пульты" localSheetId="15">'[14]Общие продажи'!#REF!</definedName>
    <definedName name="_88.12.Пульты" localSheetId="11">'[14]Общие продажи'!#REF!</definedName>
    <definedName name="_88.12.Пульты" localSheetId="10">'[14]Общие продажи'!#REF!</definedName>
    <definedName name="_88.12.Пульты">'[14]Общие продажи'!#REF!</definedName>
    <definedName name="_88.13.Кабеляшну" localSheetId="15">'[14]Общие продажи'!#REF!</definedName>
    <definedName name="_88.13.Кабеляшну" localSheetId="11">'[14]Общие продажи'!#REF!</definedName>
    <definedName name="_88.13.Кабеляшну" localSheetId="10">'[14]Общие продажи'!#REF!</definedName>
    <definedName name="_88.13.Кабеляшну">'[14]Общие продажи'!#REF!</definedName>
    <definedName name="_88.14.CaseLogicLL" localSheetId="15">'[14]Общие продажи'!#REF!</definedName>
    <definedName name="_88.14.CaseLogicLL" localSheetId="11">'[14]Общие продажи'!#REF!</definedName>
    <definedName name="_88.14.CaseLogicLL" localSheetId="10">'[14]Общие продажи'!#REF!</definedName>
    <definedName name="_88.14.CaseLogicLL">'[14]Общие продажи'!#REF!</definedName>
    <definedName name="_88.15.Кассетыдиски" localSheetId="15">'[14]Общие продажи'!#REF!</definedName>
    <definedName name="_88.15.Кассетыдиски" localSheetId="11">'[14]Общие продажи'!#REF!</definedName>
    <definedName name="_88.15.Кассетыдиски" localSheetId="10">'[14]Общие продажи'!#REF!</definedName>
    <definedName name="_88.15.Кассетыдиски">'[14]Общие продажи'!#REF!</definedName>
    <definedName name="_88.17.Реклама" localSheetId="15">'[14]Общие продажи'!#REF!</definedName>
    <definedName name="_88.17.Реклама" localSheetId="11">'[14]Общие продажи'!#REF!</definedName>
    <definedName name="_88.17.Реклама" localSheetId="10">'[14]Общие продажи'!#REF!</definedName>
    <definedName name="_88.17.Реклама">'[14]Общие продажи'!#REF!</definedName>
    <definedName name="_88.18асы" localSheetId="15">'[14]Общие продажи'!#REF!</definedName>
    <definedName name="_88.18асы" localSheetId="11">'[14]Общие продажи'!#REF!</definedName>
    <definedName name="_88.18асы" localSheetId="10">'[14]Общие продажи'!#REF!</definedName>
    <definedName name="_88.18асы">'[14]Общие продажи'!#REF!</definedName>
    <definedName name="_88.2.Оргтехника" localSheetId="15">'[14]Общие продажи'!#REF!</definedName>
    <definedName name="_88.2.Оргтехника" localSheetId="11">'[14]Общие продажи'!#REF!</definedName>
    <definedName name="_88.2.Оргтехника" localSheetId="10">'[14]Общие продажи'!#REF!</definedName>
    <definedName name="_88.2.Оргтехника">'[14]Общие продажи'!#REF!</definedName>
    <definedName name="_88.5.Стендыподставки" localSheetId="15">'[14]Общие продажи'!#REF!</definedName>
    <definedName name="_88.5.Стендыподставки" localSheetId="11">'[14]Общие продажи'!#REF!</definedName>
    <definedName name="_88.5.Стендыподставки" localSheetId="10">'[14]Общие продажи'!#REF!</definedName>
    <definedName name="_88.5.Стендыподставки">'[14]Общие продажи'!#REF!</definedName>
    <definedName name="_88.6.Игры" localSheetId="15">'[14]Общие продажи'!#REF!</definedName>
    <definedName name="_88.6.Игры" localSheetId="11">'[14]Общие продажи'!#REF!</definedName>
    <definedName name="_88.6.Игры" localSheetId="10">'[14]Общие продажи'!#REF!</definedName>
    <definedName name="_88.6.Игры">'[14]Общие продажи'!#REF!</definedName>
    <definedName name="_88.7.Микрофоны" localSheetId="15">'[14]Общие продажи'!#REF!</definedName>
    <definedName name="_88.7.Микрофоны" localSheetId="11">'[14]Общие продажи'!#REF!</definedName>
    <definedName name="_88.7.Микрофоны" localSheetId="10">'[14]Общие продажи'!#REF!</definedName>
    <definedName name="_88.7.Микрофоны">'[14]Общие продажи'!#REF!</definedName>
    <definedName name="_88.8.Антенны" localSheetId="15">'[14]Общие продажи'!#REF!</definedName>
    <definedName name="_88.8.Антенны" localSheetId="11">'[14]Общие продажи'!#REF!</definedName>
    <definedName name="_88.8.Антенны" localSheetId="10">'[14]Общие продажи'!#REF!</definedName>
    <definedName name="_88.8.Антенны">'[14]Общие продажи'!#REF!</definedName>
    <definedName name="_88.9.Адапт.акк." localSheetId="15">'[14]Общие продажи'!#REF!</definedName>
    <definedName name="_88.9.Адапт.акк." localSheetId="11">'[14]Общие продажи'!#REF!</definedName>
    <definedName name="_88.9.Адапт.акк." localSheetId="10">'[14]Общие продажи'!#REF!</definedName>
    <definedName name="_88.9.Адапт.акк.">'[14]Общие продажи'!#REF!</definedName>
    <definedName name="_8DVDLDHiFiк" localSheetId="15">'[14]Общие продажи'!#REF!</definedName>
    <definedName name="_8DVDLDHiFiк" localSheetId="11">'[14]Общие продажи'!#REF!</definedName>
    <definedName name="_8DVDLDHiFiк" localSheetId="10">'[14]Общие продажи'!#REF!</definedName>
    <definedName name="_8DVDLDHiFiк">'[14]Общие продажи'!#REF!</definedName>
    <definedName name="_8Канц.товары" localSheetId="15">'[14]Общие продажи'!#REF!</definedName>
    <definedName name="_8Канц.товары" localSheetId="11">'[14]Общие продажи'!#REF!</definedName>
    <definedName name="_8Канц.товары" localSheetId="10">'[14]Общие продажи'!#REF!</definedName>
    <definedName name="_8Канц.товары">'[14]Общие продажи'!#REF!</definedName>
    <definedName name="_9.Компьютеры" localSheetId="15">'[14]Общие продажи'!#REF!</definedName>
    <definedName name="_9.Компьютеры" localSheetId="11">'[14]Общие продажи'!#REF!</definedName>
    <definedName name="_9.Компьютеры" localSheetId="10">'[14]Общие продажи'!#REF!</definedName>
    <definedName name="_9.Компьютеры">'[14]Общие продажи'!#REF!</definedName>
    <definedName name="_90212.3Быт.Техник" localSheetId="15">'[14]Общие продажи'!#REF!</definedName>
    <definedName name="_90212.3Быт.Техник" localSheetId="11">'[14]Общие продажи'!#REF!</definedName>
    <definedName name="_90212.3Быт.Техник" localSheetId="10">'[14]Общие продажи'!#REF!</definedName>
    <definedName name="_90212.3Быт.Техник">'[14]Общие продажи'!#REF!</definedName>
    <definedName name="_9Вводвывод" localSheetId="15">'[14]Общие продажи'!#REF!</definedName>
    <definedName name="_9Вводвывод" localSheetId="11">'[14]Общие продажи'!#REF!</definedName>
    <definedName name="_9Вводвывод" localSheetId="10">'[14]Общие продажи'!#REF!</definedName>
    <definedName name="_9Вводвывод">'[14]Общие продажи'!#REF!</definedName>
    <definedName name="_9Готовыерешения" localSheetId="15">'[14]Общие продажи'!#REF!</definedName>
    <definedName name="_9Готовыерешения" localSheetId="11">'[14]Общие продажи'!#REF!</definedName>
    <definedName name="_9Готовыерешения" localSheetId="10">'[14]Общие продажи'!#REF!</definedName>
    <definedName name="_9Готовыерешения">'[14]Общие продажи'!#REF!</definedName>
    <definedName name="_9Игры" localSheetId="15">'[14]Общие продажи'!#REF!</definedName>
    <definedName name="_9Игры" localSheetId="11">'[14]Общие продажи'!#REF!</definedName>
    <definedName name="_9Игры" localSheetId="10">'[14]Общие продажи'!#REF!</definedName>
    <definedName name="_9Игры">'[14]Общие продажи'!#REF!</definedName>
    <definedName name="_9Кабеляперходн." localSheetId="15">'[14]Общие продажи'!#REF!</definedName>
    <definedName name="_9Кабеляперходн." localSheetId="11">'[14]Общие продажи'!#REF!</definedName>
    <definedName name="_9Кабеляперходн." localSheetId="10">'[14]Общие продажи'!#REF!</definedName>
    <definedName name="_9Кабеляперходн.">'[14]Общие продажи'!#REF!</definedName>
    <definedName name="_9Комп.мебель" localSheetId="15">'[14]Общие продажи'!#REF!</definedName>
    <definedName name="_9Комп.мебель" localSheetId="11">'[14]Общие продажи'!#REF!</definedName>
    <definedName name="_9Комп.мебель" localSheetId="10">'[14]Общие продажи'!#REF!</definedName>
    <definedName name="_9Комп.мебель">'[14]Общие продажи'!#REF!</definedName>
    <definedName name="_9Комплектующие" localSheetId="15">'[14]Общие продажи'!#REF!</definedName>
    <definedName name="_9Комплектующие" localSheetId="11">'[14]Общие продажи'!#REF!</definedName>
    <definedName name="_9Комплектующие" localSheetId="10">'[14]Общие продажи'!#REF!</definedName>
    <definedName name="_9Комплектующие">'[14]Общие продажи'!#REF!</definedName>
    <definedName name="_9Мониторы" localSheetId="15">'[14]Общие продажи'!#REF!</definedName>
    <definedName name="_9Мониторы" localSheetId="11">'[14]Общие продажи'!#REF!</definedName>
    <definedName name="_9Мониторы" localSheetId="10">'[14]Общие продажи'!#REF!</definedName>
    <definedName name="_9Мониторы">'[14]Общие продажи'!#REF!</definedName>
    <definedName name="_9Мультимедиа" localSheetId="15">'[14]Общие продажи'!#REF!</definedName>
    <definedName name="_9Мультимедиа" localSheetId="11">'[14]Общие продажи'!#REF!</definedName>
    <definedName name="_9Мультимедиа" localSheetId="10">'[14]Общие продажи'!#REF!</definedName>
    <definedName name="_9Мультимедиа">'[14]Общие продажи'!#REF!</definedName>
    <definedName name="_9Оргтехника" localSheetId="15">'[14]Общие продажи'!#REF!</definedName>
    <definedName name="_9Оргтехника" localSheetId="11">'[14]Общие продажи'!#REF!</definedName>
    <definedName name="_9Оргтехника" localSheetId="10">'[14]Общие продажи'!#REF!</definedName>
    <definedName name="_9Оргтехника">'[14]Общие продажи'!#REF!</definedName>
    <definedName name="_9ПО" localSheetId="15">'[14]Общие продажи'!#REF!</definedName>
    <definedName name="_9ПО" localSheetId="11">'[14]Общие продажи'!#REF!</definedName>
    <definedName name="_9ПО" localSheetId="10">'[14]Общие продажи'!#REF!</definedName>
    <definedName name="_9ПО">'[14]Общие продажи'!#REF!</definedName>
    <definedName name="_9Разное" localSheetId="15">'[14]Общие продажи'!#REF!</definedName>
    <definedName name="_9Разное" localSheetId="11">'[14]Общие продажи'!#REF!</definedName>
    <definedName name="_9Разное" localSheetId="10">'[14]Общие продажи'!#REF!</definedName>
    <definedName name="_9Разное">'[14]Общие продажи'!#REF!</definedName>
    <definedName name="_9Расх.мат.оргтех" localSheetId="15">'[14]Общие продажи'!#REF!</definedName>
    <definedName name="_9Расх.мат.оргтех" localSheetId="11">'[14]Общие продажи'!#REF!</definedName>
    <definedName name="_9Расх.мат.оргтех" localSheetId="10">'[14]Общие продажи'!#REF!</definedName>
    <definedName name="_9Расх.мат.оргтех">'[14]Общие продажи'!#REF!</definedName>
    <definedName name="_9Расх.материалы" localSheetId="15">'[14]Общие продажи'!#REF!</definedName>
    <definedName name="_9Расх.материалы" localSheetId="11">'[14]Общие продажи'!#REF!</definedName>
    <definedName name="_9Расх.материалы" localSheetId="10">'[14]Общие продажи'!#REF!</definedName>
    <definedName name="_9Расх.материалы">'[14]Общие продажи'!#REF!</definedName>
    <definedName name="_9Услуги" localSheetId="15">'[14]Общие продажи'!#REF!</definedName>
    <definedName name="_9Услуги" localSheetId="11">'[14]Общие продажи'!#REF!</definedName>
    <definedName name="_9Услуги" localSheetId="10">'[14]Общие продажи'!#REF!</definedName>
    <definedName name="_9Услуги">'[14]Общие продажи'!#REF!</definedName>
    <definedName name="_a02" localSheetId="15">#REF!</definedName>
    <definedName name="_a02" localSheetId="2">#REF!</definedName>
    <definedName name="_a02" localSheetId="1">#REF!</definedName>
    <definedName name="_a02" localSheetId="11">#REF!</definedName>
    <definedName name="_a02" localSheetId="8">#REF!</definedName>
    <definedName name="_a02" localSheetId="9">#REF!</definedName>
    <definedName name="_a02" localSheetId="10">#REF!</definedName>
    <definedName name="_a02" localSheetId="5">#REF!</definedName>
    <definedName name="_a02" localSheetId="4">#REF!</definedName>
    <definedName name="_a02">#REF!</definedName>
    <definedName name="_A1" localSheetId="15">#REF!</definedName>
    <definedName name="_A1" localSheetId="11">#REF!</definedName>
    <definedName name="_A1" localSheetId="8">#REF!</definedName>
    <definedName name="_A1" localSheetId="9">#REF!</definedName>
    <definedName name="_A1" localSheetId="10">#REF!</definedName>
    <definedName name="_A1">#REF!</definedName>
    <definedName name="_A100000" localSheetId="15">#REF!</definedName>
    <definedName name="_A100000" localSheetId="11">#REF!</definedName>
    <definedName name="_A100000">#REF!</definedName>
    <definedName name="_A1000000" localSheetId="15">#REF!</definedName>
    <definedName name="_A1000000" localSheetId="11">#REF!</definedName>
    <definedName name="_A1000000">#REF!</definedName>
    <definedName name="_cur1" localSheetId="15">'[15]#ССЫЛКА'!$Q$2</definedName>
    <definedName name="_cur1" localSheetId="11">'[16]#ССЫЛКА'!$Q$2</definedName>
    <definedName name="_cur1" localSheetId="8">'[16]#ССЫЛКА'!$Q$2</definedName>
    <definedName name="_cur1" localSheetId="9">'[16]#ССЫЛКА'!$Q$2</definedName>
    <definedName name="_cur1">'[16]#ССЫЛКА'!$Q$2</definedName>
    <definedName name="_def1999" localSheetId="15">'[17]1999-veca'!#REF!</definedName>
    <definedName name="_def1999" localSheetId="2">'[18]1999-veca'!#REF!</definedName>
    <definedName name="_def1999" localSheetId="1">'[18]1999-veca'!#REF!</definedName>
    <definedName name="_def1999" localSheetId="11">'[17]1999-veca'!#REF!</definedName>
    <definedName name="_def1999" localSheetId="8">'[17]1999-veca'!#REF!</definedName>
    <definedName name="_def1999" localSheetId="9">'[17]1999-veca'!#REF!</definedName>
    <definedName name="_def1999" localSheetId="10">'[19]1999-veca'!#REF!</definedName>
    <definedName name="_def1999" localSheetId="5">'[18]1999-veca'!#REF!</definedName>
    <definedName name="_def1999" localSheetId="4">'[18]1999-veca'!#REF!</definedName>
    <definedName name="_def1999">'[20]1999-veca'!#REF!</definedName>
    <definedName name="_def2000г" localSheetId="15">#REF!</definedName>
    <definedName name="_def2000г" localSheetId="2">#REF!</definedName>
    <definedName name="_def2000г" localSheetId="1">#REF!</definedName>
    <definedName name="_def2000г" localSheetId="11">#REF!</definedName>
    <definedName name="_def2000г" localSheetId="8">#REF!</definedName>
    <definedName name="_def2000г" localSheetId="9">#REF!</definedName>
    <definedName name="_def2000г" localSheetId="10">#REF!</definedName>
    <definedName name="_def2000г" localSheetId="5">#REF!</definedName>
    <definedName name="_def2000г" localSheetId="4">#REF!</definedName>
    <definedName name="_def2000г">#REF!</definedName>
    <definedName name="_def2001г" localSheetId="15">#REF!</definedName>
    <definedName name="_def2001г" localSheetId="11">#REF!</definedName>
    <definedName name="_def2001г" localSheetId="8">#REF!</definedName>
    <definedName name="_def2001г" localSheetId="9">#REF!</definedName>
    <definedName name="_def2001г" localSheetId="10">#REF!</definedName>
    <definedName name="_def2001г">#REF!</definedName>
    <definedName name="_def2002г" localSheetId="15">#REF!</definedName>
    <definedName name="_def2002г" localSheetId="11">#REF!</definedName>
    <definedName name="_def2002г" localSheetId="8">#REF!</definedName>
    <definedName name="_def2002г" localSheetId="9">#REF!</definedName>
    <definedName name="_def2002г" localSheetId="10">#REF!</definedName>
    <definedName name="_def2002г">#REF!</definedName>
    <definedName name="_FOT1">'[4]ФОТ по месяцам'!$D$5:$D$41</definedName>
    <definedName name="_FY1">#N/A</definedName>
    <definedName name="_gf2" localSheetId="15">#REF!</definedName>
    <definedName name="_gf2" localSheetId="2">#REF!</definedName>
    <definedName name="_gf2" localSheetId="1">#REF!</definedName>
    <definedName name="_gf2" localSheetId="11">#REF!</definedName>
    <definedName name="_gf2" localSheetId="8">#REF!</definedName>
    <definedName name="_gf2" localSheetId="9">#REF!</definedName>
    <definedName name="_gf2" localSheetId="10">#REF!</definedName>
    <definedName name="_gf2" localSheetId="5">#REF!</definedName>
    <definedName name="_gf2" localSheetId="4">#REF!</definedName>
    <definedName name="_gf2">#REF!</definedName>
    <definedName name="_ghg1" localSheetId="15" hidden="1">{#N/A,#N/A,FALSE,"Себестоимсть-97"}</definedName>
    <definedName name="_ghg1" localSheetId="2" hidden="1">{#N/A,#N/A,FALSE,"Себестоимсть-97"}</definedName>
    <definedName name="_ghg1" localSheetId="1" hidden="1">{#N/A,#N/A,FALSE,"Себестоимсть-97"}</definedName>
    <definedName name="_ghg1" localSheetId="11" hidden="1">{#N/A,#N/A,FALSE,"Себестоимсть-97"}</definedName>
    <definedName name="_ghg1" localSheetId="8" hidden="1">{#N/A,#N/A,FALSE,"Себестоимсть-97"}</definedName>
    <definedName name="_ghg1" localSheetId="9" hidden="1">{#N/A,#N/A,FALSE,"Себестоимсть-97"}</definedName>
    <definedName name="_ghg1" localSheetId="10" hidden="1">{#N/A,#N/A,FALSE,"Себестоимсть-97"}</definedName>
    <definedName name="_ghg1" localSheetId="5" hidden="1">{#N/A,#N/A,FALSE,"Себестоимсть-97"}</definedName>
    <definedName name="_ghg1" localSheetId="4" hidden="1">{#N/A,#N/A,FALSE,"Себестоимсть-97"}</definedName>
    <definedName name="_ghg1" hidden="1">{#N/A,#N/A,FALSE,"Себестоимсть-97"}</definedName>
    <definedName name="_inf2000" localSheetId="15">#REF!</definedName>
    <definedName name="_inf2000" localSheetId="2">#REF!</definedName>
    <definedName name="_inf2000" localSheetId="1">#REF!</definedName>
    <definedName name="_inf2000" localSheetId="11">#REF!</definedName>
    <definedName name="_inf2000" localSheetId="8">#REF!</definedName>
    <definedName name="_inf2000" localSheetId="9">#REF!</definedName>
    <definedName name="_inf2000" localSheetId="10">#REF!</definedName>
    <definedName name="_inf2000" localSheetId="5">#REF!</definedName>
    <definedName name="_inf2000" localSheetId="4">#REF!</definedName>
    <definedName name="_inf2000">#REF!</definedName>
    <definedName name="_inf2001" localSheetId="15">#REF!</definedName>
    <definedName name="_inf2001" localSheetId="11">#REF!</definedName>
    <definedName name="_inf2001" localSheetId="8">#REF!</definedName>
    <definedName name="_inf2001" localSheetId="9">#REF!</definedName>
    <definedName name="_inf2001" localSheetId="10">#REF!</definedName>
    <definedName name="_inf2001">#REF!</definedName>
    <definedName name="_inf2002" localSheetId="15">#REF!</definedName>
    <definedName name="_inf2002" localSheetId="11">#REF!</definedName>
    <definedName name="_inf2002" localSheetId="10">#REF!</definedName>
    <definedName name="_inf2002">#REF!</definedName>
    <definedName name="_inf2003" localSheetId="15">#REF!</definedName>
    <definedName name="_inf2003" localSheetId="11">#REF!</definedName>
    <definedName name="_inf2003" localSheetId="10">#REF!</definedName>
    <definedName name="_inf2003">#REF!</definedName>
    <definedName name="_inf2004" localSheetId="15">#REF!</definedName>
    <definedName name="_inf2004" localSheetId="11">#REF!</definedName>
    <definedName name="_inf2004" localSheetId="10">#REF!</definedName>
    <definedName name="_inf2004">#REF!</definedName>
    <definedName name="_inf2005" localSheetId="15">#REF!</definedName>
    <definedName name="_inf2005" localSheetId="11">#REF!</definedName>
    <definedName name="_inf2005" localSheetId="10">#REF!</definedName>
    <definedName name="_inf2005">#REF!</definedName>
    <definedName name="_inf2006" localSheetId="15">#REF!</definedName>
    <definedName name="_inf2006" localSheetId="11">#REF!</definedName>
    <definedName name="_inf2006" localSheetId="10">#REF!</definedName>
    <definedName name="_inf2006">#REF!</definedName>
    <definedName name="_inf2007" localSheetId="15">#REF!</definedName>
    <definedName name="_inf2007" localSheetId="11">#REF!</definedName>
    <definedName name="_inf2007" localSheetId="10">#REF!</definedName>
    <definedName name="_inf2007">#REF!</definedName>
    <definedName name="_inf2008" localSheetId="15">#REF!</definedName>
    <definedName name="_inf2008" localSheetId="11">#REF!</definedName>
    <definedName name="_inf2008" localSheetId="10">#REF!</definedName>
    <definedName name="_inf2008">#REF!</definedName>
    <definedName name="_inf2009" localSheetId="15">#REF!</definedName>
    <definedName name="_inf2009" localSheetId="11">#REF!</definedName>
    <definedName name="_inf2009" localSheetId="10">#REF!</definedName>
    <definedName name="_inf2009">#REF!</definedName>
    <definedName name="_inf2010" localSheetId="15">#REF!</definedName>
    <definedName name="_inf2010" localSheetId="11">#REF!</definedName>
    <definedName name="_inf2010" localSheetId="10">#REF!</definedName>
    <definedName name="_inf2010">#REF!</definedName>
    <definedName name="_inf2011" localSheetId="15">#REF!</definedName>
    <definedName name="_inf2011" localSheetId="11">#REF!</definedName>
    <definedName name="_inf2011" localSheetId="10">#REF!</definedName>
    <definedName name="_inf2011">#REF!</definedName>
    <definedName name="_inf2012" localSheetId="15">#REF!</definedName>
    <definedName name="_inf2012" localSheetId="11">#REF!</definedName>
    <definedName name="_inf2012" localSheetId="10">#REF!</definedName>
    <definedName name="_inf2012">#REF!</definedName>
    <definedName name="_inf2013" localSheetId="15">#REF!</definedName>
    <definedName name="_inf2013" localSheetId="11">#REF!</definedName>
    <definedName name="_inf2013" localSheetId="10">#REF!</definedName>
    <definedName name="_inf2013">#REF!</definedName>
    <definedName name="_inf2014" localSheetId="15">#REF!</definedName>
    <definedName name="_inf2014" localSheetId="11">#REF!</definedName>
    <definedName name="_inf2014" localSheetId="10">#REF!</definedName>
    <definedName name="_inf2014">#REF!</definedName>
    <definedName name="_inf2015" localSheetId="15">#REF!</definedName>
    <definedName name="_inf2015" localSheetId="11">#REF!</definedName>
    <definedName name="_inf2015" localSheetId="10">#REF!</definedName>
    <definedName name="_inf2015">#REF!</definedName>
    <definedName name="_M8">#N/A</definedName>
    <definedName name="_M9">#N/A</definedName>
    <definedName name="_mmm1" localSheetId="15" hidden="1">{#N/A,#N/A,FALSE,"Себестоимсть-97"}</definedName>
    <definedName name="_mmm1" localSheetId="2" hidden="1">{#N/A,#N/A,FALSE,"Себестоимсть-97"}</definedName>
    <definedName name="_mmm1" localSheetId="1" hidden="1">{#N/A,#N/A,FALSE,"Себестоимсть-97"}</definedName>
    <definedName name="_mmm1" localSheetId="11" hidden="1">{#N/A,#N/A,FALSE,"Себестоимсть-97"}</definedName>
    <definedName name="_mmm1" localSheetId="8" hidden="1">{#N/A,#N/A,FALSE,"Себестоимсть-97"}</definedName>
    <definedName name="_mmm1" localSheetId="9" hidden="1">{#N/A,#N/A,FALSE,"Себестоимсть-97"}</definedName>
    <definedName name="_mmm1" localSheetId="10" hidden="1">{#N/A,#N/A,FALSE,"Себестоимсть-97"}</definedName>
    <definedName name="_mmm1" localSheetId="5" hidden="1">{#N/A,#N/A,FALSE,"Себестоимсть-97"}</definedName>
    <definedName name="_mmm1" localSheetId="4" hidden="1">{#N/A,#N/A,FALSE,"Себестоимсть-97"}</definedName>
    <definedName name="_mmm1" hidden="1">{#N/A,#N/A,FALSE,"Себестоимсть-97"}</definedName>
    <definedName name="_mmm89" localSheetId="15">#REF!</definedName>
    <definedName name="_mmm89" localSheetId="2">#REF!</definedName>
    <definedName name="_mmm89" localSheetId="1">#REF!</definedName>
    <definedName name="_mmm89" localSheetId="11">#REF!</definedName>
    <definedName name="_mmm89" localSheetId="8">#REF!</definedName>
    <definedName name="_mmm89" localSheetId="9">#REF!</definedName>
    <definedName name="_mmm89" localSheetId="10">#REF!</definedName>
    <definedName name="_mmm89" localSheetId="5">#REF!</definedName>
    <definedName name="_mmm89" localSheetId="4">#REF!</definedName>
    <definedName name="_mmm89">#REF!</definedName>
    <definedName name="_mn5">'[12]BCS APP CR'!$E$24</definedName>
    <definedName name="_Ob1" localSheetId="15">#REF!</definedName>
    <definedName name="_Ob1" localSheetId="2">#REF!</definedName>
    <definedName name="_Ob1" localSheetId="1">#REF!</definedName>
    <definedName name="_Ob1" localSheetId="11">#REF!</definedName>
    <definedName name="_Ob1" localSheetId="8">#REF!</definedName>
    <definedName name="_Ob1" localSheetId="9">#REF!</definedName>
    <definedName name="_Ob1" localSheetId="10">#REF!</definedName>
    <definedName name="_Ob1" localSheetId="5">#REF!</definedName>
    <definedName name="_Ob1" localSheetId="4">#REF!</definedName>
    <definedName name="_Ob1">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5">#REF!</definedName>
    <definedName name="_qwe1" localSheetId="2">#REF!</definedName>
    <definedName name="_qwe1" localSheetId="1">#REF!</definedName>
    <definedName name="_qwe1" localSheetId="11">#REF!</definedName>
    <definedName name="_qwe1" localSheetId="8">#REF!</definedName>
    <definedName name="_qwe1" localSheetId="9">#REF!</definedName>
    <definedName name="_qwe1" localSheetId="10">#REF!</definedName>
    <definedName name="_qwe1" localSheetId="5">#REF!</definedName>
    <definedName name="_qwe1" localSheetId="4">#REF!</definedName>
    <definedName name="_qwe1">#REF!</definedName>
    <definedName name="_qwe123" localSheetId="15">#REF!</definedName>
    <definedName name="_qwe123" localSheetId="11">#REF!</definedName>
    <definedName name="_qwe123" localSheetId="8">#REF!</definedName>
    <definedName name="_qwe123" localSheetId="9">#REF!</definedName>
    <definedName name="_qwe123" localSheetId="10">#REF!</definedName>
    <definedName name="_qwe123">#REF!</definedName>
    <definedName name="_qwe1237" localSheetId="15">#REF!</definedName>
    <definedName name="_qwe1237" localSheetId="11">#REF!</definedName>
    <definedName name="_qwe1237" localSheetId="8">#REF!</definedName>
    <definedName name="_qwe1237" localSheetId="9">#REF!</definedName>
    <definedName name="_qwe1237" localSheetId="10">#REF!</definedName>
    <definedName name="_qwe1237">#REF!</definedName>
    <definedName name="_qwe23" localSheetId="15">#REF!</definedName>
    <definedName name="_qwe23" localSheetId="11">#REF!</definedName>
    <definedName name="_qwe23" localSheetId="10">#REF!</definedName>
    <definedName name="_qwe23">#REF!</definedName>
    <definedName name="_s45" localSheetId="15">#REF!</definedName>
    <definedName name="_s45" localSheetId="11">#REF!</definedName>
    <definedName name="_s45" localSheetId="10">#REF!</definedName>
    <definedName name="_s45">#REF!</definedName>
    <definedName name="_sl1" localSheetId="15">#REF!</definedName>
    <definedName name="_sl1" localSheetId="11">#REF!</definedName>
    <definedName name="_sl1">#REF!</definedName>
    <definedName name="_sl10" localSheetId="15">#REF!</definedName>
    <definedName name="_sl10" localSheetId="11">#REF!</definedName>
    <definedName name="_sl10">#REF!</definedName>
    <definedName name="_sl11" localSheetId="15">#REF!</definedName>
    <definedName name="_sl11" localSheetId="11">#REF!</definedName>
    <definedName name="_sl11">#REF!</definedName>
    <definedName name="_sl12" localSheetId="15">#REF!</definedName>
    <definedName name="_sl12" localSheetId="11">#REF!</definedName>
    <definedName name="_sl12">#REF!</definedName>
    <definedName name="_sl13" localSheetId="15">#REF!</definedName>
    <definedName name="_sl13" localSheetId="11">#REF!</definedName>
    <definedName name="_sl13">#REF!</definedName>
    <definedName name="_sl14" localSheetId="15">#REF!</definedName>
    <definedName name="_sl14" localSheetId="11">#REF!</definedName>
    <definedName name="_sl14">#REF!</definedName>
    <definedName name="_sl15" localSheetId="15">#REF!</definedName>
    <definedName name="_sl15" localSheetId="11">#REF!</definedName>
    <definedName name="_sl15">#REF!</definedName>
    <definedName name="_sl16" localSheetId="15">#REF!</definedName>
    <definedName name="_sl16" localSheetId="11">#REF!</definedName>
    <definedName name="_sl16">#REF!</definedName>
    <definedName name="_sl17" localSheetId="15">#REF!</definedName>
    <definedName name="_sl17" localSheetId="11">#REF!</definedName>
    <definedName name="_sl17">#REF!</definedName>
    <definedName name="_sl18" localSheetId="15">#REF!</definedName>
    <definedName name="_sl18" localSheetId="11">#REF!</definedName>
    <definedName name="_sl18">#REF!</definedName>
    <definedName name="_sl19" localSheetId="15">#REF!</definedName>
    <definedName name="_sl19" localSheetId="11">#REF!</definedName>
    <definedName name="_sl19">#REF!</definedName>
    <definedName name="_sl2" localSheetId="15">#REF!</definedName>
    <definedName name="_sl2" localSheetId="11">#REF!</definedName>
    <definedName name="_sl2">#REF!</definedName>
    <definedName name="_sl20" localSheetId="15">#REF!</definedName>
    <definedName name="_sl20" localSheetId="11">#REF!</definedName>
    <definedName name="_sl20">#REF!</definedName>
    <definedName name="_sl21" localSheetId="15">#REF!</definedName>
    <definedName name="_sl21" localSheetId="11">#REF!</definedName>
    <definedName name="_sl21">#REF!</definedName>
    <definedName name="_sl22" localSheetId="15">#REF!</definedName>
    <definedName name="_sl22" localSheetId="11">#REF!</definedName>
    <definedName name="_sl22">#REF!</definedName>
    <definedName name="_sl23" localSheetId="15">#REF!</definedName>
    <definedName name="_sl23" localSheetId="11">#REF!</definedName>
    <definedName name="_sl23">#REF!</definedName>
    <definedName name="_sl24" localSheetId="15">#REF!</definedName>
    <definedName name="_sl24" localSheetId="11">#REF!</definedName>
    <definedName name="_sl24">#REF!</definedName>
    <definedName name="_sl3" localSheetId="15">#REF!</definedName>
    <definedName name="_sl3" localSheetId="11">#REF!</definedName>
    <definedName name="_sl3">#REF!</definedName>
    <definedName name="_sl4" localSheetId="15">#REF!</definedName>
    <definedName name="_sl4" localSheetId="11">#REF!</definedName>
    <definedName name="_sl4">#REF!</definedName>
    <definedName name="_sl5" localSheetId="15">#REF!</definedName>
    <definedName name="_sl5" localSheetId="11">#REF!</definedName>
    <definedName name="_sl5">#REF!</definedName>
    <definedName name="_sl6" localSheetId="15">#REF!</definedName>
    <definedName name="_sl6" localSheetId="11">#REF!</definedName>
    <definedName name="_sl6">#REF!</definedName>
    <definedName name="_sl7" localSheetId="15">#REF!</definedName>
    <definedName name="_sl7" localSheetId="11">#REF!</definedName>
    <definedName name="_sl7">#REF!</definedName>
    <definedName name="_sl8" localSheetId="15">#REF!</definedName>
    <definedName name="_sl8" localSheetId="11">#REF!</definedName>
    <definedName name="_sl8">#REF!</definedName>
    <definedName name="_sl9" localSheetId="15">#REF!</definedName>
    <definedName name="_sl9" localSheetId="11">#REF!</definedName>
    <definedName name="_sl9">#REF!</definedName>
    <definedName name="_sy1" localSheetId="15">#REF!</definedName>
    <definedName name="_sy1" localSheetId="11">#REF!</definedName>
    <definedName name="_sy1">#REF!</definedName>
    <definedName name="_sy10" localSheetId="15">#REF!</definedName>
    <definedName name="_sy10" localSheetId="11">#REF!</definedName>
    <definedName name="_sy10">#REF!</definedName>
    <definedName name="_sy11" localSheetId="15">#REF!</definedName>
    <definedName name="_sy11" localSheetId="11">#REF!</definedName>
    <definedName name="_sy11">#REF!</definedName>
    <definedName name="_sy12" localSheetId="15">#REF!</definedName>
    <definedName name="_sy12" localSheetId="11">#REF!</definedName>
    <definedName name="_sy12">#REF!</definedName>
    <definedName name="_sy13" localSheetId="15">#REF!</definedName>
    <definedName name="_sy13" localSheetId="11">#REF!</definedName>
    <definedName name="_sy13">#REF!</definedName>
    <definedName name="_sy14" localSheetId="15">#REF!</definedName>
    <definedName name="_sy14" localSheetId="11">#REF!</definedName>
    <definedName name="_sy14">#REF!</definedName>
    <definedName name="_sy147" localSheetId="15">#REF!</definedName>
    <definedName name="_sy147" localSheetId="11">#REF!</definedName>
    <definedName name="_sy147">#REF!</definedName>
    <definedName name="_sy15" localSheetId="15">#REF!</definedName>
    <definedName name="_sy15" localSheetId="11">#REF!</definedName>
    <definedName name="_sy15">#REF!</definedName>
    <definedName name="_sy16" localSheetId="15">#REF!</definedName>
    <definedName name="_sy16" localSheetId="11">#REF!</definedName>
    <definedName name="_sy16">#REF!</definedName>
    <definedName name="_sy17" localSheetId="15">#REF!</definedName>
    <definedName name="_sy17" localSheetId="11">#REF!</definedName>
    <definedName name="_sy17">#REF!</definedName>
    <definedName name="_sy18" localSheetId="15">#REF!</definedName>
    <definedName name="_sy18" localSheetId="11">#REF!</definedName>
    <definedName name="_sy18">#REF!</definedName>
    <definedName name="_sy19" localSheetId="15">#REF!</definedName>
    <definedName name="_sy19" localSheetId="11">#REF!</definedName>
    <definedName name="_sy19">#REF!</definedName>
    <definedName name="_sy2" localSheetId="15">#REF!</definedName>
    <definedName name="_sy2" localSheetId="11">#REF!</definedName>
    <definedName name="_sy2">#REF!</definedName>
    <definedName name="_sy20" localSheetId="15">#REF!</definedName>
    <definedName name="_sy20" localSheetId="11">#REF!</definedName>
    <definedName name="_sy20">#REF!</definedName>
    <definedName name="_sy21" localSheetId="15">#REF!</definedName>
    <definedName name="_sy21" localSheetId="11">#REF!</definedName>
    <definedName name="_sy21">#REF!</definedName>
    <definedName name="_sy22" localSheetId="15">#REF!</definedName>
    <definedName name="_sy22" localSheetId="11">#REF!</definedName>
    <definedName name="_sy22">#REF!</definedName>
    <definedName name="_sy23" localSheetId="15">#REF!</definedName>
    <definedName name="_sy23" localSheetId="11">#REF!</definedName>
    <definedName name="_sy23">#REF!</definedName>
    <definedName name="_sy24" localSheetId="15">#REF!</definedName>
    <definedName name="_sy24" localSheetId="11">#REF!</definedName>
    <definedName name="_sy24">#REF!</definedName>
    <definedName name="_sy3" localSheetId="15">#REF!</definedName>
    <definedName name="_sy3" localSheetId="11">#REF!</definedName>
    <definedName name="_sy3">#REF!</definedName>
    <definedName name="_sy4" localSheetId="15">#REF!</definedName>
    <definedName name="_sy4" localSheetId="11">#REF!</definedName>
    <definedName name="_sy4">#REF!</definedName>
    <definedName name="_sy5" localSheetId="15">#REF!</definedName>
    <definedName name="_sy5" localSheetId="11">#REF!</definedName>
    <definedName name="_sy5">#REF!</definedName>
    <definedName name="_sy6" localSheetId="15">#REF!</definedName>
    <definedName name="_sy6" localSheetId="11">#REF!</definedName>
    <definedName name="_sy6">#REF!</definedName>
    <definedName name="_sy67">'[13]APP Systems'!$H$49</definedName>
    <definedName name="_sy7" localSheetId="15">#REF!</definedName>
    <definedName name="_sy7" localSheetId="2">#REF!</definedName>
    <definedName name="_sy7" localSheetId="1">#REF!</definedName>
    <definedName name="_sy7" localSheetId="11">#REF!</definedName>
    <definedName name="_sy7" localSheetId="8">#REF!</definedName>
    <definedName name="_sy7" localSheetId="9">#REF!</definedName>
    <definedName name="_sy7" localSheetId="10">#REF!</definedName>
    <definedName name="_sy7" localSheetId="5">#REF!</definedName>
    <definedName name="_sy7" localSheetId="4">#REF!</definedName>
    <definedName name="_sy7">#REF!</definedName>
    <definedName name="_sy8" localSheetId="15">#REF!</definedName>
    <definedName name="_sy8" localSheetId="11">#REF!</definedName>
    <definedName name="_sy8">#REF!</definedName>
    <definedName name="_sy9" localSheetId="15">#REF!</definedName>
    <definedName name="_sy9" localSheetId="11">#REF!</definedName>
    <definedName name="_sy9">#REF!</definedName>
    <definedName name="_TAX1" localSheetId="15">#REF!</definedName>
    <definedName name="_TAX1" localSheetId="11">#REF!</definedName>
    <definedName name="_TAX1">#REF!</definedName>
    <definedName name="_TAX2" localSheetId="15">#REF!</definedName>
    <definedName name="_TAX2" localSheetId="11">#REF!</definedName>
    <definedName name="_TAX2">#REF!</definedName>
    <definedName name="_TAX3" localSheetId="15">#REF!</definedName>
    <definedName name="_TAX3" localSheetId="11">#REF!</definedName>
    <definedName name="_TAX3">#REF!</definedName>
    <definedName name="_л4604" localSheetId="15">[21]киев!#REF!</definedName>
    <definedName name="_л4604" localSheetId="11">[21]киев!#REF!</definedName>
    <definedName name="_л4604" localSheetId="8">[21]киев!#REF!</definedName>
    <definedName name="_л4604" localSheetId="9">[21]киев!#REF!</definedName>
    <definedName name="_л4604" localSheetId="10">[21]киев!#REF!</definedName>
    <definedName name="_л4604">[21]киев!#REF!</definedName>
    <definedName name="_ф23" localSheetId="15">#REF!</definedName>
    <definedName name="_ф23" localSheetId="2">#REF!</definedName>
    <definedName name="_ф23" localSheetId="1">#REF!</definedName>
    <definedName name="_ф23" localSheetId="11">#REF!</definedName>
    <definedName name="_ф23" localSheetId="8">#REF!</definedName>
    <definedName name="_ф23" localSheetId="9">#REF!</definedName>
    <definedName name="_ф23" localSheetId="10">#REF!</definedName>
    <definedName name="_ф23" localSheetId="5">#REF!</definedName>
    <definedName name="_ф23" localSheetId="4">#REF!</definedName>
    <definedName name="_ф23">#REF!</definedName>
    <definedName name="a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15">#REF!</definedName>
    <definedName name="a0" localSheetId="2">#REF!</definedName>
    <definedName name="a0" localSheetId="1">#REF!</definedName>
    <definedName name="a0" localSheetId="11">#REF!</definedName>
    <definedName name="a0" localSheetId="8">#REF!</definedName>
    <definedName name="a0" localSheetId="9">#REF!</definedName>
    <definedName name="a0" localSheetId="10">#REF!</definedName>
    <definedName name="a0" localSheetId="5">#REF!</definedName>
    <definedName name="a0" localSheetId="4">#REF!</definedName>
    <definedName name="a0">#REF!</definedName>
    <definedName name="a02new" localSheetId="15">#REF!</definedName>
    <definedName name="a02new" localSheetId="11">#REF!</definedName>
    <definedName name="a02new" localSheetId="8">#REF!</definedName>
    <definedName name="a02new" localSheetId="9">#REF!</definedName>
    <definedName name="a02new" localSheetId="10">#REF!</definedName>
    <definedName name="a02new">#REF!</definedName>
    <definedName name="a04t" localSheetId="15">#REF!</definedName>
    <definedName name="a04t" localSheetId="11">#REF!</definedName>
    <definedName name="a04t" localSheetId="8">#REF!</definedName>
    <definedName name="a04t" localSheetId="9">#REF!</definedName>
    <definedName name="a04t" localSheetId="10">#REF!</definedName>
    <definedName name="a04t">#REF!</definedName>
    <definedName name="a1_" localSheetId="15">#REF!</definedName>
    <definedName name="a1_" localSheetId="11">#REF!</definedName>
    <definedName name="a1_" localSheetId="8">#REF!</definedName>
    <definedName name="a1_" localSheetId="9">#REF!</definedName>
    <definedName name="a1_" localSheetId="10">#REF!</definedName>
    <definedName name="a1_">#REF!</definedName>
    <definedName name="a2_" localSheetId="15">#REF!</definedName>
    <definedName name="a2_" localSheetId="11">#REF!</definedName>
    <definedName name="a2_" localSheetId="10">#REF!</definedName>
    <definedName name="a2_">#REF!</definedName>
    <definedName name="a2_2" localSheetId="15">#REF!</definedName>
    <definedName name="a2_2" localSheetId="11">#REF!</definedName>
    <definedName name="a2_2" localSheetId="10">#REF!</definedName>
    <definedName name="a2_2">#REF!</definedName>
    <definedName name="a2_2new" localSheetId="15">#REF!</definedName>
    <definedName name="a2_2new" localSheetId="11">#REF!</definedName>
    <definedName name="a2_2new" localSheetId="10">#REF!</definedName>
    <definedName name="a2_2new">#REF!</definedName>
    <definedName name="a3_" localSheetId="15">#REF!</definedName>
    <definedName name="a3_" localSheetId="11">#REF!</definedName>
    <definedName name="a3_" localSheetId="10">#REF!</definedName>
    <definedName name="a3_">#REF!</definedName>
    <definedName name="a4_" localSheetId="15">#REF!</definedName>
    <definedName name="a4_" localSheetId="11">#REF!</definedName>
    <definedName name="a4_" localSheetId="10">#REF!</definedName>
    <definedName name="a4_">#REF!</definedName>
    <definedName name="a4_2" localSheetId="15">#REF!</definedName>
    <definedName name="a4_2" localSheetId="11">#REF!</definedName>
    <definedName name="a4_2" localSheetId="10">#REF!</definedName>
    <definedName name="a4_2">#REF!</definedName>
    <definedName name="a4_2new" localSheetId="15">#REF!</definedName>
    <definedName name="a4_2new" localSheetId="11">#REF!</definedName>
    <definedName name="a4_2new" localSheetId="10">#REF!</definedName>
    <definedName name="a4_2new">#REF!</definedName>
    <definedName name="a5_" localSheetId="15">#REF!</definedName>
    <definedName name="a5_" localSheetId="11">#REF!</definedName>
    <definedName name="a5_" localSheetId="10">#REF!</definedName>
    <definedName name="a5_">#REF!</definedName>
    <definedName name="a5_2" localSheetId="15">#REF!</definedName>
    <definedName name="a5_2" localSheetId="11">#REF!</definedName>
    <definedName name="a5_2" localSheetId="10">#REF!</definedName>
    <definedName name="a5_2">#REF!</definedName>
    <definedName name="a5_2new" localSheetId="15">#REF!</definedName>
    <definedName name="a5_2new" localSheetId="11">#REF!</definedName>
    <definedName name="a5_2new" localSheetId="10">#REF!</definedName>
    <definedName name="a5_2new">#REF!</definedName>
    <definedName name="ab">'[22]Продажи реальные и прогноз 20 л'!$E$47</definedName>
    <definedName name="AccessDatabase" hidden="1">"C:\Мои документы\НоваяОборотка.mdb"</definedName>
    <definedName name="ActualPE" localSheetId="15">'[23]Dairy Precedents'!#REF!</definedName>
    <definedName name="ActualPE" localSheetId="2">'[23]Dairy Precedents'!#REF!</definedName>
    <definedName name="ActualPE" localSheetId="1">'[23]Dairy Precedents'!#REF!</definedName>
    <definedName name="ActualPE" localSheetId="11">'[23]Dairy Precedents'!#REF!</definedName>
    <definedName name="ActualPE" localSheetId="8">'[23]Dairy Precedents'!#REF!</definedName>
    <definedName name="ActualPE" localSheetId="9">'[23]Dairy Precedents'!#REF!</definedName>
    <definedName name="ActualPE" localSheetId="10">'[23]Dairy Precedents'!#REF!</definedName>
    <definedName name="ActualPE" localSheetId="5">'[23]Dairy Precedents'!#REF!</definedName>
    <definedName name="ActualPE" localSheetId="4">'[23]Dairy Precedents'!#REF!</definedName>
    <definedName name="ActualPE">'[23]Dairy Precedents'!#REF!</definedName>
    <definedName name="advertaxrate" localSheetId="15">[24]Справочно!#REF!</definedName>
    <definedName name="advertaxrate" localSheetId="2">[24]Справочно!#REF!</definedName>
    <definedName name="advertaxrate" localSheetId="1">[24]Справочно!#REF!</definedName>
    <definedName name="advertaxrate" localSheetId="11">[24]Справочно!#REF!</definedName>
    <definedName name="advertaxrate" localSheetId="8">[24]Справочно!#REF!</definedName>
    <definedName name="advertaxrate" localSheetId="9">[24]Справочно!#REF!</definedName>
    <definedName name="advertaxrate" localSheetId="10">[24]Справочно!#REF!</definedName>
    <definedName name="advertaxrate" localSheetId="5">[24]Справочно!#REF!</definedName>
    <definedName name="advertaxrate" localSheetId="4">[24]Справочно!#REF!</definedName>
    <definedName name="advertaxrate">[24]Справочно!#REF!</definedName>
    <definedName name="al">'[25]0_33'!$E$43</definedName>
    <definedName name="AmoncostofSales">[24]Справочно!$B$18</definedName>
    <definedName name="AmonGA">[24]Справочно!$B$20</definedName>
    <definedName name="AmonLeasedEquip">[24]Справочно!$B$21</definedName>
    <definedName name="AmonSD">[24]Справочно!$B$19</definedName>
    <definedName name="AN" localSheetId="15">[7]!AN</definedName>
    <definedName name="AN" localSheetId="11">#N/A</definedName>
    <definedName name="AN" localSheetId="8">#N/A</definedName>
    <definedName name="AN" localSheetId="9">#N/A</definedName>
    <definedName name="AN">#N/A</definedName>
    <definedName name="ANLAGE_III">[26]Anlagevermögen!$A$1:$Z$29</definedName>
    <definedName name="anscount" hidden="1">1</definedName>
    <definedName name="arpu" localSheetId="15">'[27]Input-Moscow'!#REF!</definedName>
    <definedName name="arpu" localSheetId="2">'[27]Input-Moscow'!#REF!</definedName>
    <definedName name="arpu" localSheetId="1">'[27]Input-Moscow'!#REF!</definedName>
    <definedName name="arpu" localSheetId="11">'[27]Input-Moscow'!#REF!</definedName>
    <definedName name="arpu" localSheetId="8">'[27]Input-Moscow'!#REF!</definedName>
    <definedName name="arpu" localSheetId="9">'[27]Input-Moscow'!#REF!</definedName>
    <definedName name="arpu" localSheetId="10">'[27]Input-Moscow'!#REF!</definedName>
    <definedName name="arpu" localSheetId="5">'[27]Input-Moscow'!#REF!</definedName>
    <definedName name="arpu" localSheetId="4">'[27]Input-Moscow'!#REF!</definedName>
    <definedName name="arpu">'[27]Input-Moscow'!#REF!</definedName>
    <definedName name="as" localSheetId="15">#REF!</definedName>
    <definedName name="as" localSheetId="2">#REF!</definedName>
    <definedName name="as" localSheetId="1">#REF!</definedName>
    <definedName name="as" localSheetId="11">#REF!</definedName>
    <definedName name="as" localSheetId="8">#REF!</definedName>
    <definedName name="as" localSheetId="9">#REF!</definedName>
    <definedName name="as" localSheetId="10">#REF!</definedName>
    <definedName name="as" localSheetId="5">#REF!</definedName>
    <definedName name="as" localSheetId="4">#REF!</definedName>
    <definedName name="as">#REF!</definedName>
    <definedName name="AS2DocOpenMode" hidden="1">"AS2DocumentEdit"</definedName>
    <definedName name="AS2HasNoAutoHeaderFooter">"OFF"</definedName>
    <definedName name="as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5">#REF!</definedName>
    <definedName name="asdf" localSheetId="2">#REF!</definedName>
    <definedName name="asdf" localSheetId="1">#REF!</definedName>
    <definedName name="asdf" localSheetId="11">#REF!</definedName>
    <definedName name="asdf" localSheetId="8">#REF!</definedName>
    <definedName name="asdf" localSheetId="9">#REF!</definedName>
    <definedName name="asdf" localSheetId="10">#REF!</definedName>
    <definedName name="asdf" localSheetId="5">#REF!</definedName>
    <definedName name="asdf" localSheetId="4">#REF!</definedName>
    <definedName name="asdf">#REF!</definedName>
    <definedName name="asdwqe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5">#REF!</definedName>
    <definedName name="aswer1" localSheetId="2">#REF!</definedName>
    <definedName name="aswer1" localSheetId="1">#REF!</definedName>
    <definedName name="aswer1" localSheetId="11">#REF!</definedName>
    <definedName name="aswer1" localSheetId="8">#REF!</definedName>
    <definedName name="aswer1" localSheetId="9">#REF!</definedName>
    <definedName name="aswer1" localSheetId="10">#REF!</definedName>
    <definedName name="aswer1" localSheetId="5">#REF!</definedName>
    <definedName name="aswer1" localSheetId="4">#REF!</definedName>
    <definedName name="aswer1">#REF!</definedName>
    <definedName name="b">'[28]продажи (н)'!$B$2</definedName>
    <definedName name="B_FIO" localSheetId="15">[29]Титульный!$F$32</definedName>
    <definedName name="B_FIO" localSheetId="2">[30]Титульный!$F$32</definedName>
    <definedName name="B_FIO" localSheetId="1">[30]Титульный!$F$32</definedName>
    <definedName name="B_FIO" localSheetId="11">[31]Титульный!$F$32</definedName>
    <definedName name="B_FIO" localSheetId="8">[31]Титульный!$F$32</definedName>
    <definedName name="B_FIO" localSheetId="9">[31]Титульный!$F$32</definedName>
    <definedName name="B_FIO" localSheetId="10">[32]Титульный!$F$31</definedName>
    <definedName name="B_FIO" localSheetId="5">[30]Титульный!$F$32</definedName>
    <definedName name="B_FIO" localSheetId="4">[30]Титульный!$F$32</definedName>
    <definedName name="B_FIO">[33]Титульный!$F$32</definedName>
    <definedName name="B_POST" localSheetId="15">[29]Титульный!$F$33</definedName>
    <definedName name="B_POST" localSheetId="2">[30]Титульный!$F$33</definedName>
    <definedName name="B_POST" localSheetId="1">[30]Титульный!$F$33</definedName>
    <definedName name="B_POST" localSheetId="11">[31]Титульный!$F$33</definedName>
    <definedName name="B_POST" localSheetId="8">[31]Титульный!$F$33</definedName>
    <definedName name="B_POST" localSheetId="9">[31]Титульный!$F$33</definedName>
    <definedName name="B_POST" localSheetId="10">[32]Титульный!$F$32</definedName>
    <definedName name="B_POST" localSheetId="5">[30]Титульный!$F$33</definedName>
    <definedName name="B_POST" localSheetId="4">[30]Титульный!$F$33</definedName>
    <definedName name="B_POST">[33]Титульный!$F$33</definedName>
    <definedName name="b1_" localSheetId="15">#REF!</definedName>
    <definedName name="b1_" localSheetId="2">#REF!</definedName>
    <definedName name="b1_" localSheetId="1">#REF!</definedName>
    <definedName name="b1_" localSheetId="11">#REF!</definedName>
    <definedName name="b1_" localSheetId="8">#REF!</definedName>
    <definedName name="b1_" localSheetId="9">#REF!</definedName>
    <definedName name="b1_" localSheetId="10">#REF!</definedName>
    <definedName name="b1_" localSheetId="5">#REF!</definedName>
    <definedName name="b1_" localSheetId="4">#REF!</definedName>
    <definedName name="b1_">#REF!</definedName>
    <definedName name="b1_2" localSheetId="15">#REF!</definedName>
    <definedName name="b1_2" localSheetId="11">#REF!</definedName>
    <definedName name="b1_2" localSheetId="8">#REF!</definedName>
    <definedName name="b1_2" localSheetId="9">#REF!</definedName>
    <definedName name="b1_2" localSheetId="10">#REF!</definedName>
    <definedName name="b1_2">#REF!</definedName>
    <definedName name="b1_2new" localSheetId="15">#REF!</definedName>
    <definedName name="b1_2new" localSheetId="11">#REF!</definedName>
    <definedName name="b1_2new" localSheetId="8">#REF!</definedName>
    <definedName name="b1_2new" localSheetId="9">#REF!</definedName>
    <definedName name="b1_2new" localSheetId="10">#REF!</definedName>
    <definedName name="b1_2new">#REF!</definedName>
    <definedName name="b2_" localSheetId="15">#REF!</definedName>
    <definedName name="b2_" localSheetId="11">#REF!</definedName>
    <definedName name="b2_" localSheetId="10">#REF!</definedName>
    <definedName name="b2_">#REF!</definedName>
    <definedName name="b3_" localSheetId="15">#REF!</definedName>
    <definedName name="b3_" localSheetId="11">#REF!</definedName>
    <definedName name="b3_" localSheetId="10">#REF!</definedName>
    <definedName name="b3_">#REF!</definedName>
    <definedName name="b4_" localSheetId="15">#REF!</definedName>
    <definedName name="b4_" localSheetId="11">#REF!</definedName>
    <definedName name="b4_" localSheetId="10">#REF!</definedName>
    <definedName name="b4_">#REF!</definedName>
    <definedName name="b5_" localSheetId="15">#REF!</definedName>
    <definedName name="b5_" localSheetId="11">#REF!</definedName>
    <definedName name="b5_" localSheetId="10">#REF!</definedName>
    <definedName name="b5_">#REF!</definedName>
    <definedName name="BAL_PER_CALC_AREA">'[34]Баланс передача'!$F$13:$O$96</definedName>
    <definedName name="BAL_PR_CALC_AREA">'[34]Баланс производство'!$F$14:$GO$97</definedName>
    <definedName name="balance" localSheetId="15">[35]!balance</definedName>
    <definedName name="balance" localSheetId="11">[35]!balance</definedName>
    <definedName name="balance" localSheetId="10">[35]!balance</definedName>
    <definedName name="balance">[35]!balance</definedName>
    <definedName name="BALEE_FLOAD" localSheetId="15">#REF!</definedName>
    <definedName name="BALEE_FLOAD" localSheetId="2">#REF!</definedName>
    <definedName name="BALEE_FLOAD" localSheetId="1">#REF!</definedName>
    <definedName name="BALEE_FLOAD" localSheetId="11">#REF!</definedName>
    <definedName name="BALEE_FLOAD" localSheetId="8">#REF!</definedName>
    <definedName name="BALEE_FLOAD" localSheetId="9">#REF!</definedName>
    <definedName name="BALEE_FLOAD" localSheetId="10">#REF!</definedName>
    <definedName name="BALEE_FLOAD" localSheetId="5">#REF!</definedName>
    <definedName name="BALEE_FLOAD" localSheetId="4">#REF!</definedName>
    <definedName name="BALEE_FLOAD">#REF!</definedName>
    <definedName name="BALM_FLOAD" localSheetId="15">#REF!</definedName>
    <definedName name="BALM_FLOAD" localSheetId="11">#REF!</definedName>
    <definedName name="BALM_FLOAD" localSheetId="8">#REF!</definedName>
    <definedName name="BALM_FLOAD" localSheetId="9">#REF!</definedName>
    <definedName name="BALM_FLOAD" localSheetId="10">#REF!</definedName>
    <definedName name="BALM_FLOAD">#REF!</definedName>
    <definedName name="bb">'[22]Продажи реальные и прогноз 20 л'!$F$47</definedName>
    <definedName name="bl">'[25]0_33'!$F$43</definedName>
    <definedName name="bn" localSheetId="15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7" hidden="1">{#N/A,#N/A,TRUE,"Лист1";#N/A,#N/A,TRUE,"Лист2";#N/A,#N/A,TRUE,"Лист3"}</definedName>
    <definedName name="bn" localSheetId="11" hidden="1">{#N/A,#N/A,TRUE,"Лист1";#N/A,#N/A,TRUE,"Лист2";#N/A,#N/A,TRUE,"Лист3"}</definedName>
    <definedName name="bn" localSheetId="8" hidden="1">{#N/A,#N/A,TRUE,"Лист1";#N/A,#N/A,TRUE,"Лист2";#N/A,#N/A,TRUE,"Лист3"}</definedName>
    <definedName name="bn" localSheetId="9" hidden="1">{#N/A,#N/A,TRUE,"Лист1";#N/A,#N/A,TRUE,"Лист2";#N/A,#N/A,TRUE,"Лист3"}</definedName>
    <definedName name="bn" localSheetId="10" hidden="1">{#N/A,#N/A,TRUE,"Лист1";#N/A,#N/A,TRUE,"Лист2";#N/A,#N/A,TRUE,"Лист3"}</definedName>
    <definedName name="bn" localSheetId="5" hidden="1">{#N/A,#N/A,TRUE,"Лист1";#N/A,#N/A,TRUE,"Лист2";#N/A,#N/A,TRUE,"Лист3"}</definedName>
    <definedName name="bn" localSheetId="4" hidden="1">{#N/A,#N/A,TRUE,"Лист1";#N/A,#N/A,TRUE,"Лист2";#N/A,#N/A,TRUE,"Лист3"}</definedName>
    <definedName name="bn" hidden="1">{#N/A,#N/A,TRUE,"Лист1";#N/A,#N/A,TRUE,"Лист2";#N/A,#N/A,TRUE,"Лист3"}</definedName>
    <definedName name="BODYS" localSheetId="15">#REF!</definedName>
    <definedName name="BODYS" localSheetId="11">#REF!</definedName>
    <definedName name="BODYS">#REF!</definedName>
    <definedName name="bodys1" localSheetId="15">#REF!</definedName>
    <definedName name="bodys1" localSheetId="11">#REF!</definedName>
    <definedName name="bodys1">#REF!</definedName>
    <definedName name="Button_1">"НоваяОборотка_Лист1_Таблица"</definedName>
    <definedName name="c_мфзп" localSheetId="15">#REF!</definedName>
    <definedName name="c_мфзп" localSheetId="2">#REF!</definedName>
    <definedName name="c_мфзп" localSheetId="1">#REF!</definedName>
    <definedName name="c_мфзп" localSheetId="11">#REF!</definedName>
    <definedName name="c_мфзп" localSheetId="8">#REF!</definedName>
    <definedName name="c_мфзп" localSheetId="9">#REF!</definedName>
    <definedName name="c_мфзп" localSheetId="10">#REF!</definedName>
    <definedName name="c_мфзп" localSheetId="5">#REF!</definedName>
    <definedName name="c_мфзп" localSheetId="4">#REF!</definedName>
    <definedName name="c_мфзп">#REF!</definedName>
    <definedName name="CC" localSheetId="15">#REF!</definedName>
    <definedName name="CC" localSheetId="11">#REF!</definedName>
    <definedName name="CC">#REF!</definedName>
    <definedName name="cd" localSheetId="15">[7]!cd</definedName>
    <definedName name="cd" localSheetId="11">#N/A</definedName>
    <definedName name="cd" localSheetId="8">#N/A</definedName>
    <definedName name="cd" localSheetId="9">#N/A</definedName>
    <definedName name="cd">#N/A</definedName>
    <definedName name="CF_minority" localSheetId="15">#REF!</definedName>
    <definedName name="CF_minority" localSheetId="2">#REF!</definedName>
    <definedName name="CF_minority" localSheetId="1">#REF!</definedName>
    <definedName name="CF_minority" localSheetId="11">#REF!</definedName>
    <definedName name="CF_minority" localSheetId="8">#REF!</definedName>
    <definedName name="CF_minority" localSheetId="9">#REF!</definedName>
    <definedName name="CF_minority" localSheetId="10">#REF!</definedName>
    <definedName name="CF_minority" localSheetId="5">#REF!</definedName>
    <definedName name="CF_minority" localSheetId="4">#REF!</definedName>
    <definedName name="CF_minority">#REF!</definedName>
    <definedName name="ChangeInCommonEquity" localSheetId="15">#REF!</definedName>
    <definedName name="ChangeInCommonEquity" localSheetId="11">#REF!</definedName>
    <definedName name="ChangeInCommonEquity" localSheetId="8">#REF!</definedName>
    <definedName name="ChangeInCommonEquity" localSheetId="9">#REF!</definedName>
    <definedName name="ChangeInCommonEquity" localSheetId="10">#REF!</definedName>
    <definedName name="ChangeInCommonEquity">#REF!</definedName>
    <definedName name="ChangeInDeferredCompensation" localSheetId="15">#REF!</definedName>
    <definedName name="ChangeInDeferredCompensation" localSheetId="11">#REF!</definedName>
    <definedName name="ChangeInDeferredCompensation" localSheetId="8">#REF!</definedName>
    <definedName name="ChangeInDeferredCompensation" localSheetId="9">#REF!</definedName>
    <definedName name="ChangeInDeferredCompensation" localSheetId="10">#REF!</definedName>
    <definedName name="ChangeInDeferredCompensation">#REF!</definedName>
    <definedName name="chel_pen" localSheetId="15">'[27]Input-Moscow'!#REF!</definedName>
    <definedName name="chel_pen" localSheetId="2">'[27]Input-Moscow'!#REF!</definedName>
    <definedName name="chel_pen" localSheetId="1">'[27]Input-Moscow'!#REF!</definedName>
    <definedName name="chel_pen" localSheetId="11">'[27]Input-Moscow'!#REF!</definedName>
    <definedName name="chel_pen" localSheetId="8">'[27]Input-Moscow'!#REF!</definedName>
    <definedName name="chel_pen" localSheetId="9">'[27]Input-Moscow'!#REF!</definedName>
    <definedName name="chel_pen" localSheetId="10">'[27]Input-Moscow'!#REF!</definedName>
    <definedName name="chel_pen" localSheetId="5">'[27]Input-Moscow'!#REF!</definedName>
    <definedName name="chel_pen" localSheetId="4">'[27]Input-Moscow'!#REF!</definedName>
    <definedName name="chel_pen">'[27]Input-Moscow'!#REF!</definedName>
    <definedName name="client" localSheetId="15">#REF!</definedName>
    <definedName name="client" localSheetId="2">#REF!</definedName>
    <definedName name="client" localSheetId="1">#REF!</definedName>
    <definedName name="client" localSheetId="11">#REF!</definedName>
    <definedName name="client" localSheetId="8">#REF!</definedName>
    <definedName name="client" localSheetId="9">#REF!</definedName>
    <definedName name="client" localSheetId="10">#REF!</definedName>
    <definedName name="client" localSheetId="5">#REF!</definedName>
    <definedName name="client" localSheetId="4">#REF!</definedName>
    <definedName name="client">#REF!</definedName>
    <definedName name="Coeff2">[36]Лист2!$C$12</definedName>
    <definedName name="Coeff3">[36]Лист2!$C$14</definedName>
    <definedName name="Coeff4">[36]Лист2!$C$16</definedName>
    <definedName name="Company" localSheetId="11">'[37]Macro Assumptions'!$A$1</definedName>
    <definedName name="Company" localSheetId="8">'[37]Macro Assumptions'!$A$1</definedName>
    <definedName name="Company" localSheetId="9">'[37]Macro Assumptions'!$A$1</definedName>
    <definedName name="Company">'[37]Macro Assumptions'!$A$1</definedName>
    <definedName name="CompOt" localSheetId="15">[7]!CompOt</definedName>
    <definedName name="CompOt" localSheetId="11">#N/A</definedName>
    <definedName name="CompOt" localSheetId="8">#N/A</definedName>
    <definedName name="CompOt" localSheetId="9">#N/A</definedName>
    <definedName name="CompOt">#N/A</definedName>
    <definedName name="CompOt2" localSheetId="15">[7]!CompOt2</definedName>
    <definedName name="CompOt2" localSheetId="11">#N/A</definedName>
    <definedName name="CompOt2" localSheetId="8">#N/A</definedName>
    <definedName name="CompOt2" localSheetId="9">#N/A</definedName>
    <definedName name="CompOt2">#N/A</definedName>
    <definedName name="CompRas" localSheetId="15">[7]!CompRas</definedName>
    <definedName name="CompRas" localSheetId="11">#N/A</definedName>
    <definedName name="CompRas" localSheetId="8">#N/A</definedName>
    <definedName name="CompRas" localSheetId="9">#N/A</definedName>
    <definedName name="CompRas">#N/A</definedName>
    <definedName name="conflict" localSheetId="15">#REF!</definedName>
    <definedName name="conflict" localSheetId="2">#REF!</definedName>
    <definedName name="conflict" localSheetId="1">#REF!</definedName>
    <definedName name="conflict" localSheetId="11">#REF!</definedName>
    <definedName name="conflict" localSheetId="8">#REF!</definedName>
    <definedName name="conflict" localSheetId="9">#REF!</definedName>
    <definedName name="conflict" localSheetId="10">#REF!</definedName>
    <definedName name="conflict" localSheetId="5">#REF!</definedName>
    <definedName name="conflict" localSheetId="4">#REF!</definedName>
    <definedName name="conflict">#REF!</definedName>
    <definedName name="conflict1" localSheetId="15">#REF!</definedName>
    <definedName name="conflict1" localSheetId="11">#REF!</definedName>
    <definedName name="conflict1" localSheetId="8">#REF!</definedName>
    <definedName name="conflict1" localSheetId="9">#REF!</definedName>
    <definedName name="conflict1" localSheetId="10">#REF!</definedName>
    <definedName name="conflict1">#REF!</definedName>
    <definedName name="conflict2" localSheetId="15">#REF!</definedName>
    <definedName name="conflict2" localSheetId="11">#REF!</definedName>
    <definedName name="conflict2" localSheetId="8">#REF!</definedName>
    <definedName name="conflict2" localSheetId="9">#REF!</definedName>
    <definedName name="conflict2" localSheetId="10">#REF!</definedName>
    <definedName name="conflict2">#REF!</definedName>
    <definedName name="Consol" localSheetId="15">[38]!Consol</definedName>
    <definedName name="Consol" localSheetId="11">[38]!Consol</definedName>
    <definedName name="Consol" localSheetId="10">[38]!Consol</definedName>
    <definedName name="Consol">[38]!Consol</definedName>
    <definedName name="CONTROL_OR_NOT" localSheetId="15">[39]TSheet!$Z$2:$Z$3</definedName>
    <definedName name="CONTROL_OR_NOT" localSheetId="11">[40]TSheet!$Z$2:$Z$3</definedName>
    <definedName name="CONTROL_OR_NOT" localSheetId="8">[40]TSheet!$Z$2:$Z$3</definedName>
    <definedName name="CONTROL_OR_NOT" localSheetId="9">[40]TSheet!$Z$2:$Z$3</definedName>
    <definedName name="CONTROL_OR_NOT" localSheetId="10">[41]TSheet!$Z$2:$Z$3</definedName>
    <definedName name="CONTROL_OR_NOT">[42]TSheet!$Z$2:$Z$3</definedName>
    <definedName name="CONTROL_OR_NOT_2" localSheetId="15">[39]TSheet!$AA$2:$AA$4</definedName>
    <definedName name="CONTROL_OR_NOT_2" localSheetId="11">[40]TSheet!$AA$2:$AA$4</definedName>
    <definedName name="CONTROL_OR_NOT_2" localSheetId="8">[40]TSheet!$AA$2:$AA$4</definedName>
    <definedName name="CONTROL_OR_NOT_2" localSheetId="9">[40]TSheet!$AA$2:$AA$4</definedName>
    <definedName name="CONTROL_OR_NOT_2" localSheetId="10">[41]TSheet!$AA$2:$AA$4</definedName>
    <definedName name="CONTROL_OR_NOT_2">[42]TSheet!$AA$2:$AA$4</definedName>
    <definedName name="convdebtshares" localSheetId="15">#REF!</definedName>
    <definedName name="convdebtshares" localSheetId="2">#REF!</definedName>
    <definedName name="convdebtshares" localSheetId="1">#REF!</definedName>
    <definedName name="convdebtshares" localSheetId="11">#REF!</definedName>
    <definedName name="convdebtshares" localSheetId="8">#REF!</definedName>
    <definedName name="convdebtshares" localSheetId="9">#REF!</definedName>
    <definedName name="convdebtshares" localSheetId="10">#REF!</definedName>
    <definedName name="convdebtshares" localSheetId="5">#REF!</definedName>
    <definedName name="convdebtshares" localSheetId="4">#REF!</definedName>
    <definedName name="convdebtshares">#REF!</definedName>
    <definedName name="convprefshares" localSheetId="15">#REF!</definedName>
    <definedName name="convprefshares" localSheetId="11">#REF!</definedName>
    <definedName name="convprefshares" localSheetId="8">#REF!</definedName>
    <definedName name="convprefshares" localSheetId="9">#REF!</definedName>
    <definedName name="convprefshares" localSheetId="10">#REF!</definedName>
    <definedName name="convprefshares">#REF!</definedName>
    <definedName name="convpricepref" localSheetId="15">#REF!</definedName>
    <definedName name="convpricepref" localSheetId="11">#REF!</definedName>
    <definedName name="convpricepref" localSheetId="8">#REF!</definedName>
    <definedName name="convpricepref" localSheetId="9">#REF!</definedName>
    <definedName name="convpricepref" localSheetId="10">#REF!</definedName>
    <definedName name="convpricepref">#REF!</definedName>
    <definedName name="CostOfEquity" localSheetId="15">#REF!</definedName>
    <definedName name="CostOfEquity" localSheetId="11">#REF!</definedName>
    <definedName name="CostOfEquity" localSheetId="10">#REF!</definedName>
    <definedName name="CostOfEquity">#REF!</definedName>
    <definedName name="credits" localSheetId="15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2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1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11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8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9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10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5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 localSheetId="4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redits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t" localSheetId="15">[7]!ct</definedName>
    <definedName name="ct" localSheetId="11">#N/A</definedName>
    <definedName name="ct" localSheetId="8">#N/A</definedName>
    <definedName name="ct" localSheetId="9">#N/A</definedName>
    <definedName name="ct">#N/A</definedName>
    <definedName name="cur">'[6]#ССЫЛКА'!$K$2</definedName>
    <definedName name="Currency" localSheetId="15">[44]Output!#REF!</definedName>
    <definedName name="Currency" localSheetId="2">[44]Output!#REF!</definedName>
    <definedName name="Currency" localSheetId="1">[44]Output!#REF!</definedName>
    <definedName name="Currency" localSheetId="11">[44]Output!#REF!</definedName>
    <definedName name="Currency" localSheetId="8">[44]Output!#REF!</definedName>
    <definedName name="Currency" localSheetId="9">[44]Output!#REF!</definedName>
    <definedName name="Currency" localSheetId="10">[44]Output!#REF!</definedName>
    <definedName name="Currency" localSheetId="5">[44]Output!#REF!</definedName>
    <definedName name="Currency" localSheetId="4">[44]Output!#REF!</definedName>
    <definedName name="Currency">[44]Output!#REF!</definedName>
    <definedName name="cyp">'[45]FS-97'!$BA$90</definedName>
    <definedName name="D" localSheetId="15">#REF!</definedName>
    <definedName name="D" localSheetId="2">#REF!</definedName>
    <definedName name="D" localSheetId="1">#REF!</definedName>
    <definedName name="D" localSheetId="11">#REF!</definedName>
    <definedName name="D" localSheetId="8">#REF!</definedName>
    <definedName name="D" localSheetId="9">#REF!</definedName>
    <definedName name="D" localSheetId="10">#REF!</definedName>
    <definedName name="D" localSheetId="5">#REF!</definedName>
    <definedName name="D" localSheetId="4">#REF!</definedName>
    <definedName name="D">#REF!</definedName>
    <definedName name="d4602_41" localSheetId="15">#REF!</definedName>
    <definedName name="d4602_41" localSheetId="11">#REF!</definedName>
    <definedName name="d4602_41" localSheetId="8">#REF!</definedName>
    <definedName name="d4602_41" localSheetId="9">#REF!</definedName>
    <definedName name="d4602_41" localSheetId="10">#REF!</definedName>
    <definedName name="d4602_41">#REF!</definedName>
    <definedName name="DATA" localSheetId="15">#REF!</definedName>
    <definedName name="DATA" localSheetId="11">#REF!</definedName>
    <definedName name="DATA" localSheetId="8">#REF!</definedName>
    <definedName name="DATA" localSheetId="9">#REF!</definedName>
    <definedName name="DATA" localSheetId="10">#REF!</definedName>
    <definedName name="DATA">#REF!</definedName>
    <definedName name="DATE" localSheetId="15">#REF!</definedName>
    <definedName name="DATE" localSheetId="11">#REF!</definedName>
    <definedName name="DATE" localSheetId="10">#REF!</definedName>
    <definedName name="DATE">#REF!</definedName>
    <definedName name="date_displ" localSheetId="15">#REF!</definedName>
    <definedName name="date_displ" localSheetId="11">#REF!</definedName>
    <definedName name="date_displ">#REF!</definedName>
    <definedName name="dbo_PlanForm1" localSheetId="15">#REF!</definedName>
    <definedName name="dbo_PlanForm1" localSheetId="11">#REF!</definedName>
    <definedName name="dbo_PlanForm1" localSheetId="10">#REF!</definedName>
    <definedName name="dbo_PlanForm1">#REF!</definedName>
    <definedName name="DCF_analysis___Standard_model" localSheetId="15">#REF!</definedName>
    <definedName name="DCF_analysis___Standard_model" localSheetId="11">#REF!</definedName>
    <definedName name="DCF_analysis___Standard_model" localSheetId="10">#REF!</definedName>
    <definedName name="DCF_analysis___Standard_model">#REF!</definedName>
    <definedName name="dcf_year" localSheetId="15">#REF!</definedName>
    <definedName name="dcf_year" localSheetId="11">#REF!</definedName>
    <definedName name="dcf_year" localSheetId="10">#REF!</definedName>
    <definedName name="dcf_year">#REF!</definedName>
    <definedName name="dd" localSheetId="15">'[46]2003'!#REF!</definedName>
    <definedName name="dd" localSheetId="11">'[46]2003'!#REF!</definedName>
    <definedName name="dd" localSheetId="10">'[46]2003'!#REF!</definedName>
    <definedName name="dd">'[46]2003'!#REF!</definedName>
    <definedName name="ddd" localSheetId="15">#REF!</definedName>
    <definedName name="ddd" localSheetId="2">#REF!</definedName>
    <definedName name="ddd" localSheetId="1">#REF!</definedName>
    <definedName name="ddd" localSheetId="11">#REF!</definedName>
    <definedName name="ddd" localSheetId="8">#REF!</definedName>
    <definedName name="ddd" localSheetId="9">#REF!</definedName>
    <definedName name="ddd" localSheetId="10">#REF!</definedName>
    <definedName name="ddd" localSheetId="5">#REF!</definedName>
    <definedName name="ddd" localSheetId="4">#REF!</definedName>
    <definedName name="ddd">#REF!</definedName>
    <definedName name="debt_terminal" localSheetId="15">#REF!</definedName>
    <definedName name="debt_terminal" localSheetId="11">#REF!</definedName>
    <definedName name="debt_terminal" localSheetId="8">#REF!</definedName>
    <definedName name="debt_terminal" localSheetId="9">#REF!</definedName>
    <definedName name="debt_terminal" localSheetId="10">#REF!</definedName>
    <definedName name="debt_terminal">#REF!</definedName>
    <definedName name="df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15">[47]TSheet!$Q$2:$Q$4</definedName>
    <definedName name="DIMENSION_TYPE" localSheetId="2">[48]TSheet!$Q$2:$Q$4</definedName>
    <definedName name="DIMENSION_TYPE" localSheetId="1">[48]TSheet!$Q$2:$Q$4</definedName>
    <definedName name="DIMENSION_TYPE" localSheetId="11">[49]TSheet!$Q$2:$Q$4</definedName>
    <definedName name="DIMENSION_TYPE" localSheetId="8">[49]TSheet!$Q$2:$Q$4</definedName>
    <definedName name="DIMENSION_TYPE" localSheetId="9">[49]TSheet!$Q$2:$Q$4</definedName>
    <definedName name="DIMENSION_TYPE" localSheetId="10">[50]TSheet!$Q$2:$Q$4</definedName>
    <definedName name="DIMENSION_TYPE" localSheetId="5">[48]TSheet!$Q$2:$Q$4</definedName>
    <definedName name="DIMENSION_TYPE" localSheetId="4">[48]TSheet!$Q$2:$Q$4</definedName>
    <definedName name="DIMENSION_TYPE">[51]TSheet!$Q$2:$Q$4</definedName>
    <definedName name="DOLL" localSheetId="15">#REF!</definedName>
    <definedName name="DOLL" localSheetId="2">#REF!</definedName>
    <definedName name="DOLL" localSheetId="1">#REF!</definedName>
    <definedName name="DOLL" localSheetId="11">#REF!</definedName>
    <definedName name="DOLL" localSheetId="8">#REF!</definedName>
    <definedName name="DOLL" localSheetId="9">#REF!</definedName>
    <definedName name="DOLL" localSheetId="10">#REF!</definedName>
    <definedName name="DOLL" localSheetId="5">#REF!</definedName>
    <definedName name="DOLL" localSheetId="4">#REF!</definedName>
    <definedName name="DOLL">#REF!</definedName>
    <definedName name="Dollar">'[52]на 2000 год'!$G$2</definedName>
    <definedName name="Down_range" localSheetId="15">#REF!</definedName>
    <definedName name="Down_range" localSheetId="2">#REF!</definedName>
    <definedName name="Down_range" localSheetId="1">#REF!</definedName>
    <definedName name="Down_range" localSheetId="11">#REF!</definedName>
    <definedName name="Down_range" localSheetId="8">#REF!</definedName>
    <definedName name="Down_range" localSheetId="9">#REF!</definedName>
    <definedName name="Down_range" localSheetId="10">#REF!</definedName>
    <definedName name="Down_range" localSheetId="5">#REF!</definedName>
    <definedName name="Down_range" localSheetId="4">#REF!</definedName>
    <definedName name="Down_range">#REF!</definedName>
    <definedName name="DP" localSheetId="15">[53]Титульный!$F$1</definedName>
    <definedName name="DP" localSheetId="2">[54]Титульный!$F$1</definedName>
    <definedName name="DP" localSheetId="1">[54]Титульный!$F$1</definedName>
    <definedName name="DP" localSheetId="5">[54]Титульный!$F$1</definedName>
    <definedName name="DP" localSheetId="4">[54]Титульный!$F$1</definedName>
    <definedName name="DP">[55]Титульный!$F$1</definedName>
    <definedName name="DP_Begin" localSheetId="15">[39]Титульный!$F$27</definedName>
    <definedName name="DP_Begin" localSheetId="2">[56]Титульный!$F$27</definedName>
    <definedName name="DP_Begin" localSheetId="1">[56]Титульный!$F$27</definedName>
    <definedName name="DP_Begin" localSheetId="11">[40]Титульный!$F$27</definedName>
    <definedName name="DP_Begin" localSheetId="8">[40]Титульный!$F$27</definedName>
    <definedName name="DP_Begin" localSheetId="9">[40]Титульный!$F$27</definedName>
    <definedName name="DP_Begin" localSheetId="10">[41]Титульный!$F$27</definedName>
    <definedName name="DP_Begin" localSheetId="5">[56]Титульный!$F$27</definedName>
    <definedName name="DP_Begin" localSheetId="4">[56]Титульный!$F$27</definedName>
    <definedName name="DP_Begin">[57]Титульный!$F$27</definedName>
    <definedName name="DP_Period" localSheetId="15">[39]Титульный!$F$28</definedName>
    <definedName name="DP_Period" localSheetId="2">[56]Титульный!$F$28</definedName>
    <definedName name="DP_Period" localSheetId="1">[56]Титульный!$F$28</definedName>
    <definedName name="DP_Period" localSheetId="11">[40]Титульный!$F$28</definedName>
    <definedName name="DP_Period" localSheetId="8">[40]Титульный!$F$28</definedName>
    <definedName name="DP_Period" localSheetId="9">[40]Титульный!$F$28</definedName>
    <definedName name="DP_Period" localSheetId="10">[41]Титульный!$F$28</definedName>
    <definedName name="DP_Period" localSheetId="5">[56]Титульный!$F$28</definedName>
    <definedName name="DP_Period" localSheetId="4">[56]Титульный!$F$28</definedName>
    <definedName name="DP_Period">[57]Титульный!$F$28</definedName>
    <definedName name="draft" localSheetId="15">#REF!</definedName>
    <definedName name="draft" localSheetId="2">#REF!</definedName>
    <definedName name="draft" localSheetId="1">#REF!</definedName>
    <definedName name="draft" localSheetId="11">#REF!</definedName>
    <definedName name="draft" localSheetId="8">#REF!</definedName>
    <definedName name="draft" localSheetId="9">#REF!</definedName>
    <definedName name="draft" localSheetId="10">#REF!</definedName>
    <definedName name="draft" localSheetId="5">#REF!</definedName>
    <definedName name="draft" localSheetId="4">#REF!</definedName>
    <definedName name="draft">#REF!</definedName>
    <definedName name="DRANGE_1" localSheetId="15">#REF!</definedName>
    <definedName name="DRANGE_1" localSheetId="11">#REF!</definedName>
    <definedName name="DRANGE_1" localSheetId="10">#REF!</definedName>
    <definedName name="DRANGE_1">#REF!</definedName>
    <definedName name="DRANGE_2" localSheetId="15">#REF!</definedName>
    <definedName name="DRANGE_2" localSheetId="11">#REF!</definedName>
    <definedName name="DRANGE_2" localSheetId="10">#REF!</definedName>
    <definedName name="DRANGE_2">#REF!</definedName>
    <definedName name="dsragh" localSheetId="15">[7]!dsragh</definedName>
    <definedName name="dsragh" localSheetId="11">#N/A</definedName>
    <definedName name="dsragh" localSheetId="8">#N/A</definedName>
    <definedName name="dsragh" localSheetId="9">#N/A</definedName>
    <definedName name="dsragh">#N/A</definedName>
    <definedName name="dt20kt10" localSheetId="15">#REF!</definedName>
    <definedName name="dt20kt10" localSheetId="2">#REF!</definedName>
    <definedName name="dt20kt10" localSheetId="1">#REF!</definedName>
    <definedName name="dt20kt10" localSheetId="11">#REF!</definedName>
    <definedName name="dt20kt10" localSheetId="8">#REF!</definedName>
    <definedName name="dt20kt10" localSheetId="9">#REF!</definedName>
    <definedName name="dt20kt10" localSheetId="10">#REF!</definedName>
    <definedName name="dt20kt10" localSheetId="5">#REF!</definedName>
    <definedName name="dt20kt10" localSheetId="4">#REF!</definedName>
    <definedName name="dt20kt10">#REF!</definedName>
    <definedName name="DURATION" localSheetId="15">[29]Титульный!$F$25</definedName>
    <definedName name="DURATION" localSheetId="2">[30]Титульный!$F$25</definedName>
    <definedName name="DURATION" localSheetId="1">[30]Титульный!$F$25</definedName>
    <definedName name="DURATION" localSheetId="11">[31]Титульный!$F$25</definedName>
    <definedName name="DURATION" localSheetId="8">[31]Титульный!$F$25</definedName>
    <definedName name="DURATION" localSheetId="9">[31]Титульный!$F$25</definedName>
    <definedName name="DURATION" localSheetId="10">[31]Титульный!$F$25</definedName>
    <definedName name="DURATION" localSheetId="5">[30]Титульный!$F$25</definedName>
    <definedName name="DURATION" localSheetId="4">[30]Титульный!$F$25</definedName>
    <definedName name="DURATION">[33]Титульный!$F$25</definedName>
    <definedName name="EBITDA_mult1" localSheetId="15">#REF!</definedName>
    <definedName name="EBITDA_mult1" localSheetId="2">#REF!</definedName>
    <definedName name="EBITDA_mult1" localSheetId="1">#REF!</definedName>
    <definedName name="EBITDA_mult1" localSheetId="11">#REF!</definedName>
    <definedName name="EBITDA_mult1" localSheetId="8">#REF!</definedName>
    <definedName name="EBITDA_mult1" localSheetId="9">#REF!</definedName>
    <definedName name="EBITDA_mult1" localSheetId="10">#REF!</definedName>
    <definedName name="EBITDA_mult1" localSheetId="5">#REF!</definedName>
    <definedName name="EBITDA_mult1" localSheetId="4">#REF!</definedName>
    <definedName name="EBITDA_mult1">#REF!</definedName>
    <definedName name="EBITDA_mult3" localSheetId="15">#REF!</definedName>
    <definedName name="EBITDA_mult3" localSheetId="11">#REF!</definedName>
    <definedName name="EBITDA_mult3" localSheetId="8">#REF!</definedName>
    <definedName name="EBITDA_mult3" localSheetId="9">#REF!</definedName>
    <definedName name="EBITDA_mult3" localSheetId="10">#REF!</definedName>
    <definedName name="EBITDA_mult3">#REF!</definedName>
    <definedName name="EBITDA_mult5" localSheetId="15">#REF!</definedName>
    <definedName name="EBITDA_mult5" localSheetId="11">#REF!</definedName>
    <definedName name="EBITDA_mult5" localSheetId="8">#REF!</definedName>
    <definedName name="EBITDA_mult5" localSheetId="9">#REF!</definedName>
    <definedName name="EBITDA_mult5" localSheetId="10">#REF!</definedName>
    <definedName name="EBITDA_mult5">#REF!</definedName>
    <definedName name="enr" localSheetId="15">#REF!</definedName>
    <definedName name="enr" localSheetId="11">#REF!</definedName>
    <definedName name="enr" localSheetId="10">#REF!</definedName>
    <definedName name="enr">#REF!</definedName>
    <definedName name="Enterprize">[58]Настройка!$A$5</definedName>
    <definedName name="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[59]Anlagevermögen!$A$1:$Z$29</definedName>
    <definedName name="ert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_PROT">#N/A</definedName>
    <definedName name="ew" localSheetId="15">[7]!ew</definedName>
    <definedName name="ew" localSheetId="11">#N/A</definedName>
    <definedName name="ew" localSheetId="8">#N/A</definedName>
    <definedName name="ew" localSheetId="9">#N/A</definedName>
    <definedName name="ew">#N/A</definedName>
    <definedName name="ewqreq" localSheetId="15">#REF!</definedName>
    <definedName name="ewqreq" localSheetId="2">#REF!</definedName>
    <definedName name="ewqreq" localSheetId="1">#REF!</definedName>
    <definedName name="ewqreq" localSheetId="11">#REF!</definedName>
    <definedName name="ewqreq" localSheetId="8">#REF!</definedName>
    <definedName name="ewqreq" localSheetId="9">#REF!</definedName>
    <definedName name="ewqreq" localSheetId="10">#REF!</definedName>
    <definedName name="ewqreq" localSheetId="5">#REF!</definedName>
    <definedName name="ewqreq" localSheetId="4">#REF!</definedName>
    <definedName name="ewqreq">#REF!</definedName>
    <definedName name="Excel_BuiltIn_Database" localSheetId="15">#REF!</definedName>
    <definedName name="Excel_BuiltIn_Database" localSheetId="11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>#REF!</definedName>
    <definedName name="Excel_BuiltIn_Print_Area" localSheetId="15">#REF!</definedName>
    <definedName name="Excel_BuiltIn_Print_Area" localSheetId="11">#REF!</definedName>
    <definedName name="Excel_BuiltIn_Print_Area" localSheetId="8">#REF!</definedName>
    <definedName name="Excel_BuiltIn_Print_Area" localSheetId="9">#REF!</definedName>
    <definedName name="Excel_BuiltIn_Print_Area" localSheetId="10">#REF!</definedName>
    <definedName name="Excel_BuiltIn_Print_Area">#REF!</definedName>
    <definedName name="Excel_BuiltIn_Print_Area_1" localSheetId="15">#REF!</definedName>
    <definedName name="Excel_BuiltIn_Print_Area_1" localSheetId="11">#REF!</definedName>
    <definedName name="Excel_BuiltIn_Print_Area_1" localSheetId="10">#REF!</definedName>
    <definedName name="Excel_BuiltIn_Print_Area_1">#REF!</definedName>
    <definedName name="Excel_BuiltIn_Print_Titles" localSheetId="15">#REF!</definedName>
    <definedName name="Excel_BuiltIn_Print_Titles" localSheetId="11">#REF!</definedName>
    <definedName name="Excel_BuiltIn_Print_Titles" localSheetId="10">#REF!</definedName>
    <definedName name="Excel_BuiltIn_Print_Titles">#REF!</definedName>
    <definedName name="EXTPR" localSheetId="15">#REF!</definedName>
    <definedName name="EXTPR" localSheetId="11">#REF!</definedName>
    <definedName name="EXTPR">#REF!</definedName>
    <definedName name="f" localSheetId="15">#REF!</definedName>
    <definedName name="f" localSheetId="11">#REF!</definedName>
    <definedName name="f" localSheetId="10">#REF!</definedName>
    <definedName name="f">#REF!</definedName>
    <definedName name="fa" localSheetId="15">#REF!</definedName>
    <definedName name="fa" localSheetId="11">#REF!</definedName>
    <definedName name="fa" localSheetId="10">#REF!</definedName>
    <definedName name="fa">#REF!</definedName>
    <definedName name="fbgffnjfgg" localSheetId="15">[7]!fbgffnjfgg</definedName>
    <definedName name="fbgffnjfgg" localSheetId="11">#N/A</definedName>
    <definedName name="fbgffnjfgg" localSheetId="8">#N/A</definedName>
    <definedName name="fbgffnjfgg" localSheetId="9">#N/A</definedName>
    <definedName name="fbgffnjfgg">#N/A</definedName>
    <definedName name="fd" localSheetId="15">#REF!</definedName>
    <definedName name="fd" localSheetId="2">#REF!</definedName>
    <definedName name="fd" localSheetId="1">#REF!</definedName>
    <definedName name="fd" localSheetId="11">#REF!</definedName>
    <definedName name="fd" localSheetId="8">#REF!</definedName>
    <definedName name="fd" localSheetId="9">#REF!</definedName>
    <definedName name="fd" localSheetId="10">#REF!</definedName>
    <definedName name="fd" localSheetId="5">#REF!</definedName>
    <definedName name="fd" localSheetId="4">#REF!</definedName>
    <definedName name="fd">#REF!</definedName>
    <definedName name="fdgd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f" localSheetId="15">#REF!</definedName>
    <definedName name="ff" localSheetId="2">#REF!</definedName>
    <definedName name="ff" localSheetId="1">#REF!</definedName>
    <definedName name="ff" localSheetId="11">#REF!</definedName>
    <definedName name="ff" localSheetId="8">#REF!</definedName>
    <definedName name="ff" localSheetId="9">#REF!</definedName>
    <definedName name="ff" localSheetId="10">#REF!</definedName>
    <definedName name="ff" localSheetId="5">#REF!</definedName>
    <definedName name="ff" localSheetId="4">#REF!</definedName>
    <definedName name="ff">#REF!</definedName>
    <definedName name="fff" localSheetId="15">#REF!</definedName>
    <definedName name="fff" localSheetId="11">#REF!</definedName>
    <definedName name="fff" localSheetId="8">#REF!</definedName>
    <definedName name="fff" localSheetId="9">#REF!</definedName>
    <definedName name="fff" localSheetId="10">#REF!</definedName>
    <definedName name="fff">#REF!</definedName>
    <definedName name="fffff" localSheetId="15">'[60]Гр5(о)'!#REF!</definedName>
    <definedName name="fffff" localSheetId="2">'[61]Гр5(о)'!#REF!</definedName>
    <definedName name="fffff" localSheetId="1">'[61]Гр5(о)'!#REF!</definedName>
    <definedName name="fffff" localSheetId="11">'[60]Гр5(о)'!#REF!</definedName>
    <definedName name="fffff" localSheetId="8">'[60]Гр5(о)'!#REF!</definedName>
    <definedName name="fffff" localSheetId="9">'[60]Гр5(о)'!#REF!</definedName>
    <definedName name="fffff" localSheetId="10">'[62]Гр5(о)'!#REF!</definedName>
    <definedName name="fffff" localSheetId="5">'[61]Гр5(о)'!#REF!</definedName>
    <definedName name="fffff" localSheetId="4">'[61]Гр5(о)'!#REF!</definedName>
    <definedName name="fffff">'[63]Гр5(о)'!#REF!</definedName>
    <definedName name="fg" localSheetId="15">[7]!fg</definedName>
    <definedName name="fg" localSheetId="11">#N/A</definedName>
    <definedName name="fg" localSheetId="8">#N/A</definedName>
    <definedName name="fg" localSheetId="9">#N/A</definedName>
    <definedName name="fg">#N/A</definedName>
    <definedName name="fghfg" localSheetId="15">#REF!</definedName>
    <definedName name="fghfg" localSheetId="2">#REF!</definedName>
    <definedName name="fghfg" localSheetId="1">#REF!</definedName>
    <definedName name="fghfg" localSheetId="11">#REF!</definedName>
    <definedName name="fghfg" localSheetId="8">#REF!</definedName>
    <definedName name="fghfg" localSheetId="9">#REF!</definedName>
    <definedName name="fghfg" localSheetId="10">#REF!</definedName>
    <definedName name="fghfg" localSheetId="5">#REF!</definedName>
    <definedName name="fghfg" localSheetId="4">#REF!</definedName>
    <definedName name="fghfg">#REF!</definedName>
    <definedName name="fgjgj" localSheetId="15">#REF!</definedName>
    <definedName name="fgjgj" localSheetId="11">#REF!</definedName>
    <definedName name="fgjgj" localSheetId="8">#REF!</definedName>
    <definedName name="fgjgj" localSheetId="9">#REF!</definedName>
    <definedName name="fgjgj" localSheetId="10">#REF!</definedName>
    <definedName name="fgjgj">#REF!</definedName>
    <definedName name="fhfyfyu" localSheetId="15" hidden="1">#REF!,#REF!,#REF!,амор!P1_SCOPE_PER_PRT,амор!P2_SCOPE_PER_PRT,амор!P3_SCOPE_PER_PRT,амор!P4_SCOPE_PER_PRT</definedName>
    <definedName name="fhfyfyu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fhfyfyu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fhfyfyu" localSheetId="7" hidden="1">#REF!,#REF!,#REF!,подконтрольные!P1_SCOPE_PER_PRT,подконтрольные!P2_SCOPE_PER_PRT,подконтрольные!P3_SCOPE_PER_PRT,подконтрольные!P4_SCOPE_PER_PRT</definedName>
    <definedName name="fhfyfyu" localSheetId="11" hidden="1">#REF!,#REF!,#REF!,'прил 4 к расп'!P1_SCOPE_PER_PRT,'прил 4 к расп'!P2_SCOPE_PER_PRT,'прил 4 к расп'!P3_SCOPE_PER_PRT,'прил 4 к расп'!P4_SCOPE_PER_PRT</definedName>
    <definedName name="fhfyfyu" localSheetId="8" hidden="1">#REF!,#REF!,#REF!,Прил2!P1_SCOPE_PER_PRT,Прил2!P2_SCOPE_PER_PRT,Прил2!P3_SCOPE_PER_PRT,Прил2!P4_SCOPE_PER_PRT</definedName>
    <definedName name="fhfyfyu" localSheetId="9" hidden="1">#REF!,#REF!,#REF!,Прил3!P1_SCOPE_PER_PRT,Прил3!P2_SCOPE_PER_PRT,Прил3!P3_SCOPE_PER_PRT,Прил3!P4_SCOPE_PER_PRT</definedName>
    <definedName name="fhfyfyu" localSheetId="10" hidden="1">#REF!,#REF!,#REF!,прил4!P1_SCOPE_PER_PRT,прил4!P2_SCOPE_PER_PRT,прил4!P3_SCOPE_PER_PRT,прил4!P4_SCOPE_PER_PRT</definedName>
    <definedName name="fhfyfyu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fhfyfyu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fhfyfyu" hidden="1">#REF!,#REF!,#REF!,P1_SCOPE_PER_PRT,P2_SCOPE_PER_PRT,P3_SCOPE_PER_PRT,P4_SCOPE_PER_PRT</definedName>
    <definedName name="fhj" localSheetId="15">#REF!</definedName>
    <definedName name="fhj" localSheetId="2">#REF!</definedName>
    <definedName name="fhj" localSheetId="1">#REF!</definedName>
    <definedName name="fhj" localSheetId="11">#REF!</definedName>
    <definedName name="fhj" localSheetId="8">#REF!</definedName>
    <definedName name="fhj" localSheetId="9">#REF!</definedName>
    <definedName name="fhj" localSheetId="10">#REF!</definedName>
    <definedName name="fhj" localSheetId="5">#REF!</definedName>
    <definedName name="fhj" localSheetId="4">#REF!</definedName>
    <definedName name="fhj">#REF!</definedName>
    <definedName name="file" localSheetId="15">#REF!</definedName>
    <definedName name="file" localSheetId="11">#REF!</definedName>
    <definedName name="file" localSheetId="8">#REF!</definedName>
    <definedName name="file" localSheetId="9">#REF!</definedName>
    <definedName name="file" localSheetId="10">#REF!</definedName>
    <definedName name="file">#REF!</definedName>
    <definedName name="fjhgkj" localSheetId="15">#REF!</definedName>
    <definedName name="fjhgkj" localSheetId="11">#REF!</definedName>
    <definedName name="fjhgkj" localSheetId="8">#REF!</definedName>
    <definedName name="fjhgkj" localSheetId="9">#REF!</definedName>
    <definedName name="fjhgkj" localSheetId="10">#REF!</definedName>
    <definedName name="fjhgkj">#REF!</definedName>
    <definedName name="FORMCODE" localSheetId="15">[39]TSheet!$C$2</definedName>
    <definedName name="FORMCODE" localSheetId="11">[40]TSheet!$C$2</definedName>
    <definedName name="FORMCODE" localSheetId="8">[40]TSheet!$C$2</definedName>
    <definedName name="FORMCODE" localSheetId="9">[40]TSheet!$C$2</definedName>
    <definedName name="FORMCODE" localSheetId="10">[41]TSheet!$C$2</definedName>
    <definedName name="FORMCODE">[64]TSheet!$C$2</definedName>
    <definedName name="FORMNAME" localSheetId="15">[39]TSheet!$C$3</definedName>
    <definedName name="FORMNAME" localSheetId="11">[40]TSheet!$C$3</definedName>
    <definedName name="FORMNAME" localSheetId="8">[40]TSheet!$C$3</definedName>
    <definedName name="FORMNAME" localSheetId="9">[40]TSheet!$C$3</definedName>
    <definedName name="FORMNAME" localSheetId="10">[41]TSheet!$C$3</definedName>
    <definedName name="FORMNAME">[64]TSheet!$C$3</definedName>
    <definedName name="FUEL_GROUP" localSheetId="15">[39]TSheet!$T$2:$T$7</definedName>
    <definedName name="FUEL_GROUP" localSheetId="11">[40]TSheet!$T$2:$T$7</definedName>
    <definedName name="FUEL_GROUP" localSheetId="8">[40]TSheet!$T$2:$T$7</definedName>
    <definedName name="FUEL_GROUP" localSheetId="9">[40]TSheet!$T$2:$T$7</definedName>
    <definedName name="FUEL_GROUP" localSheetId="10">[41]TSheet!$T$2:$T$7</definedName>
    <definedName name="FUEL_GROUP">[42]TSheet!$T$2:$T$7</definedName>
    <definedName name="FUR" localSheetId="15">#REF!</definedName>
    <definedName name="FUR" localSheetId="2">#REF!</definedName>
    <definedName name="FUR" localSheetId="1">#REF!</definedName>
    <definedName name="FUR" localSheetId="11">#REF!</definedName>
    <definedName name="FUR" localSheetId="8">#REF!</definedName>
    <definedName name="FUR" localSheetId="9">#REF!</definedName>
    <definedName name="FUR" localSheetId="10">#REF!</definedName>
    <definedName name="FUR" localSheetId="5">#REF!</definedName>
    <definedName name="FUR" localSheetId="4">#REF!</definedName>
    <definedName name="FUR">#REF!</definedName>
    <definedName name="fytf" localSheetId="15">#REF!</definedName>
    <definedName name="fytf" localSheetId="11">#REF!</definedName>
    <definedName name="fytf" localSheetId="8">#REF!</definedName>
    <definedName name="fytf" localSheetId="9">#REF!</definedName>
    <definedName name="fytf" localSheetId="10">#REF!</definedName>
    <definedName name="fytf">#REF!</definedName>
    <definedName name="g" localSheetId="15">#REF!</definedName>
    <definedName name="g" localSheetId="11">#REF!</definedName>
    <definedName name="g" localSheetId="8">#REF!</definedName>
    <definedName name="g" localSheetId="9">#REF!</definedName>
    <definedName name="g" localSheetId="10">#REF!</definedName>
    <definedName name="g">#REF!</definedName>
    <definedName name="Gala" localSheetId="15">#REF!</definedName>
    <definedName name="Gala" localSheetId="11">#REF!</definedName>
    <definedName name="Gala" localSheetId="8">#REF!</definedName>
    <definedName name="Gala" localSheetId="9">#REF!</definedName>
    <definedName name="Gala" localSheetId="10">#REF!</definedName>
    <definedName name="Gala">#REF!</definedName>
    <definedName name="GAS_GROUP" localSheetId="15">[39]TSheet!$R$2:$R$8</definedName>
    <definedName name="GAS_GROUP" localSheetId="11">[40]TSheet!$R$2:$R$8</definedName>
    <definedName name="GAS_GROUP" localSheetId="8">[40]TSheet!$R$2:$R$8</definedName>
    <definedName name="GAS_GROUP" localSheetId="9">[40]TSheet!$R$2:$R$8</definedName>
    <definedName name="GAS_GROUP" localSheetId="10">[41]TSheet!$R$2:$R$8</definedName>
    <definedName name="GAS_GROUP">[42]TSheet!$R$2:$R$8</definedName>
    <definedName name="gf">'[22]Продажи реальные и прогноз 20 л'!$E$47</definedName>
    <definedName name="gf2new" localSheetId="15">#REF!</definedName>
    <definedName name="gf2new" localSheetId="2">#REF!</definedName>
    <definedName name="gf2new" localSheetId="1">#REF!</definedName>
    <definedName name="gf2new" localSheetId="11">#REF!</definedName>
    <definedName name="gf2new" localSheetId="8">#REF!</definedName>
    <definedName name="gf2new" localSheetId="9">#REF!</definedName>
    <definedName name="gf2new" localSheetId="10">#REF!</definedName>
    <definedName name="gf2new" localSheetId="5">#REF!</definedName>
    <definedName name="gf2new" localSheetId="4">#REF!</definedName>
    <definedName name="gf2new">#REF!</definedName>
    <definedName name="gfg" localSheetId="15">[7]!gfg</definedName>
    <definedName name="gfg" localSheetId="11">#N/A</definedName>
    <definedName name="gfg" localSheetId="8">#N/A</definedName>
    <definedName name="gfg" localSheetId="9">#N/A</definedName>
    <definedName name="gfg">#N/A</definedName>
    <definedName name="ggf" localSheetId="15">'[6]Общие продажи'!#REF!</definedName>
    <definedName name="ggf" localSheetId="2">'[6]Общие продажи'!#REF!</definedName>
    <definedName name="ggf" localSheetId="1">'[6]Общие продажи'!#REF!</definedName>
    <definedName name="ggf" localSheetId="11">'[6]Общие продажи'!#REF!</definedName>
    <definedName name="ggf" localSheetId="8">'[6]Общие продажи'!#REF!</definedName>
    <definedName name="ggf" localSheetId="9">'[6]Общие продажи'!#REF!</definedName>
    <definedName name="ggf" localSheetId="10">'[6]Общие продажи'!#REF!</definedName>
    <definedName name="ggf" localSheetId="5">'[6]Общие продажи'!#REF!</definedName>
    <definedName name="ggf" localSheetId="4">'[6]Общие продажи'!#REF!</definedName>
    <definedName name="ggf">'[6]Общие продажи'!#REF!</definedName>
    <definedName name="gggg" localSheetId="15">#REF!</definedName>
    <definedName name="gggg" localSheetId="2">#REF!</definedName>
    <definedName name="gggg" localSheetId="1">#REF!</definedName>
    <definedName name="gggg" localSheetId="11">#REF!</definedName>
    <definedName name="gggg" localSheetId="8">#REF!</definedName>
    <definedName name="gggg" localSheetId="9">#REF!</definedName>
    <definedName name="gggg" localSheetId="10">#REF!</definedName>
    <definedName name="gggg" localSheetId="5">#REF!</definedName>
    <definedName name="gggg" localSheetId="4">#REF!</definedName>
    <definedName name="gggg">#REF!</definedName>
    <definedName name="gh" localSheetId="15">'[6]Общие продажи'!#REF!</definedName>
    <definedName name="gh" localSheetId="2">'[6]Общие продажи'!#REF!</definedName>
    <definedName name="gh" localSheetId="1">'[6]Общие продажи'!#REF!</definedName>
    <definedName name="gh" localSheetId="11">'[6]Общие продажи'!#REF!</definedName>
    <definedName name="gh" localSheetId="8">'[6]Общие продажи'!#REF!</definedName>
    <definedName name="gh" localSheetId="9">'[6]Общие продажи'!#REF!</definedName>
    <definedName name="gh" localSheetId="10">'[6]Общие продажи'!#REF!</definedName>
    <definedName name="gh" localSheetId="5">'[6]Общие продажи'!#REF!</definedName>
    <definedName name="gh" localSheetId="4">'[6]Общие продажи'!#REF!</definedName>
    <definedName name="gh">'[6]Общие продажи'!#REF!</definedName>
    <definedName name="ghhktyi" localSheetId="15">[7]!ghhktyi</definedName>
    <definedName name="ghhktyi" localSheetId="11">#N/A</definedName>
    <definedName name="ghhktyi" localSheetId="8">#N/A</definedName>
    <definedName name="ghhktyi" localSheetId="9">#N/A</definedName>
    <definedName name="ghhktyi">#N/A</definedName>
    <definedName name="ghjjhj" localSheetId="15">#REF!</definedName>
    <definedName name="ghjjhj" localSheetId="2">#REF!</definedName>
    <definedName name="ghjjhj" localSheetId="1">#REF!</definedName>
    <definedName name="ghjjhj" localSheetId="11">#REF!</definedName>
    <definedName name="ghjjhj" localSheetId="8">#REF!</definedName>
    <definedName name="ghjjhj" localSheetId="9">#REF!</definedName>
    <definedName name="ghjjhj" localSheetId="10">#REF!</definedName>
    <definedName name="ghjjhj" localSheetId="5">#REF!</definedName>
    <definedName name="ghjjhj" localSheetId="4">#REF!</definedName>
    <definedName name="ghjjhj">#REF!</definedName>
    <definedName name="ghrth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5">#REF!</definedName>
    <definedName name="ghy" localSheetId="2">#REF!</definedName>
    <definedName name="ghy" localSheetId="1">#REF!</definedName>
    <definedName name="ghy" localSheetId="11">#REF!</definedName>
    <definedName name="ghy" localSheetId="8">#REF!</definedName>
    <definedName name="ghy" localSheetId="9">#REF!</definedName>
    <definedName name="ghy" localSheetId="10">#REF!</definedName>
    <definedName name="ghy" localSheetId="5">#REF!</definedName>
    <definedName name="ghy" localSheetId="4">#REF!</definedName>
    <definedName name="ghy">#REF!</definedName>
    <definedName name="god" localSheetId="15">[65]Титульный!$F$10</definedName>
    <definedName name="god" localSheetId="2">'[66]Затраты на газ'!#REF!</definedName>
    <definedName name="god" localSheetId="1">'[66]Затраты на газ'!#REF!</definedName>
    <definedName name="god" localSheetId="11">'[67]Затраты на газ'!#REF!</definedName>
    <definedName name="god" localSheetId="8">'[67]Затраты на газ'!#REF!</definedName>
    <definedName name="god" localSheetId="9">'[67]Затраты на газ'!#REF!</definedName>
    <definedName name="god" localSheetId="10">'[67]Затраты на газ'!#REF!</definedName>
    <definedName name="god" localSheetId="5">'[66]Затраты на газ'!#REF!</definedName>
    <definedName name="god" localSheetId="4">'[66]Затраты на газ'!#REF!</definedName>
    <definedName name="god">'[68]Затраты на газ'!#REF!</definedName>
    <definedName name="GRANGE_11" localSheetId="15">#REF!</definedName>
    <definedName name="GRANGE_11" localSheetId="2">#REF!</definedName>
    <definedName name="GRANGE_11" localSheetId="1">#REF!</definedName>
    <definedName name="GRANGE_11" localSheetId="11">#REF!</definedName>
    <definedName name="GRANGE_11" localSheetId="8">#REF!</definedName>
    <definedName name="GRANGE_11" localSheetId="9">#REF!</definedName>
    <definedName name="GRANGE_11" localSheetId="10">#REF!</definedName>
    <definedName name="GRANGE_11" localSheetId="5">#REF!</definedName>
    <definedName name="GRANGE_11" localSheetId="4">#REF!</definedName>
    <definedName name="GRANGE_11">#REF!</definedName>
    <definedName name="GRANGE_12" localSheetId="15">#REF!</definedName>
    <definedName name="GRANGE_12" localSheetId="11">#REF!</definedName>
    <definedName name="GRANGE_12" localSheetId="10">#REF!</definedName>
    <definedName name="GRANGE_12">#REF!</definedName>
    <definedName name="GRANGE_13" localSheetId="15">#REF!</definedName>
    <definedName name="GRANGE_13" localSheetId="11">#REF!</definedName>
    <definedName name="GRANGE_13" localSheetId="10">#REF!</definedName>
    <definedName name="GRANGE_13">#REF!</definedName>
    <definedName name="GRANGE_21" localSheetId="15">#REF!</definedName>
    <definedName name="GRANGE_21" localSheetId="11">#REF!</definedName>
    <definedName name="GRANGE_21" localSheetId="10">#REF!</definedName>
    <definedName name="GRANGE_21">#REF!</definedName>
    <definedName name="GRANGE_22" localSheetId="15">#REF!</definedName>
    <definedName name="GRANGE_22" localSheetId="11">#REF!</definedName>
    <definedName name="GRANGE_22" localSheetId="10">#REF!</definedName>
    <definedName name="GRANGE_22">#REF!</definedName>
    <definedName name="GRANGE_23" localSheetId="15">#REF!</definedName>
    <definedName name="GRANGE_23" localSheetId="11">#REF!</definedName>
    <definedName name="GRANGE_23" localSheetId="10">#REF!</definedName>
    <definedName name="GRANGE_23">#REF!</definedName>
    <definedName name="grety5e" localSheetId="15">[7]!grety5e</definedName>
    <definedName name="grety5e" localSheetId="11">#N/A</definedName>
    <definedName name="grety5e" localSheetId="8">#N/A</definedName>
    <definedName name="grety5e" localSheetId="9">#N/A</definedName>
    <definedName name="grety5e">#N/A</definedName>
    <definedName name="gyu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5">#REF!</definedName>
    <definedName name="H" localSheetId="2">#REF!</definedName>
    <definedName name="H" localSheetId="1">#REF!</definedName>
    <definedName name="H" localSheetId="11">#REF!</definedName>
    <definedName name="H" localSheetId="8">#REF!</definedName>
    <definedName name="H" localSheetId="9">#REF!</definedName>
    <definedName name="H" localSheetId="10">#REF!</definedName>
    <definedName name="H" localSheetId="5">#REF!</definedName>
    <definedName name="H" localSheetId="4">#REF!</definedName>
    <definedName name="H">#REF!</definedName>
    <definedName name="HELP" localSheetId="15">#REF!</definedName>
    <definedName name="HELP" localSheetId="11">#REF!</definedName>
    <definedName name="HELP" localSheetId="8">#REF!</definedName>
    <definedName name="HELP" localSheetId="9">#REF!</definedName>
    <definedName name="HELP" localSheetId="10">#REF!</definedName>
    <definedName name="HELP">#REF!</definedName>
    <definedName name="hfte" localSheetId="15">[7]!hfte</definedName>
    <definedName name="hfte" localSheetId="11">#N/A</definedName>
    <definedName name="hfte" localSheetId="8">#N/A</definedName>
    <definedName name="hfte" localSheetId="9">#N/A</definedName>
    <definedName name="hfte">#N/A</definedName>
    <definedName name="hgkj">'[69]Продажи реальные и прогноз 20 л'!$E$47</definedName>
    <definedName name="hhh" localSheetId="15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7" hidden="1">{#N/A,#N/A,TRUE,"Лист1";#N/A,#N/A,TRUE,"Лист2";#N/A,#N/A,TRUE,"Лист3"}</definedName>
    <definedName name="hhh" localSheetId="11" hidden="1">{#N/A,#N/A,TRUE,"Лист1";#N/A,#N/A,TRUE,"Лист2";#N/A,#N/A,TRUE,"Лист3"}</definedName>
    <definedName name="hhh" localSheetId="8" hidden="1">{#N/A,#N/A,TRUE,"Лист1";#N/A,#N/A,TRUE,"Лист2";#N/A,#N/A,TRUE,"Лист3"}</definedName>
    <definedName name="hhh" localSheetId="9" hidden="1">{#N/A,#N/A,TRUE,"Лист1";#N/A,#N/A,TRUE,"Лист2";#N/A,#N/A,TRUE,"Лист3"}</definedName>
    <definedName name="hhh" localSheetId="10" hidden="1">{#N/A,#N/A,TRUE,"Лист1";#N/A,#N/A,TRUE,"Лист2";#N/A,#N/A,TRUE,"Лист3"}</definedName>
    <definedName name="hhh" localSheetId="5" hidden="1">{#N/A,#N/A,TRUE,"Лист1";#N/A,#N/A,TRUE,"Лист2";#N/A,#N/A,TRUE,"Лист3"}</definedName>
    <definedName name="hhh" localSheetId="4" hidden="1">{#N/A,#N/A,TRUE,"Лист1";#N/A,#N/A,TRUE,"Лист2";#N/A,#N/A,TRUE,"Лист3"}</definedName>
    <definedName name="hhh" hidden="1">{#N/A,#N/A,TRUE,"Лист1";#N/A,#N/A,TRUE,"Лист2";#N/A,#N/A,TRUE,"Лист3"}</definedName>
    <definedName name="hhj">'[12]BCS APP Slovakia'!$AF$6</definedName>
    <definedName name="hhjhjjkkjjk">'[12]BCS APP CR'!$D$24</definedName>
    <definedName name="hjg" localSheetId="15">#REF!</definedName>
    <definedName name="hjg" localSheetId="2">#REF!</definedName>
    <definedName name="hjg" localSheetId="1">#REF!</definedName>
    <definedName name="hjg" localSheetId="11">#REF!</definedName>
    <definedName name="hjg" localSheetId="8">#REF!</definedName>
    <definedName name="hjg" localSheetId="9">#REF!</definedName>
    <definedName name="hjg" localSheetId="10">#REF!</definedName>
    <definedName name="hjg" localSheetId="5">#REF!</definedName>
    <definedName name="hjg" localSheetId="4">#REF!</definedName>
    <definedName name="hjg">#REF!</definedName>
    <definedName name="hjjkjklkl" localSheetId="15">#REF!</definedName>
    <definedName name="hjjkjklkl" localSheetId="11">#REF!</definedName>
    <definedName name="hjjkjklkl" localSheetId="10">#REF!</definedName>
    <definedName name="hjjkjklkl">#REF!</definedName>
    <definedName name="hjytjty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5">#REF!</definedName>
    <definedName name="homr" localSheetId="2">#REF!</definedName>
    <definedName name="homr" localSheetId="1">#REF!</definedName>
    <definedName name="homr" localSheetId="11">#REF!</definedName>
    <definedName name="homr" localSheetId="8">#REF!</definedName>
    <definedName name="homr" localSheetId="9">#REF!</definedName>
    <definedName name="homr" localSheetId="10">#REF!</definedName>
    <definedName name="homr" localSheetId="5">#REF!</definedName>
    <definedName name="homr" localSheetId="4">#REF!</definedName>
    <definedName name="homr">#REF!</definedName>
    <definedName name="hpo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5" hidden="1">{"'D'!$A$1:$E$13"}</definedName>
    <definedName name="HTML_Control" localSheetId="2" hidden="1">{"'D'!$A$1:$E$13"}</definedName>
    <definedName name="HTML_Control" localSheetId="1" hidden="1">{"'D'!$A$1:$E$13"}</definedName>
    <definedName name="HTML_Control" localSheetId="11" hidden="1">{"'D'!$A$1:$E$13"}</definedName>
    <definedName name="HTML_Control" localSheetId="8" hidden="1">{"'D'!$A$1:$E$13"}</definedName>
    <definedName name="HTML_Control" localSheetId="9" hidden="1">{"'D'!$A$1:$E$13"}</definedName>
    <definedName name="HTML_Control" localSheetId="10" hidden="1">{"'D'!$A$1:$E$13"}</definedName>
    <definedName name="HTML_Control" localSheetId="5" hidden="1">{"'D'!$A$1:$E$13"}</definedName>
    <definedName name="HTML_Control" localSheetId="4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15">[70]TSheet!$S$2:$S$22</definedName>
    <definedName name="i_list" localSheetId="2">[71]TSheet!$S$2:$S$22</definedName>
    <definedName name="i_list" localSheetId="1">[71]TSheet!$S$2:$S$22</definedName>
    <definedName name="i_list" localSheetId="5">[71]TSheet!$S$2:$S$22</definedName>
    <definedName name="i_list" localSheetId="4">[71]TSheet!$S$2:$S$22</definedName>
    <definedName name="i_list">[72]TSheet!$S$2:$S$22</definedName>
    <definedName name="I_LIST_1" localSheetId="15">[73]TSheet!$G$30:$G$34</definedName>
    <definedName name="I_LIST_1" localSheetId="11">[73]TSheet!$G$30:$G$34</definedName>
    <definedName name="I_LIST_1" localSheetId="8">[73]TSheet!$G$30:$G$34</definedName>
    <definedName name="I_LIST_1" localSheetId="9">[73]TSheet!$G$30:$G$34</definedName>
    <definedName name="I_LIST_1" localSheetId="10">[74]TSheet!$G$30:$G$34</definedName>
    <definedName name="I_LIST_1">[75]TSheet!$G$30:$G$34</definedName>
    <definedName name="I_LIST_3" localSheetId="15">[73]TSheet!$G$50:$G$61</definedName>
    <definedName name="I_LIST_3" localSheetId="11">[73]TSheet!$G$50:$G$61</definedName>
    <definedName name="I_LIST_3" localSheetId="8">[73]TSheet!$G$50:$G$61</definedName>
    <definedName name="I_LIST_3" localSheetId="9">[73]TSheet!$G$50:$G$61</definedName>
    <definedName name="I_LIST_3" localSheetId="10">[74]TSheet!$G$50:$G$61</definedName>
    <definedName name="I_LIST_3">[75]TSheet!$G$50:$G$61</definedName>
    <definedName name="I_LIST_4" localSheetId="15">[76]TSheet!$G$66:$G$74</definedName>
    <definedName name="I_LIST_4" localSheetId="11">[76]TSheet!$G$66:$G$74</definedName>
    <definedName name="I_LIST_4" localSheetId="8">[76]TSheet!$G$66:$G$74</definedName>
    <definedName name="I_LIST_4" localSheetId="9">[76]TSheet!$G$66:$G$74</definedName>
    <definedName name="I_LIST_4" localSheetId="10">[77]TSheet!$G$66:$G$74</definedName>
    <definedName name="I_LIST_4">[75]TSheet!$G$66:$G$74</definedName>
    <definedName name="ID" localSheetId="15">[39]Титульный!$A$1</definedName>
    <definedName name="ID" localSheetId="11">[40]Титульный!$A$1</definedName>
    <definedName name="ID" localSheetId="8">[40]Титульный!$A$1</definedName>
    <definedName name="ID" localSheetId="9">[40]Титульный!$A$1</definedName>
    <definedName name="ID" localSheetId="10">[32]Титульный!$A$1</definedName>
    <definedName name="ID">[42]Титульный!$A$1</definedName>
    <definedName name="Industry" localSheetId="15">'[37]Dairy Precedents'!#REF!</definedName>
    <definedName name="Industry" localSheetId="11">'[37]Dairy Precedents'!#REF!</definedName>
    <definedName name="Industry" localSheetId="8">'[37]Dairy Precedents'!#REF!</definedName>
    <definedName name="Industry" localSheetId="9">'[37]Dairy Precedents'!#REF!</definedName>
    <definedName name="Industry" localSheetId="10">'[37]Dairy Precedents'!#REF!</definedName>
    <definedName name="Industry">'[37]Dairy Precedents'!#REF!</definedName>
    <definedName name="INPUT_FIELDS_APPCZ">'[78]4 Fin &amp; Publ'!$B$8:$Z$11,'[78]4 Fin &amp; Publ'!$B$14:$Z$19</definedName>
    <definedName name="INPUT_FIELDS_APPSK" localSheetId="15">#REF!,#REF!</definedName>
    <definedName name="INPUT_FIELDS_APPSK" localSheetId="11">#REF!,#REF!</definedName>
    <definedName name="INPUT_FIELDS_APPSK">#REF!,#REF!</definedName>
    <definedName name="Interval">[58]Настройка!$B$13</definedName>
    <definedName name="Interval1">[79]Настройка!$B$15</definedName>
    <definedName name="INTPR" localSheetId="15">#REF!</definedName>
    <definedName name="INTPR" localSheetId="2">#REF!</definedName>
    <definedName name="INTPR" localSheetId="1">#REF!</definedName>
    <definedName name="INTPR" localSheetId="11">#REF!</definedName>
    <definedName name="INTPR" localSheetId="8">#REF!</definedName>
    <definedName name="INTPR" localSheetId="9">#REF!</definedName>
    <definedName name="INTPR" localSheetId="10">#REF!</definedName>
    <definedName name="INTPR" localSheetId="5">#REF!</definedName>
    <definedName name="INTPR" localSheetId="4">#REF!</definedName>
    <definedName name="INTPR">#REF!</definedName>
    <definedName name="IS" localSheetId="15">#REF!</definedName>
    <definedName name="IS" localSheetId="11">#REF!</definedName>
    <definedName name="IS">#REF!</definedName>
    <definedName name="ISTFIN_LIST" localSheetId="15">[73]TSheet!$S$2:$S$12</definedName>
    <definedName name="ISTFIN_LIST" localSheetId="11">[73]TSheet!$S$2:$S$12</definedName>
    <definedName name="ISTFIN_LIST" localSheetId="8">[73]TSheet!$S$2:$S$12</definedName>
    <definedName name="ISTFIN_LIST" localSheetId="9">[73]TSheet!$S$2:$S$12</definedName>
    <definedName name="ISTFIN_LIST" localSheetId="10">[74]TSheet!$S$2:$S$12</definedName>
    <definedName name="ISTFIN_LIST">[75]TSheet!$S$2:$S$12</definedName>
    <definedName name="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hjhdjhfj" localSheetId="15">#REF!</definedName>
    <definedName name="jhjhdjhfj" localSheetId="2">#REF!</definedName>
    <definedName name="jhjhdjhfj" localSheetId="1">#REF!</definedName>
    <definedName name="jhjhdjhfj" localSheetId="11">#REF!</definedName>
    <definedName name="jhjhdjhfj" localSheetId="8">#REF!</definedName>
    <definedName name="jhjhdjhfj" localSheetId="9">#REF!</definedName>
    <definedName name="jhjhdjhfj" localSheetId="10">#REF!</definedName>
    <definedName name="jhjhdjhfj" localSheetId="5">#REF!</definedName>
    <definedName name="jhjhdjhfj" localSheetId="4">#REF!</definedName>
    <definedName name="jhjhdjhfj">#REF!</definedName>
    <definedName name="jjjj" localSheetId="15">'[80]Гр5(о)'!#REF!</definedName>
    <definedName name="jjjj" localSheetId="2">'[81]Гр5(о)'!#REF!</definedName>
    <definedName name="jjjj" localSheetId="1">'[81]Гр5(о)'!#REF!</definedName>
    <definedName name="jjjj" localSheetId="11">'[80]Гр5(о)'!#REF!</definedName>
    <definedName name="jjjj" localSheetId="8">'[80]Гр5(о)'!#REF!</definedName>
    <definedName name="jjjj" localSheetId="9">'[80]Гр5(о)'!#REF!</definedName>
    <definedName name="jjjj" localSheetId="10">'[82]Гр5(о)'!#REF!</definedName>
    <definedName name="jjjj" localSheetId="5">'[81]Гр5(о)'!#REF!</definedName>
    <definedName name="jjjj" localSheetId="4">'[81]Гр5(о)'!#REF!</definedName>
    <definedName name="jjjj">'[83]Гр5(о)'!#REF!</definedName>
    <definedName name="jk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K">[84]Лист1!$C$14</definedName>
    <definedName name="k_dz">'[85]К-ты'!$H$9</definedName>
    <definedName name="k_el">'[85]К-ты'!$I$9</definedName>
    <definedName name="K111_" localSheetId="15">#REF!</definedName>
    <definedName name="K111_" localSheetId="2">#REF!</definedName>
    <definedName name="K111_" localSheetId="1">#REF!</definedName>
    <definedName name="K111_" localSheetId="11">#REF!</definedName>
    <definedName name="K111_" localSheetId="8">#REF!</definedName>
    <definedName name="K111_" localSheetId="9">#REF!</definedName>
    <definedName name="K111_" localSheetId="10">#REF!</definedName>
    <definedName name="K111_" localSheetId="5">#REF!</definedName>
    <definedName name="K111_" localSheetId="4">#REF!</definedName>
    <definedName name="K111_">#REF!</definedName>
    <definedName name="K112_" localSheetId="15">#REF!</definedName>
    <definedName name="K112_" localSheetId="11">#REF!</definedName>
    <definedName name="K112_" localSheetId="8">#REF!</definedName>
    <definedName name="K112_" localSheetId="9">#REF!</definedName>
    <definedName name="K112_" localSheetId="10">#REF!</definedName>
    <definedName name="K112_">#REF!</definedName>
    <definedName name="K120_" localSheetId="15">#REF!</definedName>
    <definedName name="K120_" localSheetId="11">#REF!</definedName>
    <definedName name="K120_" localSheetId="8">#REF!</definedName>
    <definedName name="K120_" localSheetId="9">#REF!</definedName>
    <definedName name="K120_" localSheetId="10">#REF!</definedName>
    <definedName name="K120_">#REF!</definedName>
    <definedName name="K121_" localSheetId="15">#REF!</definedName>
    <definedName name="K121_" localSheetId="11">#REF!</definedName>
    <definedName name="K121_" localSheetId="10">#REF!</definedName>
    <definedName name="K121_">#REF!</definedName>
    <definedName name="K122_" localSheetId="15">#REF!</definedName>
    <definedName name="K122_" localSheetId="11">#REF!</definedName>
    <definedName name="K122_" localSheetId="10">#REF!</definedName>
    <definedName name="K122_">#REF!</definedName>
    <definedName name="K123_" localSheetId="15">#REF!</definedName>
    <definedName name="K123_" localSheetId="11">#REF!</definedName>
    <definedName name="K123_" localSheetId="10">#REF!</definedName>
    <definedName name="K123_">#REF!</definedName>
    <definedName name="K130_" localSheetId="15">#REF!</definedName>
    <definedName name="K130_" localSheetId="11">#REF!</definedName>
    <definedName name="K130_" localSheetId="10">#REF!</definedName>
    <definedName name="K130_">#REF!</definedName>
    <definedName name="K131_" localSheetId="15">#REF!</definedName>
    <definedName name="K131_" localSheetId="11">#REF!</definedName>
    <definedName name="K131_" localSheetId="10">#REF!</definedName>
    <definedName name="K131_">#REF!</definedName>
    <definedName name="K132_" localSheetId="15">#REF!</definedName>
    <definedName name="K132_" localSheetId="11">#REF!</definedName>
    <definedName name="K132_" localSheetId="10">#REF!</definedName>
    <definedName name="K132_">#REF!</definedName>
    <definedName name="K133_" localSheetId="15">#REF!</definedName>
    <definedName name="K133_" localSheetId="11">#REF!</definedName>
    <definedName name="K133_" localSheetId="10">#REF!</definedName>
    <definedName name="K133_">#REF!</definedName>
    <definedName name="K134_" localSheetId="15">#REF!</definedName>
    <definedName name="K134_" localSheetId="11">#REF!</definedName>
    <definedName name="K134_" localSheetId="10">#REF!</definedName>
    <definedName name="K134_">#REF!</definedName>
    <definedName name="K135_" localSheetId="15">#REF!</definedName>
    <definedName name="K135_" localSheetId="11">#REF!</definedName>
    <definedName name="K135_" localSheetId="10">#REF!</definedName>
    <definedName name="K135_">#REF!</definedName>
    <definedName name="K136_" localSheetId="15">#REF!</definedName>
    <definedName name="K136_" localSheetId="11">#REF!</definedName>
    <definedName name="K136_" localSheetId="10">#REF!</definedName>
    <definedName name="K136_">#REF!</definedName>
    <definedName name="K140_" localSheetId="15">#REF!</definedName>
    <definedName name="K140_" localSheetId="11">#REF!</definedName>
    <definedName name="K140_" localSheetId="10">#REF!</definedName>
    <definedName name="K140_">#REF!</definedName>
    <definedName name="K190_" localSheetId="15">#REF!</definedName>
    <definedName name="K190_" localSheetId="11">#REF!</definedName>
    <definedName name="K190_" localSheetId="10">#REF!</definedName>
    <definedName name="K190_">#REF!</definedName>
    <definedName name="K210_" localSheetId="15">#REF!</definedName>
    <definedName name="K210_" localSheetId="11">#REF!</definedName>
    <definedName name="K210_" localSheetId="10">#REF!</definedName>
    <definedName name="K210_">#REF!</definedName>
    <definedName name="K211_" localSheetId="15">#REF!</definedName>
    <definedName name="K211_" localSheetId="11">#REF!</definedName>
    <definedName name="K211_" localSheetId="10">#REF!</definedName>
    <definedName name="K211_">#REF!</definedName>
    <definedName name="K212_" localSheetId="15">#REF!</definedName>
    <definedName name="K212_" localSheetId="11">#REF!</definedName>
    <definedName name="K212_" localSheetId="10">#REF!</definedName>
    <definedName name="K212_">#REF!</definedName>
    <definedName name="K213_" localSheetId="15">#REF!</definedName>
    <definedName name="K213_" localSheetId="11">#REF!</definedName>
    <definedName name="K213_" localSheetId="10">#REF!</definedName>
    <definedName name="K213_">#REF!</definedName>
    <definedName name="K214_" localSheetId="15">#REF!</definedName>
    <definedName name="K214_" localSheetId="11">#REF!</definedName>
    <definedName name="K214_" localSheetId="10">#REF!</definedName>
    <definedName name="K214_">#REF!</definedName>
    <definedName name="K215_" localSheetId="15">#REF!</definedName>
    <definedName name="K215_" localSheetId="11">#REF!</definedName>
    <definedName name="K215_" localSheetId="10">#REF!</definedName>
    <definedName name="K215_">#REF!</definedName>
    <definedName name="K216_" localSheetId="15">#REF!</definedName>
    <definedName name="K216_" localSheetId="11">#REF!</definedName>
    <definedName name="K216_" localSheetId="10">#REF!</definedName>
    <definedName name="K216_">#REF!</definedName>
    <definedName name="K217_" localSheetId="15">#REF!</definedName>
    <definedName name="K217_" localSheetId="11">#REF!</definedName>
    <definedName name="K217_" localSheetId="10">#REF!</definedName>
    <definedName name="K217_">#REF!</definedName>
    <definedName name="K218_" localSheetId="15">#REF!</definedName>
    <definedName name="K218_" localSheetId="11">#REF!</definedName>
    <definedName name="K218_" localSheetId="10">#REF!</definedName>
    <definedName name="K218_">#REF!</definedName>
    <definedName name="K220_" localSheetId="15">#REF!</definedName>
    <definedName name="K220_" localSheetId="11">#REF!</definedName>
    <definedName name="K220_" localSheetId="10">#REF!</definedName>
    <definedName name="K220_">#REF!</definedName>
    <definedName name="K221_" localSheetId="15">#REF!</definedName>
    <definedName name="K221_" localSheetId="11">#REF!</definedName>
    <definedName name="K221_" localSheetId="10">#REF!</definedName>
    <definedName name="K221_">#REF!</definedName>
    <definedName name="K222_" localSheetId="15">#REF!</definedName>
    <definedName name="K222_" localSheetId="11">#REF!</definedName>
    <definedName name="K222_" localSheetId="10">#REF!</definedName>
    <definedName name="K222_">#REF!</definedName>
    <definedName name="K223_" localSheetId="15">#REF!</definedName>
    <definedName name="K223_" localSheetId="11">#REF!</definedName>
    <definedName name="K223_" localSheetId="10">#REF!</definedName>
    <definedName name="K223_">#REF!</definedName>
    <definedName name="K224_" localSheetId="15">#REF!</definedName>
    <definedName name="K224_" localSheetId="11">#REF!</definedName>
    <definedName name="K224_" localSheetId="10">#REF!</definedName>
    <definedName name="K224_">#REF!</definedName>
    <definedName name="K225_" localSheetId="15">#REF!</definedName>
    <definedName name="K225_" localSheetId="11">#REF!</definedName>
    <definedName name="K225_" localSheetId="10">#REF!</definedName>
    <definedName name="K225_">#REF!</definedName>
    <definedName name="K226_" localSheetId="15">#REF!</definedName>
    <definedName name="K226_" localSheetId="11">#REF!</definedName>
    <definedName name="K226_" localSheetId="10">#REF!</definedName>
    <definedName name="K226_">#REF!</definedName>
    <definedName name="K230_" localSheetId="15">#REF!</definedName>
    <definedName name="K230_" localSheetId="11">#REF!</definedName>
    <definedName name="K230_" localSheetId="10">#REF!</definedName>
    <definedName name="K230_">#REF!</definedName>
    <definedName name="K231_" localSheetId="15">#REF!</definedName>
    <definedName name="K231_" localSheetId="11">#REF!</definedName>
    <definedName name="K231_" localSheetId="10">#REF!</definedName>
    <definedName name="K231_">#REF!</definedName>
    <definedName name="K232_" localSheetId="15">#REF!</definedName>
    <definedName name="K232_" localSheetId="11">#REF!</definedName>
    <definedName name="K232_" localSheetId="10">#REF!</definedName>
    <definedName name="K232_">#REF!</definedName>
    <definedName name="K233_" localSheetId="15">#REF!</definedName>
    <definedName name="K233_" localSheetId="11">#REF!</definedName>
    <definedName name="K233_" localSheetId="10">#REF!</definedName>
    <definedName name="K233_">#REF!</definedName>
    <definedName name="K234_" localSheetId="15">#REF!</definedName>
    <definedName name="K234_" localSheetId="11">#REF!</definedName>
    <definedName name="K234_" localSheetId="10">#REF!</definedName>
    <definedName name="K234_">#REF!</definedName>
    <definedName name="K235_" localSheetId="15">#REF!</definedName>
    <definedName name="K235_" localSheetId="11">#REF!</definedName>
    <definedName name="K235_" localSheetId="10">#REF!</definedName>
    <definedName name="K235_">#REF!</definedName>
    <definedName name="K236_" localSheetId="15">#REF!</definedName>
    <definedName name="K236_" localSheetId="11">#REF!</definedName>
    <definedName name="K236_" localSheetId="10">#REF!</definedName>
    <definedName name="K236_">#REF!</definedName>
    <definedName name="K240_" localSheetId="15">#REF!</definedName>
    <definedName name="K240_" localSheetId="11">#REF!</definedName>
    <definedName name="K240_" localSheetId="10">#REF!</definedName>
    <definedName name="K240_">#REF!</definedName>
    <definedName name="K241_" localSheetId="15">#REF!</definedName>
    <definedName name="K241_" localSheetId="11">#REF!</definedName>
    <definedName name="K241_" localSheetId="10">#REF!</definedName>
    <definedName name="K241_">#REF!</definedName>
    <definedName name="K242_" localSheetId="15">#REF!</definedName>
    <definedName name="K242_" localSheetId="11">#REF!</definedName>
    <definedName name="K242_" localSheetId="10">#REF!</definedName>
    <definedName name="K242_">#REF!</definedName>
    <definedName name="K243_" localSheetId="15">#REF!</definedName>
    <definedName name="K243_" localSheetId="11">#REF!</definedName>
    <definedName name="K243_" localSheetId="10">#REF!</definedName>
    <definedName name="K243_">#REF!</definedName>
    <definedName name="K250_" localSheetId="15">#REF!</definedName>
    <definedName name="K250_" localSheetId="11">#REF!</definedName>
    <definedName name="K250_" localSheetId="10">#REF!</definedName>
    <definedName name="K250_">#REF!</definedName>
    <definedName name="K251_" localSheetId="15">#REF!</definedName>
    <definedName name="K251_" localSheetId="11">#REF!</definedName>
    <definedName name="K251_" localSheetId="10">#REF!</definedName>
    <definedName name="K251_">#REF!</definedName>
    <definedName name="K252_" localSheetId="15">#REF!</definedName>
    <definedName name="K252_" localSheetId="11">#REF!</definedName>
    <definedName name="K252_" localSheetId="10">#REF!</definedName>
    <definedName name="K252_">#REF!</definedName>
    <definedName name="K253_" localSheetId="15">#REF!</definedName>
    <definedName name="K253_" localSheetId="11">#REF!</definedName>
    <definedName name="K253_" localSheetId="10">#REF!</definedName>
    <definedName name="K253_">#REF!</definedName>
    <definedName name="K254_" localSheetId="15">#REF!</definedName>
    <definedName name="K254_" localSheetId="11">#REF!</definedName>
    <definedName name="K254_" localSheetId="10">#REF!</definedName>
    <definedName name="K254_">#REF!</definedName>
    <definedName name="K260_" localSheetId="15">#REF!</definedName>
    <definedName name="K260_" localSheetId="11">#REF!</definedName>
    <definedName name="K260_" localSheetId="10">#REF!</definedName>
    <definedName name="K260_">#REF!</definedName>
    <definedName name="K290_" localSheetId="15">#REF!</definedName>
    <definedName name="K290_" localSheetId="11">#REF!</definedName>
    <definedName name="K290_" localSheetId="10">#REF!</definedName>
    <definedName name="K290_">#REF!</definedName>
    <definedName name="K310_" localSheetId="15">#REF!</definedName>
    <definedName name="K310_" localSheetId="11">#REF!</definedName>
    <definedName name="K310_" localSheetId="10">#REF!</definedName>
    <definedName name="K310_">#REF!</definedName>
    <definedName name="K320_" localSheetId="15">#REF!</definedName>
    <definedName name="K320_" localSheetId="11">#REF!</definedName>
    <definedName name="K320_" localSheetId="10">#REF!</definedName>
    <definedName name="K320_">#REF!</definedName>
    <definedName name="K390_" localSheetId="15">#REF!</definedName>
    <definedName name="K390_" localSheetId="11">#REF!</definedName>
    <definedName name="K390_" localSheetId="10">#REF!</definedName>
    <definedName name="K390_">#REF!</definedName>
    <definedName name="K399_" localSheetId="15">#REF!</definedName>
    <definedName name="K399_" localSheetId="11">#REF!</definedName>
    <definedName name="K399_" localSheetId="10">#REF!</definedName>
    <definedName name="K399_">#REF!</definedName>
    <definedName name="K410_" localSheetId="15">#REF!</definedName>
    <definedName name="K410_" localSheetId="11">#REF!</definedName>
    <definedName name="K410_" localSheetId="10">#REF!</definedName>
    <definedName name="K410_">#REF!</definedName>
    <definedName name="K420_" localSheetId="15">#REF!</definedName>
    <definedName name="K420_" localSheetId="11">#REF!</definedName>
    <definedName name="K420_" localSheetId="10">#REF!</definedName>
    <definedName name="K420_">#REF!</definedName>
    <definedName name="K430_" localSheetId="15">#REF!</definedName>
    <definedName name="K430_" localSheetId="11">#REF!</definedName>
    <definedName name="K430_" localSheetId="10">#REF!</definedName>
    <definedName name="K430_">#REF!</definedName>
    <definedName name="K431_" localSheetId="15">#REF!</definedName>
    <definedName name="K431_" localSheetId="11">#REF!</definedName>
    <definedName name="K431_" localSheetId="10">#REF!</definedName>
    <definedName name="K431_">#REF!</definedName>
    <definedName name="K432_" localSheetId="15">#REF!</definedName>
    <definedName name="K432_" localSheetId="11">#REF!</definedName>
    <definedName name="K432_" localSheetId="10">#REF!</definedName>
    <definedName name="K432_">#REF!</definedName>
    <definedName name="K440_" localSheetId="15">#REF!</definedName>
    <definedName name="K440_" localSheetId="11">#REF!</definedName>
    <definedName name="K440_" localSheetId="10">#REF!</definedName>
    <definedName name="K440_">#REF!</definedName>
    <definedName name="K450_" localSheetId="15">#REF!</definedName>
    <definedName name="K450_" localSheetId="11">#REF!</definedName>
    <definedName name="K450_" localSheetId="10">#REF!</definedName>
    <definedName name="K450_">#REF!</definedName>
    <definedName name="K460_" localSheetId="15">#REF!</definedName>
    <definedName name="K460_" localSheetId="11">#REF!</definedName>
    <definedName name="K460_" localSheetId="10">#REF!</definedName>
    <definedName name="K460_">#REF!</definedName>
    <definedName name="K470_" localSheetId="15">#REF!</definedName>
    <definedName name="K470_" localSheetId="11">#REF!</definedName>
    <definedName name="K470_" localSheetId="10">#REF!</definedName>
    <definedName name="K470_">#REF!</definedName>
    <definedName name="K480_" localSheetId="15">#REF!</definedName>
    <definedName name="K480_" localSheetId="11">#REF!</definedName>
    <definedName name="K480_" localSheetId="10">#REF!</definedName>
    <definedName name="K480_">#REF!</definedName>
    <definedName name="K490_" localSheetId="15">#REF!</definedName>
    <definedName name="K490_" localSheetId="11">#REF!</definedName>
    <definedName name="K490_" localSheetId="10">#REF!</definedName>
    <definedName name="K490_">#REF!</definedName>
    <definedName name="K510_" localSheetId="15">#REF!</definedName>
    <definedName name="K510_" localSheetId="11">#REF!</definedName>
    <definedName name="K510_" localSheetId="10">#REF!</definedName>
    <definedName name="K510_">#REF!</definedName>
    <definedName name="K511_" localSheetId="15">#REF!</definedName>
    <definedName name="K511_" localSheetId="11">#REF!</definedName>
    <definedName name="K511_" localSheetId="10">#REF!</definedName>
    <definedName name="K511_">#REF!</definedName>
    <definedName name="K512_" localSheetId="15">#REF!</definedName>
    <definedName name="K512_" localSheetId="11">#REF!</definedName>
    <definedName name="K512_" localSheetId="10">#REF!</definedName>
    <definedName name="K512_">#REF!</definedName>
    <definedName name="K513_" localSheetId="15">#REF!</definedName>
    <definedName name="K513_" localSheetId="11">#REF!</definedName>
    <definedName name="K513_" localSheetId="10">#REF!</definedName>
    <definedName name="K513_">#REF!</definedName>
    <definedName name="K590_" localSheetId="15">#REF!</definedName>
    <definedName name="K590_" localSheetId="11">#REF!</definedName>
    <definedName name="K590_" localSheetId="10">#REF!</definedName>
    <definedName name="K590_">#REF!</definedName>
    <definedName name="K610_" localSheetId="15">#REF!</definedName>
    <definedName name="K610_" localSheetId="11">#REF!</definedName>
    <definedName name="K610_" localSheetId="10">#REF!</definedName>
    <definedName name="K610_">#REF!</definedName>
    <definedName name="K611_" localSheetId="15">#REF!</definedName>
    <definedName name="K611_" localSheetId="11">#REF!</definedName>
    <definedName name="K611_" localSheetId="10">#REF!</definedName>
    <definedName name="K611_">#REF!</definedName>
    <definedName name="K612_" localSheetId="15">#REF!</definedName>
    <definedName name="K612_" localSheetId="11">#REF!</definedName>
    <definedName name="K612_" localSheetId="10">#REF!</definedName>
    <definedName name="K612_">#REF!</definedName>
    <definedName name="K620_" localSheetId="15">#REF!</definedName>
    <definedName name="K620_" localSheetId="11">#REF!</definedName>
    <definedName name="K620_" localSheetId="10">#REF!</definedName>
    <definedName name="K620_">#REF!</definedName>
    <definedName name="K621_" localSheetId="15">#REF!</definedName>
    <definedName name="K621_" localSheetId="11">#REF!</definedName>
    <definedName name="K621_" localSheetId="10">#REF!</definedName>
    <definedName name="K621_">#REF!</definedName>
    <definedName name="K622_" localSheetId="15">#REF!</definedName>
    <definedName name="K622_" localSheetId="11">#REF!</definedName>
    <definedName name="K622_" localSheetId="10">#REF!</definedName>
    <definedName name="K622_">#REF!</definedName>
    <definedName name="K623_" localSheetId="15">#REF!</definedName>
    <definedName name="K623_" localSheetId="11">#REF!</definedName>
    <definedName name="K623_" localSheetId="10">#REF!</definedName>
    <definedName name="K623_">#REF!</definedName>
    <definedName name="K624_" localSheetId="15">#REF!</definedName>
    <definedName name="K624_" localSheetId="11">#REF!</definedName>
    <definedName name="K624_" localSheetId="10">#REF!</definedName>
    <definedName name="K624_">#REF!</definedName>
    <definedName name="K625_" localSheetId="15">#REF!</definedName>
    <definedName name="K625_" localSheetId="11">#REF!</definedName>
    <definedName name="K625_" localSheetId="10">#REF!</definedName>
    <definedName name="K625_">#REF!</definedName>
    <definedName name="K626_" localSheetId="15">#REF!</definedName>
    <definedName name="K626_" localSheetId="11">#REF!</definedName>
    <definedName name="K626_" localSheetId="10">#REF!</definedName>
    <definedName name="K626_">#REF!</definedName>
    <definedName name="K627_" localSheetId="15">#REF!</definedName>
    <definedName name="K627_" localSheetId="11">#REF!</definedName>
    <definedName name="K627_" localSheetId="10">#REF!</definedName>
    <definedName name="K627_">#REF!</definedName>
    <definedName name="K628_" localSheetId="15">#REF!</definedName>
    <definedName name="K628_" localSheetId="11">#REF!</definedName>
    <definedName name="K628_" localSheetId="10">#REF!</definedName>
    <definedName name="K628_">#REF!</definedName>
    <definedName name="K630_" localSheetId="15">#REF!</definedName>
    <definedName name="K630_" localSheetId="11">#REF!</definedName>
    <definedName name="K630_" localSheetId="10">#REF!</definedName>
    <definedName name="K630_">#REF!</definedName>
    <definedName name="K640_" localSheetId="15">#REF!</definedName>
    <definedName name="K640_" localSheetId="11">#REF!</definedName>
    <definedName name="K640_" localSheetId="10">#REF!</definedName>
    <definedName name="K640_">#REF!</definedName>
    <definedName name="K650_" localSheetId="15">#REF!</definedName>
    <definedName name="K650_" localSheetId="11">#REF!</definedName>
    <definedName name="K650_" localSheetId="10">#REF!</definedName>
    <definedName name="K650_">#REF!</definedName>
    <definedName name="K660_" localSheetId="15">#REF!</definedName>
    <definedName name="K660_" localSheetId="11">#REF!</definedName>
    <definedName name="K660_" localSheetId="10">#REF!</definedName>
    <definedName name="K660_">#REF!</definedName>
    <definedName name="K670_" localSheetId="15">#REF!</definedName>
    <definedName name="K670_" localSheetId="11">#REF!</definedName>
    <definedName name="K670_" localSheetId="10">#REF!</definedName>
    <definedName name="K670_">#REF!</definedName>
    <definedName name="K690_" localSheetId="15">#REF!</definedName>
    <definedName name="K690_" localSheetId="11">#REF!</definedName>
    <definedName name="K690_" localSheetId="10">#REF!</definedName>
    <definedName name="K690_">#REF!</definedName>
    <definedName name="K699_" localSheetId="15">#REF!</definedName>
    <definedName name="K699_" localSheetId="11">#REF!</definedName>
    <definedName name="K699_" localSheetId="10">#REF!</definedName>
    <definedName name="K699_">#REF!</definedName>
    <definedName name="kb">'[22]Продажи реальные и прогноз 20 л'!$G$47</definedName>
    <definedName name="Kdr">'[85]К-ты'!$G$9</definedName>
    <definedName name="Kgaz">'[85]К-ты'!$D$9</definedName>
    <definedName name="khkhjkh" localSheetId="15">#REF!</definedName>
    <definedName name="khkhjkh" localSheetId="2">#REF!</definedName>
    <definedName name="khkhjkh" localSheetId="1">#REF!</definedName>
    <definedName name="khkhjkh" localSheetId="11">#REF!</definedName>
    <definedName name="khkhjkh" localSheetId="8">#REF!</definedName>
    <definedName name="khkhjkh" localSheetId="9">#REF!</definedName>
    <definedName name="khkhjkh" localSheetId="10">#REF!</definedName>
    <definedName name="khkhjkh" localSheetId="5">#REF!</definedName>
    <definedName name="khkhjkh" localSheetId="4">#REF!</definedName>
    <definedName name="khkhjkh">#REF!</definedName>
    <definedName name="kl">'[25]0_33'!$G$43</definedName>
    <definedName name="klk">'[12]BCS APP CR'!$G$24</definedName>
    <definedName name="Kmaz">'[85]К-ты'!$E$9</definedName>
    <definedName name="knkn.n." localSheetId="15">[7]!knkn.n.</definedName>
    <definedName name="knkn.n." localSheetId="11">#N/A</definedName>
    <definedName name="knkn.n." localSheetId="8">#N/A</definedName>
    <definedName name="knkn.n." localSheetId="9">#N/A</definedName>
    <definedName name="knkn.n.">#N/A</definedName>
    <definedName name="Kug">'[85]К-ты'!$F$9</definedName>
    <definedName name="kurg_pen" localSheetId="15">'[27]Input-Moscow'!#REF!</definedName>
    <definedName name="kurg_pen" localSheetId="2">'[27]Input-Moscow'!#REF!</definedName>
    <definedName name="kurg_pen" localSheetId="1">'[27]Input-Moscow'!#REF!</definedName>
    <definedName name="kurg_pen" localSheetId="11">'[27]Input-Moscow'!#REF!</definedName>
    <definedName name="kurg_pen" localSheetId="8">'[27]Input-Moscow'!#REF!</definedName>
    <definedName name="kurg_pen" localSheetId="9">'[27]Input-Moscow'!#REF!</definedName>
    <definedName name="kurg_pen" localSheetId="10">'[27]Input-Moscow'!#REF!</definedName>
    <definedName name="kurg_pen" localSheetId="5">'[27]Input-Moscow'!#REF!</definedName>
    <definedName name="kurg_pen" localSheetId="4">'[27]Input-Moscow'!#REF!</definedName>
    <definedName name="kurg_pen">'[27]Input-Moscow'!#REF!</definedName>
    <definedName name="Language">[84]Лист1!$C$407</definedName>
    <definedName name="LocalNetDebt" localSheetId="15">'[23]Dairy Precedents'!#REF!</definedName>
    <definedName name="LocalNetDebt" localSheetId="2">'[23]Dairy Precedents'!#REF!</definedName>
    <definedName name="LocalNetDebt" localSheetId="1">'[23]Dairy Precedents'!#REF!</definedName>
    <definedName name="LocalNetDebt" localSheetId="11">'[23]Dairy Precedents'!#REF!</definedName>
    <definedName name="LocalNetDebt" localSheetId="8">'[23]Dairy Precedents'!#REF!</definedName>
    <definedName name="LocalNetDebt" localSheetId="9">'[23]Dairy Precedents'!#REF!</definedName>
    <definedName name="LocalNetDebt" localSheetId="10">'[23]Dairy Precedents'!#REF!</definedName>
    <definedName name="LocalNetDebt" localSheetId="5">'[23]Dairy Precedents'!#REF!</definedName>
    <definedName name="LocalNetDebt" localSheetId="4">'[23]Dairy Precedents'!#REF!</definedName>
    <definedName name="LocalNetDebt">'[23]Dairy Precedents'!#REF!</definedName>
    <definedName name="LocalNetIncome" localSheetId="15">'[23]Dairy Precedents'!#REF!</definedName>
    <definedName name="LocalNetIncome" localSheetId="2">'[23]Dairy Precedents'!#REF!</definedName>
    <definedName name="LocalNetIncome" localSheetId="1">'[23]Dairy Precedents'!#REF!</definedName>
    <definedName name="LocalNetIncome" localSheetId="11">'[23]Dairy Precedents'!#REF!</definedName>
    <definedName name="LocalNetIncome" localSheetId="8">'[23]Dairy Precedents'!#REF!</definedName>
    <definedName name="LocalNetIncome" localSheetId="9">'[23]Dairy Precedents'!#REF!</definedName>
    <definedName name="LocalNetIncome" localSheetId="10">'[23]Dairy Precedents'!#REF!</definedName>
    <definedName name="LocalNetIncome" localSheetId="5">'[23]Dairy Precedents'!#REF!</definedName>
    <definedName name="LocalNetIncome" localSheetId="4">'[23]Dairy Precedents'!#REF!</definedName>
    <definedName name="LocalNetIncome">'[23]Dairy Precedents'!#REF!</definedName>
    <definedName name="LocalSales" localSheetId="15">'[23]Dairy Precedents'!#REF!</definedName>
    <definedName name="LocalSales" localSheetId="11">'[23]Dairy Precedents'!#REF!</definedName>
    <definedName name="LocalSales" localSheetId="8">'[23]Dairy Precedents'!#REF!</definedName>
    <definedName name="LocalSales" localSheetId="9">'[23]Dairy Precedents'!#REF!</definedName>
    <definedName name="LocalSales" localSheetId="10">'[23]Dairy Precedents'!#REF!</definedName>
    <definedName name="LocalSales">'[23]Dairy Precedents'!#REF!</definedName>
    <definedName name="Ltitle" localSheetId="15">#REF!</definedName>
    <definedName name="Ltitle" localSheetId="2">#REF!</definedName>
    <definedName name="Ltitle" localSheetId="1">#REF!</definedName>
    <definedName name="Ltitle" localSheetId="11">#REF!</definedName>
    <definedName name="Ltitle" localSheetId="8">#REF!</definedName>
    <definedName name="Ltitle" localSheetId="9">#REF!</definedName>
    <definedName name="Ltitle" localSheetId="10">#REF!</definedName>
    <definedName name="Ltitle" localSheetId="5">#REF!</definedName>
    <definedName name="Ltitle" localSheetId="4">#REF!</definedName>
    <definedName name="Ltitle">#REF!</definedName>
    <definedName name="m">[86]Anlagevermögen!$A$1:$Z$29</definedName>
    <definedName name="m_PERIOD_NAME" hidden="1">[87]XLR_NoRangeSheet!$C$6</definedName>
    <definedName name="material" localSheetId="15">#REF!</definedName>
    <definedName name="material" localSheetId="2">#REF!</definedName>
    <definedName name="material" localSheetId="1">#REF!</definedName>
    <definedName name="material" localSheetId="11">#REF!</definedName>
    <definedName name="material" localSheetId="8">#REF!</definedName>
    <definedName name="material" localSheetId="9">#REF!</definedName>
    <definedName name="material" localSheetId="10">#REF!</definedName>
    <definedName name="material" localSheetId="5">#REF!</definedName>
    <definedName name="material" localSheetId="4">#REF!</definedName>
    <definedName name="material">#REF!</definedName>
    <definedName name="MET_GROUP" localSheetId="15">[39]TSheet!$X$2:$X$3</definedName>
    <definedName name="MET_GROUP" localSheetId="11">[40]TSheet!$X$2:$X$3</definedName>
    <definedName name="MET_GROUP" localSheetId="8">[40]TSheet!$X$2:$X$3</definedName>
    <definedName name="MET_GROUP" localSheetId="9">[40]TSheet!$X$2:$X$3</definedName>
    <definedName name="MET_GROUP" localSheetId="10">[41]TSheet!$X$2:$X$3</definedName>
    <definedName name="MET_GROUP">[42]TSheet!$X$2:$X$3</definedName>
    <definedName name="METHOD">[88]TSheet!$L$2:$L$5</definedName>
    <definedName name="mi_re_end01">[43]УрРасч!$H$31,[43]УрРасч!$H$29</definedName>
    <definedName name="mincash" localSheetId="15">#REF!</definedName>
    <definedName name="mincash" localSheetId="2">#REF!</definedName>
    <definedName name="mincash" localSheetId="1">#REF!</definedName>
    <definedName name="mincash" localSheetId="11">#REF!</definedName>
    <definedName name="mincash" localSheetId="8">#REF!</definedName>
    <definedName name="mincash" localSheetId="9">#REF!</definedName>
    <definedName name="mincash" localSheetId="10">#REF!</definedName>
    <definedName name="mincash" localSheetId="5">#REF!</definedName>
    <definedName name="mincash" localSheetId="4">#REF!</definedName>
    <definedName name="mincash">#REF!</definedName>
    <definedName name="mmm" localSheetId="15" hidden="1">{#N/A,#N/A,FALSE,"Себестоимсть-97"}</definedName>
    <definedName name="mmm" localSheetId="2" hidden="1">{#N/A,#N/A,FALSE,"Себестоимсть-97"}</definedName>
    <definedName name="mmm" localSheetId="1" hidden="1">{#N/A,#N/A,FALSE,"Себестоимсть-97"}</definedName>
    <definedName name="mmm" localSheetId="11" hidden="1">{#N/A,#N/A,FALSE,"Себестоимсть-97"}</definedName>
    <definedName name="mmm" localSheetId="8" hidden="1">{#N/A,#N/A,FALSE,"Себестоимсть-97"}</definedName>
    <definedName name="mmm" localSheetId="9" hidden="1">{#N/A,#N/A,FALSE,"Себестоимсть-97"}</definedName>
    <definedName name="mmm" localSheetId="10" hidden="1">{#N/A,#N/A,FALSE,"Себестоимсть-97"}</definedName>
    <definedName name="mmm" localSheetId="5" hidden="1">{#N/A,#N/A,FALSE,"Себестоимсть-97"}</definedName>
    <definedName name="mmm" localSheetId="4" hidden="1">{#N/A,#N/A,FALSE,"Себестоимсть-97"}</definedName>
    <definedName name="mmm" hidden="1">{#N/A,#N/A,FALSE,"Себестоимсть-97"}</definedName>
    <definedName name="mn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5">#REF!</definedName>
    <definedName name="MO" localSheetId="2">#REF!</definedName>
    <definedName name="MO" localSheetId="1">#REF!</definedName>
    <definedName name="MO" localSheetId="11">#REF!</definedName>
    <definedName name="MO" localSheetId="8">#REF!</definedName>
    <definedName name="MO" localSheetId="9">#REF!</definedName>
    <definedName name="MO" localSheetId="10">#REF!</definedName>
    <definedName name="MO" localSheetId="5">#REF!</definedName>
    <definedName name="MO" localSheetId="4">#REF!</definedName>
    <definedName name="MO">#REF!</definedName>
    <definedName name="MO_LIST_2" localSheetId="15">[89]REESTR_MO!$B$2</definedName>
    <definedName name="MO_LIST_2" localSheetId="2">[90]REESTR_MO!$B$2</definedName>
    <definedName name="MO_LIST_2" localSheetId="1">[90]REESTR_MO!$B$2</definedName>
    <definedName name="MO_LIST_2" localSheetId="11">[89]REESTR_MO!$B$2</definedName>
    <definedName name="MO_LIST_2" localSheetId="8">[89]REESTR_MO!$B$2</definedName>
    <definedName name="MO_LIST_2" localSheetId="9">[89]REESTR_MO!$B$2</definedName>
    <definedName name="MO_LIST_2" localSheetId="10">[89]REESTR_MO!$B$2</definedName>
    <definedName name="MO_LIST_2" localSheetId="5">[90]REESTR_MO!$B$2</definedName>
    <definedName name="MO_LIST_2" localSheetId="4">[90]REESTR_MO!$B$2</definedName>
    <definedName name="MO_LIST_2">[91]REESTR_MO!$B$2</definedName>
    <definedName name="mol4602_41" localSheetId="15">#REF!</definedName>
    <definedName name="mol4602_41" localSheetId="2">#REF!</definedName>
    <definedName name="mol4602_41" localSheetId="1">#REF!</definedName>
    <definedName name="mol4602_41" localSheetId="11">#REF!</definedName>
    <definedName name="mol4602_41" localSheetId="8">#REF!</definedName>
    <definedName name="mol4602_41" localSheetId="9">#REF!</definedName>
    <definedName name="mol4602_41" localSheetId="10">#REF!</definedName>
    <definedName name="mol4602_41" localSheetId="5">#REF!</definedName>
    <definedName name="mol4602_41" localSheetId="4">#REF!</definedName>
    <definedName name="mol4602_41">#REF!</definedName>
    <definedName name="mol4604_41" localSheetId="15">#REF!</definedName>
    <definedName name="mol4604_41" localSheetId="11">#REF!</definedName>
    <definedName name="mol4604_41" localSheetId="8">#REF!</definedName>
    <definedName name="mol4604_41" localSheetId="9">#REF!</definedName>
    <definedName name="mol4604_41" localSheetId="10">#REF!</definedName>
    <definedName name="mol4604_41">#REF!</definedName>
    <definedName name="month" localSheetId="15">#REF!</definedName>
    <definedName name="month" localSheetId="11">#REF!</definedName>
    <definedName name="month" localSheetId="8">#REF!</definedName>
    <definedName name="month" localSheetId="9">#REF!</definedName>
    <definedName name="month" localSheetId="10">#REF!</definedName>
    <definedName name="month">#REF!</definedName>
    <definedName name="MONTH_PERIOD" localSheetId="15">[39]Титульный!$F$24</definedName>
    <definedName name="MONTH_PERIOD" localSheetId="2">[56]Титульный!$F$24</definedName>
    <definedName name="MONTH_PERIOD" localSheetId="1">[56]Титульный!$F$24</definedName>
    <definedName name="MONTH_PERIOD" localSheetId="11">[40]Титульный!$F$24</definedName>
    <definedName name="MONTH_PERIOD" localSheetId="8">[40]Титульный!$F$24</definedName>
    <definedName name="MONTH_PERIOD" localSheetId="9">[40]Титульный!$F$24</definedName>
    <definedName name="MONTH_PERIOD" localSheetId="10">[41]Титульный!$F$24</definedName>
    <definedName name="MONTH_PERIOD" localSheetId="5">[56]Титульный!$F$24</definedName>
    <definedName name="MONTH_PERIOD" localSheetId="4">[56]Титульный!$F$24</definedName>
    <definedName name="MONTH_PERIOD">[57]Титульный!$F$24</definedName>
    <definedName name="MP" localSheetId="15">#REF!</definedName>
    <definedName name="MP" localSheetId="2">#REF!</definedName>
    <definedName name="MP" localSheetId="1">#REF!</definedName>
    <definedName name="MP" localSheetId="11">#REF!</definedName>
    <definedName name="MP" localSheetId="8">#REF!</definedName>
    <definedName name="MP" localSheetId="9">#REF!</definedName>
    <definedName name="MP" localSheetId="10">#REF!</definedName>
    <definedName name="MP" localSheetId="5">#REF!</definedName>
    <definedName name="MP" localSheetId="4">#REF!</definedName>
    <definedName name="MP">#REF!</definedName>
    <definedName name="MR" localSheetId="15">#REF!</definedName>
    <definedName name="MR" localSheetId="11">#REF!</definedName>
    <definedName name="MR">#REF!</definedName>
    <definedName name="MR_LIST" localSheetId="15">[89]REESTR_MO!$D$2</definedName>
    <definedName name="MR_LIST" localSheetId="2">[90]REESTR_MO!$D$2</definedName>
    <definedName name="MR_LIST" localSheetId="1">[90]REESTR_MO!$D$2</definedName>
    <definedName name="MR_LIST" localSheetId="11">[89]REESTR_MO!$D$2</definedName>
    <definedName name="MR_LIST" localSheetId="8">[89]REESTR_MO!$D$2</definedName>
    <definedName name="MR_LIST" localSheetId="9">[89]REESTR_MO!$D$2</definedName>
    <definedName name="MR_LIST" localSheetId="10">[89]REESTR_MO!$D$2</definedName>
    <definedName name="MR_LIST" localSheetId="5">[90]REESTR_MO!$D$2</definedName>
    <definedName name="MR_LIST" localSheetId="4">[90]REESTR_MO!$D$2</definedName>
    <definedName name="MR_LIST">[91]REESTR_MO!$D$2</definedName>
    <definedName name="Mth_Count_0" localSheetId="15">[39]TSheet!$J$3</definedName>
    <definedName name="Mth_Count_0" localSheetId="11">[92]TSheet!$J$3</definedName>
    <definedName name="Mth_Count_0" localSheetId="8">[92]TSheet!$J$3</definedName>
    <definedName name="Mth_Count_0" localSheetId="9">[92]TSheet!$J$3</definedName>
    <definedName name="Mth_Count_0" localSheetId="10">[93]TSheet!$J$3</definedName>
    <definedName name="Mth_Count_0">[42]TSheet!$J$3</definedName>
    <definedName name="mult_sen" localSheetId="15">#REF!</definedName>
    <definedName name="mult_sen" localSheetId="2">#REF!</definedName>
    <definedName name="mult_sen" localSheetId="1">#REF!</definedName>
    <definedName name="mult_sen" localSheetId="11">#REF!</definedName>
    <definedName name="mult_sen" localSheetId="8">#REF!</definedName>
    <definedName name="mult_sen" localSheetId="9">#REF!</definedName>
    <definedName name="mult_sen" localSheetId="10">#REF!</definedName>
    <definedName name="mult_sen" localSheetId="5">#REF!</definedName>
    <definedName name="mult_sen" localSheetId="4">#REF!</definedName>
    <definedName name="mult_sen">#REF!</definedName>
    <definedName name="n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15">#REF!</definedName>
    <definedName name="N112_" localSheetId="2">#REF!</definedName>
    <definedName name="N112_" localSheetId="1">#REF!</definedName>
    <definedName name="N112_" localSheetId="11">#REF!</definedName>
    <definedName name="N112_" localSheetId="8">#REF!</definedName>
    <definedName name="N112_" localSheetId="9">#REF!</definedName>
    <definedName name="N112_" localSheetId="10">#REF!</definedName>
    <definedName name="N112_" localSheetId="5">#REF!</definedName>
    <definedName name="N112_" localSheetId="4">#REF!</definedName>
    <definedName name="N112_">#REF!</definedName>
    <definedName name="N120_" localSheetId="15">#REF!</definedName>
    <definedName name="N120_" localSheetId="11">#REF!</definedName>
    <definedName name="N120_" localSheetId="8">#REF!</definedName>
    <definedName name="N120_" localSheetId="9">#REF!</definedName>
    <definedName name="N120_" localSheetId="10">#REF!</definedName>
    <definedName name="N120_">#REF!</definedName>
    <definedName name="N121_" localSheetId="15">#REF!</definedName>
    <definedName name="N121_" localSheetId="11">#REF!</definedName>
    <definedName name="N121_" localSheetId="8">#REF!</definedName>
    <definedName name="N121_" localSheetId="9">#REF!</definedName>
    <definedName name="N121_" localSheetId="10">#REF!</definedName>
    <definedName name="N121_">#REF!</definedName>
    <definedName name="N122_" localSheetId="15">#REF!</definedName>
    <definedName name="N122_" localSheetId="11">#REF!</definedName>
    <definedName name="N122_" localSheetId="10">#REF!</definedName>
    <definedName name="N122_">#REF!</definedName>
    <definedName name="N123_" localSheetId="15">#REF!</definedName>
    <definedName name="N123_" localSheetId="11">#REF!</definedName>
    <definedName name="N123_" localSheetId="10">#REF!</definedName>
    <definedName name="N123_">#REF!</definedName>
    <definedName name="N130_" localSheetId="15">#REF!</definedName>
    <definedName name="N130_" localSheetId="11">#REF!</definedName>
    <definedName name="N130_" localSheetId="10">#REF!</definedName>
    <definedName name="N130_">#REF!</definedName>
    <definedName name="N131_" localSheetId="15">#REF!</definedName>
    <definedName name="N131_" localSheetId="11">#REF!</definedName>
    <definedName name="N131_" localSheetId="10">#REF!</definedName>
    <definedName name="N131_">#REF!</definedName>
    <definedName name="N132_" localSheetId="15">#REF!</definedName>
    <definedName name="N132_" localSheetId="11">#REF!</definedName>
    <definedName name="N132_" localSheetId="10">#REF!</definedName>
    <definedName name="N132_">#REF!</definedName>
    <definedName name="N133_" localSheetId="15">#REF!</definedName>
    <definedName name="N133_" localSheetId="11">#REF!</definedName>
    <definedName name="N133_" localSheetId="10">#REF!</definedName>
    <definedName name="N133_">#REF!</definedName>
    <definedName name="N134_" localSheetId="15">#REF!</definedName>
    <definedName name="N134_" localSheetId="11">#REF!</definedName>
    <definedName name="N134_" localSheetId="10">#REF!</definedName>
    <definedName name="N134_">#REF!</definedName>
    <definedName name="N135_" localSheetId="15">#REF!</definedName>
    <definedName name="N135_" localSheetId="11">#REF!</definedName>
    <definedName name="N135_" localSheetId="10">#REF!</definedName>
    <definedName name="N135_">#REF!</definedName>
    <definedName name="N136_" localSheetId="15">#REF!</definedName>
    <definedName name="N136_" localSheetId="11">#REF!</definedName>
    <definedName name="N136_" localSheetId="10">#REF!</definedName>
    <definedName name="N136_">#REF!</definedName>
    <definedName name="N140_" localSheetId="15">#REF!</definedName>
    <definedName name="N140_" localSheetId="11">#REF!</definedName>
    <definedName name="N140_" localSheetId="10">#REF!</definedName>
    <definedName name="N140_">#REF!</definedName>
    <definedName name="N190_" localSheetId="15">#REF!</definedName>
    <definedName name="N190_" localSheetId="11">#REF!</definedName>
    <definedName name="N190_" localSheetId="10">#REF!</definedName>
    <definedName name="N190_">#REF!</definedName>
    <definedName name="N210_" localSheetId="15">#REF!</definedName>
    <definedName name="N210_" localSheetId="11">#REF!</definedName>
    <definedName name="N210_" localSheetId="10">#REF!</definedName>
    <definedName name="N210_">#REF!</definedName>
    <definedName name="N211_" localSheetId="15">#REF!</definedName>
    <definedName name="N211_" localSheetId="11">#REF!</definedName>
    <definedName name="N211_" localSheetId="10">#REF!</definedName>
    <definedName name="N211_">#REF!</definedName>
    <definedName name="N212_" localSheetId="15">#REF!</definedName>
    <definedName name="N212_" localSheetId="11">#REF!</definedName>
    <definedName name="N212_" localSheetId="10">#REF!</definedName>
    <definedName name="N212_">#REF!</definedName>
    <definedName name="N213_" localSheetId="15">#REF!</definedName>
    <definedName name="N213_" localSheetId="11">#REF!</definedName>
    <definedName name="N213_" localSheetId="10">#REF!</definedName>
    <definedName name="N213_">#REF!</definedName>
    <definedName name="N214_" localSheetId="15">#REF!</definedName>
    <definedName name="N214_" localSheetId="11">#REF!</definedName>
    <definedName name="N214_" localSheetId="10">#REF!</definedName>
    <definedName name="N214_">#REF!</definedName>
    <definedName name="N215_" localSheetId="15">#REF!</definedName>
    <definedName name="N215_" localSheetId="11">#REF!</definedName>
    <definedName name="N215_" localSheetId="10">#REF!</definedName>
    <definedName name="N215_">#REF!</definedName>
    <definedName name="N216_" localSheetId="15">#REF!</definedName>
    <definedName name="N216_" localSheetId="11">#REF!</definedName>
    <definedName name="N216_" localSheetId="10">#REF!</definedName>
    <definedName name="N216_">#REF!</definedName>
    <definedName name="N217_" localSheetId="15">#REF!</definedName>
    <definedName name="N217_" localSheetId="11">#REF!</definedName>
    <definedName name="N217_" localSheetId="10">#REF!</definedName>
    <definedName name="N217_">#REF!</definedName>
    <definedName name="N218_" localSheetId="15">#REF!</definedName>
    <definedName name="N218_" localSheetId="11">#REF!</definedName>
    <definedName name="N218_" localSheetId="10">#REF!</definedName>
    <definedName name="N218_">#REF!</definedName>
    <definedName name="N220_" localSheetId="15">#REF!</definedName>
    <definedName name="N220_" localSheetId="11">#REF!</definedName>
    <definedName name="N220_" localSheetId="10">#REF!</definedName>
    <definedName name="N220_">#REF!</definedName>
    <definedName name="N221_" localSheetId="15">#REF!</definedName>
    <definedName name="N221_" localSheetId="11">#REF!</definedName>
    <definedName name="N221_" localSheetId="10">#REF!</definedName>
    <definedName name="N221_">#REF!</definedName>
    <definedName name="N222_" localSheetId="15">#REF!</definedName>
    <definedName name="N222_" localSheetId="11">#REF!</definedName>
    <definedName name="N222_" localSheetId="10">#REF!</definedName>
    <definedName name="N222_">#REF!</definedName>
    <definedName name="N223_" localSheetId="15">#REF!</definedName>
    <definedName name="N223_" localSheetId="11">#REF!</definedName>
    <definedName name="N223_" localSheetId="10">#REF!</definedName>
    <definedName name="N223_">#REF!</definedName>
    <definedName name="N224_" localSheetId="15">#REF!</definedName>
    <definedName name="N224_" localSheetId="11">#REF!</definedName>
    <definedName name="N224_" localSheetId="10">#REF!</definedName>
    <definedName name="N224_">#REF!</definedName>
    <definedName name="N225_" localSheetId="15">#REF!</definedName>
    <definedName name="N225_" localSheetId="11">#REF!</definedName>
    <definedName name="N225_" localSheetId="10">#REF!</definedName>
    <definedName name="N225_">#REF!</definedName>
    <definedName name="N226_" localSheetId="15">#REF!</definedName>
    <definedName name="N226_" localSheetId="11">#REF!</definedName>
    <definedName name="N226_" localSheetId="10">#REF!</definedName>
    <definedName name="N226_">#REF!</definedName>
    <definedName name="N230_" localSheetId="15">#REF!</definedName>
    <definedName name="N230_" localSheetId="11">#REF!</definedName>
    <definedName name="N230_" localSheetId="10">#REF!</definedName>
    <definedName name="N230_">#REF!</definedName>
    <definedName name="N231_" localSheetId="15">#REF!</definedName>
    <definedName name="N231_" localSheetId="11">#REF!</definedName>
    <definedName name="N231_" localSheetId="10">#REF!</definedName>
    <definedName name="N231_">#REF!</definedName>
    <definedName name="N232_" localSheetId="15">#REF!</definedName>
    <definedName name="N232_" localSheetId="11">#REF!</definedName>
    <definedName name="N232_" localSheetId="10">#REF!</definedName>
    <definedName name="N232_">#REF!</definedName>
    <definedName name="N233_" localSheetId="15">#REF!</definedName>
    <definedName name="N233_" localSheetId="11">#REF!</definedName>
    <definedName name="N233_" localSheetId="10">#REF!</definedName>
    <definedName name="N233_">#REF!</definedName>
    <definedName name="N234_" localSheetId="15">#REF!</definedName>
    <definedName name="N234_" localSheetId="11">#REF!</definedName>
    <definedName name="N234_" localSheetId="10">#REF!</definedName>
    <definedName name="N234_">#REF!</definedName>
    <definedName name="N235_" localSheetId="15">#REF!</definedName>
    <definedName name="N235_" localSheetId="11">#REF!</definedName>
    <definedName name="N235_" localSheetId="10">#REF!</definedName>
    <definedName name="N235_">#REF!</definedName>
    <definedName name="N236_" localSheetId="15">#REF!</definedName>
    <definedName name="N236_" localSheetId="11">#REF!</definedName>
    <definedName name="N236_" localSheetId="10">#REF!</definedName>
    <definedName name="N236_">#REF!</definedName>
    <definedName name="N240_" localSheetId="15">#REF!</definedName>
    <definedName name="N240_" localSheetId="11">#REF!</definedName>
    <definedName name="N240_" localSheetId="10">#REF!</definedName>
    <definedName name="N240_">#REF!</definedName>
    <definedName name="N241_" localSheetId="15">#REF!</definedName>
    <definedName name="N241_" localSheetId="11">#REF!</definedName>
    <definedName name="N241_" localSheetId="10">#REF!</definedName>
    <definedName name="N241_">#REF!</definedName>
    <definedName name="N242_" localSheetId="15">#REF!</definedName>
    <definedName name="N242_" localSheetId="11">#REF!</definedName>
    <definedName name="N242_" localSheetId="10">#REF!</definedName>
    <definedName name="N242_">#REF!</definedName>
    <definedName name="N243_" localSheetId="15">#REF!</definedName>
    <definedName name="N243_" localSheetId="11">#REF!</definedName>
    <definedName name="N243_" localSheetId="10">#REF!</definedName>
    <definedName name="N243_">#REF!</definedName>
    <definedName name="N250_" localSheetId="15">#REF!</definedName>
    <definedName name="N250_" localSheetId="11">#REF!</definedName>
    <definedName name="N250_" localSheetId="10">#REF!</definedName>
    <definedName name="N250_">#REF!</definedName>
    <definedName name="N251_" localSheetId="15">#REF!</definedName>
    <definedName name="N251_" localSheetId="11">#REF!</definedName>
    <definedName name="N251_" localSheetId="10">#REF!</definedName>
    <definedName name="N251_">#REF!</definedName>
    <definedName name="N252_" localSheetId="15">#REF!</definedName>
    <definedName name="N252_" localSheetId="11">#REF!</definedName>
    <definedName name="N252_" localSheetId="10">#REF!</definedName>
    <definedName name="N252_">#REF!</definedName>
    <definedName name="N253_" localSheetId="15">#REF!</definedName>
    <definedName name="N253_" localSheetId="11">#REF!</definedName>
    <definedName name="N253_" localSheetId="10">#REF!</definedName>
    <definedName name="N253_">#REF!</definedName>
    <definedName name="N254_" localSheetId="15">#REF!</definedName>
    <definedName name="N254_" localSheetId="11">#REF!</definedName>
    <definedName name="N254_" localSheetId="10">#REF!</definedName>
    <definedName name="N254_">#REF!</definedName>
    <definedName name="N260_" localSheetId="15">#REF!</definedName>
    <definedName name="N260_" localSheetId="11">#REF!</definedName>
    <definedName name="N260_" localSheetId="10">#REF!</definedName>
    <definedName name="N260_">#REF!</definedName>
    <definedName name="N290_" localSheetId="15">#REF!</definedName>
    <definedName name="N290_" localSheetId="11">#REF!</definedName>
    <definedName name="N290_" localSheetId="10">#REF!</definedName>
    <definedName name="N290_">#REF!</definedName>
    <definedName name="N310_" localSheetId="15">#REF!</definedName>
    <definedName name="N310_" localSheetId="11">#REF!</definedName>
    <definedName name="N310_" localSheetId="10">#REF!</definedName>
    <definedName name="N310_">#REF!</definedName>
    <definedName name="N390_" localSheetId="15">#REF!</definedName>
    <definedName name="N390_" localSheetId="11">#REF!</definedName>
    <definedName name="N390_" localSheetId="10">#REF!</definedName>
    <definedName name="N390_">#REF!</definedName>
    <definedName name="N399_" localSheetId="15">#REF!</definedName>
    <definedName name="N399_" localSheetId="11">#REF!</definedName>
    <definedName name="N399_" localSheetId="10">#REF!</definedName>
    <definedName name="N399_">#REF!</definedName>
    <definedName name="N410_" localSheetId="15">#REF!</definedName>
    <definedName name="N410_" localSheetId="11">#REF!</definedName>
    <definedName name="N410_" localSheetId="10">#REF!</definedName>
    <definedName name="N410_">#REF!</definedName>
    <definedName name="N420_" localSheetId="15">#REF!</definedName>
    <definedName name="N420_" localSheetId="11">#REF!</definedName>
    <definedName name="N420_" localSheetId="10">#REF!</definedName>
    <definedName name="N420_">#REF!</definedName>
    <definedName name="N430_" localSheetId="15">#REF!</definedName>
    <definedName name="N430_" localSheetId="11">#REF!</definedName>
    <definedName name="N430_" localSheetId="10">#REF!</definedName>
    <definedName name="N430_">#REF!</definedName>
    <definedName name="N431_" localSheetId="15">#REF!</definedName>
    <definedName name="N431_" localSheetId="11">#REF!</definedName>
    <definedName name="N431_" localSheetId="10">#REF!</definedName>
    <definedName name="N431_">#REF!</definedName>
    <definedName name="N432_" localSheetId="15">#REF!</definedName>
    <definedName name="N432_" localSheetId="11">#REF!</definedName>
    <definedName name="N432_" localSheetId="10">#REF!</definedName>
    <definedName name="N432_">#REF!</definedName>
    <definedName name="N440_" localSheetId="15">#REF!</definedName>
    <definedName name="N440_" localSheetId="11">#REF!</definedName>
    <definedName name="N440_" localSheetId="10">#REF!</definedName>
    <definedName name="N440_">#REF!</definedName>
    <definedName name="N450_" localSheetId="15">#REF!</definedName>
    <definedName name="N450_" localSheetId="11">#REF!</definedName>
    <definedName name="N450_" localSheetId="10">#REF!</definedName>
    <definedName name="N450_">#REF!</definedName>
    <definedName name="N460_" localSheetId="15">#REF!</definedName>
    <definedName name="N460_" localSheetId="11">#REF!</definedName>
    <definedName name="N460_" localSheetId="10">#REF!</definedName>
    <definedName name="N460_">#REF!</definedName>
    <definedName name="N470_" localSheetId="15">#REF!</definedName>
    <definedName name="N470_" localSheetId="11">#REF!</definedName>
    <definedName name="N470_" localSheetId="10">#REF!</definedName>
    <definedName name="N470_">#REF!</definedName>
    <definedName name="N480_" localSheetId="15">#REF!</definedName>
    <definedName name="N480_" localSheetId="11">#REF!</definedName>
    <definedName name="N480_" localSheetId="10">#REF!</definedName>
    <definedName name="N480_">#REF!</definedName>
    <definedName name="N490_" localSheetId="15">#REF!</definedName>
    <definedName name="N490_" localSheetId="11">#REF!</definedName>
    <definedName name="N490_" localSheetId="10">#REF!</definedName>
    <definedName name="N490_">#REF!</definedName>
    <definedName name="N510_" localSheetId="15">#REF!</definedName>
    <definedName name="N510_" localSheetId="11">#REF!</definedName>
    <definedName name="N510_" localSheetId="10">#REF!</definedName>
    <definedName name="N510_">#REF!</definedName>
    <definedName name="N511_" localSheetId="15">#REF!</definedName>
    <definedName name="N511_" localSheetId="11">#REF!</definedName>
    <definedName name="N511_" localSheetId="10">#REF!</definedName>
    <definedName name="N511_">#REF!</definedName>
    <definedName name="N512_" localSheetId="15">#REF!</definedName>
    <definedName name="N512_" localSheetId="11">#REF!</definedName>
    <definedName name="N512_" localSheetId="10">#REF!</definedName>
    <definedName name="N512_">#REF!</definedName>
    <definedName name="N513_" localSheetId="15">#REF!</definedName>
    <definedName name="N513_" localSheetId="11">#REF!</definedName>
    <definedName name="N513_" localSheetId="10">#REF!</definedName>
    <definedName name="N513_">#REF!</definedName>
    <definedName name="N590_" localSheetId="15">#REF!</definedName>
    <definedName name="N590_" localSheetId="11">#REF!</definedName>
    <definedName name="N590_" localSheetId="10">#REF!</definedName>
    <definedName name="N590_">#REF!</definedName>
    <definedName name="N610_" localSheetId="15">#REF!</definedName>
    <definedName name="N610_" localSheetId="11">#REF!</definedName>
    <definedName name="N610_" localSheetId="10">#REF!</definedName>
    <definedName name="N610_">#REF!</definedName>
    <definedName name="N611_" localSheetId="15">#REF!</definedName>
    <definedName name="N611_" localSheetId="11">#REF!</definedName>
    <definedName name="N611_" localSheetId="10">#REF!</definedName>
    <definedName name="N611_">#REF!</definedName>
    <definedName name="N612_" localSheetId="15">#REF!</definedName>
    <definedName name="N612_" localSheetId="11">#REF!</definedName>
    <definedName name="N612_" localSheetId="10">#REF!</definedName>
    <definedName name="N612_">#REF!</definedName>
    <definedName name="N620_" localSheetId="15">#REF!</definedName>
    <definedName name="N620_" localSheetId="11">#REF!</definedName>
    <definedName name="N620_" localSheetId="10">#REF!</definedName>
    <definedName name="N620_">#REF!</definedName>
    <definedName name="N621_" localSheetId="15">#REF!</definedName>
    <definedName name="N621_" localSheetId="11">#REF!</definedName>
    <definedName name="N621_" localSheetId="10">#REF!</definedName>
    <definedName name="N621_">#REF!</definedName>
    <definedName name="N622_" localSheetId="15">#REF!</definedName>
    <definedName name="N622_" localSheetId="11">#REF!</definedName>
    <definedName name="N622_" localSheetId="10">#REF!</definedName>
    <definedName name="N622_">#REF!</definedName>
    <definedName name="N623_" localSheetId="15">#REF!</definedName>
    <definedName name="N623_" localSheetId="11">#REF!</definedName>
    <definedName name="N623_" localSheetId="10">#REF!</definedName>
    <definedName name="N623_">#REF!</definedName>
    <definedName name="N624_" localSheetId="15">#REF!</definedName>
    <definedName name="N624_" localSheetId="11">#REF!</definedName>
    <definedName name="N624_" localSheetId="10">#REF!</definedName>
    <definedName name="N624_">#REF!</definedName>
    <definedName name="N625_" localSheetId="15">#REF!</definedName>
    <definedName name="N625_" localSheetId="11">#REF!</definedName>
    <definedName name="N625_" localSheetId="10">#REF!</definedName>
    <definedName name="N625_">#REF!</definedName>
    <definedName name="N626_" localSheetId="15">#REF!</definedName>
    <definedName name="N626_" localSheetId="11">#REF!</definedName>
    <definedName name="N626_" localSheetId="10">#REF!</definedName>
    <definedName name="N626_">#REF!</definedName>
    <definedName name="N627_" localSheetId="15">#REF!</definedName>
    <definedName name="N627_" localSheetId="11">#REF!</definedName>
    <definedName name="N627_" localSheetId="10">#REF!</definedName>
    <definedName name="N627_">#REF!</definedName>
    <definedName name="N628_" localSheetId="15">#REF!</definedName>
    <definedName name="N628_" localSheetId="11">#REF!</definedName>
    <definedName name="N628_" localSheetId="10">#REF!</definedName>
    <definedName name="N628_">#REF!</definedName>
    <definedName name="N630_" localSheetId="15">#REF!</definedName>
    <definedName name="N630_" localSheetId="11">#REF!</definedName>
    <definedName name="N630_" localSheetId="10">#REF!</definedName>
    <definedName name="N630_">#REF!</definedName>
    <definedName name="N640_" localSheetId="15">#REF!</definedName>
    <definedName name="N640_" localSheetId="11">#REF!</definedName>
    <definedName name="N640_" localSheetId="10">#REF!</definedName>
    <definedName name="N640_">#REF!</definedName>
    <definedName name="N650_" localSheetId="15">#REF!</definedName>
    <definedName name="N650_" localSheetId="11">#REF!</definedName>
    <definedName name="N650_" localSheetId="10">#REF!</definedName>
    <definedName name="N650_">#REF!</definedName>
    <definedName name="N660_" localSheetId="15">#REF!</definedName>
    <definedName name="N660_" localSheetId="11">#REF!</definedName>
    <definedName name="N660_" localSheetId="10">#REF!</definedName>
    <definedName name="N660_">#REF!</definedName>
    <definedName name="N670_" localSheetId="15">#REF!</definedName>
    <definedName name="N670_" localSheetId="11">#REF!</definedName>
    <definedName name="N670_" localSheetId="10">#REF!</definedName>
    <definedName name="N670_">#REF!</definedName>
    <definedName name="N690_" localSheetId="15">#REF!</definedName>
    <definedName name="N690_" localSheetId="11">#REF!</definedName>
    <definedName name="N690_" localSheetId="10">#REF!</definedName>
    <definedName name="N690_">#REF!</definedName>
    <definedName name="N699_" localSheetId="15">#REF!</definedName>
    <definedName name="N699_" localSheetId="11">#REF!</definedName>
    <definedName name="N699_" localSheetId="10">#REF!</definedName>
    <definedName name="N699_">#REF!</definedName>
    <definedName name="nakl" localSheetId="15">#REF!</definedName>
    <definedName name="nakl" localSheetId="11">#REF!</definedName>
    <definedName name="nakl" localSheetId="10">#REF!</definedName>
    <definedName name="nakl">#REF!</definedName>
    <definedName name="nakl_r" localSheetId="15">#REF!</definedName>
    <definedName name="nakl_r" localSheetId="11">#REF!</definedName>
    <definedName name="nakl_r" localSheetId="10">#REF!</definedName>
    <definedName name="nakl_r">#REF!</definedName>
    <definedName name="nakl_r1" localSheetId="15">#REF!</definedName>
    <definedName name="nakl_r1" localSheetId="11">#REF!</definedName>
    <definedName name="nakl_r1" localSheetId="10">#REF!</definedName>
    <definedName name="nakl_r1">#REF!</definedName>
    <definedName name="Name">[84]Лист1!$C$408</definedName>
    <definedName name="NewTaxGW" localSheetId="15">#REF!</definedName>
    <definedName name="NewTaxGW" localSheetId="2">#REF!</definedName>
    <definedName name="NewTaxGW" localSheetId="1">#REF!</definedName>
    <definedName name="NewTaxGW" localSheetId="11">#REF!</definedName>
    <definedName name="NewTaxGW" localSheetId="8">#REF!</definedName>
    <definedName name="NewTaxGW" localSheetId="9">#REF!</definedName>
    <definedName name="NewTaxGW" localSheetId="10">#REF!</definedName>
    <definedName name="NewTaxGW" localSheetId="5">#REF!</definedName>
    <definedName name="NewTaxGW" localSheetId="4">#REF!</definedName>
    <definedName name="NewTaxGW">#REF!</definedName>
    <definedName name="NewTaxIntangibles" localSheetId="15">#REF!</definedName>
    <definedName name="NewTaxIntangibles" localSheetId="11">#REF!</definedName>
    <definedName name="NewTaxIntangibles" localSheetId="10">#REF!</definedName>
    <definedName name="NewTaxIntangibles">#REF!</definedName>
    <definedName name="nfyz" localSheetId="15">[7]!nfyz</definedName>
    <definedName name="nfyz" localSheetId="11">#N/A</definedName>
    <definedName name="nfyz" localSheetId="8">#N/A</definedName>
    <definedName name="nfyz" localSheetId="9">#N/A</definedName>
    <definedName name="nfyz">#N/A</definedName>
    <definedName name="nhj">[94]PL!$A$36:$D$47</definedName>
    <definedName name="ni_mult" localSheetId="15">#REF!</definedName>
    <definedName name="ni_mult" localSheetId="2">#REF!</definedName>
    <definedName name="ni_mult" localSheetId="1">#REF!</definedName>
    <definedName name="ni_mult" localSheetId="11">#REF!</definedName>
    <definedName name="ni_mult" localSheetId="8">#REF!</definedName>
    <definedName name="ni_mult" localSheetId="9">#REF!</definedName>
    <definedName name="ni_mult" localSheetId="10">#REF!</definedName>
    <definedName name="ni_mult" localSheetId="5">#REF!</definedName>
    <definedName name="ni_mult" localSheetId="4">#REF!</definedName>
    <definedName name="ni_mult">#REF!</definedName>
    <definedName name="ni_mult_sen" localSheetId="15">#REF!</definedName>
    <definedName name="ni_mult_sen" localSheetId="11">#REF!</definedName>
    <definedName name="ni_mult_sen" localSheetId="8">#REF!</definedName>
    <definedName name="ni_mult_sen" localSheetId="9">#REF!</definedName>
    <definedName name="ni_mult_sen" localSheetId="10">#REF!</definedName>
    <definedName name="ni_mult_sen">#REF!</definedName>
    <definedName name="ni_mult1" localSheetId="15">#REF!</definedName>
    <definedName name="ni_mult1" localSheetId="11">#REF!</definedName>
    <definedName name="ni_mult1" localSheetId="8">#REF!</definedName>
    <definedName name="ni_mult1" localSheetId="9">#REF!</definedName>
    <definedName name="ni_mult1" localSheetId="10">#REF!</definedName>
    <definedName name="ni_mult1">#REF!</definedName>
    <definedName name="ni_mult2" localSheetId="15">#REF!</definedName>
    <definedName name="ni_mult2" localSheetId="11">#REF!</definedName>
    <definedName name="ni_mult2" localSheetId="10">#REF!</definedName>
    <definedName name="ni_mult2">#REF!</definedName>
    <definedName name="ni_mult3" localSheetId="15">#REF!</definedName>
    <definedName name="ni_mult3" localSheetId="11">#REF!</definedName>
    <definedName name="ni_mult3" localSheetId="10">#REF!</definedName>
    <definedName name="ni_mult3">#REF!</definedName>
    <definedName name="ni_mult4" localSheetId="15">#REF!</definedName>
    <definedName name="ni_mult4" localSheetId="11">#REF!</definedName>
    <definedName name="ni_mult4" localSheetId="10">#REF!</definedName>
    <definedName name="ni_mult4">#REF!</definedName>
    <definedName name="ni_mult5" localSheetId="15">#REF!</definedName>
    <definedName name="ni_mult5" localSheetId="11">#REF!</definedName>
    <definedName name="ni_mult5" localSheetId="10">#REF!</definedName>
    <definedName name="ni_mult5">#REF!</definedName>
    <definedName name="ni_terminal" localSheetId="15">#REF!</definedName>
    <definedName name="ni_terminal" localSheetId="11">#REF!</definedName>
    <definedName name="ni_terminal" localSheetId="10">#REF!</definedName>
    <definedName name="ni_terminal">#REF!</definedName>
    <definedName name="NOM" localSheetId="15">#REF!</definedName>
    <definedName name="NOM" localSheetId="11">#REF!</definedName>
    <definedName name="NOM" localSheetId="10">#REF!</definedName>
    <definedName name="NOM">#REF!</definedName>
    <definedName name="NONPR" localSheetId="15">#REF!</definedName>
    <definedName name="NONPR" localSheetId="11">#REF!</definedName>
    <definedName name="NONPR">#REF!</definedName>
    <definedName name="norm_apple_02" localSheetId="15">#REF!</definedName>
    <definedName name="norm_apple_02" localSheetId="11">#REF!</definedName>
    <definedName name="norm_apple_02" localSheetId="10">#REF!</definedName>
    <definedName name="norm_apple_02">#REF!</definedName>
    <definedName name="norm_apple_blackcurrantapple_new" localSheetId="15">#REF!</definedName>
    <definedName name="norm_apple_blackcurrantapple_new" localSheetId="11">#REF!</definedName>
    <definedName name="norm_apple_blackcurrantapple_new" localSheetId="10">#REF!</definedName>
    <definedName name="norm_apple_blackcurrantapple_new">#REF!</definedName>
    <definedName name="norm_apple_cherryapple_new" localSheetId="15">#REF!</definedName>
    <definedName name="norm_apple_cherryapple_new" localSheetId="11">#REF!</definedName>
    <definedName name="norm_apple_cherryapple_new" localSheetId="10">#REF!</definedName>
    <definedName name="norm_apple_cherryapple_new">#REF!</definedName>
    <definedName name="norm_apple_nectgrapeapple" localSheetId="15">#REF!</definedName>
    <definedName name="norm_apple_nectgrapeapple" localSheetId="11">#REF!</definedName>
    <definedName name="norm_apple_nectgrapeapple" localSheetId="10">#REF!</definedName>
    <definedName name="norm_apple_nectgrapeapple">#REF!</definedName>
    <definedName name="norm_apple_nectlesnojbuket" localSheetId="15">#REF!</definedName>
    <definedName name="norm_apple_nectlesnojbuket" localSheetId="11">#REF!</definedName>
    <definedName name="norm_apple_nectlesnojbuket" localSheetId="10">#REF!</definedName>
    <definedName name="norm_apple_nectlesnojbuket">#REF!</definedName>
    <definedName name="norm_apple_nectrosehipapple" localSheetId="15">#REF!</definedName>
    <definedName name="norm_apple_nectrosehipapple" localSheetId="11">#REF!</definedName>
    <definedName name="norm_apple_nectrosehipapple" localSheetId="10">#REF!</definedName>
    <definedName name="norm_apple_nectrosehipapple">#REF!</definedName>
    <definedName name="norm_apple_nectsadovyjbuket" localSheetId="15">#REF!</definedName>
    <definedName name="norm_apple_nectsadovyjbuket" localSheetId="11">#REF!</definedName>
    <definedName name="norm_apple_nectsadovyjbuket" localSheetId="10">#REF!</definedName>
    <definedName name="norm_apple_nectsadovyjbuket">#REF!</definedName>
    <definedName name="norm_apple_raspberryapple_new" localSheetId="15">#REF!</definedName>
    <definedName name="norm_apple_raspberryapple_new" localSheetId="11">#REF!</definedName>
    <definedName name="norm_apple_raspberryapple_new" localSheetId="10">#REF!</definedName>
    <definedName name="norm_apple_raspberryapple_new">#REF!</definedName>
    <definedName name="norm_apple_recap" localSheetId="15">#REF!</definedName>
    <definedName name="norm_apple_recap" localSheetId="11">#REF!</definedName>
    <definedName name="norm_apple_recap" localSheetId="10">#REF!</definedName>
    <definedName name="norm_apple_recap">#REF!</definedName>
    <definedName name="norm_apple_standard" localSheetId="15">#REF!</definedName>
    <definedName name="norm_apple_standard" localSheetId="11">#REF!</definedName>
    <definedName name="norm_apple_standard" localSheetId="10">#REF!</definedName>
    <definedName name="norm_apple_standard">#REF!</definedName>
    <definedName name="norm_apple_strawberryapple_new" localSheetId="15">#REF!</definedName>
    <definedName name="norm_apple_strawberryapple_new" localSheetId="11">#REF!</definedName>
    <definedName name="norm_apple_strawberryapple_new" localSheetId="10">#REF!</definedName>
    <definedName name="norm_apple_strawberryapple_new">#REF!</definedName>
    <definedName name="norm_appleobst_recap" localSheetId="15">#REF!</definedName>
    <definedName name="norm_appleobst_recap" localSheetId="11">#REF!</definedName>
    <definedName name="norm_appleobst_recap" localSheetId="10">#REF!</definedName>
    <definedName name="norm_appleobst_recap">#REF!</definedName>
    <definedName name="norm_apricot_recap" localSheetId="15">#REF!</definedName>
    <definedName name="norm_apricot_recap" localSheetId="11">#REF!</definedName>
    <definedName name="norm_apricot_recap" localSheetId="10">#REF!</definedName>
    <definedName name="norm_apricot_recap">#REF!</definedName>
    <definedName name="norm_apricotpuree_recap" localSheetId="15">#REF!</definedName>
    <definedName name="norm_apricotpuree_recap" localSheetId="11">#REF!</definedName>
    <definedName name="norm_apricotpuree_recap" localSheetId="10">#REF!</definedName>
    <definedName name="norm_apricotpuree_recap">#REF!</definedName>
    <definedName name="norm_blackcurrant_blackcurrantapple_new" localSheetId="15">#REF!</definedName>
    <definedName name="norm_blackcurrant_blackcurrantapple_new" localSheetId="11">#REF!</definedName>
    <definedName name="norm_blackcurrant_blackcurrantapple_new" localSheetId="10">#REF!</definedName>
    <definedName name="norm_blackcurrant_blackcurrantapple_new">#REF!</definedName>
    <definedName name="norm_blackcurrantapple_old" localSheetId="15">#REF!</definedName>
    <definedName name="norm_blackcurrantapple_old" localSheetId="11">#REF!</definedName>
    <definedName name="norm_blackcurrantapple_old" localSheetId="10">#REF!</definedName>
    <definedName name="norm_blackcurrantapple_old">#REF!</definedName>
    <definedName name="norm_cherry_cherryapple_new" localSheetId="15">#REF!</definedName>
    <definedName name="norm_cherry_cherryapple_new" localSheetId="11">#REF!</definedName>
    <definedName name="norm_cherry_cherryapple_new" localSheetId="10">#REF!</definedName>
    <definedName name="norm_cherry_cherryapple_new">#REF!</definedName>
    <definedName name="norm_cherry_nectsadovyjbuket" localSheetId="15">#REF!</definedName>
    <definedName name="norm_cherry_nectsadovyjbuket" localSheetId="11">#REF!</definedName>
    <definedName name="norm_cherry_nectsadovyjbuket" localSheetId="10">#REF!</definedName>
    <definedName name="norm_cherry_nectsadovyjbuket">#REF!</definedName>
    <definedName name="norm_cherryapple_old" localSheetId="15">#REF!</definedName>
    <definedName name="norm_cherryapple_old" localSheetId="11">#REF!</definedName>
    <definedName name="norm_cherryapple_old" localSheetId="10">#REF!</definedName>
    <definedName name="norm_cherryapple_old">#REF!</definedName>
    <definedName name="norm_exotic_juicemultivitamin_recap" localSheetId="15">#REF!</definedName>
    <definedName name="norm_exotic_juicemultivitamin_recap" localSheetId="11">#REF!</definedName>
    <definedName name="norm_exotic_juicemultivitamin_recap" localSheetId="10">#REF!</definedName>
    <definedName name="norm_exotic_juicemultivitamin_recap">#REF!</definedName>
    <definedName name="norm_grape_nectgrapeapple" localSheetId="15">#REF!</definedName>
    <definedName name="norm_grape_nectgrapeapple" localSheetId="11">#REF!</definedName>
    <definedName name="norm_grape_nectgrapeapple" localSheetId="10">#REF!</definedName>
    <definedName name="norm_grape_nectgrapeapple">#REF!</definedName>
    <definedName name="norm_grape_old" localSheetId="15">#REF!</definedName>
    <definedName name="norm_grape_old" localSheetId="11">#REF!</definedName>
    <definedName name="norm_grape_old" localSheetId="10">#REF!</definedName>
    <definedName name="norm_grape_old">#REF!</definedName>
    <definedName name="norm_holosas_nectrosehipapple" localSheetId="15">#REF!</definedName>
    <definedName name="norm_holosas_nectrosehipapple" localSheetId="11">#REF!</definedName>
    <definedName name="norm_holosas_nectrosehipapple" localSheetId="10">#REF!</definedName>
    <definedName name="norm_holosas_nectrosehipapple">#REF!</definedName>
    <definedName name="norm_lemon_nectpineapplemangolemon" localSheetId="15">#REF!</definedName>
    <definedName name="norm_lemon_nectpineapplemangolemon" localSheetId="11">#REF!</definedName>
    <definedName name="norm_lemon_nectpineapplemangolemon" localSheetId="10">#REF!</definedName>
    <definedName name="norm_lemon_nectpineapplemangolemon">#REF!</definedName>
    <definedName name="norm_mango_nectpineapplemangolemon" localSheetId="15">#REF!</definedName>
    <definedName name="norm_mango_nectpineapplemangolemon" localSheetId="11">#REF!</definedName>
    <definedName name="norm_mango_nectpineapplemangolemon" localSheetId="10">#REF!</definedName>
    <definedName name="norm_mango_nectpineapplemangolemon">#REF!</definedName>
    <definedName name="norm_multifruit_nectmultivitamin" localSheetId="15">#REF!</definedName>
    <definedName name="norm_multifruit_nectmultivitamin" localSheetId="11">#REF!</definedName>
    <definedName name="norm_multifruit_nectmultivitamin" localSheetId="10">#REF!</definedName>
    <definedName name="norm_multifruit_nectmultivitamin">#REF!</definedName>
    <definedName name="norm_multifruit_nectmultivitamin02" localSheetId="15">#REF!</definedName>
    <definedName name="norm_multifruit_nectmultivitamin02" localSheetId="11">#REF!</definedName>
    <definedName name="norm_multifruit_nectmultivitamin02" localSheetId="10">#REF!</definedName>
    <definedName name="norm_multifruit_nectmultivitamin02">#REF!</definedName>
    <definedName name="norm_N02_apple_apple" localSheetId="15">#REF!</definedName>
    <definedName name="norm_N02_apple_apple" localSheetId="11">#REF!</definedName>
    <definedName name="norm_N02_apple_apple" localSheetId="10">#REF!</definedName>
    <definedName name="norm_N02_apple_apple">#REF!</definedName>
    <definedName name="norm_N02_mango_8661" localSheetId="15">#REF!</definedName>
    <definedName name="norm_N02_mango_8661" localSheetId="11">#REF!</definedName>
    <definedName name="norm_N02_mango_8661" localSheetId="10">#REF!</definedName>
    <definedName name="norm_N02_mango_8661">#REF!</definedName>
    <definedName name="norm_N02_multivit_3503" localSheetId="15">#REF!</definedName>
    <definedName name="norm_N02_multivit_3503" localSheetId="11">#REF!</definedName>
    <definedName name="norm_N02_multivit_3503" localSheetId="10">#REF!</definedName>
    <definedName name="norm_N02_multivit_3503">#REF!</definedName>
    <definedName name="norm_N02_multivitnec_8553" localSheetId="15">#REF!</definedName>
    <definedName name="norm_N02_multivitnec_8553" localSheetId="11">#REF!</definedName>
    <definedName name="norm_N02_multivitnec_8553" localSheetId="10">#REF!</definedName>
    <definedName name="norm_N02_multivitnec_8553">#REF!</definedName>
    <definedName name="norm_N02_orange_3503" localSheetId="15">#REF!</definedName>
    <definedName name="norm_N02_orange_3503" localSheetId="11">#REF!</definedName>
    <definedName name="norm_N02_orange_3503" localSheetId="10">#REF!</definedName>
    <definedName name="norm_N02_orange_3503">#REF!</definedName>
    <definedName name="norm_N02_orange_cargillfrozen" localSheetId="15">#REF!</definedName>
    <definedName name="norm_N02_orange_cargillfrozen" localSheetId="11">#REF!</definedName>
    <definedName name="norm_N02_orange_cargillfrozen" localSheetId="10">#REF!</definedName>
    <definedName name="norm_N02_orange_cargillfrozen">#REF!</definedName>
    <definedName name="norm_N02_peach_8549" localSheetId="15">#REF!</definedName>
    <definedName name="norm_N02_peach_8549" localSheetId="11">#REF!</definedName>
    <definedName name="norm_N02_peach_8549" localSheetId="10">#REF!</definedName>
    <definedName name="norm_N02_peach_8549">#REF!</definedName>
    <definedName name="norm_N02_pineapple_8518" localSheetId="15">#REF!</definedName>
    <definedName name="norm_N02_pineapple_8518" localSheetId="11">#REF!</definedName>
    <definedName name="norm_N02_pineapple_8518" localSheetId="10">#REF!</definedName>
    <definedName name="norm_N02_pineapple_8518">#REF!</definedName>
    <definedName name="norm_NRC_apple_apple" localSheetId="15">#REF!</definedName>
    <definedName name="norm_NRC_apple_apple" localSheetId="11">#REF!</definedName>
    <definedName name="norm_NRC_apple_apple" localSheetId="10">#REF!</definedName>
    <definedName name="norm_NRC_apple_apple">#REF!</definedName>
    <definedName name="norm_NRC_grape_apple" localSheetId="15">#REF!</definedName>
    <definedName name="norm_NRC_grape_apple" localSheetId="11">#REF!</definedName>
    <definedName name="norm_NRC_grape_apple" localSheetId="10">#REF!</definedName>
    <definedName name="norm_NRC_grape_apple">#REF!</definedName>
    <definedName name="norm_NRC_grape_grape" localSheetId="15">#REF!</definedName>
    <definedName name="norm_NRC_grape_grape" localSheetId="11">#REF!</definedName>
    <definedName name="norm_NRC_grape_grape" localSheetId="10">#REF!</definedName>
    <definedName name="norm_NRC_grape_grape">#REF!</definedName>
    <definedName name="norm_NRC_grapefruit_buzina" localSheetId="15">#REF!</definedName>
    <definedName name="norm_NRC_grapefruit_buzina" localSheetId="11">#REF!</definedName>
    <definedName name="norm_NRC_grapefruit_buzina" localSheetId="10">#REF!</definedName>
    <definedName name="norm_NRC_grapefruit_buzina">#REF!</definedName>
    <definedName name="norm_NRC_grapefruit_redgrapefruit4573" localSheetId="15">#REF!</definedName>
    <definedName name="norm_NRC_grapefruit_redgrapefruit4573" localSheetId="11">#REF!</definedName>
    <definedName name="norm_NRC_grapefruit_redgrapefruit4573" localSheetId="10">#REF!</definedName>
    <definedName name="norm_NRC_grapefruit_redgrapefruit4573">#REF!</definedName>
    <definedName name="norm_NRC_grapefruit_whitegrapefruit" localSheetId="15">#REF!</definedName>
    <definedName name="norm_NRC_grapefruit_whitegrapefruit" localSheetId="11">#REF!</definedName>
    <definedName name="norm_NRC_grapefruit_whitegrapefruit" localSheetId="10">#REF!</definedName>
    <definedName name="norm_NRC_grapefruit_whitegrapefruit">#REF!</definedName>
    <definedName name="norm_NRC_mango_8661" localSheetId="15">#REF!</definedName>
    <definedName name="norm_NRC_mango_8661" localSheetId="11">#REF!</definedName>
    <definedName name="norm_NRC_mango_8661" localSheetId="10">#REF!</definedName>
    <definedName name="norm_NRC_mango_8661">#REF!</definedName>
    <definedName name="norm_NRC_mangolemonpineapplenec_lemon" localSheetId="15">#REF!</definedName>
    <definedName name="norm_NRC_mangolemonpineapplenec_lemon" localSheetId="11">#REF!</definedName>
    <definedName name="norm_NRC_mangolemonpineapplenec_lemon" localSheetId="10">#REF!</definedName>
    <definedName name="norm_NRC_mangolemonpineapplenec_lemon">#REF!</definedName>
    <definedName name="norm_NRC_mangolemonpineapplenec_mango8508" localSheetId="15">#REF!</definedName>
    <definedName name="norm_NRC_mangolemonpineapplenec_mango8508" localSheetId="11">#REF!</definedName>
    <definedName name="norm_NRC_mangolemonpineapplenec_mango8508" localSheetId="10">#REF!</definedName>
    <definedName name="norm_NRC_mangolemonpineapplenec_mango8508">#REF!</definedName>
    <definedName name="norm_NRC_mangolemonpineapplenec_pineapple8518" localSheetId="15">#REF!</definedName>
    <definedName name="norm_NRC_mangolemonpineapplenec_pineapple8518" localSheetId="11">#REF!</definedName>
    <definedName name="norm_NRC_mangolemonpineapplenec_pineapple8518" localSheetId="10">#REF!</definedName>
    <definedName name="norm_NRC_mangolemonpineapplenec_pineapple8518">#REF!</definedName>
    <definedName name="norm_NRC_multivitnec_3503dark" localSheetId="15">#REF!</definedName>
    <definedName name="norm_NRC_multivitnec_3503dark" localSheetId="11">#REF!</definedName>
    <definedName name="norm_NRC_multivitnec_3503dark" localSheetId="10">#REF!</definedName>
    <definedName name="norm_NRC_multivitnec_3503dark">#REF!</definedName>
    <definedName name="norm_NRC_multivitnec_8553" localSheetId="15">#REF!</definedName>
    <definedName name="norm_NRC_multivitnec_8553" localSheetId="11">#REF!</definedName>
    <definedName name="norm_NRC_multivitnec_8553" localSheetId="10">#REF!</definedName>
    <definedName name="norm_NRC_multivitnec_8553">#REF!</definedName>
    <definedName name="norm_NRC_orange_3503" localSheetId="15">#REF!</definedName>
    <definedName name="norm_NRC_orange_3503" localSheetId="11">#REF!</definedName>
    <definedName name="norm_NRC_orange_3503" localSheetId="10">#REF!</definedName>
    <definedName name="norm_NRC_orange_3503">#REF!</definedName>
    <definedName name="norm_NRC_orange_cargill" localSheetId="15">#REF!</definedName>
    <definedName name="norm_NRC_orange_cargill" localSheetId="11">#REF!</definedName>
    <definedName name="norm_NRC_orange_cargill" localSheetId="10">#REF!</definedName>
    <definedName name="norm_NRC_orange_cargill">#REF!</definedName>
    <definedName name="norm_NRC_orange_pulp" localSheetId="15">#REF!</definedName>
    <definedName name="norm_NRC_orange_pulp" localSheetId="11">#REF!</definedName>
    <definedName name="norm_NRC_orange_pulp" localSheetId="10">#REF!</definedName>
    <definedName name="norm_NRC_orange_pulp">#REF!</definedName>
    <definedName name="norm_NRC_peach_8549" localSheetId="15">#REF!</definedName>
    <definedName name="norm_NRC_peach_8549" localSheetId="11">#REF!</definedName>
    <definedName name="norm_NRC_peach_8549" localSheetId="10">#REF!</definedName>
    <definedName name="norm_NRC_peach_8549">#REF!</definedName>
    <definedName name="norm_NRC_peach_applepuree" localSheetId="15">#REF!</definedName>
    <definedName name="norm_NRC_peach_applepuree" localSheetId="11">#REF!</definedName>
    <definedName name="norm_NRC_peach_applepuree" localSheetId="10">#REF!</definedName>
    <definedName name="norm_NRC_peach_applepuree">#REF!</definedName>
    <definedName name="norm_NRC_pineapple_8518" localSheetId="15">#REF!</definedName>
    <definedName name="norm_NRC_pineapple_8518" localSheetId="11">#REF!</definedName>
    <definedName name="norm_NRC_pineapple_8518" localSheetId="10">#REF!</definedName>
    <definedName name="norm_NRC_pineapple_8518">#REF!</definedName>
    <definedName name="norm_NRC_tomato_tomato" localSheetId="15">#REF!</definedName>
    <definedName name="norm_NRC_tomato_tomato" localSheetId="11">#REF!</definedName>
    <definedName name="norm_NRC_tomato_tomato" localSheetId="10">#REF!</definedName>
    <definedName name="norm_NRC_tomato_tomato">#REF!</definedName>
    <definedName name="norm_NRC_tomato_tomato15bx" localSheetId="15">#REF!</definedName>
    <definedName name="norm_NRC_tomato_tomato15bx" localSheetId="11">#REF!</definedName>
    <definedName name="norm_NRC_tomato_tomato15bx" localSheetId="10">#REF!</definedName>
    <definedName name="norm_NRC_tomato_tomato15bx">#REF!</definedName>
    <definedName name="norm_NRC_tomato_tomato25bx" localSheetId="15">#REF!</definedName>
    <definedName name="norm_NRC_tomato_tomato25bx" localSheetId="11">#REF!</definedName>
    <definedName name="norm_NRC_tomato_tomato25bx" localSheetId="10">#REF!</definedName>
    <definedName name="norm_NRC_tomato_tomato25bx">#REF!</definedName>
    <definedName name="norm_NTM_apple_appleGal" localSheetId="15">[95]к2!#REF!</definedName>
    <definedName name="norm_NTM_apple_appleGal" localSheetId="11">[95]к2!#REF!</definedName>
    <definedName name="norm_NTM_apple_appleGal" localSheetId="10">[95]к2!#REF!</definedName>
    <definedName name="norm_NTM_apple_appleGal">[95]к2!#REF!</definedName>
    <definedName name="norm_NTM_apple_aroma" localSheetId="15">[95]к2!#REF!</definedName>
    <definedName name="norm_NTM_apple_aroma" localSheetId="11">[95]к2!#REF!</definedName>
    <definedName name="norm_NTM_apple_aroma" localSheetId="10">[95]к2!#REF!</definedName>
    <definedName name="norm_NTM_apple_aroma">[95]к2!#REF!</definedName>
    <definedName name="norm_NTM_grapefruit_buzina" localSheetId="15">[95]к2!#REF!</definedName>
    <definedName name="norm_NTM_grapefruit_buzina" localSheetId="11">[95]к2!#REF!</definedName>
    <definedName name="norm_NTM_grapefruit_buzina" localSheetId="10">[95]к2!#REF!</definedName>
    <definedName name="norm_NTM_grapefruit_buzina">[95]к2!#REF!</definedName>
    <definedName name="norm_NTM_grapefruit_citricacid" localSheetId="15">[95]к2!#REF!</definedName>
    <definedName name="norm_NTM_grapefruit_citricacid" localSheetId="11">[95]к2!#REF!</definedName>
    <definedName name="norm_NTM_grapefruit_citricacid" localSheetId="10">[95]к2!#REF!</definedName>
    <definedName name="norm_NTM_grapefruit_citricacid">[95]к2!#REF!</definedName>
    <definedName name="norm_NTM_grapefruit_r4573" localSheetId="15">[95]к2!#REF!</definedName>
    <definedName name="norm_NTM_grapefruit_r4573" localSheetId="11">[95]к2!#REF!</definedName>
    <definedName name="norm_NTM_grapefruit_r4573" localSheetId="10">[95]к2!#REF!</definedName>
    <definedName name="norm_NTM_grapefruit_r4573">[95]к2!#REF!</definedName>
    <definedName name="norm_NTM_grapefruit_sugar" localSheetId="15">[95]к2!#REF!</definedName>
    <definedName name="norm_NTM_grapefruit_sugar" localSheetId="11">[95]к2!#REF!</definedName>
    <definedName name="norm_NTM_grapefruit_sugar" localSheetId="10">[95]к2!#REF!</definedName>
    <definedName name="norm_NTM_grapefruit_sugar">[95]к2!#REF!</definedName>
    <definedName name="norm_NTM_grapefruit_w4548" localSheetId="15">[95]к2!#REF!</definedName>
    <definedName name="norm_NTM_grapefruit_w4548" localSheetId="11">[95]к2!#REF!</definedName>
    <definedName name="norm_NTM_grapefruit_w4548" localSheetId="10">[95]к2!#REF!</definedName>
    <definedName name="norm_NTM_grapefruit_w4548">[95]к2!#REF!</definedName>
    <definedName name="norm_NTM_multivit_citricacid" localSheetId="15">[95]к2!#REF!</definedName>
    <definedName name="norm_NTM_multivit_citricacid" localSheetId="11">[95]к2!#REF!</definedName>
    <definedName name="norm_NTM_multivit_citricacid" localSheetId="10">[95]к2!#REF!</definedName>
    <definedName name="norm_NTM_multivit_citricacid">[95]к2!#REF!</definedName>
    <definedName name="norm_NTM_multivit_mult8553" localSheetId="15">[95]к2!#REF!</definedName>
    <definedName name="norm_NTM_multivit_mult8553" localSheetId="11">[95]к2!#REF!</definedName>
    <definedName name="norm_NTM_multivit_mult8553" localSheetId="10">[95]к2!#REF!</definedName>
    <definedName name="norm_NTM_multivit_mult8553">[95]к2!#REF!</definedName>
    <definedName name="norm_NTM_multivit_sugar" localSheetId="15">[95]к2!#REF!</definedName>
    <definedName name="norm_NTM_multivit_sugar" localSheetId="11">[95]к2!#REF!</definedName>
    <definedName name="norm_NTM_multivit_sugar" localSheetId="10">[95]к2!#REF!</definedName>
    <definedName name="norm_NTM_multivit_sugar">[95]к2!#REF!</definedName>
    <definedName name="norm_NTM_multivit_vitmix" localSheetId="15">[95]к2!#REF!</definedName>
    <definedName name="norm_NTM_multivit_vitmix" localSheetId="11">[95]к2!#REF!</definedName>
    <definedName name="norm_NTM_multivit_vitmix" localSheetId="10">[95]к2!#REF!</definedName>
    <definedName name="norm_NTM_multivit_vitmix">[95]к2!#REF!</definedName>
    <definedName name="norm_NTM_orange_citricacid" localSheetId="15">[95]к2!#REF!</definedName>
    <definedName name="norm_NTM_orange_citricacid" localSheetId="11">[95]к2!#REF!</definedName>
    <definedName name="norm_NTM_orange_citricacid" localSheetId="10">[95]к2!#REF!</definedName>
    <definedName name="norm_NTM_orange_citricacid">[95]к2!#REF!</definedName>
    <definedName name="norm_NTM_orange_pulp" localSheetId="15">[95]к2!#REF!</definedName>
    <definedName name="norm_NTM_orange_pulp" localSheetId="11">[95]к2!#REF!</definedName>
    <definedName name="norm_NTM_orange_pulp" localSheetId="10">[95]к2!#REF!</definedName>
    <definedName name="norm_NTM_orange_pulp">[95]к2!#REF!</definedName>
    <definedName name="norm_NTM_orange_sugar" localSheetId="15">[95]к2!#REF!</definedName>
    <definedName name="norm_NTM_orange_sugar" localSheetId="11">[95]к2!#REF!</definedName>
    <definedName name="norm_NTM_orange_sugar" localSheetId="10">[95]к2!#REF!</definedName>
    <definedName name="norm_NTM_orange_sugar">[95]к2!#REF!</definedName>
    <definedName name="norm_NTM_orangeapricotnectar_orangeapricot8555" localSheetId="15">[95]к2!#REF!</definedName>
    <definedName name="norm_NTM_orangeapricotnectar_orangeapricot8555" localSheetId="11">[95]к2!#REF!</definedName>
    <definedName name="norm_NTM_orangeapricotnectar_orangeapricot8555" localSheetId="10">[95]к2!#REF!</definedName>
    <definedName name="norm_NTM_orangeapricotnectar_orangeapricot8555">[95]к2!#REF!</definedName>
    <definedName name="norm_NTM_orangemango_3503" localSheetId="15">[95]к2!#REF!</definedName>
    <definedName name="norm_NTM_orangemango_3503" localSheetId="11">[95]к2!#REF!</definedName>
    <definedName name="norm_NTM_orangemango_3503" localSheetId="10">[95]к2!#REF!</definedName>
    <definedName name="norm_NTM_orangemango_3503">[95]к2!#REF!</definedName>
    <definedName name="norm_NTM_orangemango_citricacid" localSheetId="15">[95]к2!#REF!</definedName>
    <definedName name="norm_NTM_orangemango_citricacid" localSheetId="11">[95]к2!#REF!</definedName>
    <definedName name="norm_NTM_orangemango_citricacid" localSheetId="10">[95]к2!#REF!</definedName>
    <definedName name="norm_NTM_orangemango_citricacid">[95]к2!#REF!</definedName>
    <definedName name="norm_NTM_orangemango_mango8661" localSheetId="15">[95]к2!#REF!</definedName>
    <definedName name="norm_NTM_orangemango_mango8661" localSheetId="11">[95]к2!#REF!</definedName>
    <definedName name="norm_NTM_orangemango_mango8661" localSheetId="10">[95]к2!#REF!</definedName>
    <definedName name="norm_NTM_orangemango_mango8661">[95]к2!#REF!</definedName>
    <definedName name="norm_NTM_orangemango_sugar" localSheetId="15">[95]к2!#REF!</definedName>
    <definedName name="norm_NTM_orangemango_sugar" localSheetId="11">[95]к2!#REF!</definedName>
    <definedName name="norm_NTM_orangemango_sugar" localSheetId="10">[95]к2!#REF!</definedName>
    <definedName name="norm_NTM_orangemango_sugar">[95]к2!#REF!</definedName>
    <definedName name="norm_NTM_pineapple_citricacid" localSheetId="15">[95]к2!#REF!</definedName>
    <definedName name="norm_NTM_pineapple_citricacid" localSheetId="11">[95]к2!#REF!</definedName>
    <definedName name="norm_NTM_pineapple_citricacid" localSheetId="10">[95]к2!#REF!</definedName>
    <definedName name="norm_NTM_pineapple_citricacid">[95]к2!#REF!</definedName>
    <definedName name="norm_NTM_pineapple_pineapple8518" localSheetId="15">[95]к2!#REF!</definedName>
    <definedName name="norm_NTM_pineapple_pineapple8518" localSheetId="11">[95]к2!#REF!</definedName>
    <definedName name="norm_NTM_pineapple_pineapple8518" localSheetId="10">[95]к2!#REF!</definedName>
    <definedName name="norm_NTM_pineapple_pineapple8518">[95]к2!#REF!</definedName>
    <definedName name="norm_NTM_pineapple_sugar" localSheetId="15">[95]к2!#REF!</definedName>
    <definedName name="norm_NTM_pineapple_sugar" localSheetId="11">[95]к2!#REF!</definedName>
    <definedName name="norm_NTM_pineapple_sugar" localSheetId="10">[95]к2!#REF!</definedName>
    <definedName name="norm_NTM_pineapple_sugar">[95]к2!#REF!</definedName>
    <definedName name="norm_NTM_tomato_salt" localSheetId="15">[95]к2!#REF!</definedName>
    <definedName name="norm_NTM_tomato_salt" localSheetId="11">[95]к2!#REF!</definedName>
    <definedName name="norm_NTM_tomato_salt" localSheetId="10">[95]к2!#REF!</definedName>
    <definedName name="norm_NTM_tomato_salt">[95]к2!#REF!</definedName>
    <definedName name="norm_NTM_tomato_tomato25bx" localSheetId="15">[95]к2!#REF!</definedName>
    <definedName name="norm_NTM_tomato_tomato25bx" localSheetId="11">[95]к2!#REF!</definedName>
    <definedName name="norm_NTM_tomato_tomato25bx" localSheetId="10">[95]к2!#REF!</definedName>
    <definedName name="norm_NTM_tomato_tomato25bx">[95]к2!#REF!</definedName>
    <definedName name="norm_orange_02" localSheetId="15">#REF!</definedName>
    <definedName name="norm_orange_02" localSheetId="2">#REF!</definedName>
    <definedName name="norm_orange_02" localSheetId="1">#REF!</definedName>
    <definedName name="norm_orange_02" localSheetId="11">#REF!</definedName>
    <definedName name="norm_orange_02" localSheetId="8">#REF!</definedName>
    <definedName name="norm_orange_02" localSheetId="9">#REF!</definedName>
    <definedName name="norm_orange_02" localSheetId="10">#REF!</definedName>
    <definedName name="norm_orange_02" localSheetId="5">#REF!</definedName>
    <definedName name="norm_orange_02" localSheetId="4">#REF!</definedName>
    <definedName name="norm_orange_02">#REF!</definedName>
    <definedName name="norm_orange_3503_nectar" localSheetId="15">#REF!</definedName>
    <definedName name="norm_orange_3503_nectar" localSheetId="11">#REF!</definedName>
    <definedName name="norm_orange_3503_nectar" localSheetId="8">#REF!</definedName>
    <definedName name="norm_orange_3503_nectar" localSheetId="9">#REF!</definedName>
    <definedName name="norm_orange_3503_nectar" localSheetId="10">#REF!</definedName>
    <definedName name="norm_orange_3503_nectar">#REF!</definedName>
    <definedName name="norm_orange_3503_recap" localSheetId="15">#REF!</definedName>
    <definedName name="norm_orange_3503_recap" localSheetId="11">#REF!</definedName>
    <definedName name="norm_orange_3503_recap" localSheetId="8">#REF!</definedName>
    <definedName name="norm_orange_3503_recap" localSheetId="9">#REF!</definedName>
    <definedName name="norm_orange_3503_recap" localSheetId="10">#REF!</definedName>
    <definedName name="norm_orange_3503_recap">#REF!</definedName>
    <definedName name="norm_orange_3550_nectar" localSheetId="15">#REF!</definedName>
    <definedName name="norm_orange_3550_nectar" localSheetId="11">#REF!</definedName>
    <definedName name="norm_orange_3550_nectar" localSheetId="10">#REF!</definedName>
    <definedName name="norm_orange_3550_nectar">#REF!</definedName>
    <definedName name="norm_orange_frozen_old" localSheetId="15">#REF!</definedName>
    <definedName name="norm_orange_frozen_old" localSheetId="11">#REF!</definedName>
    <definedName name="norm_orange_frozen_old" localSheetId="10">#REF!</definedName>
    <definedName name="norm_orange_frozen_old">#REF!</definedName>
    <definedName name="norm_orange_frozen_recap" localSheetId="15">#REF!</definedName>
    <definedName name="norm_orange_frozen_recap" localSheetId="11">#REF!</definedName>
    <definedName name="norm_orange_frozen_recap" localSheetId="10">#REF!</definedName>
    <definedName name="norm_orange_frozen_recap">#REF!</definedName>
    <definedName name="norm_orangeapricot_nectar" localSheetId="15">#REF!</definedName>
    <definedName name="norm_orangeapricot_nectar" localSheetId="11">#REF!</definedName>
    <definedName name="norm_orangeapricot_nectar" localSheetId="10">#REF!</definedName>
    <definedName name="norm_orangeapricot_nectar">#REF!</definedName>
    <definedName name="norm_orangeapricot_old" localSheetId="15">#REF!</definedName>
    <definedName name="norm_orangeapricot_old" localSheetId="11">#REF!</definedName>
    <definedName name="norm_orangeapricot_old" localSheetId="10">#REF!</definedName>
    <definedName name="norm_orangeapricot_old">#REF!</definedName>
    <definedName name="norm_peach_02" localSheetId="15">#REF!</definedName>
    <definedName name="norm_peach_02" localSheetId="11">#REF!</definedName>
    <definedName name="norm_peach_02" localSheetId="10">#REF!</definedName>
    <definedName name="norm_peach_02">#REF!</definedName>
    <definedName name="norm_peach_old" localSheetId="15">#REF!</definedName>
    <definedName name="norm_peach_old" localSheetId="11">#REF!</definedName>
    <definedName name="norm_peach_old" localSheetId="10">#REF!</definedName>
    <definedName name="norm_peach_old">#REF!</definedName>
    <definedName name="norm_peach_recap" localSheetId="15">#REF!</definedName>
    <definedName name="norm_peach_recap" localSheetId="11">#REF!</definedName>
    <definedName name="norm_peach_recap" localSheetId="10">#REF!</definedName>
    <definedName name="norm_peach_recap">#REF!</definedName>
    <definedName name="norm_peachpuree_recap" localSheetId="15">#REF!</definedName>
    <definedName name="norm_peachpuree_recap" localSheetId="11">#REF!</definedName>
    <definedName name="norm_peachpuree_recap" localSheetId="10">#REF!</definedName>
    <definedName name="norm_peachpuree_recap">#REF!</definedName>
    <definedName name="norm_pineapple_nectar" localSheetId="15">#REF!</definedName>
    <definedName name="norm_pineapple_nectar" localSheetId="11">#REF!</definedName>
    <definedName name="norm_pineapple_nectar" localSheetId="10">#REF!</definedName>
    <definedName name="norm_pineapple_nectar">#REF!</definedName>
    <definedName name="norm_pineapple_nectarpinapplemangolemon" localSheetId="15">#REF!</definedName>
    <definedName name="norm_pineapple_nectarpinapplemangolemon" localSheetId="11">#REF!</definedName>
    <definedName name="norm_pineapple_nectarpinapplemangolemon" localSheetId="10">#REF!</definedName>
    <definedName name="norm_pineapple_nectarpinapplemangolemon">#REF!</definedName>
    <definedName name="norm_pineapple_nectpineapplegrapefruit" localSheetId="15">#REF!</definedName>
    <definedName name="norm_pineapple_nectpineapplegrapefruit" localSheetId="11">#REF!</definedName>
    <definedName name="norm_pineapple_nectpineapplegrapefruit" localSheetId="10">#REF!</definedName>
    <definedName name="norm_pineapple_nectpineapplegrapefruit">#REF!</definedName>
    <definedName name="norm_pineapple_oldandrecap" localSheetId="15">#REF!</definedName>
    <definedName name="norm_pineapple_oldandrecap" localSheetId="11">#REF!</definedName>
    <definedName name="norm_pineapple_oldandrecap" localSheetId="10">#REF!</definedName>
    <definedName name="norm_pineapple_oldandrecap">#REF!</definedName>
    <definedName name="norm_pineapple_pineapple02" localSheetId="15">#REF!</definedName>
    <definedName name="norm_pineapple_pineapple02" localSheetId="11">#REF!</definedName>
    <definedName name="norm_pineapple_pineapple02" localSheetId="10">#REF!</definedName>
    <definedName name="norm_pineapple_pineapple02">#REF!</definedName>
    <definedName name="norm_pineapple_recap" localSheetId="15">#REF!</definedName>
    <definedName name="norm_pineapple_recap" localSheetId="11">#REF!</definedName>
    <definedName name="norm_pineapple_recap" localSheetId="10">#REF!</definedName>
    <definedName name="norm_pineapple_recap">#REF!</definedName>
    <definedName name="norm_pulp_nectar" localSheetId="15">#REF!</definedName>
    <definedName name="norm_pulp_nectar" localSheetId="11">#REF!</definedName>
    <definedName name="norm_pulp_nectar" localSheetId="10">#REF!</definedName>
    <definedName name="norm_pulp_nectar">#REF!</definedName>
    <definedName name="norm_pulp_recap" localSheetId="15">#REF!</definedName>
    <definedName name="norm_pulp_recap" localSheetId="11">#REF!</definedName>
    <definedName name="norm_pulp_recap" localSheetId="10">#REF!</definedName>
    <definedName name="norm_pulp_recap">#REF!</definedName>
    <definedName name="norm_raspberry_raspberryapple_new" localSheetId="15">#REF!</definedName>
    <definedName name="norm_raspberry_raspberryapple_new" localSheetId="11">#REF!</definedName>
    <definedName name="norm_raspberry_raspberryapple_new" localSheetId="10">#REF!</definedName>
    <definedName name="norm_raspberry_raspberryapple_new">#REF!</definedName>
    <definedName name="norm_raspberryapple_old" localSheetId="15">#REF!</definedName>
    <definedName name="norm_raspberryapple_old" localSheetId="11">#REF!</definedName>
    <definedName name="norm_raspberryapple_old" localSheetId="10">#REF!</definedName>
    <definedName name="norm_raspberryapple_old">#REF!</definedName>
    <definedName name="norm_redgrapefruit_nectar" localSheetId="15">#REF!</definedName>
    <definedName name="norm_redgrapefruit_nectar" localSheetId="11">#REF!</definedName>
    <definedName name="norm_redgrapefruit_nectar" localSheetId="10">#REF!</definedName>
    <definedName name="norm_redgrapefruit_nectar">#REF!</definedName>
    <definedName name="norm_redgrapefruit_nectpingrapefruit" localSheetId="15">#REF!</definedName>
    <definedName name="norm_redgrapefruit_nectpingrapefruit" localSheetId="11">#REF!</definedName>
    <definedName name="norm_redgrapefruit_nectpingrapefruit" localSheetId="10">#REF!</definedName>
    <definedName name="norm_redgrapefruit_nectpingrapefruit">#REF!</definedName>
    <definedName name="norm_redgrapefruit_old" localSheetId="15">#REF!</definedName>
    <definedName name="norm_redgrapefruit_old" localSheetId="11">#REF!</definedName>
    <definedName name="norm_redgrapefruit_old" localSheetId="10">#REF!</definedName>
    <definedName name="norm_redgrapefruit_old">#REF!</definedName>
    <definedName name="norm_redgrapefruit_recap" localSheetId="15">#REF!</definedName>
    <definedName name="norm_redgrapefruit_recap" localSheetId="11">#REF!</definedName>
    <definedName name="norm_redgrapefruit_recap" localSheetId="10">#REF!</definedName>
    <definedName name="norm_redgrapefruit_recap">#REF!</definedName>
    <definedName name="norm_strawberry_strawberryapple_new" localSheetId="15">#REF!</definedName>
    <definedName name="norm_strawberry_strawberryapple_new" localSheetId="11">#REF!</definedName>
    <definedName name="norm_strawberry_strawberryapple_new" localSheetId="10">#REF!</definedName>
    <definedName name="norm_strawberry_strawberryapple_new">#REF!</definedName>
    <definedName name="norm_strawberryapple_old" localSheetId="15">#REF!</definedName>
    <definedName name="norm_strawberryapple_old" localSheetId="11">#REF!</definedName>
    <definedName name="norm_strawberryapple_old" localSheetId="10">#REF!</definedName>
    <definedName name="norm_strawberryapple_old">#REF!</definedName>
    <definedName name="norm_tomato_old" localSheetId="15">#REF!</definedName>
    <definedName name="norm_tomato_old" localSheetId="11">#REF!</definedName>
    <definedName name="norm_tomato_old" localSheetId="10">#REF!</definedName>
    <definedName name="norm_tomato_old">#REF!</definedName>
    <definedName name="norm_tomato_recap" localSheetId="15">#REF!</definedName>
    <definedName name="norm_tomato_recap" localSheetId="11">#REF!</definedName>
    <definedName name="norm_tomato_recap" localSheetId="10">#REF!</definedName>
    <definedName name="norm_tomato_recap">#REF!</definedName>
    <definedName name="norm_tomato_standard" localSheetId="15">#REF!</definedName>
    <definedName name="norm_tomato_standard" localSheetId="11">#REF!</definedName>
    <definedName name="norm_tomato_standard" localSheetId="10">#REF!</definedName>
    <definedName name="norm_tomato_standard">#REF!</definedName>
    <definedName name="norm_whitegrapefruit_grapefruitrecap" localSheetId="15">#REF!</definedName>
    <definedName name="norm_whitegrapefruit_grapefruitrecap" localSheetId="11">#REF!</definedName>
    <definedName name="norm_whitegrapefruit_grapefruitrecap" localSheetId="10">#REF!</definedName>
    <definedName name="norm_whitegrapefruit_grapefruitrecap">#REF!</definedName>
    <definedName name="normNTM_orange_orangecargill" localSheetId="15">[95]к2!#REF!</definedName>
    <definedName name="normNTM_orange_orangecargill" localSheetId="11">[95]к2!#REF!</definedName>
    <definedName name="normNTM_orange_orangecargill" localSheetId="10">[95]к2!#REF!</definedName>
    <definedName name="normNTM_orange_orangecargill">[95]к2!#REF!</definedName>
    <definedName name="NSRF" localSheetId="15">#REF!</definedName>
    <definedName name="NSRF" localSheetId="2">#REF!</definedName>
    <definedName name="NSRF" localSheetId="1">#REF!</definedName>
    <definedName name="NSRF" localSheetId="11">#REF!</definedName>
    <definedName name="NSRF" localSheetId="8">#REF!</definedName>
    <definedName name="NSRF" localSheetId="9">#REF!</definedName>
    <definedName name="NSRF" localSheetId="10">#REF!</definedName>
    <definedName name="NSRF" localSheetId="5">#REF!</definedName>
    <definedName name="NSRF" localSheetId="4">#REF!</definedName>
    <definedName name="NSRF">#REF!</definedName>
    <definedName name="O" localSheetId="15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2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8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9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5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4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15">#REF!</definedName>
    <definedName name="Ob" localSheetId="2">#REF!</definedName>
    <definedName name="Ob" localSheetId="1">#REF!</definedName>
    <definedName name="Ob" localSheetId="11">#REF!</definedName>
    <definedName name="Ob" localSheetId="8">#REF!</definedName>
    <definedName name="Ob" localSheetId="9">#REF!</definedName>
    <definedName name="Ob" localSheetId="10">#REF!</definedName>
    <definedName name="Ob" localSheetId="5">#REF!</definedName>
    <definedName name="Ob" localSheetId="4">#REF!</definedName>
    <definedName name="Ob">#REF!</definedName>
    <definedName name="OBR46.XLS" localSheetId="15">#REF!</definedName>
    <definedName name="OBR46.XLS" localSheetId="11">#REF!</definedName>
    <definedName name="OBR46.XLS" localSheetId="8">#REF!</definedName>
    <definedName name="OBR46.XLS" localSheetId="9">#REF!</definedName>
    <definedName name="OBR46.XLS" localSheetId="10">#REF!</definedName>
    <definedName name="OBR46.XLS">#REF!</definedName>
    <definedName name="OKTMO" localSheetId="15">#REF!</definedName>
    <definedName name="OKTMO" localSheetId="11">#REF!</definedName>
    <definedName name="OKTMO" localSheetId="8">#REF!</definedName>
    <definedName name="OKTMO" localSheetId="9">#REF!</definedName>
    <definedName name="OKTMO" localSheetId="10">#REF!</definedName>
    <definedName name="OKTMO">#REF!</definedName>
    <definedName name="Oplata" localSheetId="15">#REF!</definedName>
    <definedName name="Oplata" localSheetId="11">#REF!</definedName>
    <definedName name="Oplata" localSheetId="10">#REF!</definedName>
    <definedName name="Oplata">#REF!</definedName>
    <definedName name="org" localSheetId="15">[96]Титульный!$F$17</definedName>
    <definedName name="org" localSheetId="2">[97]Титульный!$F$17</definedName>
    <definedName name="org" localSheetId="1">[97]Титульный!$F$17</definedName>
    <definedName name="org" localSheetId="11">[96]Титульный!$F$17</definedName>
    <definedName name="org" localSheetId="8">[96]Титульный!$F$17</definedName>
    <definedName name="org" localSheetId="9">[96]Титульный!$F$17</definedName>
    <definedName name="org" localSheetId="10">[96]Титульный!$F$17</definedName>
    <definedName name="org" localSheetId="5">[97]Титульный!$F$17</definedName>
    <definedName name="org" localSheetId="4">[97]Титульный!$F$17</definedName>
    <definedName name="org">[98]Титульный!$F$17</definedName>
    <definedName name="overheads" localSheetId="15">#REF!</definedName>
    <definedName name="overheads" localSheetId="2">#REF!</definedName>
    <definedName name="overheads" localSheetId="1">#REF!</definedName>
    <definedName name="overheads" localSheetId="11">#REF!</definedName>
    <definedName name="overheads" localSheetId="8">#REF!</definedName>
    <definedName name="overheads" localSheetId="9">#REF!</definedName>
    <definedName name="overheads" localSheetId="10">#REF!</definedName>
    <definedName name="overheads" localSheetId="5">#REF!</definedName>
    <definedName name="overheads" localSheetId="4">#REF!</definedName>
    <definedName name="overheads">#REF!</definedName>
    <definedName name="P_TYPE" localSheetId="15">[99]Титульный!#REF!</definedName>
    <definedName name="P_TYPE" localSheetId="2">[99]Титульный!#REF!</definedName>
    <definedName name="P_TYPE" localSheetId="1">[99]Титульный!#REF!</definedName>
    <definedName name="P_TYPE" localSheetId="11">[99]Титульный!#REF!</definedName>
    <definedName name="P_TYPE" localSheetId="8">[99]Титульный!#REF!</definedName>
    <definedName name="P_TYPE" localSheetId="9">[99]Титульный!#REF!</definedName>
    <definedName name="P_TYPE" localSheetId="10">[99]Титульный!#REF!</definedName>
    <definedName name="P_TYPE" localSheetId="5">[99]Титульный!#REF!</definedName>
    <definedName name="P_TYPE" localSheetId="4">[99]Титульный!#REF!</definedName>
    <definedName name="P_TYPE">[99]Титульный!#REF!</definedName>
    <definedName name="P_TYPE_GROUP">[99]TSheet!$W$2:$W$6</definedName>
    <definedName name="P1_ESO_PROT" localSheetId="15" hidden="1">#REF!,#REF!,#REF!,#REF!,#REF!,#REF!,#REF!,#REF!</definedName>
    <definedName name="P1_ESO_PROT" localSheetId="2" hidden="1">#REF!,#REF!,#REF!,#REF!,#REF!,#REF!,#REF!,#REF!</definedName>
    <definedName name="P1_ESO_PROT" localSheetId="1" hidden="1">#REF!,#REF!,#REF!,#REF!,#REF!,#REF!,#REF!,#REF!</definedName>
    <definedName name="P1_ESO_PROT" localSheetId="7" hidden="1">#REF!,#REF!,#REF!,#REF!,#REF!,#REF!,#REF!,#REF!</definedName>
    <definedName name="P1_ESO_PROT" localSheetId="11" hidden="1">#REF!,#REF!,#REF!,#REF!,#REF!,#REF!,#REF!,#REF!</definedName>
    <definedName name="P1_ESO_PROT" localSheetId="8" hidden="1">#REF!,#REF!,#REF!,#REF!,#REF!,#REF!,#REF!,#REF!</definedName>
    <definedName name="P1_ESO_PROT" localSheetId="9" hidden="1">#REF!,#REF!,#REF!,#REF!,#REF!,#REF!,#REF!,#REF!</definedName>
    <definedName name="P1_ESO_PROT" localSheetId="10" hidden="1">#REF!,#REF!,#REF!,#REF!,#REF!,#REF!,#REF!,#REF!</definedName>
    <definedName name="P1_ESO_PROT" localSheetId="5" hidden="1">#REF!,#REF!,#REF!,#REF!,#REF!,#REF!,#REF!,#REF!</definedName>
    <definedName name="P1_ESO_PROT" localSheetId="4" hidden="1">#REF!,#REF!,#REF!,#REF!,#REF!,#REF!,#REF!,#REF!</definedName>
    <definedName name="P1_ESO_PROT" hidden="1">#REF!,#REF!,#REF!,#REF!,#REF!,#REF!,#REF!,#REF!</definedName>
    <definedName name="P1_SBT_PROT" localSheetId="15" hidden="1">#REF!,#REF!,#REF!,#REF!,#REF!,#REF!,#REF!</definedName>
    <definedName name="P1_SBT_PROT" localSheetId="2" hidden="1">#REF!,#REF!,#REF!,#REF!,#REF!,#REF!,#REF!</definedName>
    <definedName name="P1_SBT_PROT" localSheetId="1" hidden="1">#REF!,#REF!,#REF!,#REF!,#REF!,#REF!,#REF!</definedName>
    <definedName name="P1_SBT_PROT" localSheetId="7" hidden="1">#REF!,#REF!,#REF!,#REF!,#REF!,#REF!,#REF!</definedName>
    <definedName name="P1_SBT_PROT" localSheetId="11" hidden="1">#REF!,#REF!,#REF!,#REF!,#REF!,#REF!,#REF!</definedName>
    <definedName name="P1_SBT_PROT" localSheetId="8" hidden="1">#REF!,#REF!,#REF!,#REF!,#REF!,#REF!,#REF!</definedName>
    <definedName name="P1_SBT_PROT" localSheetId="9" hidden="1">#REF!,#REF!,#REF!,#REF!,#REF!,#REF!,#REF!</definedName>
    <definedName name="P1_SBT_PROT" localSheetId="10" hidden="1">#REF!,#REF!,#REF!,#REF!,#REF!,#REF!,#REF!</definedName>
    <definedName name="P1_SBT_PROT" localSheetId="5" hidden="1">#REF!,#REF!,#REF!,#REF!,#REF!,#REF!,#REF!</definedName>
    <definedName name="P1_SBT_PROT" localSheetId="4" hidden="1">#REF!,#REF!,#REF!,#REF!,#REF!,#REF!,#REF!</definedName>
    <definedName name="P1_SBT_PROT" hidden="1">#REF!,#REF!,#REF!,#REF!,#REF!,#REF!,#REF!</definedName>
    <definedName name="P1_SCOPE_16_PRT" localSheetId="15" hidden="1">[100]Лист1!$E$15:$I$16,[100]Лист1!$E$18:$I$20,[100]Лист1!$E$23:$I$23,[100]Лист1!$E$26:$I$26,[100]Лист1!$E$29:$I$29,[100]Лист1!$E$32:$I$32,[100]Лист1!$E$35:$I$35,[100]Лист1!$B$34,[100]Лист1!$B$37</definedName>
    <definedName name="P1_SCOPE_16_PRT" localSheetId="11" hidden="1">[100]Лист1!$E$15:$I$16,[100]Лист1!$E$18:$I$20,[100]Лист1!$E$23:$I$23,[100]Лист1!$E$26:$I$26,[100]Лист1!$E$29:$I$29,[100]Лист1!$E$32:$I$32,[100]Лист1!$E$35:$I$35,[100]Лист1!$B$34,[100]Лист1!$B$37</definedName>
    <definedName name="P1_SCOPE_16_PRT" localSheetId="8" hidden="1">[100]Лист1!$E$15:$I$16,[100]Лист1!$E$18:$I$20,[100]Лист1!$E$23:$I$23,[100]Лист1!$E$26:$I$26,[100]Лист1!$E$29:$I$29,[100]Лист1!$E$32:$I$32,[100]Лист1!$E$35:$I$35,[100]Лист1!$B$34,[100]Лист1!$B$37</definedName>
    <definedName name="P1_SCOPE_16_PRT" localSheetId="9" hidden="1">[100]Лист1!$E$15:$I$16,[100]Лист1!$E$18:$I$20,[100]Лист1!$E$23:$I$23,[100]Лист1!$E$26:$I$26,[100]Лист1!$E$29:$I$29,[100]Лист1!$E$32:$I$32,[100]Лист1!$E$35:$I$35,[100]Лист1!$B$34,[100]Лист1!$B$37</definedName>
    <definedName name="P1_SCOPE_16_PRT" hidden="1">[101]Лист1!$E$15:$I$16,[101]Лист1!$E$18:$I$20,[101]Лист1!$E$23:$I$23,[101]Лист1!$E$26:$I$26,[101]Лист1!$E$29:$I$29,[101]Лист1!$E$32:$I$32,[101]Лист1!$E$35:$I$35,[101]Лист1!$B$34,[101]Лист1!$B$37</definedName>
    <definedName name="P1_SCOPE_17_PRT" localSheetId="15" hidden="1">#REF!,#REF!,#REF!,#REF!,#REF!,#REF!,#REF!,#REF!</definedName>
    <definedName name="P1_SCOPE_17_PRT" localSheetId="2" hidden="1">#REF!,#REF!,#REF!,#REF!,#REF!,#REF!,#REF!,#REF!</definedName>
    <definedName name="P1_SCOPE_17_PRT" localSheetId="1" hidden="1">#REF!,#REF!,#REF!,#REF!,#REF!,#REF!,#REF!,#REF!</definedName>
    <definedName name="P1_SCOPE_17_PRT" localSheetId="7" hidden="1">#REF!,#REF!,#REF!,#REF!,#REF!,#REF!,#REF!,#REF!</definedName>
    <definedName name="P1_SCOPE_17_PRT" localSheetId="11" hidden="1">#REF!,#REF!,#REF!,#REF!,#REF!,#REF!,#REF!,#REF!</definedName>
    <definedName name="P1_SCOPE_17_PRT" localSheetId="8" hidden="1">#REF!,#REF!,#REF!,#REF!,#REF!,#REF!,#REF!,#REF!</definedName>
    <definedName name="P1_SCOPE_17_PRT" localSheetId="9" hidden="1">#REF!,#REF!,#REF!,#REF!,#REF!,#REF!,#REF!,#REF!</definedName>
    <definedName name="P1_SCOPE_17_PRT" localSheetId="10" hidden="1">#REF!,#REF!,#REF!,#REF!,#REF!,#REF!,#REF!,#REF!</definedName>
    <definedName name="P1_SCOPE_17_PRT" localSheetId="5" hidden="1">#REF!,#REF!,#REF!,#REF!,#REF!,#REF!,#REF!,#REF!</definedName>
    <definedName name="P1_SCOPE_17_PRT" localSheetId="4" hidden="1">#REF!,#REF!,#REF!,#REF!,#REF!,#REF!,#REF!,#REF!</definedName>
    <definedName name="P1_SCOPE_17_PRT" hidden="1">#REF!,#REF!,#REF!,#REF!,#REF!,#REF!,#REF!,#REF!</definedName>
    <definedName name="P1_SCOPE_4_PRT" localSheetId="15" hidden="1">#REF!,#REF!,#REF!,#REF!,#REF!,#REF!,#REF!,#REF!,#REF!</definedName>
    <definedName name="P1_SCOPE_4_PRT" localSheetId="2" hidden="1">#REF!,#REF!,#REF!,#REF!,#REF!,#REF!,#REF!,#REF!,#REF!</definedName>
    <definedName name="P1_SCOPE_4_PRT" localSheetId="1" hidden="1">#REF!,#REF!,#REF!,#REF!,#REF!,#REF!,#REF!,#REF!,#REF!</definedName>
    <definedName name="P1_SCOPE_4_PRT" localSheetId="7" hidden="1">#REF!,#REF!,#REF!,#REF!,#REF!,#REF!,#REF!,#REF!,#REF!</definedName>
    <definedName name="P1_SCOPE_4_PRT" localSheetId="11" hidden="1">#REF!,#REF!,#REF!,#REF!,#REF!,#REF!,#REF!,#REF!,#REF!</definedName>
    <definedName name="P1_SCOPE_4_PRT" localSheetId="8" hidden="1">#REF!,#REF!,#REF!,#REF!,#REF!,#REF!,#REF!,#REF!,#REF!</definedName>
    <definedName name="P1_SCOPE_4_PRT" localSheetId="9" hidden="1">#REF!,#REF!,#REF!,#REF!,#REF!,#REF!,#REF!,#REF!,#REF!</definedName>
    <definedName name="P1_SCOPE_4_PRT" localSheetId="10" hidden="1">#REF!,#REF!,#REF!,#REF!,#REF!,#REF!,#REF!,#REF!,#REF!</definedName>
    <definedName name="P1_SCOPE_4_PRT" localSheetId="5" hidden="1">#REF!,#REF!,#REF!,#REF!,#REF!,#REF!,#REF!,#REF!,#REF!</definedName>
    <definedName name="P1_SCOPE_4_PRT" localSheetId="4" hidden="1">#REF!,#REF!,#REF!,#REF!,#REF!,#REF!,#REF!,#REF!,#REF!</definedName>
    <definedName name="P1_SCOPE_4_PRT" hidden="1">#REF!,#REF!,#REF!,#REF!,#REF!,#REF!,#REF!,#REF!,#REF!</definedName>
    <definedName name="P1_SCOPE_5_PRT" localSheetId="15" hidden="1">#REF!,#REF!,#REF!,#REF!,#REF!,#REF!,#REF!,#REF!,#REF!</definedName>
    <definedName name="P1_SCOPE_5_PRT" localSheetId="7" hidden="1">#REF!,#REF!,#REF!,#REF!,#REF!,#REF!,#REF!,#REF!,#REF!</definedName>
    <definedName name="P1_SCOPE_5_PRT" localSheetId="11" hidden="1">#REF!,#REF!,#REF!,#REF!,#REF!,#REF!,#REF!,#REF!,#REF!</definedName>
    <definedName name="P1_SCOPE_5_PRT" localSheetId="8" hidden="1">#REF!,#REF!,#REF!,#REF!,#REF!,#REF!,#REF!,#REF!,#REF!</definedName>
    <definedName name="P1_SCOPE_5_PRT" localSheetId="9" hidden="1">#REF!,#REF!,#REF!,#REF!,#REF!,#REF!,#REF!,#REF!,#REF!</definedName>
    <definedName name="P1_SCOPE_5_PRT" localSheetId="10" hidden="1">#REF!,#REF!,#REF!,#REF!,#REF!,#REF!,#REF!,#REF!,#REF!</definedName>
    <definedName name="P1_SCOPE_5_PRT" hidden="1">#REF!,#REF!,#REF!,#REF!,#REF!,#REF!,#REF!,#REF!,#REF!</definedName>
    <definedName name="P1_SCOPE_F1_PRT" localSheetId="15" hidden="1">#REF!,#REF!,#REF!,#REF!</definedName>
    <definedName name="P1_SCOPE_F1_PRT" localSheetId="2" hidden="1">#REF!,#REF!,#REF!,#REF!</definedName>
    <definedName name="P1_SCOPE_F1_PRT" localSheetId="1" hidden="1">#REF!,#REF!,#REF!,#REF!</definedName>
    <definedName name="P1_SCOPE_F1_PRT" localSheetId="7" hidden="1">#REF!,#REF!,#REF!,#REF!</definedName>
    <definedName name="P1_SCOPE_F1_PRT" localSheetId="11" hidden="1">#REF!,#REF!,#REF!,#REF!</definedName>
    <definedName name="P1_SCOPE_F1_PRT" localSheetId="8" hidden="1">#REF!,#REF!,#REF!,#REF!</definedName>
    <definedName name="P1_SCOPE_F1_PRT" localSheetId="9" hidden="1">#REF!,#REF!,#REF!,#REF!</definedName>
    <definedName name="P1_SCOPE_F1_PRT" localSheetId="10" hidden="1">#REF!,#REF!,#REF!,#REF!</definedName>
    <definedName name="P1_SCOPE_F1_PRT" localSheetId="5" hidden="1">#REF!,#REF!,#REF!,#REF!</definedName>
    <definedName name="P1_SCOPE_F1_PRT" localSheetId="4" hidden="1">#REF!,#REF!,#REF!,#REF!</definedName>
    <definedName name="P1_SCOPE_F1_PRT" hidden="1">#REF!,#REF!,#REF!,#REF!</definedName>
    <definedName name="P1_SCOPE_F2_PRT" localSheetId="15" hidden="1">#REF!,#REF!,#REF!,#REF!</definedName>
    <definedName name="P1_SCOPE_F2_PRT" localSheetId="7" hidden="1">#REF!,#REF!,#REF!,#REF!</definedName>
    <definedName name="P1_SCOPE_F2_PRT" localSheetId="11" hidden="1">#REF!,#REF!,#REF!,#REF!</definedName>
    <definedName name="P1_SCOPE_F2_PRT" localSheetId="8" hidden="1">#REF!,#REF!,#REF!,#REF!</definedName>
    <definedName name="P1_SCOPE_F2_PRT" localSheetId="9" hidden="1">#REF!,#REF!,#REF!,#REF!</definedName>
    <definedName name="P1_SCOPE_F2_PRT" localSheetId="10" hidden="1">#REF!,#REF!,#REF!,#REF!</definedName>
    <definedName name="P1_SCOPE_F2_PRT" hidden="1">#REF!,#REF!,#REF!,#REF!</definedName>
    <definedName name="P1_SCOPE_FLOAD" localSheetId="15" hidden="1">#REF!,#REF!,#REF!,#REF!,#REF!,#REF!</definedName>
    <definedName name="P1_SCOPE_FLOAD" localSheetId="2" hidden="1">#REF!,#REF!,#REF!,#REF!,#REF!,#REF!</definedName>
    <definedName name="P1_SCOPE_FLOAD" localSheetId="1" hidden="1">#REF!,#REF!,#REF!,#REF!,#REF!,#REF!</definedName>
    <definedName name="P1_SCOPE_FLOAD" localSheetId="7" hidden="1">#REF!,#REF!,#REF!,#REF!,#REF!,#REF!</definedName>
    <definedName name="P1_SCOPE_FLOAD" localSheetId="11" hidden="1">#REF!,#REF!,#REF!,#REF!,#REF!,#REF!</definedName>
    <definedName name="P1_SCOPE_FLOAD" localSheetId="8" hidden="1">#REF!,#REF!,#REF!,#REF!,#REF!,#REF!</definedName>
    <definedName name="P1_SCOPE_FLOAD" localSheetId="9" hidden="1">#REF!,#REF!,#REF!,#REF!,#REF!,#REF!</definedName>
    <definedName name="P1_SCOPE_FLOAD" localSheetId="10" hidden="1">#REF!,#REF!,#REF!,#REF!,#REF!,#REF!</definedName>
    <definedName name="P1_SCOPE_FLOAD" localSheetId="5" hidden="1">#REF!,#REF!,#REF!,#REF!,#REF!,#REF!</definedName>
    <definedName name="P1_SCOPE_FLOAD" localSheetId="4" hidden="1">#REF!,#REF!,#REF!,#REF!,#REF!,#REF!</definedName>
    <definedName name="P1_SCOPE_FLOAD" hidden="1">#REF!,#REF!,#REF!,#REF!,#REF!,#REF!</definedName>
    <definedName name="P1_SCOPE_FRML" localSheetId="15" hidden="1">#REF!,#REF!,#REF!,#REF!,#REF!,#REF!</definedName>
    <definedName name="P1_SCOPE_FRML" localSheetId="7" hidden="1">#REF!,#REF!,#REF!,#REF!,#REF!,#REF!</definedName>
    <definedName name="P1_SCOPE_FRML" localSheetId="11" hidden="1">#REF!,#REF!,#REF!,#REF!,#REF!,#REF!</definedName>
    <definedName name="P1_SCOPE_FRML" localSheetId="8" hidden="1">#REF!,#REF!,#REF!,#REF!,#REF!,#REF!</definedName>
    <definedName name="P1_SCOPE_FRML" localSheetId="9" hidden="1">#REF!,#REF!,#REF!,#REF!,#REF!,#REF!</definedName>
    <definedName name="P1_SCOPE_FRML" localSheetId="10" hidden="1">#REF!,#REF!,#REF!,#REF!,#REF!,#REF!</definedName>
    <definedName name="P1_SCOPE_FRML" hidden="1">#REF!,#REF!,#REF!,#REF!,#REF!,#REF!</definedName>
    <definedName name="P1_SCOPE_PER_PRT" localSheetId="15" hidden="1">#REF!,#REF!,#REF!,#REF!,#REF!</definedName>
    <definedName name="P1_SCOPE_PER_PRT" localSheetId="2" hidden="1">#REF!,#REF!,#REF!,#REF!,#REF!</definedName>
    <definedName name="P1_SCOPE_PER_PRT" localSheetId="1" hidden="1">#REF!,#REF!,#REF!,#REF!,#REF!</definedName>
    <definedName name="P1_SCOPE_PER_PRT" localSheetId="7" hidden="1">#REF!,#REF!,#REF!,#REF!,#REF!</definedName>
    <definedName name="P1_SCOPE_PER_PRT" localSheetId="11" hidden="1">#REF!,#REF!,#REF!,#REF!,#REF!</definedName>
    <definedName name="P1_SCOPE_PER_PRT" localSheetId="8" hidden="1">#REF!,#REF!,#REF!,#REF!,#REF!</definedName>
    <definedName name="P1_SCOPE_PER_PRT" localSheetId="9" hidden="1">#REF!,#REF!,#REF!,#REF!,#REF!</definedName>
    <definedName name="P1_SCOPE_PER_PRT" localSheetId="10" hidden="1">#REF!,#REF!,#REF!,#REF!,#REF!</definedName>
    <definedName name="P1_SCOPE_PER_PRT" localSheetId="5" hidden="1">#REF!,#REF!,#REF!,#REF!,#REF!</definedName>
    <definedName name="P1_SCOPE_PER_PRT" localSheetId="4" hidden="1">#REF!,#REF!,#REF!,#REF!,#REF!</definedName>
    <definedName name="P1_SCOPE_PER_PRT" hidden="1">#REF!,#REF!,#REF!,#REF!,#REF!</definedName>
    <definedName name="P1_SCOPE_SV_LD" localSheetId="15" hidden="1">#REF!,#REF!,#REF!,#REF!,#REF!,#REF!,#REF!</definedName>
    <definedName name="P1_SCOPE_SV_LD" localSheetId="2" hidden="1">#REF!,#REF!,#REF!,#REF!,#REF!,#REF!,#REF!</definedName>
    <definedName name="P1_SCOPE_SV_LD" localSheetId="1" hidden="1">#REF!,#REF!,#REF!,#REF!,#REF!,#REF!,#REF!</definedName>
    <definedName name="P1_SCOPE_SV_LD" localSheetId="7" hidden="1">#REF!,#REF!,#REF!,#REF!,#REF!,#REF!,#REF!</definedName>
    <definedName name="P1_SCOPE_SV_LD" localSheetId="11" hidden="1">#REF!,#REF!,#REF!,#REF!,#REF!,#REF!,#REF!</definedName>
    <definedName name="P1_SCOPE_SV_LD" localSheetId="8" hidden="1">#REF!,#REF!,#REF!,#REF!,#REF!,#REF!,#REF!</definedName>
    <definedName name="P1_SCOPE_SV_LD" localSheetId="9" hidden="1">#REF!,#REF!,#REF!,#REF!,#REF!,#REF!,#REF!</definedName>
    <definedName name="P1_SCOPE_SV_LD" localSheetId="10" hidden="1">#REF!,#REF!,#REF!,#REF!,#REF!,#REF!,#REF!</definedName>
    <definedName name="P1_SCOPE_SV_LD" localSheetId="5" hidden="1">#REF!,#REF!,#REF!,#REF!,#REF!,#REF!,#REF!</definedName>
    <definedName name="P1_SCOPE_SV_LD" localSheetId="4" hidden="1">#REF!,#REF!,#REF!,#REF!,#REF!,#REF!,#REF!</definedName>
    <definedName name="P1_SCOPE_SV_LD" hidden="1">#REF!,#REF!,#REF!,#REF!,#REF!,#REF!,#REF!</definedName>
    <definedName name="P1_SCOPE_SV_LD1" localSheetId="15" hidden="1">#REF!,#REF!,#REF!,#REF!,#REF!,#REF!,#REF!</definedName>
    <definedName name="P1_SCOPE_SV_LD1" localSheetId="7" hidden="1">#REF!,#REF!,#REF!,#REF!,#REF!,#REF!,#REF!</definedName>
    <definedName name="P1_SCOPE_SV_LD1" localSheetId="11" hidden="1">#REF!,#REF!,#REF!,#REF!,#REF!,#REF!,#REF!</definedName>
    <definedName name="P1_SCOPE_SV_LD1" localSheetId="8" hidden="1">#REF!,#REF!,#REF!,#REF!,#REF!,#REF!,#REF!</definedName>
    <definedName name="P1_SCOPE_SV_LD1" localSheetId="9" hidden="1">#REF!,#REF!,#REF!,#REF!,#REF!,#REF!,#REF!</definedName>
    <definedName name="P1_SCOPE_SV_LD1" localSheetId="10" hidden="1">#REF!,#REF!,#REF!,#REF!,#REF!,#REF!,#REF!</definedName>
    <definedName name="P1_SCOPE_SV_LD1" hidden="1">#REF!,#REF!,#REF!,#REF!,#REF!,#REF!,#REF!</definedName>
    <definedName name="P1_SCOPE_SV_PRT" localSheetId="15" hidden="1">#REF!,#REF!,#REF!,#REF!,#REF!,#REF!,#REF!</definedName>
    <definedName name="P1_SCOPE_SV_PRT" localSheetId="7" hidden="1">#REF!,#REF!,#REF!,#REF!,#REF!,#REF!,#REF!</definedName>
    <definedName name="P1_SCOPE_SV_PRT" localSheetId="11" hidden="1">#REF!,#REF!,#REF!,#REF!,#REF!,#REF!,#REF!</definedName>
    <definedName name="P1_SCOPE_SV_PRT" localSheetId="8" hidden="1">#REF!,#REF!,#REF!,#REF!,#REF!,#REF!,#REF!</definedName>
    <definedName name="P1_SCOPE_SV_PRT" localSheetId="9" hidden="1">#REF!,#REF!,#REF!,#REF!,#REF!,#REF!,#REF!</definedName>
    <definedName name="P1_SCOPE_SV_PRT" localSheetId="10" hidden="1">#REF!,#REF!,#REF!,#REF!,#REF!,#REF!,#REF!</definedName>
    <definedName name="P1_SCOPE_SV_PRT" hidden="1">#REF!,#REF!,#REF!,#REF!,#REF!,#REF!,#REF!</definedName>
    <definedName name="P1_SET_PROT" localSheetId="15" hidden="1">#REF!,#REF!,#REF!,#REF!,#REF!,#REF!,#REF!</definedName>
    <definedName name="P1_SET_PROT" localSheetId="11" hidden="1">#REF!,#REF!,#REF!,#REF!,#REF!,#REF!,#REF!</definedName>
    <definedName name="P1_SET_PROT" localSheetId="8" hidden="1">#REF!,#REF!,#REF!,#REF!,#REF!,#REF!,#REF!</definedName>
    <definedName name="P1_SET_PROT" localSheetId="9" hidden="1">#REF!,#REF!,#REF!,#REF!,#REF!,#REF!,#REF!</definedName>
    <definedName name="P1_SET_PROT" localSheetId="10" hidden="1">#REF!,#REF!,#REF!,#REF!,#REF!,#REF!,#REF!</definedName>
    <definedName name="P1_SET_PROT" hidden="1">#REF!,#REF!,#REF!,#REF!,#REF!,#REF!,#REF!</definedName>
    <definedName name="P1_SET_PRT" localSheetId="15" hidden="1">#REF!,#REF!,#REF!,#REF!,#REF!,#REF!,#REF!</definedName>
    <definedName name="P1_SET_PRT" localSheetId="11" hidden="1">#REF!,#REF!,#REF!,#REF!,#REF!,#REF!,#REF!</definedName>
    <definedName name="P1_SET_PRT" localSheetId="8" hidden="1">#REF!,#REF!,#REF!,#REF!,#REF!,#REF!,#REF!</definedName>
    <definedName name="P1_SET_PRT" localSheetId="9" hidden="1">#REF!,#REF!,#REF!,#REF!,#REF!,#REF!,#REF!</definedName>
    <definedName name="P1_SET_PRT" localSheetId="10" hidden="1">#REF!,#REF!,#REF!,#REF!,#REF!,#REF!,#REF!</definedName>
    <definedName name="P1_SET_PRT" hidden="1">#REF!,#REF!,#REF!,#REF!,#REF!,#REF!,#REF!</definedName>
    <definedName name="P12_T28_Protection" localSheetId="15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11">P1_T28_Protection,P2_T28_Protection,P3_T28_Protection,P4_T28_Protection,P5_T28_Protection,P6_T28_Protection,P7_T28_Protection,P8_T28_Protection</definedName>
    <definedName name="P12_T28_Protection" localSheetId="8">P1_T28_Protection,P2_T28_Protection,P3_T28_Protection,P4_T28_Protection,P5_T28_Protection,P6_T28_Protection,P7_T28_Protection,P8_T28_Protection</definedName>
    <definedName name="P12_T28_Protection" localSheetId="9">P1_T28_Protection,P2_T28_Protection,P3_T28_Protection,P4_T28_Protection,P5_T28_Protection,P6_T28_Protection,P7_T28_Protection,P8_T28_Protection</definedName>
    <definedName name="P12_T28_Protection" localSheetId="10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9_T1_Protect" localSheetId="15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11" hidden="1">P5_T1_Protect,P6_T1_Protect,P7_T1_Protect,P8_T1_Protect,P9_T1_Protect,P10_T1_Protect,P11_T1_Protect,P12_T1_Protect,P13_T1_Protect,P14_T1_Protect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SCOPE_16_PRT" localSheetId="15" hidden="1">#REF!,#REF!,#REF!,#REF!,#REF!,#REF!,#REF!,#REF!</definedName>
    <definedName name="P2_SCOPE_16_PRT" localSheetId="2" hidden="1">#REF!,#REF!,#REF!,#REF!,#REF!,#REF!,#REF!,#REF!</definedName>
    <definedName name="P2_SCOPE_16_PRT" localSheetId="1" hidden="1">#REF!,#REF!,#REF!,#REF!,#REF!,#REF!,#REF!,#REF!</definedName>
    <definedName name="P2_SCOPE_16_PRT" localSheetId="7" hidden="1">#REF!,#REF!,#REF!,#REF!,#REF!,#REF!,#REF!,#REF!</definedName>
    <definedName name="P2_SCOPE_16_PRT" localSheetId="11" hidden="1">#REF!,#REF!,#REF!,#REF!,#REF!,#REF!,#REF!,#REF!</definedName>
    <definedName name="P2_SCOPE_16_PRT" localSheetId="8" hidden="1">#REF!,#REF!,#REF!,#REF!,#REF!,#REF!,#REF!,#REF!</definedName>
    <definedName name="P2_SCOPE_16_PRT" localSheetId="9" hidden="1">#REF!,#REF!,#REF!,#REF!,#REF!,#REF!,#REF!,#REF!</definedName>
    <definedName name="P2_SCOPE_16_PRT" localSheetId="10" hidden="1">#REF!,#REF!,#REF!,#REF!,#REF!,#REF!,#REF!,#REF!</definedName>
    <definedName name="P2_SCOPE_16_PRT" localSheetId="5" hidden="1">#REF!,#REF!,#REF!,#REF!,#REF!,#REF!,#REF!,#REF!</definedName>
    <definedName name="P2_SCOPE_16_PRT" localSheetId="4" hidden="1">#REF!,#REF!,#REF!,#REF!,#REF!,#REF!,#REF!,#REF!</definedName>
    <definedName name="P2_SCOPE_16_PRT" hidden="1">#REF!,#REF!,#REF!,#REF!,#REF!,#REF!,#REF!,#REF!</definedName>
    <definedName name="P2_SCOPE_4_PRT" localSheetId="15" hidden="1">#REF!,#REF!,#REF!,#REF!,#REF!,#REF!,#REF!,#REF!,#REF!</definedName>
    <definedName name="P2_SCOPE_4_PRT" localSheetId="2" hidden="1">#REF!,#REF!,#REF!,#REF!,#REF!,#REF!,#REF!,#REF!,#REF!</definedName>
    <definedName name="P2_SCOPE_4_PRT" localSheetId="1" hidden="1">#REF!,#REF!,#REF!,#REF!,#REF!,#REF!,#REF!,#REF!,#REF!</definedName>
    <definedName name="P2_SCOPE_4_PRT" localSheetId="7" hidden="1">#REF!,#REF!,#REF!,#REF!,#REF!,#REF!,#REF!,#REF!,#REF!</definedName>
    <definedName name="P2_SCOPE_4_PRT" localSheetId="11" hidden="1">#REF!,#REF!,#REF!,#REF!,#REF!,#REF!,#REF!,#REF!,#REF!</definedName>
    <definedName name="P2_SCOPE_4_PRT" localSheetId="8" hidden="1">#REF!,#REF!,#REF!,#REF!,#REF!,#REF!,#REF!,#REF!,#REF!</definedName>
    <definedName name="P2_SCOPE_4_PRT" localSheetId="9" hidden="1">#REF!,#REF!,#REF!,#REF!,#REF!,#REF!,#REF!,#REF!,#REF!</definedName>
    <definedName name="P2_SCOPE_4_PRT" localSheetId="10" hidden="1">#REF!,#REF!,#REF!,#REF!,#REF!,#REF!,#REF!,#REF!,#REF!</definedName>
    <definedName name="P2_SCOPE_4_PRT" localSheetId="5" hidden="1">#REF!,#REF!,#REF!,#REF!,#REF!,#REF!,#REF!,#REF!,#REF!</definedName>
    <definedName name="P2_SCOPE_4_PRT" localSheetId="4" hidden="1">#REF!,#REF!,#REF!,#REF!,#REF!,#REF!,#REF!,#REF!,#REF!</definedName>
    <definedName name="P2_SCOPE_4_PRT" hidden="1">#REF!,#REF!,#REF!,#REF!,#REF!,#REF!,#REF!,#REF!,#REF!</definedName>
    <definedName name="P2_SCOPE_5_PRT" localSheetId="15" hidden="1">#REF!,#REF!,#REF!,#REF!,#REF!,#REF!,#REF!,#REF!,#REF!</definedName>
    <definedName name="P2_SCOPE_5_PRT" localSheetId="7" hidden="1">#REF!,#REF!,#REF!,#REF!,#REF!,#REF!,#REF!,#REF!,#REF!</definedName>
    <definedName name="P2_SCOPE_5_PRT" localSheetId="11" hidden="1">#REF!,#REF!,#REF!,#REF!,#REF!,#REF!,#REF!,#REF!,#REF!</definedName>
    <definedName name="P2_SCOPE_5_PRT" localSheetId="8" hidden="1">#REF!,#REF!,#REF!,#REF!,#REF!,#REF!,#REF!,#REF!,#REF!</definedName>
    <definedName name="P2_SCOPE_5_PRT" localSheetId="9" hidden="1">#REF!,#REF!,#REF!,#REF!,#REF!,#REF!,#REF!,#REF!,#REF!</definedName>
    <definedName name="P2_SCOPE_5_PRT" localSheetId="10" hidden="1">#REF!,#REF!,#REF!,#REF!,#REF!,#REF!,#REF!,#REF!,#REF!</definedName>
    <definedName name="P2_SCOPE_5_PRT" hidden="1">#REF!,#REF!,#REF!,#REF!,#REF!,#REF!,#REF!,#REF!,#REF!</definedName>
    <definedName name="P2_SCOPE_F1_PRT" localSheetId="15" hidden="1">#REF!,#REF!,#REF!,#REF!</definedName>
    <definedName name="P2_SCOPE_F1_PRT" localSheetId="2" hidden="1">#REF!,#REF!,#REF!,#REF!</definedName>
    <definedName name="P2_SCOPE_F1_PRT" localSheetId="1" hidden="1">#REF!,#REF!,#REF!,#REF!</definedName>
    <definedName name="P2_SCOPE_F1_PRT" localSheetId="7" hidden="1">#REF!,#REF!,#REF!,#REF!</definedName>
    <definedName name="P2_SCOPE_F1_PRT" localSheetId="11" hidden="1">#REF!,#REF!,#REF!,#REF!</definedName>
    <definedName name="P2_SCOPE_F1_PRT" localSheetId="8" hidden="1">#REF!,#REF!,#REF!,#REF!</definedName>
    <definedName name="P2_SCOPE_F1_PRT" localSheetId="9" hidden="1">#REF!,#REF!,#REF!,#REF!</definedName>
    <definedName name="P2_SCOPE_F1_PRT" localSheetId="10" hidden="1">#REF!,#REF!,#REF!,#REF!</definedName>
    <definedName name="P2_SCOPE_F1_PRT" localSheetId="5" hidden="1">#REF!,#REF!,#REF!,#REF!</definedName>
    <definedName name="P2_SCOPE_F1_PRT" localSheetId="4" hidden="1">#REF!,#REF!,#REF!,#REF!</definedName>
    <definedName name="P2_SCOPE_F1_PRT" hidden="1">#REF!,#REF!,#REF!,#REF!</definedName>
    <definedName name="P2_SCOPE_F2_PRT" localSheetId="15" hidden="1">#REF!,#REF!,#REF!,#REF!</definedName>
    <definedName name="P2_SCOPE_F2_PRT" localSheetId="7" hidden="1">#REF!,#REF!,#REF!,#REF!</definedName>
    <definedName name="P2_SCOPE_F2_PRT" localSheetId="11" hidden="1">#REF!,#REF!,#REF!,#REF!</definedName>
    <definedName name="P2_SCOPE_F2_PRT" localSheetId="8" hidden="1">#REF!,#REF!,#REF!,#REF!</definedName>
    <definedName name="P2_SCOPE_F2_PRT" localSheetId="9" hidden="1">#REF!,#REF!,#REF!,#REF!</definedName>
    <definedName name="P2_SCOPE_F2_PRT" localSheetId="10" hidden="1">#REF!,#REF!,#REF!,#REF!</definedName>
    <definedName name="P2_SCOPE_F2_PRT" hidden="1">#REF!,#REF!,#REF!,#REF!</definedName>
    <definedName name="P2_SCOPE_PER_PRT" localSheetId="15" hidden="1">#REF!,#REF!,#REF!,#REF!,#REF!</definedName>
    <definedName name="P2_SCOPE_PER_PRT" localSheetId="2" hidden="1">#REF!,#REF!,#REF!,#REF!,#REF!</definedName>
    <definedName name="P2_SCOPE_PER_PRT" localSheetId="1" hidden="1">#REF!,#REF!,#REF!,#REF!,#REF!</definedName>
    <definedName name="P2_SCOPE_PER_PRT" localSheetId="7" hidden="1">#REF!,#REF!,#REF!,#REF!,#REF!</definedName>
    <definedName name="P2_SCOPE_PER_PRT" localSheetId="11" hidden="1">#REF!,#REF!,#REF!,#REF!,#REF!</definedName>
    <definedName name="P2_SCOPE_PER_PRT" localSheetId="8" hidden="1">#REF!,#REF!,#REF!,#REF!,#REF!</definedName>
    <definedName name="P2_SCOPE_PER_PRT" localSheetId="9" hidden="1">#REF!,#REF!,#REF!,#REF!,#REF!</definedName>
    <definedName name="P2_SCOPE_PER_PRT" localSheetId="10" hidden="1">#REF!,#REF!,#REF!,#REF!,#REF!</definedName>
    <definedName name="P2_SCOPE_PER_PRT" localSheetId="5" hidden="1">#REF!,#REF!,#REF!,#REF!,#REF!</definedName>
    <definedName name="P2_SCOPE_PER_PRT" localSheetId="4" hidden="1">#REF!,#REF!,#REF!,#REF!,#REF!</definedName>
    <definedName name="P2_SCOPE_PER_PRT" hidden="1">#REF!,#REF!,#REF!,#REF!,#REF!</definedName>
    <definedName name="P2_SCOPE_SV_PRT" localSheetId="15" hidden="1">#REF!,#REF!,#REF!,#REF!,#REF!,#REF!,#REF!</definedName>
    <definedName name="P2_SCOPE_SV_PRT" localSheetId="2" hidden="1">#REF!,#REF!,#REF!,#REF!,#REF!,#REF!,#REF!</definedName>
    <definedName name="P2_SCOPE_SV_PRT" localSheetId="1" hidden="1">#REF!,#REF!,#REF!,#REF!,#REF!,#REF!,#REF!</definedName>
    <definedName name="P2_SCOPE_SV_PRT" localSheetId="7" hidden="1">#REF!,#REF!,#REF!,#REF!,#REF!,#REF!,#REF!</definedName>
    <definedName name="P2_SCOPE_SV_PRT" localSheetId="11" hidden="1">#REF!,#REF!,#REF!,#REF!,#REF!,#REF!,#REF!</definedName>
    <definedName name="P2_SCOPE_SV_PRT" localSheetId="8" hidden="1">#REF!,#REF!,#REF!,#REF!,#REF!,#REF!,#REF!</definedName>
    <definedName name="P2_SCOPE_SV_PRT" localSheetId="9" hidden="1">#REF!,#REF!,#REF!,#REF!,#REF!,#REF!,#REF!</definedName>
    <definedName name="P2_SCOPE_SV_PRT" localSheetId="10" hidden="1">#REF!,#REF!,#REF!,#REF!,#REF!,#REF!,#REF!</definedName>
    <definedName name="P2_SCOPE_SV_PRT" localSheetId="5" hidden="1">#REF!,#REF!,#REF!,#REF!,#REF!,#REF!,#REF!</definedName>
    <definedName name="P2_SCOPE_SV_PRT" localSheetId="4" hidden="1">#REF!,#REF!,#REF!,#REF!,#REF!,#REF!,#REF!</definedName>
    <definedName name="P2_SCOPE_SV_PRT" hidden="1">#REF!,#REF!,#REF!,#REF!,#REF!,#REF!,#REF!</definedName>
    <definedName name="P3_SCOPE_F1_PRT" localSheetId="15" hidden="1">#REF!,#REF!,#REF!,#REF!</definedName>
    <definedName name="P3_SCOPE_F1_PRT" localSheetId="2" hidden="1">#REF!,#REF!,#REF!,#REF!</definedName>
    <definedName name="P3_SCOPE_F1_PRT" localSheetId="1" hidden="1">#REF!,#REF!,#REF!,#REF!</definedName>
    <definedName name="P3_SCOPE_F1_PRT" localSheetId="7" hidden="1">#REF!,#REF!,#REF!,#REF!</definedName>
    <definedName name="P3_SCOPE_F1_PRT" localSheetId="11" hidden="1">#REF!,#REF!,#REF!,#REF!</definedName>
    <definedName name="P3_SCOPE_F1_PRT" localSheetId="8" hidden="1">#REF!,#REF!,#REF!,#REF!</definedName>
    <definedName name="P3_SCOPE_F1_PRT" localSheetId="9" hidden="1">#REF!,#REF!,#REF!,#REF!</definedName>
    <definedName name="P3_SCOPE_F1_PRT" localSheetId="10" hidden="1">#REF!,#REF!,#REF!,#REF!</definedName>
    <definedName name="P3_SCOPE_F1_PRT" localSheetId="5" hidden="1">#REF!,#REF!,#REF!,#REF!</definedName>
    <definedName name="P3_SCOPE_F1_PRT" localSheetId="4" hidden="1">#REF!,#REF!,#REF!,#REF!</definedName>
    <definedName name="P3_SCOPE_F1_PRT" hidden="1">#REF!,#REF!,#REF!,#REF!</definedName>
    <definedName name="P3_SCOPE_PER_PRT" localSheetId="15" hidden="1">#REF!,#REF!,#REF!,#REF!,#REF!</definedName>
    <definedName name="P3_SCOPE_PER_PRT" localSheetId="2" hidden="1">#REF!,#REF!,#REF!,#REF!,#REF!</definedName>
    <definedName name="P3_SCOPE_PER_PRT" localSheetId="1" hidden="1">#REF!,#REF!,#REF!,#REF!,#REF!</definedName>
    <definedName name="P3_SCOPE_PER_PRT" localSheetId="7" hidden="1">#REF!,#REF!,#REF!,#REF!,#REF!</definedName>
    <definedName name="P3_SCOPE_PER_PRT" localSheetId="11" hidden="1">#REF!,#REF!,#REF!,#REF!,#REF!</definedName>
    <definedName name="P3_SCOPE_PER_PRT" localSheetId="8" hidden="1">#REF!,#REF!,#REF!,#REF!,#REF!</definedName>
    <definedName name="P3_SCOPE_PER_PRT" localSheetId="9" hidden="1">#REF!,#REF!,#REF!,#REF!,#REF!</definedName>
    <definedName name="P3_SCOPE_PER_PRT" localSheetId="10" hidden="1">#REF!,#REF!,#REF!,#REF!,#REF!</definedName>
    <definedName name="P3_SCOPE_PER_PRT" localSheetId="5" hidden="1">#REF!,#REF!,#REF!,#REF!,#REF!</definedName>
    <definedName name="P3_SCOPE_PER_PRT" localSheetId="4" hidden="1">#REF!,#REF!,#REF!,#REF!,#REF!</definedName>
    <definedName name="P3_SCOPE_PER_PRT" hidden="1">#REF!,#REF!,#REF!,#REF!,#REF!</definedName>
    <definedName name="P3_SCOPE_SV_PRT" localSheetId="15" hidden="1">#REF!,#REF!,#REF!,#REF!,#REF!,#REF!,#REF!</definedName>
    <definedName name="P3_SCOPE_SV_PRT" localSheetId="2" hidden="1">#REF!,#REF!,#REF!,#REF!,#REF!,#REF!,#REF!</definedName>
    <definedName name="P3_SCOPE_SV_PRT" localSheetId="1" hidden="1">#REF!,#REF!,#REF!,#REF!,#REF!,#REF!,#REF!</definedName>
    <definedName name="P3_SCOPE_SV_PRT" localSheetId="7" hidden="1">#REF!,#REF!,#REF!,#REF!,#REF!,#REF!,#REF!</definedName>
    <definedName name="P3_SCOPE_SV_PRT" localSheetId="11" hidden="1">#REF!,#REF!,#REF!,#REF!,#REF!,#REF!,#REF!</definedName>
    <definedName name="P3_SCOPE_SV_PRT" localSheetId="8" hidden="1">#REF!,#REF!,#REF!,#REF!,#REF!,#REF!,#REF!</definedName>
    <definedName name="P3_SCOPE_SV_PRT" localSheetId="9" hidden="1">#REF!,#REF!,#REF!,#REF!,#REF!,#REF!,#REF!</definedName>
    <definedName name="P3_SCOPE_SV_PRT" localSheetId="10" hidden="1">#REF!,#REF!,#REF!,#REF!,#REF!,#REF!,#REF!</definedName>
    <definedName name="P3_SCOPE_SV_PRT" localSheetId="5" hidden="1">#REF!,#REF!,#REF!,#REF!,#REF!,#REF!,#REF!</definedName>
    <definedName name="P3_SCOPE_SV_PRT" localSheetId="4" hidden="1">#REF!,#REF!,#REF!,#REF!,#REF!,#REF!,#REF!</definedName>
    <definedName name="P3_SCOPE_SV_PRT" hidden="1">#REF!,#REF!,#REF!,#REF!,#REF!,#REF!,#REF!</definedName>
    <definedName name="P4_SCOPE_F1_PRT" localSheetId="15" hidden="1">#REF!,#REF!,#REF!,#REF!</definedName>
    <definedName name="P4_SCOPE_F1_PRT" localSheetId="2" hidden="1">#REF!,#REF!,#REF!,#REF!</definedName>
    <definedName name="P4_SCOPE_F1_PRT" localSheetId="1" hidden="1">#REF!,#REF!,#REF!,#REF!</definedName>
    <definedName name="P4_SCOPE_F1_PRT" localSheetId="7" hidden="1">#REF!,#REF!,#REF!,#REF!</definedName>
    <definedName name="P4_SCOPE_F1_PRT" localSheetId="11" hidden="1">#REF!,#REF!,#REF!,#REF!</definedName>
    <definedName name="P4_SCOPE_F1_PRT" localSheetId="8" hidden="1">#REF!,#REF!,#REF!,#REF!</definedName>
    <definedName name="P4_SCOPE_F1_PRT" localSheetId="9" hidden="1">#REF!,#REF!,#REF!,#REF!</definedName>
    <definedName name="P4_SCOPE_F1_PRT" localSheetId="10" hidden="1">#REF!,#REF!,#REF!,#REF!</definedName>
    <definedName name="P4_SCOPE_F1_PRT" localSheetId="5" hidden="1">#REF!,#REF!,#REF!,#REF!</definedName>
    <definedName name="P4_SCOPE_F1_PRT" localSheetId="4" hidden="1">#REF!,#REF!,#REF!,#REF!</definedName>
    <definedName name="P4_SCOPE_F1_PRT" hidden="1">#REF!,#REF!,#REF!,#REF!</definedName>
    <definedName name="P4_SCOPE_PER_PRT" localSheetId="15" hidden="1">#REF!,#REF!,#REF!,#REF!,#REF!</definedName>
    <definedName name="P4_SCOPE_PER_PRT" localSheetId="2" hidden="1">#REF!,#REF!,#REF!,#REF!,#REF!</definedName>
    <definedName name="P4_SCOPE_PER_PRT" localSheetId="1" hidden="1">#REF!,#REF!,#REF!,#REF!,#REF!</definedName>
    <definedName name="P4_SCOPE_PER_PRT" localSheetId="7" hidden="1">#REF!,#REF!,#REF!,#REF!,#REF!</definedName>
    <definedName name="P4_SCOPE_PER_PRT" localSheetId="11" hidden="1">#REF!,#REF!,#REF!,#REF!,#REF!</definedName>
    <definedName name="P4_SCOPE_PER_PRT" localSheetId="8" hidden="1">#REF!,#REF!,#REF!,#REF!,#REF!</definedName>
    <definedName name="P4_SCOPE_PER_PRT" localSheetId="9" hidden="1">#REF!,#REF!,#REF!,#REF!,#REF!</definedName>
    <definedName name="P4_SCOPE_PER_PRT" localSheetId="10" hidden="1">#REF!,#REF!,#REF!,#REF!,#REF!</definedName>
    <definedName name="P4_SCOPE_PER_PRT" localSheetId="5" hidden="1">#REF!,#REF!,#REF!,#REF!,#REF!</definedName>
    <definedName name="P4_SCOPE_PER_PRT" localSheetId="4" hidden="1">#REF!,#REF!,#REF!,#REF!,#REF!</definedName>
    <definedName name="P4_SCOPE_PER_PRT" hidden="1">#REF!,#REF!,#REF!,#REF!,#REF!</definedName>
    <definedName name="P5_SCOPE_PER_PRT" localSheetId="15" hidden="1">#REF!,#REF!,#REF!,#REF!,#REF!</definedName>
    <definedName name="P5_SCOPE_PER_PRT" localSheetId="7" hidden="1">#REF!,#REF!,#REF!,#REF!,#REF!</definedName>
    <definedName name="P5_SCOPE_PER_PRT" localSheetId="11" hidden="1">#REF!,#REF!,#REF!,#REF!,#REF!</definedName>
    <definedName name="P5_SCOPE_PER_PRT" localSheetId="8" hidden="1">#REF!,#REF!,#REF!,#REF!,#REF!</definedName>
    <definedName name="P5_SCOPE_PER_PRT" localSheetId="9" hidden="1">#REF!,#REF!,#REF!,#REF!,#REF!</definedName>
    <definedName name="P5_SCOPE_PER_PRT" localSheetId="10" hidden="1">#REF!,#REF!,#REF!,#REF!,#REF!</definedName>
    <definedName name="P5_SCOPE_PER_PRT" hidden="1">#REF!,#REF!,#REF!,#REF!,#REF!</definedName>
    <definedName name="P6_SCOPE_PER_PRT" localSheetId="15" hidden="1">#REF!,#REF!,#REF!,#REF!,#REF!</definedName>
    <definedName name="P6_SCOPE_PER_PRT" localSheetId="7" hidden="1">#REF!,#REF!,#REF!,#REF!,#REF!</definedName>
    <definedName name="P6_SCOPE_PER_PRT" localSheetId="11" hidden="1">#REF!,#REF!,#REF!,#REF!,#REF!</definedName>
    <definedName name="P6_SCOPE_PER_PRT" localSheetId="8" hidden="1">#REF!,#REF!,#REF!,#REF!,#REF!</definedName>
    <definedName name="P6_SCOPE_PER_PRT" localSheetId="9" hidden="1">#REF!,#REF!,#REF!,#REF!,#REF!</definedName>
    <definedName name="P6_SCOPE_PER_PRT" localSheetId="10" hidden="1">#REF!,#REF!,#REF!,#REF!,#REF!</definedName>
    <definedName name="P6_SCOPE_PER_PRT" hidden="1">#REF!,#REF!,#REF!,#REF!,#REF!</definedName>
    <definedName name="P6_T2.1?Protection" localSheetId="15">P1_T2.1?Protection</definedName>
    <definedName name="P6_T2.1?Protection" localSheetId="2">P1_T2.1?Protection</definedName>
    <definedName name="P6_T2.1?Protection" localSheetId="1">P1_T2.1?Protection</definedName>
    <definedName name="P6_T2.1?Protection" localSheetId="11">P1_T2.1?Protection</definedName>
    <definedName name="P6_T2.1?Protection" localSheetId="8">P1_T2.1?Protection</definedName>
    <definedName name="P6_T2.1?Protection" localSheetId="9">P1_T2.1?Protection</definedName>
    <definedName name="P6_T2.1?Protection" localSheetId="10">P1_T2.1?Protection</definedName>
    <definedName name="P6_T2.1?Protection" localSheetId="5">P1_T2.1?Protection</definedName>
    <definedName name="P6_T2.1?Protection" localSheetId="4">P1_T2.1?Protection</definedName>
    <definedName name="P6_T2.1?Protection">P1_T2.1?Protection</definedName>
    <definedName name="P7_SCOPE_PER_PRT" localSheetId="15" hidden="1">#REF!,#REF!,#REF!,#REF!,#REF!</definedName>
    <definedName name="P7_SCOPE_PER_PRT" localSheetId="2" hidden="1">#REF!,#REF!,#REF!,#REF!,#REF!</definedName>
    <definedName name="P7_SCOPE_PER_PRT" localSheetId="1" hidden="1">#REF!,#REF!,#REF!,#REF!,#REF!</definedName>
    <definedName name="P7_SCOPE_PER_PRT" localSheetId="11" hidden="1">#REF!,#REF!,#REF!,#REF!,#REF!</definedName>
    <definedName name="P7_SCOPE_PER_PRT" localSheetId="8" hidden="1">#REF!,#REF!,#REF!,#REF!,#REF!</definedName>
    <definedName name="P7_SCOPE_PER_PRT" localSheetId="9" hidden="1">#REF!,#REF!,#REF!,#REF!,#REF!</definedName>
    <definedName name="P7_SCOPE_PER_PRT" localSheetId="10" hidden="1">#REF!,#REF!,#REF!,#REF!,#REF!</definedName>
    <definedName name="P7_SCOPE_PER_PRT" localSheetId="5" hidden="1">#REF!,#REF!,#REF!,#REF!,#REF!</definedName>
    <definedName name="P7_SCOPE_PER_PRT" localSheetId="4" hidden="1">#REF!,#REF!,#REF!,#REF!,#REF!</definedName>
    <definedName name="P7_SCOPE_PER_PRT" hidden="1">#REF!,#REF!,#REF!,#REF!,#REF!</definedName>
    <definedName name="P8_SCOPE_PER_PRT" localSheetId="15" hidden="1">#REF!,#REF!,#REF!,амор!P1_SCOPE_PER_PRT,амор!P2_SCOPE_PER_PRT,амор!P3_SCOPE_PER_PRT,амор!P4_SCOPE_PER_PRT</definedName>
    <definedName name="P8_SCOPE_PER_PRT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P8_SCOPE_PER_PRT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P8_SCOPE_PER_PRT" localSheetId="7" hidden="1">#REF!,#REF!,#REF!,подконтрольные!P1_SCOPE_PER_PRT,подконтрольные!P2_SCOPE_PER_PRT,подконтрольные!P3_SCOPE_PER_PRT,подконтрольные!P4_SCOPE_PER_PRT</definedName>
    <definedName name="P8_SCOPE_PER_PRT" localSheetId="11" hidden="1">#REF!,#REF!,#REF!,'прил 4 к расп'!P1_SCOPE_PER_PRT,'прил 4 к расп'!P2_SCOPE_PER_PRT,'прил 4 к расп'!P3_SCOPE_PER_PRT,'прил 4 к расп'!P4_SCOPE_PER_PRT</definedName>
    <definedName name="P8_SCOPE_PER_PRT" localSheetId="8" hidden="1">#REF!,#REF!,#REF!,Прил2!P1_SCOPE_PER_PRT,Прил2!P2_SCOPE_PER_PRT,Прил2!P3_SCOPE_PER_PRT,Прил2!P4_SCOPE_PER_PRT</definedName>
    <definedName name="P8_SCOPE_PER_PRT" localSheetId="9" hidden="1">#REF!,#REF!,#REF!,Прил3!P1_SCOPE_PER_PRT,Прил3!P2_SCOPE_PER_PRT,Прил3!P3_SCOPE_PER_PRT,Прил3!P4_SCOPE_PER_PRT</definedName>
    <definedName name="P8_SCOPE_PER_PRT" localSheetId="10" hidden="1">#REF!,#REF!,#REF!,прил4!P1_SCOPE_PER_PRT,прил4!P2_SCOPE_PER_PRT,прил4!P3_SCOPE_PER_PRT,прил4!P4_SCOPE_PER_PRT</definedName>
    <definedName name="P8_SCOPE_PER_PRT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P8_SCOPE_PER_PRT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P8_SCOPE_PER_PRT" hidden="1">#REF!,#REF!,#REF!,P1_SCOPE_PER_PRT,P2_SCOPE_PER_PRT,P3_SCOPE_PER_PRT,P4_SCOPE_PER_PRT</definedName>
    <definedName name="Par" localSheetId="11">'[102]8РЭК'!$B$52:$B$57,'[102]8РЭК'!$B$61:$B$66,'[102]8РЭК'!$B$69:$B$74,'[102]8РЭК'!$B$77:$B$82,'[102]8РЭК'!$B$85:$B$90,'[102]8РЭК'!$B$93:$B$98,'[102]8РЭК'!$B$101:$B$106,'[102]8РЭК'!$B$109:$B$114,'[102]8РЭК'!$B$117:$B$122</definedName>
    <definedName name="Par" localSheetId="8">'[102]8РЭК'!$B$52:$B$57,'[102]8РЭК'!$B$61:$B$66,'[102]8РЭК'!$B$69:$B$74,'[102]8РЭК'!$B$77:$B$82,'[102]8РЭК'!$B$85:$B$90,'[102]8РЭК'!$B$93:$B$98,'[102]8РЭК'!$B$101:$B$106,'[102]8РЭК'!$B$109:$B$114,'[102]8РЭК'!$B$117:$B$122</definedName>
    <definedName name="Par" localSheetId="9">'[102]8РЭК'!$B$52:$B$57,'[102]8РЭК'!$B$61:$B$66,'[102]8РЭК'!$B$69:$B$74,'[102]8РЭК'!$B$77:$B$82,'[102]8РЭК'!$B$85:$B$90,'[102]8РЭК'!$B$93:$B$98,'[102]8РЭК'!$B$101:$B$106,'[102]8РЭК'!$B$109:$B$114,'[102]8РЭК'!$B$117:$B$122</definedName>
    <definedName name="Par">'[102]8РЭК'!$B$52:$B$57,'[102]8РЭК'!$B$61:$B$66,'[102]8РЭК'!$B$69:$B$74,'[102]8РЭК'!$B$77:$B$82,'[102]8РЭК'!$B$85:$B$90,'[102]8РЭК'!$B$93:$B$98,'[102]8РЭК'!$B$101:$B$106,'[102]8РЭК'!$B$109:$B$114,'[102]8РЭК'!$B$117:$B$122</definedName>
    <definedName name="PARAM">[88]TSheet!$N$2:$N$9</definedName>
    <definedName name="pbStartPageNumber">1</definedName>
    <definedName name="pbUpdatePageNumbering">TRUE</definedName>
    <definedName name="PC" localSheetId="15">#REF!</definedName>
    <definedName name="PC" localSheetId="11">#REF!</definedName>
    <definedName name="PC">#REF!</definedName>
    <definedName name="PercentageBought" localSheetId="15">'[23]Dairy Precedents'!#REF!</definedName>
    <definedName name="PercentageBought" localSheetId="2">'[23]Dairy Precedents'!#REF!</definedName>
    <definedName name="PercentageBought" localSheetId="1">'[23]Dairy Precedents'!#REF!</definedName>
    <definedName name="PercentageBought" localSheetId="11">'[23]Dairy Precedents'!#REF!</definedName>
    <definedName name="PercentageBought" localSheetId="8">'[23]Dairy Precedents'!#REF!</definedName>
    <definedName name="PercentageBought" localSheetId="9">'[23]Dairy Precedents'!#REF!</definedName>
    <definedName name="PercentageBought" localSheetId="10">'[23]Dairy Precedents'!#REF!</definedName>
    <definedName name="PercentageBought" localSheetId="5">'[23]Dairy Precedents'!#REF!</definedName>
    <definedName name="PercentageBought" localSheetId="4">'[23]Dairy Precedents'!#REF!</definedName>
    <definedName name="PercentageBought">'[23]Dairy Precedents'!#REF!</definedName>
    <definedName name="Period_name_0" localSheetId="15">[39]TSheet!$G$3</definedName>
    <definedName name="Period_name_0" localSheetId="11">[40]TSheet!$G$3</definedName>
    <definedName name="Period_name_0" localSheetId="8">[40]TSheet!$G$3</definedName>
    <definedName name="Period_name_0" localSheetId="9">[40]TSheet!$G$3</definedName>
    <definedName name="Period_name_0" localSheetId="10">[103]TSheet!$G$3</definedName>
    <definedName name="Period_name_0">[64]TSheet!$G$3</definedName>
    <definedName name="Period_name_1">[99]TSheet!$G$4</definedName>
    <definedName name="Period_name_2">[99]TSheet!$G$5</definedName>
    <definedName name="Period02" localSheetId="15">[104]Настройка!#REF!</definedName>
    <definedName name="Period02" localSheetId="11">[104]Настройка!#REF!</definedName>
    <definedName name="Period02">[104]Настройка!#REF!</definedName>
    <definedName name="Period1">[58]Настройка!$A$8</definedName>
    <definedName name="Period2">[58]Настройка!$A$11</definedName>
    <definedName name="Period3" localSheetId="15">[104]Настройка!#REF!</definedName>
    <definedName name="Period3" localSheetId="11">[104]Настройка!#REF!</definedName>
    <definedName name="Period3">[104]Настройка!#REF!</definedName>
    <definedName name="PerOffical" localSheetId="15">#REF!</definedName>
    <definedName name="PerOffical" localSheetId="2">#REF!</definedName>
    <definedName name="PerOffical" localSheetId="1">#REF!</definedName>
    <definedName name="PerOffical" localSheetId="11">#REF!</definedName>
    <definedName name="PerOffical" localSheetId="8">#REF!</definedName>
    <definedName name="PerOffical" localSheetId="9">#REF!</definedName>
    <definedName name="PerOffical" localSheetId="10">#REF!</definedName>
    <definedName name="PerOffical" localSheetId="5">#REF!</definedName>
    <definedName name="PerOffical" localSheetId="4">#REF!</definedName>
    <definedName name="PerOffical">#REF!</definedName>
    <definedName name="perp_lev" localSheetId="15">#REF!</definedName>
    <definedName name="perp_lev" localSheetId="11">#REF!</definedName>
    <definedName name="perp_lev" localSheetId="8">#REF!</definedName>
    <definedName name="perp_lev" localSheetId="9">#REF!</definedName>
    <definedName name="perp_lev" localSheetId="10">#REF!</definedName>
    <definedName name="perp_lev">#REF!</definedName>
    <definedName name="perp_lev_sen" localSheetId="15">#REF!</definedName>
    <definedName name="perp_lev_sen" localSheetId="11">#REF!</definedName>
    <definedName name="perp_lev_sen" localSheetId="8">#REF!</definedName>
    <definedName name="perp_lev_sen" localSheetId="9">#REF!</definedName>
    <definedName name="perp_lev_sen" localSheetId="10">#REF!</definedName>
    <definedName name="perp_lev_sen">#REF!</definedName>
    <definedName name="perp_lev1" localSheetId="15">#REF!</definedName>
    <definedName name="perp_lev1" localSheetId="11">#REF!</definedName>
    <definedName name="perp_lev1" localSheetId="8">#REF!</definedName>
    <definedName name="perp_lev1" localSheetId="9">#REF!</definedName>
    <definedName name="perp_lev1" localSheetId="10">#REF!</definedName>
    <definedName name="perp_lev1">#REF!</definedName>
    <definedName name="perp_lev2" localSheetId="15">#REF!</definedName>
    <definedName name="perp_lev2" localSheetId="11">#REF!</definedName>
    <definedName name="perp_lev2" localSheetId="10">#REF!</definedName>
    <definedName name="perp_lev2">#REF!</definedName>
    <definedName name="perp_lev3" localSheetId="15">#REF!</definedName>
    <definedName name="perp_lev3" localSheetId="11">#REF!</definedName>
    <definedName name="perp_lev3" localSheetId="10">#REF!</definedName>
    <definedName name="perp_lev3">#REF!</definedName>
    <definedName name="perp_lev4" localSheetId="15">#REF!</definedName>
    <definedName name="perp_lev4" localSheetId="11">#REF!</definedName>
    <definedName name="perp_lev4" localSheetId="10">#REF!</definedName>
    <definedName name="perp_lev4">#REF!</definedName>
    <definedName name="perp_lev5" localSheetId="15">#REF!</definedName>
    <definedName name="perp_lev5" localSheetId="11">#REF!</definedName>
    <definedName name="perp_lev5" localSheetId="10">#REF!</definedName>
    <definedName name="perp_lev5">#REF!</definedName>
    <definedName name="perp_unlev" localSheetId="15">#REF!</definedName>
    <definedName name="perp_unlev" localSheetId="11">#REF!</definedName>
    <definedName name="perp_unlev" localSheetId="10">#REF!</definedName>
    <definedName name="perp_unlev">#REF!</definedName>
    <definedName name="perp_unlev_sen" localSheetId="15">#REF!</definedName>
    <definedName name="perp_unlev_sen" localSheetId="11">#REF!</definedName>
    <definedName name="perp_unlev_sen" localSheetId="10">#REF!</definedName>
    <definedName name="perp_unlev_sen">#REF!</definedName>
    <definedName name="perp_unlev1" localSheetId="15">#REF!</definedName>
    <definedName name="perp_unlev1" localSheetId="11">#REF!</definedName>
    <definedName name="perp_unlev1" localSheetId="10">#REF!</definedName>
    <definedName name="perp_unlev1">#REF!</definedName>
    <definedName name="perp_unlev2" localSheetId="15">#REF!</definedName>
    <definedName name="perp_unlev2" localSheetId="11">#REF!</definedName>
    <definedName name="perp_unlev2" localSheetId="10">#REF!</definedName>
    <definedName name="perp_unlev2">#REF!</definedName>
    <definedName name="perp_unlev3" localSheetId="15">#REF!</definedName>
    <definedName name="perp_unlev3" localSheetId="11">#REF!</definedName>
    <definedName name="perp_unlev3" localSheetId="10">#REF!</definedName>
    <definedName name="perp_unlev3">#REF!</definedName>
    <definedName name="perp_unlev4" localSheetId="15">#REF!</definedName>
    <definedName name="perp_unlev4" localSheetId="11">#REF!</definedName>
    <definedName name="perp_unlev4" localSheetId="10">#REF!</definedName>
    <definedName name="perp_unlev4">#REF!</definedName>
    <definedName name="perp_unlev5" localSheetId="15">#REF!</definedName>
    <definedName name="perp_unlev5" localSheetId="11">#REF!</definedName>
    <definedName name="perp_unlev5" localSheetId="10">#REF!</definedName>
    <definedName name="perp_unlev5">#REF!</definedName>
    <definedName name="PerWork" localSheetId="15">#REF!</definedName>
    <definedName name="PerWork" localSheetId="11">#REF!</definedName>
    <definedName name="PerWork">#REF!</definedName>
    <definedName name="PF" localSheetId="15">[39]Титульный!$F$18</definedName>
    <definedName name="PF" localSheetId="11">[40]Титульный!$F$18</definedName>
    <definedName name="PF" localSheetId="8">[40]Титульный!$F$18</definedName>
    <definedName name="PF" localSheetId="9">[40]Титульный!$F$18</definedName>
    <definedName name="PF" localSheetId="10">[103]Титульный!$F$21</definedName>
    <definedName name="PF">[64]Титульный!$F$21</definedName>
    <definedName name="PL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15">'[23]P&amp;L'!#REF!</definedName>
    <definedName name="PL_Loss_Debt" localSheetId="11">'[23]P&amp;L'!#REF!</definedName>
    <definedName name="PL_Loss_Debt" localSheetId="8">'[23]P&amp;L'!#REF!</definedName>
    <definedName name="PL_Loss_Debt" localSheetId="9">'[23]P&amp;L'!#REF!</definedName>
    <definedName name="PL_Loss_Debt" localSheetId="10">'[23]P&amp;L'!#REF!</definedName>
    <definedName name="PL_Loss_Debt">'[23]P&amp;L'!#REF!</definedName>
    <definedName name="PL_Loss_Preferred" localSheetId="15">'[23]P&amp;L'!#REF!</definedName>
    <definedName name="PL_Loss_Preferred" localSheetId="11">'[23]P&amp;L'!#REF!</definedName>
    <definedName name="PL_Loss_Preferred" localSheetId="8">'[23]P&amp;L'!#REF!</definedName>
    <definedName name="PL_Loss_Preferred" localSheetId="9">'[23]P&amp;L'!#REF!</definedName>
    <definedName name="PL_Loss_Preferred" localSheetId="10">'[23]P&amp;L'!#REF!</definedName>
    <definedName name="PL_Loss_Preferred">'[23]P&amp;L'!#REF!</definedName>
    <definedName name="PL_Rent" localSheetId="15">'[23]P&amp;L'!#REF!</definedName>
    <definedName name="PL_Rent" localSheetId="11">'[23]P&amp;L'!#REF!</definedName>
    <definedName name="PL_Rent" localSheetId="8">'[23]P&amp;L'!#REF!</definedName>
    <definedName name="PL_Rent" localSheetId="9">'[23]P&amp;L'!#REF!</definedName>
    <definedName name="PL_Rent" localSheetId="10">'[23]P&amp;L'!#REF!</definedName>
    <definedName name="PL_Rent">'[23]P&amp;L'!#REF!</definedName>
    <definedName name="Plug" localSheetId="15">#REF!</definedName>
    <definedName name="Plug" localSheetId="2">#REF!</definedName>
    <definedName name="Plug" localSheetId="1">#REF!</definedName>
    <definedName name="Plug" localSheetId="11">#REF!</definedName>
    <definedName name="Plug" localSheetId="8">#REF!</definedName>
    <definedName name="Plug" localSheetId="9">#REF!</definedName>
    <definedName name="Plug" localSheetId="10">#REF!</definedName>
    <definedName name="Plug" localSheetId="5">#REF!</definedName>
    <definedName name="Plug" localSheetId="4">#REF!</definedName>
    <definedName name="Plug">#REF!</definedName>
    <definedName name="PM" localSheetId="15">#REF!</definedName>
    <definedName name="PM" localSheetId="11">#REF!</definedName>
    <definedName name="PM">#REF!</definedName>
    <definedName name="pp">'[13]APP Systems'!$F$49</definedName>
    <definedName name="pr">[105]Anlagevermögen!$A$1:$Z$29</definedName>
    <definedName name="prefrate" localSheetId="15">#REF!</definedName>
    <definedName name="prefrate" localSheetId="2">#REF!</definedName>
    <definedName name="prefrate" localSheetId="1">#REF!</definedName>
    <definedName name="prefrate" localSheetId="11">#REF!</definedName>
    <definedName name="prefrate" localSheetId="8">#REF!</definedName>
    <definedName name="prefrate" localSheetId="9">#REF!</definedName>
    <definedName name="prefrate" localSheetId="10">#REF!</definedName>
    <definedName name="prefrate" localSheetId="5">#REF!</definedName>
    <definedName name="prefrate" localSheetId="4">#REF!</definedName>
    <definedName name="prefrate">#REF!</definedName>
    <definedName name="printa" localSheetId="15">#REF!</definedName>
    <definedName name="printa" localSheetId="11">#REF!</definedName>
    <definedName name="printa" localSheetId="8">#REF!</definedName>
    <definedName name="printa" localSheetId="9">#REF!</definedName>
    <definedName name="printa" localSheetId="10">#REF!</definedName>
    <definedName name="printa">#REF!</definedName>
    <definedName name="printb" localSheetId="15">#REF!</definedName>
    <definedName name="printb" localSheetId="11">#REF!</definedName>
    <definedName name="printb" localSheetId="8">#REF!</definedName>
    <definedName name="printb" localSheetId="9">#REF!</definedName>
    <definedName name="printb" localSheetId="10">#REF!</definedName>
    <definedName name="printb">#REF!</definedName>
    <definedName name="printc" localSheetId="15">#REF!</definedName>
    <definedName name="printc" localSheetId="11">#REF!</definedName>
    <definedName name="printc" localSheetId="10">#REF!</definedName>
    <definedName name="printc">#REF!</definedName>
    <definedName name="printk" localSheetId="15">#REF!</definedName>
    <definedName name="printk" localSheetId="11">#REF!</definedName>
    <definedName name="printk" localSheetId="10">#REF!</definedName>
    <definedName name="printk">#REF!</definedName>
    <definedName name="production_type" localSheetId="15">[96]Титульный!$F$11</definedName>
    <definedName name="production_type" localSheetId="2">[97]Титульный!$F$11</definedName>
    <definedName name="production_type" localSheetId="1">[97]Титульный!$F$11</definedName>
    <definedName name="production_type" localSheetId="11">[96]Титульный!$F$11</definedName>
    <definedName name="production_type" localSheetId="8">[96]Титульный!$F$11</definedName>
    <definedName name="production_type" localSheetId="9">[96]Титульный!$F$11</definedName>
    <definedName name="production_type" localSheetId="10">[96]Титульный!$F$11</definedName>
    <definedName name="production_type" localSheetId="5">[97]Титульный!$F$11</definedName>
    <definedName name="production_type" localSheetId="4">[97]Титульный!$F$11</definedName>
    <definedName name="production_type">[98]Титульный!$F$11</definedName>
    <definedName name="PROP_GROUP" localSheetId="15">[39]TSheet!$V$2:$V$6</definedName>
    <definedName name="PROP_GROUP" localSheetId="2">[56]TSheet!$V$2:$V$6</definedName>
    <definedName name="PROP_GROUP" localSheetId="1">[56]TSheet!$V$2:$V$6</definedName>
    <definedName name="PROP_GROUP" localSheetId="11">[40]TSheet!$V$2:$V$6</definedName>
    <definedName name="PROP_GROUP" localSheetId="8">[40]TSheet!$V$2:$V$6</definedName>
    <definedName name="PROP_GROUP" localSheetId="9">[40]TSheet!$V$2:$V$6</definedName>
    <definedName name="PROP_GROUP" localSheetId="10">[41]TSheet!$V$2:$V$6</definedName>
    <definedName name="PROP_GROUP" localSheetId="5">[56]TSheet!$V$2:$V$6</definedName>
    <definedName name="PROP_GROUP" localSheetId="4">[56]TSheet!$V$2:$V$6</definedName>
    <definedName name="PROP_GROUP">[57]TSheet!$V$2:$V$6</definedName>
    <definedName name="q" localSheetId="15">#REF!</definedName>
    <definedName name="q" localSheetId="2">#REF!</definedName>
    <definedName name="q" localSheetId="1">#REF!</definedName>
    <definedName name="q" localSheetId="11">#REF!</definedName>
    <definedName name="q" localSheetId="8">#REF!</definedName>
    <definedName name="q" localSheetId="9">#REF!</definedName>
    <definedName name="q" localSheetId="10">#REF!</definedName>
    <definedName name="q" localSheetId="5">#REF!</definedName>
    <definedName name="q" localSheetId="4">#REF!</definedName>
    <definedName name="q">#REF!</definedName>
    <definedName name="qasa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qq" localSheetId="15">#REF!</definedName>
    <definedName name="qqqq" localSheetId="2">#REF!</definedName>
    <definedName name="qqqq" localSheetId="1">#REF!</definedName>
    <definedName name="qqqq" localSheetId="11">#REF!</definedName>
    <definedName name="qqqq" localSheetId="8">#REF!</definedName>
    <definedName name="qqqq" localSheetId="9">#REF!</definedName>
    <definedName name="qqqq" localSheetId="10">#REF!</definedName>
    <definedName name="qqqq" localSheetId="5">#REF!</definedName>
    <definedName name="qqqq" localSheetId="4">#REF!</definedName>
    <definedName name="qqqq">#REF!</definedName>
    <definedName name="qqqqq" localSheetId="15">#REF!</definedName>
    <definedName name="qqqqq" localSheetId="11">#REF!</definedName>
    <definedName name="qqqqq" localSheetId="8">#REF!</definedName>
    <definedName name="qqqqq" localSheetId="9">#REF!</definedName>
    <definedName name="qqqqq" localSheetId="10">#REF!</definedName>
    <definedName name="qqqqq">#REF!</definedName>
    <definedName name="qqwere" localSheetId="15">#REF!</definedName>
    <definedName name="qqwere" localSheetId="11">#REF!</definedName>
    <definedName name="qqwere" localSheetId="8">#REF!</definedName>
    <definedName name="qqwere" localSheetId="9">#REF!</definedName>
    <definedName name="qqwere" localSheetId="10">#REF!</definedName>
    <definedName name="qqwere">#REF!</definedName>
    <definedName name="qrqte" localSheetId="15">#REF!</definedName>
    <definedName name="qrqte" localSheetId="11">#REF!</definedName>
    <definedName name="qrqte" localSheetId="10">#REF!</definedName>
    <definedName name="qrqte">#REF!</definedName>
    <definedName name="qwer12" localSheetId="15">#REF!</definedName>
    <definedName name="qwer12" localSheetId="11">#REF!</definedName>
    <definedName name="qwer12" localSheetId="10">#REF!</definedName>
    <definedName name="qwer12">#REF!</definedName>
    <definedName name="qwer234" localSheetId="15">#REF!</definedName>
    <definedName name="qwer234" localSheetId="11">#REF!</definedName>
    <definedName name="qwer234" localSheetId="10">#REF!</definedName>
    <definedName name="qwer234">#REF!</definedName>
    <definedName name="qwer3454">'[69]Продажи реальные и прогноз 20 л'!$E$47</definedName>
    <definedName name="qwert3" localSheetId="15">#REF!</definedName>
    <definedName name="qwert3" localSheetId="2">#REF!</definedName>
    <definedName name="qwert3" localSheetId="1">#REF!</definedName>
    <definedName name="qwert3" localSheetId="11">#REF!</definedName>
    <definedName name="qwert3" localSheetId="8">#REF!</definedName>
    <definedName name="qwert3" localSheetId="9">#REF!</definedName>
    <definedName name="qwert3" localSheetId="10">#REF!</definedName>
    <definedName name="qwert3" localSheetId="5">#REF!</definedName>
    <definedName name="qwert3" localSheetId="4">#REF!</definedName>
    <definedName name="qwert3">#REF!</definedName>
    <definedName name="qwert567" localSheetId="15">#REF!</definedName>
    <definedName name="qwert567" localSheetId="11">#REF!</definedName>
    <definedName name="qwert567" localSheetId="8">#REF!</definedName>
    <definedName name="qwert567" localSheetId="9">#REF!</definedName>
    <definedName name="qwert567" localSheetId="10">#REF!</definedName>
    <definedName name="qwert567">#REF!</definedName>
    <definedName name="qwert78" localSheetId="15">#REF!</definedName>
    <definedName name="qwert78" localSheetId="11">#REF!</definedName>
    <definedName name="qwert78" localSheetId="8">#REF!</definedName>
    <definedName name="qwert78" localSheetId="9">#REF!</definedName>
    <definedName name="qwert78" localSheetId="10">#REF!</definedName>
    <definedName name="qwert78">#REF!</definedName>
    <definedName name="qwerty1" localSheetId="15">#REF!</definedName>
    <definedName name="qwerty1" localSheetId="11">#REF!</definedName>
    <definedName name="qwerty1" localSheetId="10">#REF!</definedName>
    <definedName name="qwerty1">#REF!</definedName>
    <definedName name="qwerty5" localSheetId="15">#REF!</definedName>
    <definedName name="qwerty5" localSheetId="11">#REF!</definedName>
    <definedName name="qwerty5" localSheetId="10">#REF!</definedName>
    <definedName name="qwerty5">#REF!</definedName>
    <definedName name="qwerw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te" localSheetId="15">#REF!</definedName>
    <definedName name="rate" localSheetId="2">#REF!</definedName>
    <definedName name="rate" localSheetId="1">#REF!</definedName>
    <definedName name="rate" localSheetId="11">#REF!</definedName>
    <definedName name="rate" localSheetId="8">#REF!</definedName>
    <definedName name="rate" localSheetId="9">#REF!</definedName>
    <definedName name="rate" localSheetId="10">#REF!</definedName>
    <definedName name="rate" localSheetId="5">#REF!</definedName>
    <definedName name="rate" localSheetId="4">#REF!</definedName>
    <definedName name="rate">#REF!</definedName>
    <definedName name="Rate0">[58]Настройка!$B$15</definedName>
    <definedName name="Rate01" localSheetId="15">[104]Настройка!#REF!</definedName>
    <definedName name="Rate01" localSheetId="11">[104]Настройка!#REF!</definedName>
    <definedName name="Rate01">[104]Настройка!#REF!</definedName>
    <definedName name="Rate02" localSheetId="15">[104]Настройка!#REF!</definedName>
    <definedName name="Rate02" localSheetId="11">[104]Настройка!#REF!</definedName>
    <definedName name="Rate02">[104]Настройка!#REF!</definedName>
    <definedName name="Rate03" localSheetId="15">[104]Настройка!#REF!</definedName>
    <definedName name="Rate03" localSheetId="11">[104]Настройка!#REF!</definedName>
    <definedName name="Rate03">[104]Настройка!#REF!</definedName>
    <definedName name="Rate04" localSheetId="15">[104]Настройка!#REF!</definedName>
    <definedName name="Rate04" localSheetId="11">[104]Настройка!#REF!</definedName>
    <definedName name="Rate04">[104]Настройка!#REF!</definedName>
    <definedName name="Rate05" localSheetId="15">[104]Настройка!#REF!</definedName>
    <definedName name="Rate05" localSheetId="11">[104]Настройка!#REF!</definedName>
    <definedName name="Rate05">[104]Настройка!#REF!</definedName>
    <definedName name="Rate06" localSheetId="15">[104]Настройка!#REF!</definedName>
    <definedName name="Rate06" localSheetId="11">[104]Настройка!#REF!</definedName>
    <definedName name="Rate06">[104]Настройка!#REF!</definedName>
    <definedName name="Rate1">[58]Настройка!$B$16</definedName>
    <definedName name="rate2" localSheetId="15">#REF!</definedName>
    <definedName name="rate2" localSheetId="2">#REF!</definedName>
    <definedName name="rate2" localSheetId="1">#REF!</definedName>
    <definedName name="rate2" localSheetId="11">#REF!</definedName>
    <definedName name="rate2" localSheetId="8">#REF!</definedName>
    <definedName name="rate2" localSheetId="9">#REF!</definedName>
    <definedName name="rate2" localSheetId="10">#REF!</definedName>
    <definedName name="rate2" localSheetId="5">#REF!</definedName>
    <definedName name="rate2" localSheetId="4">#REF!</definedName>
    <definedName name="rate2">#REF!</definedName>
    <definedName name="rateJuce" localSheetId="15">#REF!</definedName>
    <definedName name="rateJuce" localSheetId="11">#REF!</definedName>
    <definedName name="rateJuce" localSheetId="8">#REF!</definedName>
    <definedName name="rateJuce" localSheetId="9">#REF!</definedName>
    <definedName name="rateJuce" localSheetId="10">#REF!</definedName>
    <definedName name="rateJuce">#REF!</definedName>
    <definedName name="rateJuice" localSheetId="15">[106]Инфо!#REF!</definedName>
    <definedName name="rateJuice" localSheetId="11">[106]Инфо!#REF!</definedName>
    <definedName name="rateJuice" localSheetId="8">[106]Инфо!#REF!</definedName>
    <definedName name="rateJuice" localSheetId="9">[106]Инфо!#REF!</definedName>
    <definedName name="rateJuice" localSheetId="10">[106]Инфо!#REF!</definedName>
    <definedName name="rateJuice">[106]Инфо!#REF!</definedName>
    <definedName name="rateKZTtoKGS">[107]Справочно!$C$13</definedName>
    <definedName name="rateKZTtoRUR">[108]Справочно!$C$14</definedName>
    <definedName name="rateMilk" localSheetId="15">[106]Инфо!#REF!</definedName>
    <definedName name="rateMilk" localSheetId="2">[106]Инфо!#REF!</definedName>
    <definedName name="rateMilk" localSheetId="1">[106]Инфо!#REF!</definedName>
    <definedName name="rateMilk" localSheetId="11">[106]Инфо!#REF!</definedName>
    <definedName name="rateMilk" localSheetId="8">[106]Инфо!#REF!</definedName>
    <definedName name="rateMilk" localSheetId="9">[106]Инфо!#REF!</definedName>
    <definedName name="rateMilk" localSheetId="10">[106]Инфо!#REF!</definedName>
    <definedName name="rateMilk" localSheetId="5">[106]Инфо!#REF!</definedName>
    <definedName name="rateMilk" localSheetId="4">[106]Инфо!#REF!</definedName>
    <definedName name="rateMilk">[106]Инфо!#REF!</definedName>
    <definedName name="RD" localSheetId="15">#REF!</definedName>
    <definedName name="RD" localSheetId="2">#REF!</definedName>
    <definedName name="RD" localSheetId="1">#REF!</definedName>
    <definedName name="RD" localSheetId="11">#REF!</definedName>
    <definedName name="RD" localSheetId="8">#REF!</definedName>
    <definedName name="RD" localSheetId="9">#REF!</definedName>
    <definedName name="RD" localSheetId="10">#REF!</definedName>
    <definedName name="RD" localSheetId="5">#REF!</definedName>
    <definedName name="RD" localSheetId="4">#REF!</definedName>
    <definedName name="RD">#REF!</definedName>
    <definedName name="REGUL" localSheetId="15">#REF!</definedName>
    <definedName name="REGUL" localSheetId="11">#REF!</definedName>
    <definedName name="REGUL" localSheetId="8">#REF!</definedName>
    <definedName name="REGUL" localSheetId="9">#REF!</definedName>
    <definedName name="REGUL" localSheetId="10">#REF!</definedName>
    <definedName name="REGUL">#REF!</definedName>
    <definedName name="ReleveredBeta" localSheetId="15">#REF!</definedName>
    <definedName name="ReleveredBeta" localSheetId="11">#REF!</definedName>
    <definedName name="ReleveredBeta" localSheetId="8">#REF!</definedName>
    <definedName name="ReleveredBeta" localSheetId="9">#REF!</definedName>
    <definedName name="ReleveredBeta" localSheetId="10">#REF!</definedName>
    <definedName name="ReleveredBeta">#REF!</definedName>
    <definedName name="rert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5">#REF!</definedName>
    <definedName name="respirators" localSheetId="2">#REF!</definedName>
    <definedName name="respirators" localSheetId="1">#REF!</definedName>
    <definedName name="respirators" localSheetId="11">#REF!</definedName>
    <definedName name="respirators" localSheetId="8">#REF!</definedName>
    <definedName name="respirators" localSheetId="9">#REF!</definedName>
    <definedName name="respirators" localSheetId="10">#REF!</definedName>
    <definedName name="respirators" localSheetId="5">#REF!</definedName>
    <definedName name="respirators" localSheetId="4">#REF!</definedName>
    <definedName name="respirators">#REF!</definedName>
    <definedName name="Revolver_Interest" localSheetId="15">#REF!</definedName>
    <definedName name="Revolver_Interest" localSheetId="11">#REF!</definedName>
    <definedName name="Revolver_Interest" localSheetId="8">#REF!</definedName>
    <definedName name="Revolver_Interest" localSheetId="9">#REF!</definedName>
    <definedName name="Revolver_Interest" localSheetId="10">#REF!</definedName>
    <definedName name="Revolver_Interest">#REF!</definedName>
    <definedName name="rghergh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oll" localSheetId="15">#REF!</definedName>
    <definedName name="roll" localSheetId="2">#REF!</definedName>
    <definedName name="roll" localSheetId="1">#REF!</definedName>
    <definedName name="roll" localSheetId="11">#REF!</definedName>
    <definedName name="roll" localSheetId="8">#REF!</definedName>
    <definedName name="roll" localSheetId="9">#REF!</definedName>
    <definedName name="roll" localSheetId="10">#REF!</definedName>
    <definedName name="roll" localSheetId="5">#REF!</definedName>
    <definedName name="roll" localSheetId="4">#REF!</definedName>
    <definedName name="roll">#REF!</definedName>
    <definedName name="rows">[43]АКРасч!$A$1:$IV$5,[43]АКРасч!$A$7:$IV$22,[43]АКРасч!$A$24:$IV$41,[43]АКРасч!$A$43:$IV$54,[43]АКРасч!$A$55:$IV$56,[43]АКРасч!$A$58:$IV$71,[43]АКРасч!$A$72:$IV$98</definedName>
    <definedName name="rr" localSheetId="15">[7]!rr</definedName>
    <definedName name="rr" localSheetId="11">#N/A</definedName>
    <definedName name="rr" localSheetId="8">#N/A</definedName>
    <definedName name="rr" localSheetId="9">#N/A</definedName>
    <definedName name="rr">#N/A</definedName>
    <definedName name="rrr" localSheetId="15">#REF!</definedName>
    <definedName name="rrr" localSheetId="2">#REF!</definedName>
    <definedName name="rrr" localSheetId="1">#REF!</definedName>
    <definedName name="rrr" localSheetId="11">#REF!</definedName>
    <definedName name="rrr" localSheetId="8">#REF!</definedName>
    <definedName name="rrr" localSheetId="9">#REF!</definedName>
    <definedName name="rrr" localSheetId="10">#REF!</definedName>
    <definedName name="rrr" localSheetId="5">#REF!</definedName>
    <definedName name="rrr" localSheetId="4">#REF!</definedName>
    <definedName name="rrr">#REF!</definedName>
    <definedName name="rrrr" localSheetId="15">#REF!</definedName>
    <definedName name="rrrr" localSheetId="11">#REF!</definedName>
    <definedName name="rrrr" localSheetId="8">#REF!</definedName>
    <definedName name="rrrr" localSheetId="9">#REF!</definedName>
    <definedName name="rrrr" localSheetId="10">#REF!</definedName>
    <definedName name="rrrr">#REF!</definedName>
    <definedName name="rrrrrr" localSheetId="15">#REF!</definedName>
    <definedName name="rrrrrr" localSheetId="11">#REF!</definedName>
    <definedName name="rrrrrr" localSheetId="8">#REF!</definedName>
    <definedName name="rrrrrr" localSheetId="9">#REF!</definedName>
    <definedName name="rrrrrr" localSheetId="10">#REF!</definedName>
    <definedName name="rrrrrr">#REF!</definedName>
    <definedName name="rrtget6" localSheetId="15">[7]!rrtget6</definedName>
    <definedName name="rrtget6" localSheetId="11">#N/A</definedName>
    <definedName name="rrtget6" localSheetId="8">#N/A</definedName>
    <definedName name="rrtget6" localSheetId="9">#N/A</definedName>
    <definedName name="rrtget6">#N/A</definedName>
    <definedName name="rtgh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5">#REF!</definedName>
    <definedName name="Rtitle" localSheetId="2">#REF!</definedName>
    <definedName name="Rtitle" localSheetId="1">#REF!</definedName>
    <definedName name="Rtitle" localSheetId="11">#REF!</definedName>
    <definedName name="Rtitle" localSheetId="8">#REF!</definedName>
    <definedName name="Rtitle" localSheetId="9">#REF!</definedName>
    <definedName name="Rtitle" localSheetId="10">#REF!</definedName>
    <definedName name="Rtitle" localSheetId="5">#REF!</definedName>
    <definedName name="Rtitle" localSheetId="4">#REF!</definedName>
    <definedName name="Rtitle">#REF!</definedName>
    <definedName name="RUR_ПЛАН_M" localSheetId="15">#REF!</definedName>
    <definedName name="RUR_ПЛАН_M" localSheetId="11">#REF!</definedName>
    <definedName name="RUR_ПЛАН_M" localSheetId="8">#REF!</definedName>
    <definedName name="RUR_ПЛАН_M" localSheetId="9">#REF!</definedName>
    <definedName name="RUR_ПЛАН_M" localSheetId="10">#REF!</definedName>
    <definedName name="RUR_ПЛАН_M">#REF!</definedName>
    <definedName name="RUR_ПЛАН_Г" localSheetId="15">#REF!</definedName>
    <definedName name="RUR_ПЛАН_Г" localSheetId="11">#REF!</definedName>
    <definedName name="RUR_ПЛАН_Г" localSheetId="8">#REF!</definedName>
    <definedName name="RUR_ПЛАН_Г" localSheetId="9">#REF!</definedName>
    <definedName name="RUR_ПЛАН_Г" localSheetId="10">#REF!</definedName>
    <definedName name="RUR_ПЛАН_Г">#REF!</definedName>
    <definedName name="RUR_ФАКТ_M" localSheetId="15">#REF!</definedName>
    <definedName name="RUR_ФАКТ_M" localSheetId="11">#REF!</definedName>
    <definedName name="RUR_ФАКТ_M" localSheetId="10">#REF!</definedName>
    <definedName name="RUR_ФАКТ_M">#REF!</definedName>
    <definedName name="RUR_ФАКТ_Г" localSheetId="15">#REF!</definedName>
    <definedName name="RUR_ФАКТ_Г" localSheetId="11">#REF!</definedName>
    <definedName name="RUR_ФАКТ_Г" localSheetId="10">#REF!</definedName>
    <definedName name="RUR_ФАКТ_Г">#REF!</definedName>
    <definedName name="rus" localSheetId="15">#REF!</definedName>
    <definedName name="rus" localSheetId="11">#REF!</definedName>
    <definedName name="rus" localSheetId="10">#REF!</definedName>
    <definedName name="rus">#REF!</definedName>
    <definedName name="s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15">#REF!</definedName>
    <definedName name="S1_" localSheetId="2">#REF!</definedName>
    <definedName name="S1_" localSheetId="1">#REF!</definedName>
    <definedName name="S1_" localSheetId="11">#REF!</definedName>
    <definedName name="S1_" localSheetId="8">#REF!</definedName>
    <definedName name="S1_" localSheetId="9">#REF!</definedName>
    <definedName name="S1_" localSheetId="10">#REF!</definedName>
    <definedName name="S1_" localSheetId="5">#REF!</definedName>
    <definedName name="S1_" localSheetId="4">#REF!</definedName>
    <definedName name="S1_">#REF!</definedName>
    <definedName name="S10_" localSheetId="15">#REF!</definedName>
    <definedName name="S10_" localSheetId="11">#REF!</definedName>
    <definedName name="S10_" localSheetId="8">#REF!</definedName>
    <definedName name="S10_" localSheetId="9">#REF!</definedName>
    <definedName name="S10_" localSheetId="10">#REF!</definedName>
    <definedName name="S10_">#REF!</definedName>
    <definedName name="S11_" localSheetId="15">#REF!</definedName>
    <definedName name="S11_" localSheetId="11">#REF!</definedName>
    <definedName name="S11_" localSheetId="8">#REF!</definedName>
    <definedName name="S11_" localSheetId="9">#REF!</definedName>
    <definedName name="S11_" localSheetId="10">#REF!</definedName>
    <definedName name="S11_">#REF!</definedName>
    <definedName name="S12_" localSheetId="15">#REF!</definedName>
    <definedName name="S12_" localSheetId="11">#REF!</definedName>
    <definedName name="S12_" localSheetId="10">#REF!</definedName>
    <definedName name="S12_">#REF!</definedName>
    <definedName name="S13_" localSheetId="15">#REF!</definedName>
    <definedName name="S13_" localSheetId="11">#REF!</definedName>
    <definedName name="S13_" localSheetId="10">#REF!</definedName>
    <definedName name="S13_">#REF!</definedName>
    <definedName name="S14_" localSheetId="15">#REF!</definedName>
    <definedName name="S14_" localSheetId="11">#REF!</definedName>
    <definedName name="S14_" localSheetId="10">#REF!</definedName>
    <definedName name="S14_">#REF!</definedName>
    <definedName name="S15_" localSheetId="15">#REF!</definedName>
    <definedName name="S15_" localSheetId="11">#REF!</definedName>
    <definedName name="S15_" localSheetId="10">#REF!</definedName>
    <definedName name="S15_">#REF!</definedName>
    <definedName name="S16_" localSheetId="15">#REF!</definedName>
    <definedName name="S16_" localSheetId="11">#REF!</definedName>
    <definedName name="S16_" localSheetId="10">#REF!</definedName>
    <definedName name="S16_">#REF!</definedName>
    <definedName name="S17_" localSheetId="15">#REF!</definedName>
    <definedName name="S17_" localSheetId="11">#REF!</definedName>
    <definedName name="S17_" localSheetId="10">#REF!</definedName>
    <definedName name="S17_">#REF!</definedName>
    <definedName name="S18_" localSheetId="15">#REF!</definedName>
    <definedName name="S18_" localSheetId="11">#REF!</definedName>
    <definedName name="S18_" localSheetId="10">#REF!</definedName>
    <definedName name="S18_">#REF!</definedName>
    <definedName name="S19_" localSheetId="15">#REF!</definedName>
    <definedName name="S19_" localSheetId="11">#REF!</definedName>
    <definedName name="S19_" localSheetId="10">#REF!</definedName>
    <definedName name="S19_">#REF!</definedName>
    <definedName name="S2_" localSheetId="15">#REF!</definedName>
    <definedName name="S2_" localSheetId="11">#REF!</definedName>
    <definedName name="S2_" localSheetId="10">#REF!</definedName>
    <definedName name="S2_">#REF!</definedName>
    <definedName name="S20_" localSheetId="15">#REF!</definedName>
    <definedName name="S20_" localSheetId="11">#REF!</definedName>
    <definedName name="S20_" localSheetId="10">#REF!</definedName>
    <definedName name="S20_">#REF!</definedName>
    <definedName name="S3_" localSheetId="15">#REF!</definedName>
    <definedName name="S3_" localSheetId="11">#REF!</definedName>
    <definedName name="S3_" localSheetId="10">#REF!</definedName>
    <definedName name="S3_">#REF!</definedName>
    <definedName name="S4_" localSheetId="15">#REF!</definedName>
    <definedName name="S4_" localSheetId="11">#REF!</definedName>
    <definedName name="S4_" localSheetId="10">#REF!</definedName>
    <definedName name="S4_">#REF!</definedName>
    <definedName name="s4601_41" localSheetId="15">#REF!</definedName>
    <definedName name="s4601_41" localSheetId="11">#REF!</definedName>
    <definedName name="s4601_41" localSheetId="10">#REF!</definedName>
    <definedName name="s4601_41">#REF!</definedName>
    <definedName name="s4602_41" localSheetId="15">#REF!</definedName>
    <definedName name="s4602_41" localSheetId="11">#REF!</definedName>
    <definedName name="s4602_41" localSheetId="10">#REF!</definedName>
    <definedName name="s4602_41">#REF!</definedName>
    <definedName name="s4603_41" localSheetId="15">#REF!</definedName>
    <definedName name="s4603_41" localSheetId="11">#REF!</definedName>
    <definedName name="s4603_41" localSheetId="10">#REF!</definedName>
    <definedName name="s4603_41">#REF!</definedName>
    <definedName name="s4604_41" localSheetId="15">#REF!</definedName>
    <definedName name="s4604_41" localSheetId="11">#REF!</definedName>
    <definedName name="s4604_41" localSheetId="10">#REF!</definedName>
    <definedName name="s4604_41">#REF!</definedName>
    <definedName name="s4605_41" localSheetId="15">#REF!</definedName>
    <definedName name="s4605_41" localSheetId="11">#REF!</definedName>
    <definedName name="s4605_41" localSheetId="10">#REF!</definedName>
    <definedName name="s4605_41">#REF!</definedName>
    <definedName name="S5_" localSheetId="15">#REF!</definedName>
    <definedName name="S5_" localSheetId="11">#REF!</definedName>
    <definedName name="S5_" localSheetId="10">#REF!</definedName>
    <definedName name="S5_">#REF!</definedName>
    <definedName name="S6_" localSheetId="15">#REF!</definedName>
    <definedName name="S6_" localSheetId="11">#REF!</definedName>
    <definedName name="S6_" localSheetId="10">#REF!</definedName>
    <definedName name="S6_">#REF!</definedName>
    <definedName name="S7_" localSheetId="15">#REF!</definedName>
    <definedName name="S7_" localSheetId="11">#REF!</definedName>
    <definedName name="S7_" localSheetId="10">#REF!</definedName>
    <definedName name="S7_">#REF!</definedName>
    <definedName name="S8_" localSheetId="15">#REF!</definedName>
    <definedName name="S8_" localSheetId="11">#REF!</definedName>
    <definedName name="S8_" localSheetId="10">#REF!</definedName>
    <definedName name="S8_">#REF!</definedName>
    <definedName name="S9_" localSheetId="15">#REF!</definedName>
    <definedName name="S9_" localSheetId="11">#REF!</definedName>
    <definedName name="S9_" localSheetId="10">#REF!</definedName>
    <definedName name="S9_">#REF!</definedName>
    <definedName name="SALSUP" localSheetId="15">#REF!</definedName>
    <definedName name="SALSUP" localSheetId="11">#REF!</definedName>
    <definedName name="SALSUP">#REF!</definedName>
    <definedName name="samara" localSheetId="15">#REF!</definedName>
    <definedName name="samara" localSheetId="11">#REF!</definedName>
    <definedName name="samara" localSheetId="1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PROT">#N/A</definedName>
    <definedName name="scenario_choice">'[37]Macro Assumptions'!$D$60</definedName>
    <definedName name="sch" localSheetId="15">#REF!</definedName>
    <definedName name="sch" localSheetId="2">#REF!</definedName>
    <definedName name="sch" localSheetId="1">#REF!</definedName>
    <definedName name="sch" localSheetId="11">#REF!</definedName>
    <definedName name="sch" localSheetId="8">#REF!</definedName>
    <definedName name="sch" localSheetId="9">#REF!</definedName>
    <definedName name="sch" localSheetId="10">#REF!</definedName>
    <definedName name="sch" localSheetId="5">#REF!</definedName>
    <definedName name="sch" localSheetId="4">#REF!</definedName>
    <definedName name="sch">#REF!</definedName>
    <definedName name="SCOPE_16_PRT" localSheetId="11">#N/A</definedName>
    <definedName name="SCOPE_16_PRT" localSheetId="8">#N/A</definedName>
    <definedName name="SCOPE_16_PRT" localSheetId="9">#N/A</definedName>
    <definedName name="SCOPE_16_PRT">#N/A</definedName>
    <definedName name="SCOPE_24_LD" localSheetId="15">#REF!,#REF!</definedName>
    <definedName name="SCOPE_24_LD" localSheetId="2">#REF!,#REF!</definedName>
    <definedName name="SCOPE_24_LD" localSheetId="1">#REF!,#REF!</definedName>
    <definedName name="SCOPE_24_LD" localSheetId="11">#REF!,#REF!</definedName>
    <definedName name="SCOPE_24_LD" localSheetId="8">#REF!,#REF!</definedName>
    <definedName name="SCOPE_24_LD" localSheetId="9">#REF!,#REF!</definedName>
    <definedName name="SCOPE_24_LD" localSheetId="10">#REF!,#REF!</definedName>
    <definedName name="SCOPE_24_LD" localSheetId="5">#REF!,#REF!</definedName>
    <definedName name="SCOPE_24_LD" localSheetId="4">#REF!,#REF!</definedName>
    <definedName name="SCOPE_24_LD">#REF!,#REF!</definedName>
    <definedName name="SCOPE_24_PRT" localSheetId="15">#REF!,#REF!,#REF!,#REF!</definedName>
    <definedName name="SCOPE_24_PRT" localSheetId="2">#REF!,#REF!,#REF!,#REF!</definedName>
    <definedName name="SCOPE_24_PRT" localSheetId="1">#REF!,#REF!,#REF!,#REF!</definedName>
    <definedName name="SCOPE_24_PRT" localSheetId="11">#REF!,#REF!,#REF!,#REF!</definedName>
    <definedName name="SCOPE_24_PRT" localSheetId="8">#REF!,#REF!,#REF!,#REF!</definedName>
    <definedName name="SCOPE_24_PRT" localSheetId="9">#REF!,#REF!,#REF!,#REF!</definedName>
    <definedName name="SCOPE_24_PRT" localSheetId="10">#REF!,#REF!,#REF!,#REF!</definedName>
    <definedName name="SCOPE_24_PRT" localSheetId="5">#REF!,#REF!,#REF!,#REF!</definedName>
    <definedName name="SCOPE_24_PRT" localSheetId="4">#REF!,#REF!,#REF!,#REF!</definedName>
    <definedName name="SCOPE_24_PRT">#REF!,#REF!,#REF!,#REF!</definedName>
    <definedName name="SCOPE_ESOLD" localSheetId="15">#REF!</definedName>
    <definedName name="SCOPE_ESOLD" localSheetId="2">#REF!</definedName>
    <definedName name="SCOPE_ESOLD" localSheetId="1">#REF!</definedName>
    <definedName name="SCOPE_ESOLD" localSheetId="11">#REF!</definedName>
    <definedName name="SCOPE_ESOLD" localSheetId="8">#REF!</definedName>
    <definedName name="SCOPE_ESOLD" localSheetId="9">#REF!</definedName>
    <definedName name="SCOPE_ESOLD" localSheetId="10">#REF!</definedName>
    <definedName name="SCOPE_ESOLD" localSheetId="5">#REF!</definedName>
    <definedName name="SCOPE_ESOLD" localSheetId="4">#REF!</definedName>
    <definedName name="SCOPE_ESOLD">#REF!</definedName>
    <definedName name="SCOPE_FLOAD">#N/A</definedName>
    <definedName name="SCOPE_FRML">#N/A</definedName>
    <definedName name="SCOPE_LOAD_1" localSheetId="15">#REF!</definedName>
    <definedName name="SCOPE_LOAD_1" localSheetId="2">#REF!</definedName>
    <definedName name="SCOPE_LOAD_1" localSheetId="1">#REF!</definedName>
    <definedName name="SCOPE_LOAD_1" localSheetId="11">#REF!</definedName>
    <definedName name="SCOPE_LOAD_1" localSheetId="8">#REF!</definedName>
    <definedName name="SCOPE_LOAD_1" localSheetId="9">#REF!</definedName>
    <definedName name="SCOPE_LOAD_1" localSheetId="10">#REF!</definedName>
    <definedName name="SCOPE_LOAD_1" localSheetId="5">#REF!</definedName>
    <definedName name="SCOPE_LOAD_1" localSheetId="4">#REF!</definedName>
    <definedName name="SCOPE_LOAD_1">#REF!</definedName>
    <definedName name="SCOPE_LOAD_4" localSheetId="2">#REF!</definedName>
    <definedName name="SCOPE_LOAD_4" localSheetId="1">#REF!</definedName>
    <definedName name="SCOPE_LOAD_4" localSheetId="11">#REF!</definedName>
    <definedName name="SCOPE_LOAD_4" localSheetId="8">#REF!</definedName>
    <definedName name="SCOPE_LOAD_4" localSheetId="9">#REF!</definedName>
    <definedName name="SCOPE_LOAD_4" localSheetId="10">#REF!</definedName>
    <definedName name="SCOPE_LOAD_4" localSheetId="5">#REF!</definedName>
    <definedName name="SCOPE_LOAD_4" localSheetId="4">#REF!</definedName>
    <definedName name="SCOPE_LOAD_4">#REF!</definedName>
    <definedName name="SCOPE_LOAD_7" localSheetId="15">#REF!</definedName>
    <definedName name="SCOPE_LOAD_7" localSheetId="11">#REF!</definedName>
    <definedName name="SCOPE_LOAD_7" localSheetId="10">#REF!</definedName>
    <definedName name="SCOPE_LOAD_7">#REF!</definedName>
    <definedName name="SCOPE_PER_PRT" localSheetId="15">[7]!P5_SCOPE_PER_PRT,[7]!P6_SCOPE_PER_PRT,[7]потери!P7_SCOPE_PER_PRT,[7]потери!P8_SCOPE_PER_PRT</definedName>
    <definedName name="SCOPE_PER_PRT" localSheetId="11">#N/A</definedName>
    <definedName name="SCOPE_PER_PRT" localSheetId="8">#N/A</definedName>
    <definedName name="SCOPE_PER_PRT" localSheetId="9">#N/A</definedName>
    <definedName name="SCOPE_PER_PRT">#N/A</definedName>
    <definedName name="SCOPE_SETLD" localSheetId="15">#REF!</definedName>
    <definedName name="SCOPE_SETLD" localSheetId="2">#REF!</definedName>
    <definedName name="SCOPE_SETLD" localSheetId="1">#REF!</definedName>
    <definedName name="SCOPE_SETLD" localSheetId="11">#REF!</definedName>
    <definedName name="SCOPE_SETLD" localSheetId="8">#REF!</definedName>
    <definedName name="SCOPE_SETLD" localSheetId="9">#REF!</definedName>
    <definedName name="SCOPE_SETLD" localSheetId="10">#REF!</definedName>
    <definedName name="SCOPE_SETLD" localSheetId="5">#REF!</definedName>
    <definedName name="SCOPE_SETLD" localSheetId="4">#REF!</definedName>
    <definedName name="SCOPE_SETLD">#REF!</definedName>
    <definedName name="SCOPE_SV_PRT" localSheetId="15">[7]!P1_SCOPE_SV_PRT,[7]!P2_SCOPE_SV_PRT,[7]!P3_SCOPE_SV_PRT</definedName>
    <definedName name="SCOPE_SV_PRT" localSheetId="11">#N/A</definedName>
    <definedName name="SCOPE_SV_PRT" localSheetId="8">#N/A</definedName>
    <definedName name="SCOPE_SV_PRT" localSheetId="9">#N/A</definedName>
    <definedName name="SCOPE_SV_PRT">#N/A</definedName>
    <definedName name="SCOPE_VD" localSheetId="15">[89]TECHSHEET!$C$1:$C$10</definedName>
    <definedName name="SCOPE_VD" localSheetId="2">[90]TECHSHEET!$C$1:$C$10</definedName>
    <definedName name="SCOPE_VD" localSheetId="1">[90]TECHSHEET!$C$1:$C$10</definedName>
    <definedName name="SCOPE_VD" localSheetId="11">[89]TECHSHEET!$C$1:$C$10</definedName>
    <definedName name="SCOPE_VD" localSheetId="8">[89]TECHSHEET!$C$1:$C$10</definedName>
    <definedName name="SCOPE_VD" localSheetId="9">[89]TECHSHEET!$C$1:$C$10</definedName>
    <definedName name="SCOPE_VD" localSheetId="10">[89]TECHSHEET!$C$1:$C$10</definedName>
    <definedName name="SCOPE_VD" localSheetId="5">[90]TECHSHEET!$C$1:$C$10</definedName>
    <definedName name="SCOPE_VD" localSheetId="4">[90]TECHSHEET!$C$1:$C$10</definedName>
    <definedName name="SCOPE_VD">[91]TECHSHEET!$C$1:$C$10</definedName>
    <definedName name="sd" localSheetId="15">#REF!</definedName>
    <definedName name="sd" localSheetId="2">#REF!</definedName>
    <definedName name="sd" localSheetId="1">#REF!</definedName>
    <definedName name="sd" localSheetId="11">#REF!</definedName>
    <definedName name="sd" localSheetId="8">#REF!</definedName>
    <definedName name="sd" localSheetId="9">#REF!</definedName>
    <definedName name="sd" localSheetId="10">#REF!</definedName>
    <definedName name="sd" localSheetId="5">#REF!</definedName>
    <definedName name="sd" localSheetId="4">#REF!</definedName>
    <definedName name="sd">#REF!</definedName>
    <definedName name="sdas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5">#REF!</definedName>
    <definedName name="sde" localSheetId="2">#REF!</definedName>
    <definedName name="sde" localSheetId="1">#REF!</definedName>
    <definedName name="sde" localSheetId="11">#REF!</definedName>
    <definedName name="sde" localSheetId="8">#REF!</definedName>
    <definedName name="sde" localSheetId="9">#REF!</definedName>
    <definedName name="sde" localSheetId="10">#REF!</definedName>
    <definedName name="sde" localSheetId="5">#REF!</definedName>
    <definedName name="sde" localSheetId="4">#REF!</definedName>
    <definedName name="sde">#REF!</definedName>
    <definedName name="sencount" hidden="1">1</definedName>
    <definedName name="sent" localSheetId="15">#REF!</definedName>
    <definedName name="sent" localSheetId="2">#REF!</definedName>
    <definedName name="sent" localSheetId="1">#REF!</definedName>
    <definedName name="sent" localSheetId="11">#REF!</definedName>
    <definedName name="sent" localSheetId="8">#REF!</definedName>
    <definedName name="sent" localSheetId="9">#REF!</definedName>
    <definedName name="sent" localSheetId="10">#REF!</definedName>
    <definedName name="sent" localSheetId="5">#REF!</definedName>
    <definedName name="sent" localSheetId="4">#REF!</definedName>
    <definedName name="sent">#REF!</definedName>
    <definedName name="sentral_kurgan" localSheetId="15">#REF!</definedName>
    <definedName name="sentral_kurgan" localSheetId="11">#REF!</definedName>
    <definedName name="sentral_kurgan" localSheetId="8">#REF!</definedName>
    <definedName name="sentral_kurgan" localSheetId="9">#REF!</definedName>
    <definedName name="sentral_kurgan" localSheetId="10">#REF!</definedName>
    <definedName name="sentral_kurgan">#REF!</definedName>
    <definedName name="SET_PROT">#N/A</definedName>
    <definedName name="SET_PRT">#N/A</definedName>
    <definedName name="sfd" localSheetId="15">#REF!</definedName>
    <definedName name="sfd" localSheetId="2">#REF!</definedName>
    <definedName name="sfd" localSheetId="1">#REF!</definedName>
    <definedName name="sfd" localSheetId="11">#REF!</definedName>
    <definedName name="sfd" localSheetId="8">#REF!</definedName>
    <definedName name="sfd" localSheetId="9">#REF!</definedName>
    <definedName name="sfd" localSheetId="10">#REF!</definedName>
    <definedName name="sfd" localSheetId="5">#REF!</definedName>
    <definedName name="sfd" localSheetId="4">#REF!</definedName>
    <definedName name="sfd">#REF!</definedName>
    <definedName name="sffhh" localSheetId="15">#REF!</definedName>
    <definedName name="sffhh" localSheetId="11">#REF!</definedName>
    <definedName name="sffhh" localSheetId="8">#REF!</definedName>
    <definedName name="sffhh" localSheetId="9">#REF!</definedName>
    <definedName name="sffhh" localSheetId="10">#REF!</definedName>
    <definedName name="sffhh">#REF!</definedName>
    <definedName name="share_tog" localSheetId="15">#REF!</definedName>
    <definedName name="share_tog" localSheetId="11">#REF!</definedName>
    <definedName name="share_tog" localSheetId="8">#REF!</definedName>
    <definedName name="share_tog" localSheetId="9">#REF!</definedName>
    <definedName name="share_tog" localSheetId="10">#REF!</definedName>
    <definedName name="share_tog">#REF!</definedName>
    <definedName name="shares" localSheetId="15">#REF!</definedName>
    <definedName name="shares" localSheetId="11">#REF!</definedName>
    <definedName name="shares" localSheetId="10">#REF!</definedName>
    <definedName name="shares">#REF!</definedName>
    <definedName name="Sheet2?prefix?">"H"</definedName>
    <definedName name="shos" localSheetId="15">#REF!</definedName>
    <definedName name="shos" localSheetId="2">#REF!</definedName>
    <definedName name="shos" localSheetId="1">#REF!</definedName>
    <definedName name="shos" localSheetId="11">#REF!</definedName>
    <definedName name="shos" localSheetId="8">#REF!</definedName>
    <definedName name="shos" localSheetId="9">#REF!</definedName>
    <definedName name="shos" localSheetId="10">#REF!</definedName>
    <definedName name="shos" localSheetId="5">#REF!</definedName>
    <definedName name="shos" localSheetId="4">#REF!</definedName>
    <definedName name="shos">#REF!</definedName>
    <definedName name="smet" localSheetId="15" hidden="1">{#N/A,#N/A,FALSE,"Себестоимсть-97"}</definedName>
    <definedName name="smet" localSheetId="2" hidden="1">{#N/A,#N/A,FALSE,"Себестоимсть-97"}</definedName>
    <definedName name="smet" localSheetId="1" hidden="1">{#N/A,#N/A,FALSE,"Себестоимсть-97"}</definedName>
    <definedName name="smet" localSheetId="11" hidden="1">{#N/A,#N/A,FALSE,"Себестоимсть-97"}</definedName>
    <definedName name="smet" localSheetId="8" hidden="1">{#N/A,#N/A,FALSE,"Себестоимсть-97"}</definedName>
    <definedName name="smet" localSheetId="9" hidden="1">{#N/A,#N/A,FALSE,"Себестоимсть-97"}</definedName>
    <definedName name="smet" localSheetId="10" hidden="1">{#N/A,#N/A,FALSE,"Себестоимсть-97"}</definedName>
    <definedName name="smet" localSheetId="5" hidden="1">{#N/A,#N/A,FALSE,"Себестоимсть-97"}</definedName>
    <definedName name="smet" localSheetId="4" hidden="1">{#N/A,#N/A,FALSE,"Себестоимсть-97"}</definedName>
    <definedName name="smet" hidden="1">{#N/A,#N/A,FALSE,"Себестоимсть-97"}</definedName>
    <definedName name="smet1" localSheetId="15" hidden="1">{#N/A,#N/A,FALSE,"Себестоимсть-97"}</definedName>
    <definedName name="smet1" localSheetId="2" hidden="1">{#N/A,#N/A,FALSE,"Себестоимсть-97"}</definedName>
    <definedName name="smet1" localSheetId="1" hidden="1">{#N/A,#N/A,FALSE,"Себестоимсть-97"}</definedName>
    <definedName name="smet1" localSheetId="11" hidden="1">{#N/A,#N/A,FALSE,"Себестоимсть-97"}</definedName>
    <definedName name="smet1" localSheetId="8" hidden="1">{#N/A,#N/A,FALSE,"Себестоимсть-97"}</definedName>
    <definedName name="smet1" localSheetId="9" hidden="1">{#N/A,#N/A,FALSE,"Себестоимсть-97"}</definedName>
    <definedName name="smet1" localSheetId="10" hidden="1">{#N/A,#N/A,FALSE,"Себестоимсть-97"}</definedName>
    <definedName name="smet1" localSheetId="5" hidden="1">{#N/A,#N/A,FALSE,"Себестоимсть-97"}</definedName>
    <definedName name="smet1" localSheetId="4" hidden="1">{#N/A,#N/A,FALSE,"Себестоимсть-97"}</definedName>
    <definedName name="smet1" hidden="1">{#N/A,#N/A,FALSE,"Себестоимсть-97"}</definedName>
    <definedName name="SPHAS" localSheetId="15">#REF!</definedName>
    <definedName name="SPHAS" localSheetId="11">#REF!</definedName>
    <definedName name="SPHAS">#REF!</definedName>
    <definedName name="ss" localSheetId="15">#REF!</definedName>
    <definedName name="ss" localSheetId="11">#REF!</definedName>
    <definedName name="ss" localSheetId="8">#REF!</definedName>
    <definedName name="ss" localSheetId="9">#REF!</definedName>
    <definedName name="ss" localSheetId="10">#REF!</definedName>
    <definedName name="ss">#REF!</definedName>
    <definedName name="sshsgh" localSheetId="15">#REF!</definedName>
    <definedName name="sshsgh" localSheetId="11">#REF!</definedName>
    <definedName name="sshsgh" localSheetId="8">#REF!</definedName>
    <definedName name="sshsgh" localSheetId="9">#REF!</definedName>
    <definedName name="sshsgh" localSheetId="10">#REF!</definedName>
    <definedName name="sshsgh">#REF!</definedName>
    <definedName name="ST" localSheetId="15">#REF!</definedName>
    <definedName name="ST" localSheetId="11">#REF!</definedName>
    <definedName name="ST">#REF!</definedName>
    <definedName name="sy0">'[12]BCS APP CR'!$O$24</definedName>
    <definedName name="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1_" localSheetId="15">#REF!</definedName>
    <definedName name="T1_" localSheetId="2">#REF!</definedName>
    <definedName name="T1_" localSheetId="1">#REF!</definedName>
    <definedName name="T1_" localSheetId="11">#REF!</definedName>
    <definedName name="T1_" localSheetId="8">#REF!</definedName>
    <definedName name="T1_" localSheetId="9">#REF!</definedName>
    <definedName name="T1_" localSheetId="10">#REF!</definedName>
    <definedName name="T1_" localSheetId="5">#REF!</definedName>
    <definedName name="T1_" localSheetId="4">#REF!</definedName>
    <definedName name="T1_">#REF!</definedName>
    <definedName name="T1_Protect" localSheetId="15">P15_T1_Protect,P16_T1_Protect,P17_T1_Protect,P18_T1_Protect,амор!P19_T1_Protect</definedName>
    <definedName name="T1_Protect" localSheetId="2">#N/A</definedName>
    <definedName name="T1_Protect" localSheetId="1">#N/A</definedName>
    <definedName name="T1_Protect" localSheetId="11">P15_T1_Protect,P16_T1_Protect,P17_T1_Protect,P18_T1_Protect,[0]!P19_T1_Protect</definedName>
    <definedName name="T1_Protect" localSheetId="8">P15_T1_Protect,P16_T1_Protect,P17_T1_Protect,P18_T1_Protect,[0]!P19_T1_Protect</definedName>
    <definedName name="T1_Protect" localSheetId="9">P15_T1_Protect,P16_T1_Protect,P17_T1_Protect,P18_T1_Protect,[0]!P19_T1_Protect</definedName>
    <definedName name="T1_Protect" localSheetId="10">P15_T1_Protect,P16_T1_Protect,P17_T1_Protect,P18_T1_Protect,прил4!P19_T1_Protect</definedName>
    <definedName name="T1_Protect" localSheetId="5">#N/A</definedName>
    <definedName name="T1_Protect" localSheetId="4">#N/A</definedName>
    <definedName name="T1_Protect">P15_T1_Protect,P16_T1_Protect,P17_T1_Protect,P18_T1_Protect,подконтрольные!P19_T1_Protect</definedName>
    <definedName name="T11?Data">#N/A</definedName>
    <definedName name="T15?Columns" localSheetId="15">#REF!</definedName>
    <definedName name="T15?Columns" localSheetId="2">#REF!</definedName>
    <definedName name="T15?Columns" localSheetId="1">#REF!</definedName>
    <definedName name="T15?Columns" localSheetId="11">#REF!</definedName>
    <definedName name="T15?Columns" localSheetId="8">#REF!</definedName>
    <definedName name="T15?Columns" localSheetId="9">#REF!</definedName>
    <definedName name="T15?Columns" localSheetId="10">#REF!</definedName>
    <definedName name="T15?Columns" localSheetId="5">#REF!</definedName>
    <definedName name="T15?Columns" localSheetId="4">#REF!</definedName>
    <definedName name="T15?Columns">#REF!</definedName>
    <definedName name="T15?ItemComments" localSheetId="15">#REF!</definedName>
    <definedName name="T15?ItemComments" localSheetId="11">#REF!</definedName>
    <definedName name="T15?ItemComments" localSheetId="8">#REF!</definedName>
    <definedName name="T15?ItemComments" localSheetId="9">#REF!</definedName>
    <definedName name="T15?ItemComments" localSheetId="10">#REF!</definedName>
    <definedName name="T15?ItemComments">#REF!</definedName>
    <definedName name="T15?Items" localSheetId="15">#REF!</definedName>
    <definedName name="T15?Items" localSheetId="11">#REF!</definedName>
    <definedName name="T15?Items" localSheetId="8">#REF!</definedName>
    <definedName name="T15?Items" localSheetId="9">#REF!</definedName>
    <definedName name="T15?Items" localSheetId="10">#REF!</definedName>
    <definedName name="T15?Items">#REF!</definedName>
    <definedName name="T15?Scope" localSheetId="15">#REF!</definedName>
    <definedName name="T15?Scope" localSheetId="11">#REF!</definedName>
    <definedName name="T15?Scope" localSheetId="10">#REF!</definedName>
    <definedName name="T15?Scope">#REF!</definedName>
    <definedName name="T15?ВРАС" localSheetId="15">#REF!</definedName>
    <definedName name="T15?ВРАС" localSheetId="11">#REF!</definedName>
    <definedName name="T15?ВРАС" localSheetId="10">#REF!</definedName>
    <definedName name="T15?ВРАС">#REF!</definedName>
    <definedName name="T17_Protect" localSheetId="15">#REF!,#REF!,P1_T17_Protect</definedName>
    <definedName name="T17_Protect" localSheetId="2">#REF!,#REF!,P1_T17_Protect</definedName>
    <definedName name="T17_Protect" localSheetId="1">#REF!,#REF!,P1_T17_Protect</definedName>
    <definedName name="T17_Protect" localSheetId="11">#REF!,#REF!,P1_T17_Protect</definedName>
    <definedName name="T17_Protect" localSheetId="8">#REF!,#REF!,P1_T17_Protect</definedName>
    <definedName name="T17_Protect" localSheetId="9">#REF!,#REF!,P1_T17_Protect</definedName>
    <definedName name="T17_Protect" localSheetId="10">#REF!,#REF!,P1_T17_Protect</definedName>
    <definedName name="T17_Protect" localSheetId="5">#REF!,#REF!,P1_T17_Protect</definedName>
    <definedName name="T17_Protect" localSheetId="4">#REF!,#REF!,P1_T17_Protect</definedName>
    <definedName name="T17_Protect">#REF!,#REF!,P1_T17_Protect</definedName>
    <definedName name="T17_Protection" localSheetId="15">P2_T17_Protection,P3_T17_Protection,P4_T17_Protection,P5_T17_Protection,P6_T17_Protection</definedName>
    <definedName name="T17_Protection" localSheetId="2">P2_T17_Protection,P3_T17_Protection,P4_T17_Protection,P5_T17_Protection,P6_T17_Protection</definedName>
    <definedName name="T17_Protection" localSheetId="1">P2_T17_Protection,P3_T17_Protection,P4_T17_Protection,P5_T17_Protection,P6_T17_Protection</definedName>
    <definedName name="T17_Protection" localSheetId="11">P2_T17_Protection,P3_T17_Protection,P4_T17_Protection,P5_T17_Protection,P6_T17_Protection</definedName>
    <definedName name="T17_Protection" localSheetId="8">P2_T17_Protection,P3_T17_Protection,P4_T17_Protection,P5_T17_Protection,P6_T17_Protection</definedName>
    <definedName name="T17_Protection" localSheetId="9">P2_T17_Protection,P3_T17_Protection,P4_T17_Protection,P5_T17_Protection,P6_T17_Protection</definedName>
    <definedName name="T17_Protection" localSheetId="10">P2_T17_Protection,P3_T17_Protection,P4_T17_Protection,P5_T17_Protection,P6_T17_Protection</definedName>
    <definedName name="T17_Protection" localSheetId="5">P2_T17_Protection,P3_T17_Protection,P4_T17_Protection,P5_T17_Protection,P6_T17_Protection</definedName>
    <definedName name="T17_Protection" localSheetId="4">P2_T17_Protection,P3_T17_Protection,P4_T17_Protection,P5_T17_Protection,P6_T17_Protection</definedName>
    <definedName name="T17_Protection">P2_T17_Protection,P3_T17_Protection,P4_T17_Protection,P5_T17_Protection,P6_T17_Protection</definedName>
    <definedName name="T18.1?Data" localSheetId="15">P1_T18.1?Data,P2_T18.1?Data</definedName>
    <definedName name="T18.1?Data" localSheetId="2">P1_T18.1?Data,P2_T18.1?Data</definedName>
    <definedName name="T18.1?Data" localSheetId="1">P1_T18.1?Data,P2_T18.1?Data</definedName>
    <definedName name="T18.1?Data" localSheetId="11">P1_T18.1?Data,P2_T18.1?Data</definedName>
    <definedName name="T18.1?Data" localSheetId="8">P1_T18.1?Data,P2_T18.1?Data</definedName>
    <definedName name="T18.1?Data" localSheetId="9">P1_T18.1?Data,P2_T18.1?Data</definedName>
    <definedName name="T18.1?Data" localSheetId="10">P1_T18.1?Data,P2_T18.1?Data</definedName>
    <definedName name="T18.1?Data" localSheetId="5">P1_T18.1?Data,P2_T18.1?Data</definedName>
    <definedName name="T18.1?Data" localSheetId="4">P1_T18.1?Data,P2_T18.1?Data</definedName>
    <definedName name="T18.1?Data">P1_T18.1?Data,P2_T18.1?Data</definedName>
    <definedName name="T19.1.1?Data" localSheetId="15">P1_T19.1.1?Data,P2_T19.1.1?Data</definedName>
    <definedName name="T19.1.1?Data" localSheetId="2">P1_T19.1.1?Data,P2_T19.1.1?Data</definedName>
    <definedName name="T19.1.1?Data" localSheetId="1">P1_T19.1.1?Data,P2_T19.1.1?Data</definedName>
    <definedName name="T19.1.1?Data" localSheetId="11">P1_T19.1.1?Data,P2_T19.1.1?Data</definedName>
    <definedName name="T19.1.1?Data" localSheetId="8">P1_T19.1.1?Data,P2_T19.1.1?Data</definedName>
    <definedName name="T19.1.1?Data" localSheetId="9">P1_T19.1.1?Data,P2_T19.1.1?Data</definedName>
    <definedName name="T19.1.1?Data" localSheetId="10">P1_T19.1.1?Data,P2_T19.1.1?Data</definedName>
    <definedName name="T19.1.1?Data" localSheetId="5">P1_T19.1.1?Data,P2_T19.1.1?Data</definedName>
    <definedName name="T19.1.1?Data" localSheetId="4">P1_T19.1.1?Data,P2_T19.1.1?Data</definedName>
    <definedName name="T19.1.1?Data">P1_T19.1.1?Data,P2_T19.1.1?Data</definedName>
    <definedName name="T19.1.2?Data" localSheetId="15">P1_T19.1.2?Data,P2_T19.1.2?Data</definedName>
    <definedName name="T19.1.2?Data" localSheetId="2">P1_T19.1.2?Data,P2_T19.1.2?Data</definedName>
    <definedName name="T19.1.2?Data" localSheetId="1">P1_T19.1.2?Data,P2_T19.1.2?Data</definedName>
    <definedName name="T19.1.2?Data" localSheetId="11">P1_T19.1.2?Data,P2_T19.1.2?Data</definedName>
    <definedName name="T19.1.2?Data" localSheetId="8">P1_T19.1.2?Data,P2_T19.1.2?Data</definedName>
    <definedName name="T19.1.2?Data" localSheetId="9">P1_T19.1.2?Data,P2_T19.1.2?Data</definedName>
    <definedName name="T19.1.2?Data" localSheetId="10">P1_T19.1.2?Data,P2_T19.1.2?Data</definedName>
    <definedName name="T19.1.2?Data" localSheetId="5">P1_T19.1.2?Data,P2_T19.1.2?Data</definedName>
    <definedName name="T19.1.2?Data" localSheetId="4">P1_T19.1.2?Data,P2_T19.1.2?Data</definedName>
    <definedName name="T19.1.2?Data">P1_T19.1.2?Data,P2_T19.1.2?Data</definedName>
    <definedName name="T19.2?Data" localSheetId="15">P1_T19.2?Data,P2_T19.2?Data</definedName>
    <definedName name="T19.2?Data" localSheetId="2">P1_T19.2?Data,P2_T19.2?Data</definedName>
    <definedName name="T19.2?Data" localSheetId="1">P1_T19.2?Data,P2_T19.2?Data</definedName>
    <definedName name="T19.2?Data" localSheetId="11">P1_T19.2?Data,P2_T19.2?Data</definedName>
    <definedName name="T19.2?Data" localSheetId="8">P1_T19.2?Data,P2_T19.2?Data</definedName>
    <definedName name="T19.2?Data" localSheetId="9">P1_T19.2?Data,P2_T19.2?Data</definedName>
    <definedName name="T19.2?Data" localSheetId="10">P1_T19.2?Data,P2_T19.2?Data</definedName>
    <definedName name="T19.2?Data" localSheetId="5">P1_T19.2?Data,P2_T19.2?Data</definedName>
    <definedName name="T19.2?Data" localSheetId="4">P1_T19.2?Data,P2_T19.2?Data</definedName>
    <definedName name="T19.2?Data">P1_T19.2?Data,P2_T19.2?Data</definedName>
    <definedName name="T2.1?Data">#N/A</definedName>
    <definedName name="T2.1?Protection" localSheetId="15">амор!P6_T2.1?Protection</definedName>
    <definedName name="T2.1?Protection" localSheetId="2">'Кальк.2019-2023 (ДИ) (2)'!P6_T2.1?Protection</definedName>
    <definedName name="T2.1?Protection" localSheetId="1">'Кальк.2019-2023 (ДИ) (3)'!P6_T2.1?Protection</definedName>
    <definedName name="T2.1?Protection" localSheetId="11">'прил 4 к расп'!P6_T2.1?Protection</definedName>
    <definedName name="T2.1?Protection" localSheetId="8">Прил2!P6_T2.1?Protection</definedName>
    <definedName name="T2.1?Protection" localSheetId="9">Прил3!P6_T2.1?Protection</definedName>
    <definedName name="T2.1?Protection" localSheetId="10">прил4!P6_T2.1?Protection</definedName>
    <definedName name="T2.1?Protection" localSheetId="5">'Тарифное меню (2)'!P6_T2.1?Protection</definedName>
    <definedName name="T2.1?Protection" localSheetId="4">'Тарифное меню (3)'!P6_T2.1?Protection</definedName>
    <definedName name="T2.1?Protection">P6_T2.1?Protection</definedName>
    <definedName name="T2?Protection" localSheetId="15">P1_T2?Protection,P2_T2?Protection</definedName>
    <definedName name="T2?Protection" localSheetId="2">P1_T2?Protection,P2_T2?Protection</definedName>
    <definedName name="T2?Protection" localSheetId="1">P1_T2?Protection,P2_T2?Protection</definedName>
    <definedName name="T2?Protection" localSheetId="11">P1_T2?Protection,P2_T2?Protection</definedName>
    <definedName name="T2?Protection" localSheetId="8">P1_T2?Protection,P2_T2?Protection</definedName>
    <definedName name="T2?Protection" localSheetId="9">P1_T2?Protection,P2_T2?Protection</definedName>
    <definedName name="T2?Protection" localSheetId="10">P1_T2?Protection,P2_T2?Protection</definedName>
    <definedName name="T2?Protection" localSheetId="5">P1_T2?Protection,P2_T2?Protection</definedName>
    <definedName name="T2?Protection" localSheetId="4">P1_T2?Protection,P2_T2?Protection</definedName>
    <definedName name="T2?Protection">P1_T2?Protection,P2_T2?Protection</definedName>
    <definedName name="T2_" localSheetId="15">#REF!</definedName>
    <definedName name="T2_" localSheetId="2">#REF!</definedName>
    <definedName name="T2_" localSheetId="1">#REF!</definedName>
    <definedName name="T2_" localSheetId="11">#REF!</definedName>
    <definedName name="T2_" localSheetId="8">#REF!</definedName>
    <definedName name="T2_" localSheetId="9">#REF!</definedName>
    <definedName name="T2_" localSheetId="10">#REF!</definedName>
    <definedName name="T2_" localSheetId="5">#REF!</definedName>
    <definedName name="T2_" localSheetId="4">#REF!</definedName>
    <definedName name="T2_">#REF!</definedName>
    <definedName name="T2_DiapProt" localSheetId="15">P1_T2_DiapProt,P2_T2_DiapProt</definedName>
    <definedName name="T2_DiapProt" localSheetId="2">P1_T2_DiapProt,P2_T2_DiapProt</definedName>
    <definedName name="T2_DiapProt" localSheetId="1">P1_T2_DiapProt,P2_T2_DiapProt</definedName>
    <definedName name="T2_DiapProt" localSheetId="11">P1_T2_DiapProt,P2_T2_DiapProt</definedName>
    <definedName name="T2_DiapProt" localSheetId="8">P1_T2_DiapProt,P2_T2_DiapProt</definedName>
    <definedName name="T2_DiapProt" localSheetId="9">P1_T2_DiapProt,P2_T2_DiapProt</definedName>
    <definedName name="T2_DiapProt" localSheetId="10">P1_T2_DiapProt,P2_T2_DiapProt</definedName>
    <definedName name="T2_DiapProt" localSheetId="5">P1_T2_DiapProt,P2_T2_DiapProt</definedName>
    <definedName name="T2_DiapProt" localSheetId="4">P1_T2_DiapProt,P2_T2_DiapProt</definedName>
    <definedName name="T2_DiapProt">P1_T2_DiapProt,P2_T2_DiapProt</definedName>
    <definedName name="T21.2.1?Data" localSheetId="15">P1_T21.2.1?Data,P2_T21.2.1?Data</definedName>
    <definedName name="T21.2.1?Data" localSheetId="2">P1_T21.2.1?Data,P2_T21.2.1?Data</definedName>
    <definedName name="T21.2.1?Data" localSheetId="1">P1_T21.2.1?Data,P2_T21.2.1?Data</definedName>
    <definedName name="T21.2.1?Data" localSheetId="11">P1_T21.2.1?Data,P2_T21.2.1?Data</definedName>
    <definedName name="T21.2.1?Data" localSheetId="8">P1_T21.2.1?Data,P2_T21.2.1?Data</definedName>
    <definedName name="T21.2.1?Data" localSheetId="9">P1_T21.2.1?Data,P2_T21.2.1?Data</definedName>
    <definedName name="T21.2.1?Data" localSheetId="10">P1_T21.2.1?Data,P2_T21.2.1?Data</definedName>
    <definedName name="T21.2.1?Data" localSheetId="5">P1_T21.2.1?Data,P2_T21.2.1?Data</definedName>
    <definedName name="T21.2.1?Data" localSheetId="4">P1_T21.2.1?Data,P2_T21.2.1?Data</definedName>
    <definedName name="T21.2.1?Data">P1_T21.2.1?Data,P2_T21.2.1?Data</definedName>
    <definedName name="T21.2.2?Data" localSheetId="15">P1_T21.2.2?Data,P2_T21.2.2?Data</definedName>
    <definedName name="T21.2.2?Data" localSheetId="2">P1_T21.2.2?Data,P2_T21.2.2?Data</definedName>
    <definedName name="T21.2.2?Data" localSheetId="1">P1_T21.2.2?Data,P2_T21.2.2?Data</definedName>
    <definedName name="T21.2.2?Data" localSheetId="11">P1_T21.2.2?Data,P2_T21.2.2?Data</definedName>
    <definedName name="T21.2.2?Data" localSheetId="8">P1_T21.2.2?Data,P2_T21.2.2?Data</definedName>
    <definedName name="T21.2.2?Data" localSheetId="9">P1_T21.2.2?Data,P2_T21.2.2?Data</definedName>
    <definedName name="T21.2.2?Data" localSheetId="10">P1_T21.2.2?Data,P2_T21.2.2?Data</definedName>
    <definedName name="T21.2.2?Data" localSheetId="5">P1_T21.2.2?Data,P2_T21.2.2?Data</definedName>
    <definedName name="T21.2.2?Data" localSheetId="4">P1_T21.2.2?Data,P2_T21.2.2?Data</definedName>
    <definedName name="T21.2.2?Data">P1_T21.2.2?Data,P2_T21.2.2?Data</definedName>
    <definedName name="T21.3?Columns" localSheetId="15">#REF!</definedName>
    <definedName name="T21.3?Columns" localSheetId="2">#REF!</definedName>
    <definedName name="T21.3?Columns" localSheetId="1">#REF!</definedName>
    <definedName name="T21.3?Columns" localSheetId="11">#REF!</definedName>
    <definedName name="T21.3?Columns" localSheetId="8">#REF!</definedName>
    <definedName name="T21.3?Columns" localSheetId="9">#REF!</definedName>
    <definedName name="T21.3?Columns" localSheetId="10">#REF!</definedName>
    <definedName name="T21.3?Columns" localSheetId="5">#REF!</definedName>
    <definedName name="T21.3?Columns" localSheetId="4">#REF!</definedName>
    <definedName name="T21.3?Columns">#REF!</definedName>
    <definedName name="T21.3?item_ext?СБЫТ" localSheetId="15">#REF!,#REF!</definedName>
    <definedName name="T21.3?item_ext?СБЫТ" localSheetId="2">#REF!,#REF!</definedName>
    <definedName name="T21.3?item_ext?СБЫТ" localSheetId="1">#REF!,#REF!</definedName>
    <definedName name="T21.3?item_ext?СБЫТ" localSheetId="11">#REF!,#REF!</definedName>
    <definedName name="T21.3?item_ext?СБЫТ" localSheetId="8">#REF!,#REF!</definedName>
    <definedName name="T21.3?item_ext?СБЫТ" localSheetId="9">#REF!,#REF!</definedName>
    <definedName name="T21.3?item_ext?СБЫТ" localSheetId="10">#REF!,#REF!</definedName>
    <definedName name="T21.3?item_ext?СБЫТ" localSheetId="5">#REF!,#REF!</definedName>
    <definedName name="T21.3?item_ext?СБЫТ" localSheetId="4">#REF!,#REF!</definedName>
    <definedName name="T21.3?item_ext?СБЫТ">#REF!,#REF!</definedName>
    <definedName name="T21.3?ItemComments" localSheetId="15">#REF!</definedName>
    <definedName name="T21.3?ItemComments" localSheetId="2">#REF!</definedName>
    <definedName name="T21.3?ItemComments" localSheetId="1">#REF!</definedName>
    <definedName name="T21.3?ItemComments" localSheetId="11">#REF!</definedName>
    <definedName name="T21.3?ItemComments" localSheetId="8">#REF!</definedName>
    <definedName name="T21.3?ItemComments" localSheetId="9">#REF!</definedName>
    <definedName name="T21.3?ItemComments" localSheetId="10">#REF!</definedName>
    <definedName name="T21.3?ItemComments" localSheetId="5">#REF!</definedName>
    <definedName name="T21.3?ItemComments" localSheetId="4">#REF!</definedName>
    <definedName name="T21.3?ItemComments">#REF!</definedName>
    <definedName name="T21.3?Items" localSheetId="15">#REF!</definedName>
    <definedName name="T21.3?Items" localSheetId="11">#REF!</definedName>
    <definedName name="T21.3?Items" localSheetId="8">#REF!</definedName>
    <definedName name="T21.3?Items" localSheetId="9">#REF!</definedName>
    <definedName name="T21.3?Items" localSheetId="10">#REF!</definedName>
    <definedName name="T21.3?Items">#REF!</definedName>
    <definedName name="T21.3?Scope" localSheetId="15">#REF!</definedName>
    <definedName name="T21.3?Scope" localSheetId="11">#REF!</definedName>
    <definedName name="T21.3?Scope" localSheetId="8">#REF!</definedName>
    <definedName name="T21.3?Scope" localSheetId="9">#REF!</definedName>
    <definedName name="T21.3?Scope" localSheetId="10">#REF!</definedName>
    <definedName name="T21.3?Scope">#REF!</definedName>
    <definedName name="T21.3?ВРАС" localSheetId="15">#REF!,#REF!</definedName>
    <definedName name="T21.3?ВРАС" localSheetId="2">#REF!,#REF!</definedName>
    <definedName name="T21.3?ВРАС" localSheetId="1">#REF!,#REF!</definedName>
    <definedName name="T21.3?ВРАС" localSheetId="11">#REF!,#REF!</definedName>
    <definedName name="T21.3?ВРАС" localSheetId="8">#REF!,#REF!</definedName>
    <definedName name="T21.3?ВРАС" localSheetId="9">#REF!,#REF!</definedName>
    <definedName name="T21.3?ВРАС" localSheetId="10">#REF!,#REF!</definedName>
    <definedName name="T21.3?ВРАС" localSheetId="5">#REF!,#REF!</definedName>
    <definedName name="T21.3?ВРАС" localSheetId="4">#REF!,#REF!</definedName>
    <definedName name="T21.3?ВРАС">#REF!,#REF!</definedName>
    <definedName name="T21.3_Protect" localSheetId="15">#REF!,#REF!,#REF!,#REF!,#REF!,#REF!,#REF!</definedName>
    <definedName name="T21.3_Protect" localSheetId="2">#REF!,#REF!,#REF!,#REF!,#REF!,#REF!,#REF!</definedName>
    <definedName name="T21.3_Protect" localSheetId="1">#REF!,#REF!,#REF!,#REF!,#REF!,#REF!,#REF!</definedName>
    <definedName name="T21.3_Protect" localSheetId="11">#REF!,#REF!,#REF!,#REF!,#REF!,#REF!,#REF!</definedName>
    <definedName name="T21.3_Protect" localSheetId="8">#REF!,#REF!,#REF!,#REF!,#REF!,#REF!,#REF!</definedName>
    <definedName name="T21.3_Protect" localSheetId="9">#REF!,#REF!,#REF!,#REF!,#REF!,#REF!,#REF!</definedName>
    <definedName name="T21.3_Protect" localSheetId="10">#REF!,#REF!,#REF!,#REF!,#REF!,#REF!,#REF!</definedName>
    <definedName name="T21.3_Protect" localSheetId="5">#REF!,#REF!,#REF!,#REF!,#REF!,#REF!,#REF!</definedName>
    <definedName name="T21.3_Protect" localSheetId="4">#REF!,#REF!,#REF!,#REF!,#REF!,#REF!,#REF!</definedName>
    <definedName name="T21.3_Protect">#REF!,#REF!,#REF!,#REF!,#REF!,#REF!,#REF!</definedName>
    <definedName name="T21.4?Data" localSheetId="15">P1_T21.4?Data,P2_T21.4?Data</definedName>
    <definedName name="T21.4?Data" localSheetId="2">P1_T21.4?Data,P2_T21.4?Data</definedName>
    <definedName name="T21.4?Data" localSheetId="1">P1_T21.4?Data,P2_T21.4?Data</definedName>
    <definedName name="T21.4?Data" localSheetId="11">P1_T21.4?Data,P2_T21.4?Data</definedName>
    <definedName name="T21.4?Data" localSheetId="8">P1_T21.4?Data,P2_T21.4?Data</definedName>
    <definedName name="T21.4?Data" localSheetId="9">P1_T21.4?Data,P2_T21.4?Data</definedName>
    <definedName name="T21.4?Data" localSheetId="10">P1_T21.4?Data,P2_T21.4?Data</definedName>
    <definedName name="T21.4?Data" localSheetId="5">P1_T21.4?Data,P2_T21.4?Data</definedName>
    <definedName name="T21.4?Data" localSheetId="4">P1_T21.4?Data,P2_T21.4?Data</definedName>
    <definedName name="T21.4?Data">P1_T21.4?Data,P2_T21.4?Data</definedName>
    <definedName name="T21_Protection" localSheetId="15">P2_T21_Protection,P3_T21_Protection</definedName>
    <definedName name="T21_Protection" localSheetId="2">P2_T21_Protection,P3_T21_Protection</definedName>
    <definedName name="T21_Protection" localSheetId="1">P2_T21_Protection,P3_T21_Protection</definedName>
    <definedName name="T21_Protection" localSheetId="11">P2_T21_Protection,P3_T21_Protection</definedName>
    <definedName name="T21_Protection" localSheetId="8">P2_T21_Protection,P3_T21_Protection</definedName>
    <definedName name="T21_Protection" localSheetId="9">P2_T21_Protection,P3_T21_Protection</definedName>
    <definedName name="T21_Protection" localSheetId="10">P2_T21_Protection,P3_T21_Protection</definedName>
    <definedName name="T21_Protection" localSheetId="5">P2_T21_Protection,P3_T21_Protection</definedName>
    <definedName name="T21_Protection" localSheetId="4">P2_T21_Protection,P3_T21_Protection</definedName>
    <definedName name="T21_Protection">P2_T21_Protection,P3_T21_Protection</definedName>
    <definedName name="T25_protection" localSheetId="15">P1_T25_protection,P2_T25_protection</definedName>
    <definedName name="T25_protection" localSheetId="2">P1_T25_protection,P2_T25_protection</definedName>
    <definedName name="T25_protection" localSheetId="1">P1_T25_protection,P2_T25_protection</definedName>
    <definedName name="T25_protection" localSheetId="11">P1_T25_protection,P2_T25_protection</definedName>
    <definedName name="T25_protection" localSheetId="8">P1_T25_protection,P2_T25_protection</definedName>
    <definedName name="T25_protection" localSheetId="9">P1_T25_protection,P2_T25_protection</definedName>
    <definedName name="T25_protection" localSheetId="10">P1_T25_protection,P2_T25_protection</definedName>
    <definedName name="T25_protection" localSheetId="5">P1_T25_protection,P2_T25_protection</definedName>
    <definedName name="T25_protection" localSheetId="4">P1_T25_protection,P2_T25_protection</definedName>
    <definedName name="T25_protection">P1_T25_protection,P2_T25_protection</definedName>
    <definedName name="T28.3?unit?РУБ.ГКАЛ" localSheetId="15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11">P1_T28.3?unit?РУБ.ГКАЛ,P2_T28.3?unit?РУБ.ГКАЛ</definedName>
    <definedName name="T28.3?unit?РУБ.ГКАЛ" localSheetId="8">P1_T28.3?unit?РУБ.ГКАЛ,P2_T28.3?unit?РУБ.ГКАЛ</definedName>
    <definedName name="T28.3?unit?РУБ.ГКАЛ" localSheetId="9">P1_T28.3?unit?РУБ.ГКАЛ,P2_T28.3?unit?РУБ.ГКАЛ</definedName>
    <definedName name="T28.3?unit?РУБ.ГКАЛ" localSheetId="10">P1_T28.3?unit?РУБ.ГКАЛ,P2_T28.3?unit?РУБ.ГКАЛ</definedName>
    <definedName name="T28.3?unit?РУБ.ГКАЛ" localSheetId="5">P1_T28.3?unit?РУБ.ГКАЛ,P2_T28.3?unit?РУБ.ГКАЛ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?axis?R?ПЭ" localSheetId="15">P2_T28?axis?R?ПЭ,P3_T28?axis?R?ПЭ,P4_T28?axis?R?ПЭ,P5_T28?axis?R?ПЭ,P6_T28?axis?R?ПЭ</definedName>
    <definedName name="T28?axis?R?ПЭ" localSheetId="2">P2_T28?axis?R?ПЭ,P3_T28?axis?R?ПЭ,P4_T28?axis?R?ПЭ,P5_T28?axis?R?ПЭ,P6_T28?axis?R?ПЭ</definedName>
    <definedName name="T28?axis?R?ПЭ" localSheetId="1">P2_T28?axis?R?ПЭ,P3_T28?axis?R?ПЭ,P4_T28?axis?R?ПЭ,P5_T28?axis?R?ПЭ,P6_T28?axis?R?ПЭ</definedName>
    <definedName name="T28?axis?R?ПЭ" localSheetId="11">P2_T28?axis?R?ПЭ,P3_T28?axis?R?ПЭ,P4_T28?axis?R?ПЭ,P5_T28?axis?R?ПЭ,P6_T28?axis?R?ПЭ</definedName>
    <definedName name="T28?axis?R?ПЭ" localSheetId="8">P2_T28?axis?R?ПЭ,P3_T28?axis?R?ПЭ,P4_T28?axis?R?ПЭ,P5_T28?axis?R?ПЭ,P6_T28?axis?R?ПЭ</definedName>
    <definedName name="T28?axis?R?ПЭ" localSheetId="9">P2_T28?axis?R?ПЭ,P3_T28?axis?R?ПЭ,P4_T28?axis?R?ПЭ,P5_T28?axis?R?ПЭ,P6_T28?axis?R?ПЭ</definedName>
    <definedName name="T28?axis?R?ПЭ" localSheetId="10">P2_T28?axis?R?ПЭ,P3_T28?axis?R?ПЭ,P4_T28?axis?R?ПЭ,P5_T28?axis?R?ПЭ,P6_T28?axis?R?ПЭ</definedName>
    <definedName name="T28?axis?R?ПЭ" localSheetId="5">P2_T28?axis?R?ПЭ,P3_T28?axis?R?ПЭ,P4_T28?axis?R?ПЭ,P5_T28?axis?R?ПЭ,P6_T28?axis?R?ПЭ</definedName>
    <definedName name="T28?axis?R?ПЭ" localSheetId="4">P2_T28?axis?R?ПЭ,P3_T28?axis?R?ПЭ,P4_T28?axis?R?ПЭ,P5_T28?axis?R?ПЭ,P6_T28?axis?R?ПЭ</definedName>
    <definedName name="T28?axis?R?ПЭ">P2_T28?axis?R?ПЭ,P3_T28?axis?R?ПЭ,P4_T28?axis?R?ПЭ,P5_T28?axis?R?ПЭ,P6_T28?axis?R?ПЭ</definedName>
    <definedName name="T28?axis?R?ПЭ?" localSheetId="15">P2_T28?axis?R?ПЭ?,P3_T28?axis?R?ПЭ?,P4_T28?axis?R?ПЭ?,P5_T28?axis?R?ПЭ?,P6_T28?axis?R?ПЭ?</definedName>
    <definedName name="T28?axis?R?ПЭ?" localSheetId="2">P2_T28?axis?R?ПЭ?,P3_T28?axis?R?ПЭ?,P4_T28?axis?R?ПЭ?,P5_T28?axis?R?ПЭ?,P6_T28?axis?R?ПЭ?</definedName>
    <definedName name="T28?axis?R?ПЭ?" localSheetId="1">P2_T28?axis?R?ПЭ?,P3_T28?axis?R?ПЭ?,P4_T28?axis?R?ПЭ?,P5_T28?axis?R?ПЭ?,P6_T28?axis?R?ПЭ?</definedName>
    <definedName name="T28?axis?R?ПЭ?" localSheetId="11">P2_T28?axis?R?ПЭ?,P3_T28?axis?R?ПЭ?,P4_T28?axis?R?ПЭ?,P5_T28?axis?R?ПЭ?,P6_T28?axis?R?ПЭ?</definedName>
    <definedName name="T28?axis?R?ПЭ?" localSheetId="8">P2_T28?axis?R?ПЭ?,P3_T28?axis?R?ПЭ?,P4_T28?axis?R?ПЭ?,P5_T28?axis?R?ПЭ?,P6_T28?axis?R?ПЭ?</definedName>
    <definedName name="T28?axis?R?ПЭ?" localSheetId="9">P2_T28?axis?R?ПЭ?,P3_T28?axis?R?ПЭ?,P4_T28?axis?R?ПЭ?,P5_T28?axis?R?ПЭ?,P6_T28?axis?R?ПЭ?</definedName>
    <definedName name="T28?axis?R?ПЭ?" localSheetId="10">P2_T28?axis?R?ПЭ?,P3_T28?axis?R?ПЭ?,P4_T28?axis?R?ПЭ?,P5_T28?axis?R?ПЭ?,P6_T28?axis?R?ПЭ?</definedName>
    <definedName name="T28?axis?R?ПЭ?" localSheetId="5">P2_T28?axis?R?ПЭ?,P3_T28?axis?R?ПЭ?,P4_T28?axis?R?ПЭ?,P5_T28?axis?R?ПЭ?,P6_T28?axis?R?ПЭ?</definedName>
    <definedName name="T28?axis?R?ПЭ?" localSheetId="4">P2_T28?axis?R?ПЭ?,P3_T28?axis?R?ПЭ?,P4_T28?axis?R?ПЭ?,P5_T28?axis?R?ПЭ?,P6_T28?axis?R?ПЭ?</definedName>
    <definedName name="T28?axis?R?ПЭ?">P2_T28?axis?R?ПЭ?,P3_T28?axis?R?ПЭ?,P4_T28?axis?R?ПЭ?,P5_T28?axis?R?ПЭ?,P6_T28?axis?R?ПЭ?</definedName>
    <definedName name="T28_Protection" localSheetId="15">P9_T28_Protection,P10_T28_Protection,P11_T28_Protection,амор!P12_T28_Protection</definedName>
    <definedName name="T28_Protection" localSheetId="2">P9_T28_Protection,P10_T28_Protection,P11_T28_Protection,'Кальк.2019-2023 (ДИ) (2)'!P12_T28_Protection</definedName>
    <definedName name="T28_Protection" localSheetId="1">P9_T28_Protection,P10_T28_Protection,P11_T28_Protection,'Кальк.2019-2023 (ДИ) (3)'!P12_T28_Protection</definedName>
    <definedName name="T28_Protection" localSheetId="11">P9_T28_Protection,P10_T28_Protection,P11_T28_Protection,'прил 4 к расп'!P12_T28_Protection</definedName>
    <definedName name="T28_Protection" localSheetId="8">P9_T28_Protection,P10_T28_Protection,P11_T28_Protection,Прил2!P12_T28_Protection</definedName>
    <definedName name="T28_Protection" localSheetId="9">P9_T28_Protection,P10_T28_Protection,P11_T28_Protection,Прил3!P12_T28_Protection</definedName>
    <definedName name="T28_Protection" localSheetId="10">P9_T28_Protection,P10_T28_Protection,P11_T28_Protection,прил4!P12_T28_Protection</definedName>
    <definedName name="T28_Protection" localSheetId="5">P9_T28_Protection,P10_T28_Protection,P11_T28_Protection,'Тарифное меню (2)'!P12_T28_Protection</definedName>
    <definedName name="T28_Protection" localSheetId="4">P9_T28_Protection,P10_T28_Protection,P11_T28_Protection,'Тарифное меню (3)'!P12_T28_Protection</definedName>
    <definedName name="T28_Protection">P9_T28_Protection,P10_T28_Protection,P11_T28_Protection,P12_T28_Protection</definedName>
    <definedName name="T29?item_ext?1СТ" localSheetId="15">P1_T29?item_ext?1СТ</definedName>
    <definedName name="T29?item_ext?1СТ" localSheetId="2">P1_T29?item_ext?1СТ</definedName>
    <definedName name="T29?item_ext?1СТ" localSheetId="1">P1_T29?item_ext?1СТ</definedName>
    <definedName name="T29?item_ext?1СТ" localSheetId="11">P1_T29?item_ext?1СТ</definedName>
    <definedName name="T29?item_ext?1СТ" localSheetId="8">P1_T29?item_ext?1СТ</definedName>
    <definedName name="T29?item_ext?1СТ" localSheetId="9">P1_T29?item_ext?1СТ</definedName>
    <definedName name="T29?item_ext?1СТ" localSheetId="10">P1_T29?item_ext?1СТ</definedName>
    <definedName name="T29?item_ext?1СТ" localSheetId="5">P1_T29?item_ext?1СТ</definedName>
    <definedName name="T29?item_ext?1СТ" localSheetId="4">P1_T29?item_ext?1СТ</definedName>
    <definedName name="T29?item_ext?1СТ">P1_T29?item_ext?1СТ</definedName>
    <definedName name="T29?item_ext?2СТ.М" localSheetId="15">P1_T29?item_ext?2СТ.М</definedName>
    <definedName name="T29?item_ext?2СТ.М" localSheetId="2">P1_T29?item_ext?2СТ.М</definedName>
    <definedName name="T29?item_ext?2СТ.М" localSheetId="1">P1_T29?item_ext?2СТ.М</definedName>
    <definedName name="T29?item_ext?2СТ.М" localSheetId="11">P1_T29?item_ext?2СТ.М</definedName>
    <definedName name="T29?item_ext?2СТ.М" localSheetId="8">P1_T29?item_ext?2СТ.М</definedName>
    <definedName name="T29?item_ext?2СТ.М" localSheetId="9">P1_T29?item_ext?2СТ.М</definedName>
    <definedName name="T29?item_ext?2СТ.М" localSheetId="10">P1_T29?item_ext?2СТ.М</definedName>
    <definedName name="T29?item_ext?2СТ.М" localSheetId="5">P1_T29?item_ext?2СТ.М</definedName>
    <definedName name="T29?item_ext?2СТ.М" localSheetId="4">P1_T29?item_ext?2СТ.М</definedName>
    <definedName name="T29?item_ext?2СТ.М">P1_T29?item_ext?2СТ.М</definedName>
    <definedName name="T29?item_ext?2СТ.Э" localSheetId="15">P1_T29?item_ext?2СТ.Э</definedName>
    <definedName name="T29?item_ext?2СТ.Э" localSheetId="2">P1_T29?item_ext?2СТ.Э</definedName>
    <definedName name="T29?item_ext?2СТ.Э" localSheetId="1">P1_T29?item_ext?2СТ.Э</definedName>
    <definedName name="T29?item_ext?2СТ.Э" localSheetId="11">P1_T29?item_ext?2СТ.Э</definedName>
    <definedName name="T29?item_ext?2СТ.Э" localSheetId="8">P1_T29?item_ext?2СТ.Э</definedName>
    <definedName name="T29?item_ext?2СТ.Э" localSheetId="9">P1_T29?item_ext?2СТ.Э</definedName>
    <definedName name="T29?item_ext?2СТ.Э" localSheetId="10">P1_T29?item_ext?2СТ.Э</definedName>
    <definedName name="T29?item_ext?2СТ.Э" localSheetId="5">P1_T29?item_ext?2СТ.Э</definedName>
    <definedName name="T29?item_ext?2СТ.Э" localSheetId="4">P1_T29?item_ext?2СТ.Э</definedName>
    <definedName name="T29?item_ext?2СТ.Э">P1_T29?item_ext?2СТ.Э</definedName>
    <definedName name="T29?L10" localSheetId="15">P1_T29?L10</definedName>
    <definedName name="T29?L10" localSheetId="2">P1_T29?L10</definedName>
    <definedName name="T29?L10" localSheetId="1">P1_T29?L10</definedName>
    <definedName name="T29?L10" localSheetId="11">P1_T29?L10</definedName>
    <definedName name="T29?L10" localSheetId="8">P1_T29?L10</definedName>
    <definedName name="T29?L10" localSheetId="9">P1_T29?L10</definedName>
    <definedName name="T29?L10" localSheetId="10">P1_T29?L10</definedName>
    <definedName name="T29?L10" localSheetId="5">P1_T29?L10</definedName>
    <definedName name="T29?L10" localSheetId="4">P1_T29?L10</definedName>
    <definedName name="T29?L10">P1_T29?L10</definedName>
    <definedName name="T7?Data">#N/A</definedName>
    <definedName name="TABLE" localSheetId="15">#REF!</definedName>
    <definedName name="TABLE" localSheetId="2">#REF!</definedName>
    <definedName name="TABLE" localSheetId="1">#REF!</definedName>
    <definedName name="TABLE" localSheetId="11">#REF!</definedName>
    <definedName name="TABLE" localSheetId="8">#REF!</definedName>
    <definedName name="TABLE" localSheetId="9">#REF!</definedName>
    <definedName name="TABLE" localSheetId="10">#REF!</definedName>
    <definedName name="TABLE" localSheetId="5">#REF!</definedName>
    <definedName name="TABLE" localSheetId="4">#REF!</definedName>
    <definedName name="TABLE">#REF!</definedName>
    <definedName name="TAR_METHOD" localSheetId="15">[53]Титульный!$F$22</definedName>
    <definedName name="TAR_METHOD" localSheetId="2">[54]Титульный!$F$22</definedName>
    <definedName name="TAR_METHOD" localSheetId="1">[54]Титульный!$F$22</definedName>
    <definedName name="TAR_METHOD" localSheetId="5">[54]Титульный!$F$22</definedName>
    <definedName name="TAR_METHOD" localSheetId="4">[54]Титульный!$F$22</definedName>
    <definedName name="TAR_METHOD">[55]Титульный!$F$22</definedName>
    <definedName name="TargetCompany" localSheetId="15">[44]Output!#REF!</definedName>
    <definedName name="TargetCompany" localSheetId="2">[44]Output!#REF!</definedName>
    <definedName name="TargetCompany" localSheetId="1">[44]Output!#REF!</definedName>
    <definedName name="TargetCompany" localSheetId="11">[44]Output!#REF!</definedName>
    <definedName name="TargetCompany" localSheetId="8">[44]Output!#REF!</definedName>
    <definedName name="TargetCompany" localSheetId="9">[44]Output!#REF!</definedName>
    <definedName name="TargetCompany" localSheetId="10">[44]Output!#REF!</definedName>
    <definedName name="TargetCompany" localSheetId="5">[44]Output!#REF!</definedName>
    <definedName name="TargetCompany" localSheetId="4">[44]Output!#REF!</definedName>
    <definedName name="TargetCompany">[44]Output!#REF!</definedName>
    <definedName name="TargetCompanyCurrency" localSheetId="15">[44]Output!#REF!</definedName>
    <definedName name="TargetCompanyCurrency" localSheetId="2">[44]Output!#REF!</definedName>
    <definedName name="TargetCompanyCurrency" localSheetId="1">[44]Output!#REF!</definedName>
    <definedName name="TargetCompanyCurrency" localSheetId="11">[44]Output!#REF!</definedName>
    <definedName name="TargetCompanyCurrency" localSheetId="8">[44]Output!#REF!</definedName>
    <definedName name="TargetCompanyCurrency" localSheetId="9">[44]Output!#REF!</definedName>
    <definedName name="TargetCompanyCurrency" localSheetId="10">[44]Output!#REF!</definedName>
    <definedName name="TargetCompanyCurrency" localSheetId="5">[44]Output!#REF!</definedName>
    <definedName name="TargetCompanyCurrency" localSheetId="4">[44]Output!#REF!</definedName>
    <definedName name="TargetCompanyCurrency">[44]Output!#REF!</definedName>
    <definedName name="TargetCompanyExchangeRate" localSheetId="15">[44]Output!#REF!</definedName>
    <definedName name="TargetCompanyExchangeRate" localSheetId="11">[44]Output!#REF!</definedName>
    <definedName name="TargetCompanyExchangeRate" localSheetId="8">[44]Output!#REF!</definedName>
    <definedName name="TargetCompanyExchangeRate" localSheetId="9">[44]Output!#REF!</definedName>
    <definedName name="TargetCompanyExchangeRate" localSheetId="10">[44]Output!#REF!</definedName>
    <definedName name="TargetCompanyExchangeRate">[44]Output!#REF!</definedName>
    <definedName name="TARIFF_CNG_DATE_1">[99]Титульный!$F$28</definedName>
    <definedName name="TARIFF_CNG_DATE_2">[99]Титульный!$F$29</definedName>
    <definedName name="TARIFF_CNG_DATE_3">[99]Титульный!$F$30</definedName>
    <definedName name="taxrate">[24]Справочно!$B$3</definedName>
    <definedName name="tcc_ns" localSheetId="15">'[27]Input-Moscow'!#REF!</definedName>
    <definedName name="tcc_ns" localSheetId="2">'[27]Input-Moscow'!#REF!</definedName>
    <definedName name="tcc_ns" localSheetId="1">'[27]Input-Moscow'!#REF!</definedName>
    <definedName name="tcc_ns" localSheetId="11">'[27]Input-Moscow'!#REF!</definedName>
    <definedName name="tcc_ns" localSheetId="8">'[27]Input-Moscow'!#REF!</definedName>
    <definedName name="tcc_ns" localSheetId="9">'[27]Input-Moscow'!#REF!</definedName>
    <definedName name="tcc_ns" localSheetId="10">'[27]Input-Moscow'!#REF!</definedName>
    <definedName name="tcc_ns" localSheetId="5">'[27]Input-Moscow'!#REF!</definedName>
    <definedName name="tcc_ns" localSheetId="4">'[27]Input-Moscow'!#REF!</definedName>
    <definedName name="tcc_ns">'[27]Input-Moscow'!#REF!</definedName>
    <definedName name="tcc_pen" localSheetId="15">'[27]Input-Moscow'!#REF!</definedName>
    <definedName name="tcc_pen" localSheetId="2">'[27]Input-Moscow'!#REF!</definedName>
    <definedName name="tcc_pen" localSheetId="1">'[27]Input-Moscow'!#REF!</definedName>
    <definedName name="tcc_pen" localSheetId="11">'[27]Input-Moscow'!#REF!</definedName>
    <definedName name="tcc_pen" localSheetId="8">'[27]Input-Moscow'!#REF!</definedName>
    <definedName name="tcc_pen" localSheetId="9">'[27]Input-Moscow'!#REF!</definedName>
    <definedName name="tcc_pen" localSheetId="10">'[27]Input-Moscow'!#REF!</definedName>
    <definedName name="tcc_pen" localSheetId="5">'[27]Input-Moscow'!#REF!</definedName>
    <definedName name="tcc_pen" localSheetId="4">'[27]Input-Moscow'!#REF!</definedName>
    <definedName name="tcc_pen">'[27]Input-Moscow'!#REF!</definedName>
    <definedName name="Temp_TOV" localSheetId="15">#REF!</definedName>
    <definedName name="Temp_TOV" localSheetId="2">#REF!</definedName>
    <definedName name="Temp_TOV" localSheetId="1">#REF!</definedName>
    <definedName name="Temp_TOV" localSheetId="11">#REF!</definedName>
    <definedName name="Temp_TOV" localSheetId="8">#REF!</definedName>
    <definedName name="Temp_TOV" localSheetId="9">#REF!</definedName>
    <definedName name="Temp_TOV" localSheetId="10">#REF!</definedName>
    <definedName name="Temp_TOV" localSheetId="5">#REF!</definedName>
    <definedName name="Temp_TOV" localSheetId="4">#REF!</definedName>
    <definedName name="Temp_TOV">#REF!</definedName>
    <definedName name="term_value" localSheetId="15">#REF!</definedName>
    <definedName name="term_value" localSheetId="11">#REF!</definedName>
    <definedName name="term_value" localSheetId="8">#REF!</definedName>
    <definedName name="term_value" localSheetId="9">#REF!</definedName>
    <definedName name="term_value" localSheetId="10">#REF!</definedName>
    <definedName name="term_value">#REF!</definedName>
    <definedName name="term_year" localSheetId="15">#REF!</definedName>
    <definedName name="term_year" localSheetId="11">#REF!</definedName>
    <definedName name="term_year" localSheetId="8">#REF!</definedName>
    <definedName name="term_year" localSheetId="9">#REF!</definedName>
    <definedName name="term_year" localSheetId="10">#REF!</definedName>
    <definedName name="term_year">#REF!</definedName>
    <definedName name="terminal_year" localSheetId="15">#REF!</definedName>
    <definedName name="terminal_year" localSheetId="11">#REF!</definedName>
    <definedName name="terminal_year" localSheetId="10">#REF!</definedName>
    <definedName name="terminal_year">#REF!</definedName>
    <definedName name="test1" localSheetId="15" hidden="1">{#N/A,#N/A,FALSE,"Себестоимсть-97"}</definedName>
    <definedName name="test1" localSheetId="2" hidden="1">{#N/A,#N/A,FALSE,"Себестоимсть-97"}</definedName>
    <definedName name="test1" localSheetId="1" hidden="1">{#N/A,#N/A,FALSE,"Себестоимсть-97"}</definedName>
    <definedName name="test1" localSheetId="11" hidden="1">{#N/A,#N/A,FALSE,"Себестоимсть-97"}</definedName>
    <definedName name="test1" localSheetId="8" hidden="1">{#N/A,#N/A,FALSE,"Себестоимсть-97"}</definedName>
    <definedName name="test1" localSheetId="9" hidden="1">{#N/A,#N/A,FALSE,"Себестоимсть-97"}</definedName>
    <definedName name="test1" localSheetId="10" hidden="1">{#N/A,#N/A,FALSE,"Себестоимсть-97"}</definedName>
    <definedName name="test1" localSheetId="5" hidden="1">{#N/A,#N/A,FALSE,"Себестоимсть-97"}</definedName>
    <definedName name="test1" localSheetId="4" hidden="1">{#N/A,#N/A,FALSE,"Себестоимсть-97"}</definedName>
    <definedName name="test1" hidden="1">{#N/A,#N/A,FALSE,"Себестоимсть-97"}</definedName>
    <definedName name="test2" localSheetId="15" hidden="1">{#N/A,#N/A,FALSE,"Себестоимсть-97"}</definedName>
    <definedName name="test2" localSheetId="2" hidden="1">{#N/A,#N/A,FALSE,"Себестоимсть-97"}</definedName>
    <definedName name="test2" localSheetId="1" hidden="1">{#N/A,#N/A,FALSE,"Себестоимсть-97"}</definedName>
    <definedName name="test2" localSheetId="11" hidden="1">{#N/A,#N/A,FALSE,"Себестоимсть-97"}</definedName>
    <definedName name="test2" localSheetId="8" hidden="1">{#N/A,#N/A,FALSE,"Себестоимсть-97"}</definedName>
    <definedName name="test2" localSheetId="9" hidden="1">{#N/A,#N/A,FALSE,"Себестоимсть-97"}</definedName>
    <definedName name="test2" localSheetId="10" hidden="1">{#N/A,#N/A,FALSE,"Себестоимсть-97"}</definedName>
    <definedName name="test2" localSheetId="5" hidden="1">{#N/A,#N/A,FALSE,"Себестоимсть-97"}</definedName>
    <definedName name="test2" localSheetId="4" hidden="1">{#N/A,#N/A,FALSE,"Себестоимсть-97"}</definedName>
    <definedName name="test2" hidden="1">{#N/A,#N/A,FALSE,"Себестоимсть-97"}</definedName>
    <definedName name="test3" localSheetId="15" hidden="1">{#N/A,#N/A,FALSE,"Себестоимсть-97"}</definedName>
    <definedName name="test3" localSheetId="2" hidden="1">{#N/A,#N/A,FALSE,"Себестоимсть-97"}</definedName>
    <definedName name="test3" localSheetId="1" hidden="1">{#N/A,#N/A,FALSE,"Себестоимсть-97"}</definedName>
    <definedName name="test3" localSheetId="11" hidden="1">{#N/A,#N/A,FALSE,"Себестоимсть-97"}</definedName>
    <definedName name="test3" localSheetId="8" hidden="1">{#N/A,#N/A,FALSE,"Себестоимсть-97"}</definedName>
    <definedName name="test3" localSheetId="9" hidden="1">{#N/A,#N/A,FALSE,"Себестоимсть-97"}</definedName>
    <definedName name="test3" localSheetId="10" hidden="1">{#N/A,#N/A,FALSE,"Себестоимсть-97"}</definedName>
    <definedName name="test3" localSheetId="5" hidden="1">{#N/A,#N/A,FALSE,"Себестоимсть-97"}</definedName>
    <definedName name="test3" localSheetId="4" hidden="1">{#N/A,#N/A,FALSE,"Себестоимсть-97"}</definedName>
    <definedName name="test3" hidden="1">{#N/A,#N/A,FALSE,"Себестоимсть-97"}</definedName>
    <definedName name="test4" localSheetId="15" hidden="1">{#N/A,#N/A,FALSE,"Себестоимсть-97"}</definedName>
    <definedName name="test4" localSheetId="2" hidden="1">{#N/A,#N/A,FALSE,"Себестоимсть-97"}</definedName>
    <definedName name="test4" localSheetId="1" hidden="1">{#N/A,#N/A,FALSE,"Себестоимсть-97"}</definedName>
    <definedName name="test4" localSheetId="11" hidden="1">{#N/A,#N/A,FALSE,"Себестоимсть-97"}</definedName>
    <definedName name="test4" localSheetId="8" hidden="1">{#N/A,#N/A,FALSE,"Себестоимсть-97"}</definedName>
    <definedName name="test4" localSheetId="9" hidden="1">{#N/A,#N/A,FALSE,"Себестоимсть-97"}</definedName>
    <definedName name="test4" localSheetId="10" hidden="1">{#N/A,#N/A,FALSE,"Себестоимсть-97"}</definedName>
    <definedName name="test4" localSheetId="5" hidden="1">{#N/A,#N/A,FALSE,"Себестоимсть-97"}</definedName>
    <definedName name="test4" localSheetId="4" hidden="1">{#N/A,#N/A,FALSE,"Себестоимсть-97"}</definedName>
    <definedName name="test4" hidden="1">{#N/A,#N/A,FALSE,"Себестоимсть-97"}</definedName>
    <definedName name="test5" localSheetId="15" hidden="1">{#N/A,#N/A,FALSE,"Себестоимсть-97"}</definedName>
    <definedName name="test5" localSheetId="2" hidden="1">{#N/A,#N/A,FALSE,"Себестоимсть-97"}</definedName>
    <definedName name="test5" localSheetId="1" hidden="1">{#N/A,#N/A,FALSE,"Себестоимсть-97"}</definedName>
    <definedName name="test5" localSheetId="11" hidden="1">{#N/A,#N/A,FALSE,"Себестоимсть-97"}</definedName>
    <definedName name="test5" localSheetId="8" hidden="1">{#N/A,#N/A,FALSE,"Себестоимсть-97"}</definedName>
    <definedName name="test5" localSheetId="9" hidden="1">{#N/A,#N/A,FALSE,"Себестоимсть-97"}</definedName>
    <definedName name="test5" localSheetId="10" hidden="1">{#N/A,#N/A,FALSE,"Себестоимсть-97"}</definedName>
    <definedName name="test5" localSheetId="5" hidden="1">{#N/A,#N/A,FALSE,"Себестоимсть-97"}</definedName>
    <definedName name="test5" localSheetId="4" hidden="1">{#N/A,#N/A,FALSE,"Себестоимсть-97"}</definedName>
    <definedName name="test5" hidden="1">{#N/A,#N/A,FALSE,"Себестоимсть-97"}</definedName>
    <definedName name="test6" localSheetId="15" hidden="1">{#N/A,#N/A,FALSE,"Себестоимсть-97"}</definedName>
    <definedName name="test6" localSheetId="2" hidden="1">{#N/A,#N/A,FALSE,"Себестоимсть-97"}</definedName>
    <definedName name="test6" localSheetId="1" hidden="1">{#N/A,#N/A,FALSE,"Себестоимсть-97"}</definedName>
    <definedName name="test6" localSheetId="11" hidden="1">{#N/A,#N/A,FALSE,"Себестоимсть-97"}</definedName>
    <definedName name="test6" localSheetId="8" hidden="1">{#N/A,#N/A,FALSE,"Себестоимсть-97"}</definedName>
    <definedName name="test6" localSheetId="9" hidden="1">{#N/A,#N/A,FALSE,"Себестоимсть-97"}</definedName>
    <definedName name="test6" localSheetId="10" hidden="1">{#N/A,#N/A,FALSE,"Себестоимсть-97"}</definedName>
    <definedName name="test6" localSheetId="5" hidden="1">{#N/A,#N/A,FALSE,"Себестоимсть-97"}</definedName>
    <definedName name="test6" localSheetId="4" hidden="1">{#N/A,#N/A,FALSE,"Себестоимсть-97"}</definedName>
    <definedName name="test6" hidden="1">{#N/A,#N/A,FALSE,"Себестоимсть-97"}</definedName>
    <definedName name="test7" localSheetId="15" hidden="1">{#N/A,#N/A,FALSE,"Себестоимсть-97"}</definedName>
    <definedName name="test7" localSheetId="2" hidden="1">{#N/A,#N/A,FALSE,"Себестоимсть-97"}</definedName>
    <definedName name="test7" localSheetId="1" hidden="1">{#N/A,#N/A,FALSE,"Себестоимсть-97"}</definedName>
    <definedName name="test7" localSheetId="11" hidden="1">{#N/A,#N/A,FALSE,"Себестоимсть-97"}</definedName>
    <definedName name="test7" localSheetId="8" hidden="1">{#N/A,#N/A,FALSE,"Себестоимсть-97"}</definedName>
    <definedName name="test7" localSheetId="9" hidden="1">{#N/A,#N/A,FALSE,"Себестоимсть-97"}</definedName>
    <definedName name="test7" localSheetId="10" hidden="1">{#N/A,#N/A,FALSE,"Себестоимсть-97"}</definedName>
    <definedName name="test7" localSheetId="5" hidden="1">{#N/A,#N/A,FALSE,"Себестоимсть-97"}</definedName>
    <definedName name="test7" localSheetId="4" hidden="1">{#N/A,#N/A,FALSE,"Себестоимсть-97"}</definedName>
    <definedName name="test7" hidden="1">{#N/A,#N/A,FALSE,"Себестоимсть-97"}</definedName>
    <definedName name="test8" localSheetId="15" hidden="1">{#N/A,#N/A,FALSE,"Себестоимсть-97"}</definedName>
    <definedName name="test8" localSheetId="2" hidden="1">{#N/A,#N/A,FALSE,"Себестоимсть-97"}</definedName>
    <definedName name="test8" localSheetId="1" hidden="1">{#N/A,#N/A,FALSE,"Себестоимсть-97"}</definedName>
    <definedName name="test8" localSheetId="11" hidden="1">{#N/A,#N/A,FALSE,"Себестоимсть-97"}</definedName>
    <definedName name="test8" localSheetId="8" hidden="1">{#N/A,#N/A,FALSE,"Себестоимсть-97"}</definedName>
    <definedName name="test8" localSheetId="9" hidden="1">{#N/A,#N/A,FALSE,"Себестоимсть-97"}</definedName>
    <definedName name="test8" localSheetId="10" hidden="1">{#N/A,#N/A,FALSE,"Себестоимсть-97"}</definedName>
    <definedName name="test8" localSheetId="5" hidden="1">{#N/A,#N/A,FALSE,"Себестоимсть-97"}</definedName>
    <definedName name="test8" localSheetId="4" hidden="1">{#N/A,#N/A,FALSE,"Себестоимсть-97"}</definedName>
    <definedName name="test8" hidden="1">{#N/A,#N/A,FALSE,"Себестоимсть-97"}</definedName>
    <definedName name="test9" localSheetId="15" hidden="1">{#N/A,#N/A,FALSE,"Себестоимсть-97"}</definedName>
    <definedName name="test9" localSheetId="2" hidden="1">{#N/A,#N/A,FALSE,"Себестоимсть-97"}</definedName>
    <definedName name="test9" localSheetId="1" hidden="1">{#N/A,#N/A,FALSE,"Себестоимсть-97"}</definedName>
    <definedName name="test9" localSheetId="11" hidden="1">{#N/A,#N/A,FALSE,"Себестоимсть-97"}</definedName>
    <definedName name="test9" localSheetId="8" hidden="1">{#N/A,#N/A,FALSE,"Себестоимсть-97"}</definedName>
    <definedName name="test9" localSheetId="9" hidden="1">{#N/A,#N/A,FALSE,"Себестоимсть-97"}</definedName>
    <definedName name="test9" localSheetId="10" hidden="1">{#N/A,#N/A,FALSE,"Себестоимсть-97"}</definedName>
    <definedName name="test9" localSheetId="5" hidden="1">{#N/A,#N/A,FALSE,"Себестоимсть-97"}</definedName>
    <definedName name="test9" localSheetId="4" hidden="1">{#N/A,#N/A,FALSE,"Себестоимсть-97"}</definedName>
    <definedName name="test9" hidden="1">{#N/A,#N/A,FALSE,"Себестоимсть-97"}</definedName>
    <definedName name="TextRefCopy1" localSheetId="15">#REF!</definedName>
    <definedName name="TextRefCopy1" localSheetId="11">#REF!</definedName>
    <definedName name="TextRefCopy1">#REF!</definedName>
    <definedName name="TextRefCopy2" localSheetId="15">#REF!</definedName>
    <definedName name="TextRefCopy2" localSheetId="11">#REF!</definedName>
    <definedName name="TextRefCopy2">#REF!</definedName>
    <definedName name="TextRefCopyRangeCount" hidden="1">3</definedName>
    <definedName name="th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15">#REF!</definedName>
    <definedName name="time" localSheetId="2">#REF!</definedName>
    <definedName name="time" localSheetId="1">#REF!</definedName>
    <definedName name="time" localSheetId="11">#REF!</definedName>
    <definedName name="time" localSheetId="8">#REF!</definedName>
    <definedName name="time" localSheetId="9">#REF!</definedName>
    <definedName name="time" localSheetId="10">#REF!</definedName>
    <definedName name="time" localSheetId="5">#REF!</definedName>
    <definedName name="time" localSheetId="4">#REF!</definedName>
    <definedName name="time">#REF!</definedName>
    <definedName name="title" localSheetId="15">'[109]Огл. Графиков'!$B$2:$B$31</definedName>
    <definedName name="title" localSheetId="2">'[110]Огл. Графиков'!$B$2:$B$31</definedName>
    <definedName name="title" localSheetId="1">'[110]Огл. Графиков'!$B$2:$B$31</definedName>
    <definedName name="title" localSheetId="11">'[109]Огл. Графиков'!$B$2:$B$31</definedName>
    <definedName name="title" localSheetId="8">'[109]Огл. Графиков'!$B$2:$B$31</definedName>
    <definedName name="title" localSheetId="9">'[109]Огл. Графиков'!$B$2:$B$31</definedName>
    <definedName name="title" localSheetId="10">'[111]Огл. Графиков'!$B$2:$B$31</definedName>
    <definedName name="title" localSheetId="5">'[110]Огл. Графиков'!$B$2:$B$31</definedName>
    <definedName name="title" localSheetId="4">'[110]Огл. Графиков'!$B$2:$B$31</definedName>
    <definedName name="title">'[112]Огл. Графиков'!$B$2:$B$31</definedName>
    <definedName name="TitlesSubEntries">'[43]Проводки''02'!$A$3,'[43]Проводки''02'!$A$73,'[43]Проводки''02'!$A$93,'[43]Проводки''02'!$A$117,'[43]Проводки''02'!$A$138,'[43]Проводки''02'!$A$159,'[43]Проводки''02'!$A$179,'[43]Проводки''02'!$A$204,'[43]Проводки''02'!$A$231,'[43]Проводки''02'!$A$251,'[43]Проводки''02'!$A$271,'[43]Проводки''02'!$A$291,'[43]Проводки''02'!$A$310,'[43]Проводки''02'!$A$331,'[43]Проводки''02'!$A$351,'[43]Проводки''02'!$A$370</definedName>
    <definedName name="titul_cur" localSheetId="15">#REF!</definedName>
    <definedName name="titul_cur" localSheetId="2">#REF!</definedName>
    <definedName name="titul_cur" localSheetId="1">#REF!</definedName>
    <definedName name="titul_cur" localSheetId="11">#REF!</definedName>
    <definedName name="titul_cur" localSheetId="8">#REF!</definedName>
    <definedName name="titul_cur" localSheetId="9">#REF!</definedName>
    <definedName name="titul_cur" localSheetId="10">#REF!</definedName>
    <definedName name="titul_cur" localSheetId="5">#REF!</definedName>
    <definedName name="titul_cur" localSheetId="4">#REF!</definedName>
    <definedName name="titul_cur">#REF!</definedName>
    <definedName name="titul_cur_org" localSheetId="15">#REF!</definedName>
    <definedName name="titul_cur_org" localSheetId="11">#REF!</definedName>
    <definedName name="titul_cur_org" localSheetId="8">#REF!</definedName>
    <definedName name="titul_cur_org" localSheetId="9">#REF!</definedName>
    <definedName name="titul_cur_org" localSheetId="10">#REF!</definedName>
    <definedName name="titul_cur_org">#REF!</definedName>
    <definedName name="titul_cur_rek" localSheetId="15">#REF!</definedName>
    <definedName name="titul_cur_rek" localSheetId="11">#REF!</definedName>
    <definedName name="titul_cur_rek" localSheetId="8">#REF!</definedName>
    <definedName name="titul_cur_rek" localSheetId="9">#REF!</definedName>
    <definedName name="titul_cur_rek" localSheetId="10">#REF!</definedName>
    <definedName name="titul_cur_rek">#REF!</definedName>
    <definedName name="titul_next" localSheetId="15">#REF!</definedName>
    <definedName name="titul_next" localSheetId="11">#REF!</definedName>
    <definedName name="titul_next" localSheetId="10">#REF!</definedName>
    <definedName name="titul_next">#REF!</definedName>
    <definedName name="titul_next_exp" localSheetId="15">#REF!</definedName>
    <definedName name="titul_next_exp" localSheetId="11">#REF!</definedName>
    <definedName name="titul_next_exp" localSheetId="10">#REF!</definedName>
    <definedName name="titul_next_exp">#REF!</definedName>
    <definedName name="titul_next_org" localSheetId="15">#REF!</definedName>
    <definedName name="titul_next_org" localSheetId="11">#REF!</definedName>
    <definedName name="titul_next_org" localSheetId="10">#REF!</definedName>
    <definedName name="titul_next_org">#REF!</definedName>
    <definedName name="titul_pre" localSheetId="15">#REF!</definedName>
    <definedName name="titul_pre" localSheetId="11">#REF!</definedName>
    <definedName name="titul_pre" localSheetId="10">#REF!</definedName>
    <definedName name="titul_pre">#REF!</definedName>
    <definedName name="titul_pre_org" localSheetId="15">#REF!</definedName>
    <definedName name="titul_pre_org" localSheetId="11">#REF!</definedName>
    <definedName name="titul_pre_org" localSheetId="10">#REF!</definedName>
    <definedName name="titul_pre_org">#REF!</definedName>
    <definedName name="titul_pre_rek" localSheetId="15">#REF!</definedName>
    <definedName name="titul_pre_rek" localSheetId="11">#REF!</definedName>
    <definedName name="titul_pre_rek" localSheetId="10">#REF!</definedName>
    <definedName name="titul_pre_rek">#REF!</definedName>
    <definedName name="tkyukyu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15">[39]TSheet!$S$2:$S$7</definedName>
    <definedName name="TN_GROUP" localSheetId="11">[40]TSheet!$S$2:$S$7</definedName>
    <definedName name="TN_GROUP" localSheetId="8">[40]TSheet!$S$2:$S$7</definedName>
    <definedName name="TN_GROUP" localSheetId="9">[40]TSheet!$S$2:$S$7</definedName>
    <definedName name="TN_GROUP" localSheetId="10">[41]TSheet!$S$2:$S$7</definedName>
    <definedName name="TN_GROUP">[42]TSheet!$S$2:$S$7</definedName>
    <definedName name="tov" localSheetId="15">#REF!</definedName>
    <definedName name="tov" localSheetId="2">#REF!</definedName>
    <definedName name="tov" localSheetId="1">#REF!</definedName>
    <definedName name="tov" localSheetId="11">#REF!</definedName>
    <definedName name="tov" localSheetId="8">#REF!</definedName>
    <definedName name="tov" localSheetId="9">#REF!</definedName>
    <definedName name="tov" localSheetId="10">#REF!</definedName>
    <definedName name="tov" localSheetId="5">#REF!</definedName>
    <definedName name="tov" localSheetId="4">#REF!</definedName>
    <definedName name="tov">#REF!</definedName>
    <definedName name="TRAIN" localSheetId="15">#REF!</definedName>
    <definedName name="TRAIN" localSheetId="11">#REF!</definedName>
    <definedName name="TRAIN">#REF!</definedName>
    <definedName name="tyj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15">[65]Титульный!$F$12</definedName>
    <definedName name="type_indicator" localSheetId="2">[113]Титульный!$F$12</definedName>
    <definedName name="type_indicator" localSheetId="1">[113]Титульный!$F$12</definedName>
    <definedName name="type_indicator" localSheetId="11">[65]Титульный!$F$12</definedName>
    <definedName name="type_indicator" localSheetId="8">[65]Титульный!$F$12</definedName>
    <definedName name="type_indicator" localSheetId="9">[65]Титульный!$F$12</definedName>
    <definedName name="type_indicator" localSheetId="10">[65]Титульный!$F$12</definedName>
    <definedName name="type_indicator" localSheetId="5">[113]Титульный!$F$12</definedName>
    <definedName name="type_indicator" localSheetId="4">[113]Титульный!$F$12</definedName>
    <definedName name="type_indicator">[114]Титульный!$F$12</definedName>
    <definedName name="tyur" localSheetId="15">#REF!</definedName>
    <definedName name="tyur" localSheetId="2">#REF!</definedName>
    <definedName name="tyur" localSheetId="1">#REF!</definedName>
    <definedName name="tyur" localSheetId="11">#REF!</definedName>
    <definedName name="tyur" localSheetId="8">#REF!</definedName>
    <definedName name="tyur" localSheetId="9">#REF!</definedName>
    <definedName name="tyur" localSheetId="10">#REF!</definedName>
    <definedName name="tyur" localSheetId="5">#REF!</definedName>
    <definedName name="tyur" localSheetId="4">#REF!</definedName>
    <definedName name="tyur">#REF!</definedName>
    <definedName name="U" localSheetId="15">#REF!</definedName>
    <definedName name="U" localSheetId="11">#REF!</definedName>
    <definedName name="U" localSheetId="8">#REF!</definedName>
    <definedName name="U" localSheetId="9">#REF!</definedName>
    <definedName name="U" localSheetId="10">#REF!</definedName>
    <definedName name="U">#REF!</definedName>
    <definedName name="uka" localSheetId="15">[7]!uka</definedName>
    <definedName name="uka" localSheetId="11">#N/A</definedName>
    <definedName name="uka" localSheetId="8">#N/A</definedName>
    <definedName name="uka" localSheetId="9">#N/A</definedName>
    <definedName name="uka">#N/A</definedName>
    <definedName name="Unit">[84]Лист1!$C$13</definedName>
    <definedName name="unlev_fcf_rate" localSheetId="15">#REF!</definedName>
    <definedName name="unlev_fcf_rate" localSheetId="2">#REF!</definedName>
    <definedName name="unlev_fcf_rate" localSheetId="1">#REF!</definedName>
    <definedName name="unlev_fcf_rate" localSheetId="11">#REF!</definedName>
    <definedName name="unlev_fcf_rate" localSheetId="8">#REF!</definedName>
    <definedName name="unlev_fcf_rate" localSheetId="9">#REF!</definedName>
    <definedName name="unlev_fcf_rate" localSheetId="10">#REF!</definedName>
    <definedName name="unlev_fcf_rate" localSheetId="5">#REF!</definedName>
    <definedName name="unlev_fcf_rate" localSheetId="4">#REF!</definedName>
    <definedName name="unlev_fcf_rate">#REF!</definedName>
    <definedName name="UnleveredBeta" localSheetId="15">#REF!</definedName>
    <definedName name="UnleveredBeta" localSheetId="11">#REF!</definedName>
    <definedName name="UnleveredBeta" localSheetId="8">#REF!</definedName>
    <definedName name="UnleveredBeta" localSheetId="9">#REF!</definedName>
    <definedName name="UnleveredBeta" localSheetId="10">#REF!</definedName>
    <definedName name="UnleveredBeta">#REF!</definedName>
    <definedName name="UNUSE" localSheetId="15">#REF!</definedName>
    <definedName name="UNUSE" localSheetId="11">#REF!</definedName>
    <definedName name="UNUSE">#REF!</definedName>
    <definedName name="upr" localSheetId="15">[7]!upr</definedName>
    <definedName name="upr" localSheetId="11">#N/A</definedName>
    <definedName name="upr" localSheetId="8">#N/A</definedName>
    <definedName name="upr" localSheetId="9">#N/A</definedName>
    <definedName name="upr">#N/A</definedName>
    <definedName name="Usage_pt">[115]Применение!$A$14:$A$181</definedName>
    <definedName name="Usage_qt">[115]Применение!$E$14:$E$181</definedName>
    <definedName name="v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15">#REF!</definedName>
    <definedName name="Valuation_date" localSheetId="11">#REF!</definedName>
    <definedName name="Valuation_date">#REF!</definedName>
    <definedName name="ValuationYear" localSheetId="15">#REF!</definedName>
    <definedName name="ValuationYear" localSheetId="11">#REF!</definedName>
    <definedName name="ValuationYear" localSheetId="8">#REF!</definedName>
    <definedName name="ValuationYear" localSheetId="9">#REF!</definedName>
    <definedName name="ValuationYear" localSheetId="10">#REF!</definedName>
    <definedName name="ValuationYear">#REF!</definedName>
    <definedName name="Value" localSheetId="15">#REF!</definedName>
    <definedName name="Value" localSheetId="11">#REF!</definedName>
    <definedName name="Value" localSheetId="8">#REF!</definedName>
    <definedName name="Value" localSheetId="9">#REF!</definedName>
    <definedName name="Value" localSheetId="10">#REF!</definedName>
    <definedName name="Value">#REF!</definedName>
    <definedName name="value_date" localSheetId="15">#REF!</definedName>
    <definedName name="value_date" localSheetId="11">#REF!</definedName>
    <definedName name="value_date" localSheetId="8">#REF!</definedName>
    <definedName name="value_date" localSheetId="9">#REF!</definedName>
    <definedName name="value_date" localSheetId="10">#REF!</definedName>
    <definedName name="value_date">#REF!</definedName>
    <definedName name="VAT" localSheetId="15">#REF!</definedName>
    <definedName name="VAT" localSheetId="11">#REF!</definedName>
    <definedName name="VAT">#REF!</definedName>
    <definedName name="VDOC" localSheetId="15">#REF!</definedName>
    <definedName name="VDOC" localSheetId="11">#REF!</definedName>
    <definedName name="VDOC" localSheetId="10">#REF!</definedName>
    <definedName name="VDOC">#REF!</definedName>
    <definedName name="VERSION" localSheetId="15">[39]TSheet!$C$4</definedName>
    <definedName name="VERSION" localSheetId="11">[40]TSheet!$C$4</definedName>
    <definedName name="VERSION" localSheetId="8">[40]TSheet!$C$4</definedName>
    <definedName name="VERSION" localSheetId="9">[40]TSheet!$C$4</definedName>
    <definedName name="VERSION" localSheetId="10">[41]TSheet!$C$4</definedName>
    <definedName name="VERSION">[64]TSheet!$C$4</definedName>
    <definedName name="VID_TOPL" localSheetId="15">[89]TECHSHEET!$D$1:$D$7</definedName>
    <definedName name="VID_TOPL" localSheetId="2">[90]TECHSHEET!$D$1:$D$7</definedName>
    <definedName name="VID_TOPL" localSheetId="1">[90]TECHSHEET!$D$1:$D$7</definedName>
    <definedName name="VID_TOPL" localSheetId="11">[89]TECHSHEET!$D$1:$D$7</definedName>
    <definedName name="VID_TOPL" localSheetId="8">[89]TECHSHEET!$D$1:$D$7</definedName>
    <definedName name="VID_TOPL" localSheetId="9">[89]TECHSHEET!$D$1:$D$7</definedName>
    <definedName name="VID_TOPL" localSheetId="10">[89]TECHSHEET!$D$1:$D$7</definedName>
    <definedName name="VID_TOPL" localSheetId="5">[90]TECHSHEET!$D$1:$D$7</definedName>
    <definedName name="VID_TOPL" localSheetId="4">[90]TECHSHEET!$D$1:$D$7</definedName>
    <definedName name="VID_TOPL">[91]TECHSHEET!$D$1:$D$7</definedName>
    <definedName name="VK_GROUP" localSheetId="15">[39]TSheet!$Q$2:$Q$20</definedName>
    <definedName name="VK_GROUP" localSheetId="11">[40]TSheet!$Q$2:$Q$36</definedName>
    <definedName name="VK_GROUP" localSheetId="8">[40]TSheet!$Q$2:$Q$36</definedName>
    <definedName name="VK_GROUP" localSheetId="9">[40]TSheet!$Q$2:$Q$36</definedName>
    <definedName name="VK_GROUP" localSheetId="10">[41]TSheet!$Q$2:$Q$36</definedName>
    <definedName name="VK_GROUP">[42]TSheet!$Q$2:$Q$20</definedName>
    <definedName name="VLT_GROUP" localSheetId="15">[39]TSheet!$U$2:$U$5</definedName>
    <definedName name="VLT_GROUP" localSheetId="11">[40]TSheet!$U$2:$U$5</definedName>
    <definedName name="VLT_GROUP" localSheetId="8">[40]TSheet!$U$2:$U$5</definedName>
    <definedName name="VLT_GROUP" localSheetId="9">[40]TSheet!$U$2:$U$5</definedName>
    <definedName name="VLT_GROUP" localSheetId="10">[41]TSheet!$U$2:$U$5</definedName>
    <definedName name="VLT_GROUP">[42]TSheet!$U$2:$U$5</definedName>
    <definedName name="vn" localSheetId="15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7" hidden="1">{#N/A,#N/A,TRUE,"Лист1";#N/A,#N/A,TRUE,"Лист2";#N/A,#N/A,TRUE,"Лист3"}</definedName>
    <definedName name="vn" localSheetId="11" hidden="1">{#N/A,#N/A,TRUE,"Лист1";#N/A,#N/A,TRUE,"Лист2";#N/A,#N/A,TRUE,"Лист3"}</definedName>
    <definedName name="vn" localSheetId="8" hidden="1">{#N/A,#N/A,TRUE,"Лист1";#N/A,#N/A,TRUE,"Лист2";#N/A,#N/A,TRUE,"Лист3"}</definedName>
    <definedName name="vn" localSheetId="9" hidden="1">{#N/A,#N/A,TRUE,"Лист1";#N/A,#N/A,TRUE,"Лист2";#N/A,#N/A,TRUE,"Лист3"}</definedName>
    <definedName name="vn" localSheetId="10" hidden="1">{#N/A,#N/A,TRUE,"Лист1";#N/A,#N/A,TRUE,"Лист2";#N/A,#N/A,TRUE,"Лист3"}</definedName>
    <definedName name="vn" localSheetId="5" hidden="1">{#N/A,#N/A,TRUE,"Лист1";#N/A,#N/A,TRUE,"Лист2";#N/A,#N/A,TRUE,"Лист3"}</definedName>
    <definedName name="vn" localSheetId="4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15">#REF!</definedName>
    <definedName name="voljan" localSheetId="2">#REF!</definedName>
    <definedName name="voljan" localSheetId="1">#REF!</definedName>
    <definedName name="voljan" localSheetId="11">#REF!</definedName>
    <definedName name="voljan" localSheetId="8">#REF!</definedName>
    <definedName name="voljan" localSheetId="9">#REF!</definedName>
    <definedName name="voljan" localSheetId="10">#REF!</definedName>
    <definedName name="voljan" localSheetId="5">#REF!</definedName>
    <definedName name="voljan" localSheetId="4">#REF!</definedName>
    <definedName name="voljan">#REF!</definedName>
    <definedName name="Voltage_lvl">[116]TSheet!$T$2:$T$5</definedName>
    <definedName name="VV" localSheetId="15">[7]!VV</definedName>
    <definedName name="VV" localSheetId="11">#N/A</definedName>
    <definedName name="VV" localSheetId="8">#N/A</definedName>
    <definedName name="VV" localSheetId="9">#N/A</definedName>
    <definedName name="VV">#N/A</definedName>
    <definedName name="w" localSheetId="15">#REF!</definedName>
    <definedName name="w" localSheetId="2">#REF!</definedName>
    <definedName name="w" localSheetId="1">#REF!</definedName>
    <definedName name="w" localSheetId="11">#REF!</definedName>
    <definedName name="w" localSheetId="8">#REF!</definedName>
    <definedName name="w" localSheetId="9">#REF!</definedName>
    <definedName name="w" localSheetId="10">#REF!</definedName>
    <definedName name="w" localSheetId="5">#REF!</definedName>
    <definedName name="w" localSheetId="4">#REF!</definedName>
    <definedName name="w">#REF!</definedName>
    <definedName name="W_GROUP" localSheetId="15">[39]SheetOrgReestr!$A$2:$A$147</definedName>
    <definedName name="W_GROUP" localSheetId="11">[40]SheetOrgReestr!$A$2:$A$172</definedName>
    <definedName name="W_GROUP" localSheetId="8">[40]SheetOrgReestr!$A$2:$A$172</definedName>
    <definedName name="W_GROUP" localSheetId="9">[40]SheetOrgReestr!$A$2:$A$172</definedName>
    <definedName name="W_GROUP" localSheetId="10">[41]SheetOrgReestr!$A$2:$A$172</definedName>
    <definedName name="W_GROUP">[42]SheetOrgReestr!$A$2:$A$147</definedName>
    <definedName name="W_TYPE" localSheetId="15">[47]TSheet!$O$2:$O$5</definedName>
    <definedName name="W_TYPE" localSheetId="11">[49]TSheet!$O$2:$O$4</definedName>
    <definedName name="W_TYPE" localSheetId="8">[49]TSheet!$O$2:$O$4</definedName>
    <definedName name="W_TYPE" localSheetId="9">[49]TSheet!$O$2:$O$4</definedName>
    <definedName name="W_TYPE" localSheetId="10">[50]TSheet!$O$2:$O$4</definedName>
    <definedName name="W_TYPE">[73]TSheet!$O$2:$O$5</definedName>
    <definedName name="WACC" localSheetId="15">#REF!</definedName>
    <definedName name="WACC" localSheetId="2">#REF!</definedName>
    <definedName name="WACC" localSheetId="1">#REF!</definedName>
    <definedName name="WACC" localSheetId="11">#REF!</definedName>
    <definedName name="WACC" localSheetId="8">#REF!</definedName>
    <definedName name="WACC" localSheetId="9">#REF!</definedName>
    <definedName name="WACC" localSheetId="10">#REF!</definedName>
    <definedName name="WACC" localSheetId="5">#REF!</definedName>
    <definedName name="WACC" localSheetId="4">#REF!</definedName>
    <definedName name="WACC">#REF!</definedName>
    <definedName name="WACC_sen" localSheetId="15">#REF!</definedName>
    <definedName name="WACC_sen" localSheetId="11">#REF!</definedName>
    <definedName name="WACC_sen" localSheetId="8">#REF!</definedName>
    <definedName name="WACC_sen" localSheetId="9">#REF!</definedName>
    <definedName name="WACC_sen" localSheetId="10">#REF!</definedName>
    <definedName name="WACC_sen">#REF!</definedName>
    <definedName name="WBD___Water_projections_home" localSheetId="15">[23]Water!#REF!</definedName>
    <definedName name="WBD___Water_projections_home" localSheetId="11">[23]Water!#REF!</definedName>
    <definedName name="WBD___Water_projections_home" localSheetId="8">[23]Water!#REF!</definedName>
    <definedName name="WBD___Water_projections_home" localSheetId="9">[23]Water!#REF!</definedName>
    <definedName name="WBD___Water_projections_home" localSheetId="10">[23]Water!#REF!</definedName>
    <definedName name="WBD___Water_projections_home">[23]Water!#REF!</definedName>
    <definedName name="wdfs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15">#REF!</definedName>
    <definedName name="werww" localSheetId="11">#REF!</definedName>
    <definedName name="werww">#REF!</definedName>
    <definedName name="wii" localSheetId="15">#REF!</definedName>
    <definedName name="wii" localSheetId="11">#REF!</definedName>
    <definedName name="wii">#REF!</definedName>
    <definedName name="WriteUp_inventories" localSheetId="15">#REF!</definedName>
    <definedName name="WriteUp_inventories" localSheetId="11">#REF!</definedName>
    <definedName name="WriteUp_inventories" localSheetId="8">#REF!</definedName>
    <definedName name="WriteUp_inventories" localSheetId="9">#REF!</definedName>
    <definedName name="WriteUp_inventories" localSheetId="10">#REF!</definedName>
    <definedName name="WriteUp_inventories">#REF!</definedName>
    <definedName name="WriteUp_otherCA" localSheetId="15">#REF!</definedName>
    <definedName name="WriteUp_otherCA" localSheetId="11">#REF!</definedName>
    <definedName name="WriteUp_otherCA" localSheetId="8">#REF!</definedName>
    <definedName name="WriteUp_otherCA" localSheetId="9">#REF!</definedName>
    <definedName name="WriteUp_otherCA" localSheetId="10">#REF!</definedName>
    <definedName name="WriteUp_otherCA">#REF!</definedName>
    <definedName name="WriteUp_otherCL" localSheetId="15">#REF!</definedName>
    <definedName name="WriteUp_otherCL" localSheetId="11">#REF!</definedName>
    <definedName name="WriteUp_otherCL" localSheetId="8">#REF!</definedName>
    <definedName name="WriteUp_otherCL" localSheetId="9">#REF!</definedName>
    <definedName name="WriteUp_otherCL" localSheetId="10">#REF!</definedName>
    <definedName name="WriteUp_otherCL">#REF!</definedName>
    <definedName name="WriteUp_otherLTA" localSheetId="15">#REF!</definedName>
    <definedName name="WriteUp_otherLTA" localSheetId="11">#REF!</definedName>
    <definedName name="WriteUp_otherLTA" localSheetId="10">#REF!</definedName>
    <definedName name="WriteUp_otherLTA">#REF!</definedName>
    <definedName name="WriteUp_otherLTL" localSheetId="15">#REF!</definedName>
    <definedName name="WriteUp_otherLTL" localSheetId="11">#REF!</definedName>
    <definedName name="WriteUp_otherLTL" localSheetId="10">#REF!</definedName>
    <definedName name="WriteUp_otherLTL">#REF!</definedName>
    <definedName name="WriteUp_payables" localSheetId="15">#REF!</definedName>
    <definedName name="WriteUp_payables" localSheetId="11">#REF!</definedName>
    <definedName name="WriteUp_payables" localSheetId="10">#REF!</definedName>
    <definedName name="WriteUp_payables">#REF!</definedName>
    <definedName name="WriteUP_PPE" localSheetId="15">#REF!</definedName>
    <definedName name="WriteUP_PPE" localSheetId="11">#REF!</definedName>
    <definedName name="WriteUP_PPE" localSheetId="10">#REF!</definedName>
    <definedName name="WriteUP_PPE">#REF!</definedName>
    <definedName name="WriteUp_receivables" localSheetId="15">#REF!</definedName>
    <definedName name="WriteUp_receivables" localSheetId="11">#REF!</definedName>
    <definedName name="WriteUp_receivables" localSheetId="10">#REF!</definedName>
    <definedName name="WriteUp_receivables">#REF!</definedName>
    <definedName name="writeupdeprec" localSheetId="15">#REF!</definedName>
    <definedName name="writeupdeprec" localSheetId="11">#REF!</definedName>
    <definedName name="writeupdeprec" localSheetId="10">#REF!</definedName>
    <definedName name="writeupdeprec">#REF!</definedName>
    <definedName name="wrn.REPORT1." localSheetId="15" hidden="1">{"PRINTME",#N/A,FALSE,"FINAL-10"}</definedName>
    <definedName name="wrn.REPORT1." localSheetId="2" hidden="1">{"PRINTME",#N/A,FALSE,"FINAL-10"}</definedName>
    <definedName name="wrn.REPORT1." localSheetId="1" hidden="1">{"PRINTME",#N/A,FALSE,"FINAL-10"}</definedName>
    <definedName name="wrn.REPORT1." localSheetId="7" hidden="1">{"PRINTME",#N/A,FALSE,"FINAL-10"}</definedName>
    <definedName name="wrn.REPORT1." localSheetId="11" hidden="1">{"PRINTME",#N/A,FALSE,"FINAL-10"}</definedName>
    <definedName name="wrn.REPORT1." localSheetId="8" hidden="1">{"PRINTME",#N/A,FALSE,"FINAL-10"}</definedName>
    <definedName name="wrn.REPORT1." localSheetId="9" hidden="1">{"PRINTME",#N/A,FALSE,"FINAL-10"}</definedName>
    <definedName name="wrn.REPORT1." localSheetId="10" hidden="1">{"PRINTME",#N/A,FALSE,"FINAL-10"}</definedName>
    <definedName name="wrn.REPORT1." localSheetId="5" hidden="1">{"PRINTME",#N/A,FALSE,"FINAL-10"}</definedName>
    <definedName name="wrn.REPORT1." localSheetId="4" hidden="1">{"PRINTME",#N/A,FALSE,"FINAL-10"}</definedName>
    <definedName name="wrn.REPORT1." hidden="1">{"PRINTME",#N/A,FALSE,"FINAL-10"}</definedName>
    <definedName name="wrn.Калькуляция._.себестоимости." localSheetId="15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11" hidden="1">{#N/A,#N/A,FALSE,"Себестоимсть-97"}</definedName>
    <definedName name="wrn.Калькуляция._.себестоимости." localSheetId="8" hidden="1">{#N/A,#N/A,FALSE,"Себестоимсть-97"}</definedName>
    <definedName name="wrn.Калькуляция._.себестоимости." localSheetId="9" hidden="1">{#N/A,#N/A,FALSE,"Себестоимсть-97"}</definedName>
    <definedName name="wrn.Калькуляция._.себестоимости." localSheetId="10" hidden="1">{#N/A,#N/A,FALSE,"Себестоимсть-97"}</definedName>
    <definedName name="wrn.Калькуляция._.себестоимости." localSheetId="5" hidden="1">{#N/A,#N/A,FALSE,"Себестоимсть-97"}</definedName>
    <definedName name="wrn.Калькуляция._.себестоимости." localSheetId="4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5" hidden="1">{#N/A,#N/A,FALSE,"Себестоимсть-97"}</definedName>
    <definedName name="wrn.Калькуляция._.себестоимости.1" localSheetId="2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localSheetId="11" hidden="1">{#N/A,#N/A,FALSE,"Себестоимсть-97"}</definedName>
    <definedName name="wrn.Калькуляция._.себестоимости.1" localSheetId="8" hidden="1">{#N/A,#N/A,FALSE,"Себестоимсть-97"}</definedName>
    <definedName name="wrn.Калькуляция._.себестоимости.1" localSheetId="9" hidden="1">{#N/A,#N/A,FALSE,"Себестоимсть-97"}</definedName>
    <definedName name="wrn.Калькуляция._.себестоимости.1" localSheetId="10" hidden="1">{#N/A,#N/A,FALSE,"Себестоимсть-97"}</definedName>
    <definedName name="wrn.Калькуляция._.себестоимости.1" localSheetId="5" hidden="1">{#N/A,#N/A,FALSE,"Себестоимсть-97"}</definedName>
    <definedName name="wrn.Калькуляция._.себестоимости.1" localSheetId="4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5" hidden="1">{"План продаж",#N/A,FALSE,"товар"}</definedName>
    <definedName name="wrn.План._.продаж." localSheetId="2" hidden="1">{"План продаж",#N/A,FALSE,"товар"}</definedName>
    <definedName name="wrn.План._.продаж." localSheetId="1" hidden="1">{"План продаж",#N/A,FALSE,"товар"}</definedName>
    <definedName name="wrn.План._.продаж." localSheetId="7" hidden="1">{"План продаж",#N/A,FALSE,"товар"}</definedName>
    <definedName name="wrn.План._.продаж." localSheetId="11" hidden="1">{"План продаж",#N/A,FALSE,"товар"}</definedName>
    <definedName name="wrn.План._.продаж." localSheetId="8" hidden="1">{"План продаж",#N/A,FALSE,"товар"}</definedName>
    <definedName name="wrn.План._.продаж." localSheetId="9" hidden="1">{"План продаж",#N/A,FALSE,"товар"}</definedName>
    <definedName name="wrn.План._.продаж." localSheetId="10" hidden="1">{"План продаж",#N/A,FALSE,"товар"}</definedName>
    <definedName name="wrn.План._.продаж." localSheetId="5" hidden="1">{"План продаж",#N/A,FALSE,"товар"}</definedName>
    <definedName name="wrn.План._.продаж." localSheetId="4" hidden="1">{"План продаж",#N/A,FALSE,"товар"}</definedName>
    <definedName name="wrn.План._.продаж." hidden="1">{"План продаж",#N/A,FALSE,"товар"}</definedName>
    <definedName name="wrn.План._.товар." localSheetId="15" hidden="1">{"План товар",#N/A,FALSE,"товар"}</definedName>
    <definedName name="wrn.План._.товар." localSheetId="2" hidden="1">{"План товар",#N/A,FALSE,"товар"}</definedName>
    <definedName name="wrn.План._.товар." localSheetId="1" hidden="1">{"План товар",#N/A,FALSE,"товар"}</definedName>
    <definedName name="wrn.План._.товар." localSheetId="7" hidden="1">{"План товар",#N/A,FALSE,"товар"}</definedName>
    <definedName name="wrn.План._.товар." localSheetId="11" hidden="1">{"План товар",#N/A,FALSE,"товар"}</definedName>
    <definedName name="wrn.План._.товар." localSheetId="8" hidden="1">{"План товар",#N/A,FALSE,"товар"}</definedName>
    <definedName name="wrn.План._.товар." localSheetId="9" hidden="1">{"План товар",#N/A,FALSE,"товар"}</definedName>
    <definedName name="wrn.План._.товар." localSheetId="10" hidden="1">{"План товар",#N/A,FALSE,"товар"}</definedName>
    <definedName name="wrn.План._.товар." localSheetId="5" hidden="1">{"План товар",#N/A,FALSE,"товар"}</definedName>
    <definedName name="wrn.План._.товар." localSheetId="4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5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5" hidden="1">{"Товар.выработка без продаж",#N/A,FALSE,"товар"}</definedName>
    <definedName name="wrn.Товарн.выраб._.А4." localSheetId="2" hidden="1">{"Товар.выработка без продаж",#N/A,FALSE,"товар"}</definedName>
    <definedName name="wrn.Товарн.выраб._.А4." localSheetId="1" hidden="1">{"Товар.выработка без продаж",#N/A,FALSE,"товар"}</definedName>
    <definedName name="wrn.Товарн.выраб._.А4." localSheetId="7" hidden="1">{"Товар.выработка без продаж",#N/A,FALSE,"товар"}</definedName>
    <definedName name="wrn.Товарн.выраб._.А4." localSheetId="11" hidden="1">{"Товар.выработка без продаж",#N/A,FALSE,"товар"}</definedName>
    <definedName name="wrn.Товарн.выраб._.А4." localSheetId="8" hidden="1">{"Товар.выработка без продаж",#N/A,FALSE,"товар"}</definedName>
    <definedName name="wrn.Товарн.выраб._.А4." localSheetId="9" hidden="1">{"Товар.выработка без продаж",#N/A,FALSE,"товар"}</definedName>
    <definedName name="wrn.Товарн.выраб._.А4." localSheetId="10" hidden="1">{"Товар.выработка без продаж",#N/A,FALSE,"товар"}</definedName>
    <definedName name="wrn.Товарн.выраб._.А4." localSheetId="5" hidden="1">{"Товар.выработка без продаж",#N/A,FALSE,"товар"}</definedName>
    <definedName name="wrn.Товарн.выраб._.А4." localSheetId="4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5">#REF!</definedName>
    <definedName name="wtdavgshares" localSheetId="2">#REF!</definedName>
    <definedName name="wtdavgshares" localSheetId="1">#REF!</definedName>
    <definedName name="wtdavgshares" localSheetId="11">#REF!</definedName>
    <definedName name="wtdavgshares" localSheetId="8">#REF!</definedName>
    <definedName name="wtdavgshares" localSheetId="9">#REF!</definedName>
    <definedName name="wtdavgshares" localSheetId="10">#REF!</definedName>
    <definedName name="wtdavgshares" localSheetId="5">#REF!</definedName>
    <definedName name="wtdavgshares" localSheetId="4">#REF!</definedName>
    <definedName name="wtdavgshares">#REF!</definedName>
    <definedName name="wwr" localSheetId="15" hidden="1">#REF!,#REF!,#REF!,#REF!,#REF!,#REF!,#REF!</definedName>
    <definedName name="wwr" localSheetId="2" hidden="1">#REF!,#REF!,#REF!,#REF!,#REF!,#REF!,#REF!</definedName>
    <definedName name="wwr" localSheetId="1" hidden="1">#REF!,#REF!,#REF!,#REF!,#REF!,#REF!,#REF!</definedName>
    <definedName name="wwr" localSheetId="7" hidden="1">#REF!,#REF!,#REF!,#REF!,#REF!,#REF!,#REF!</definedName>
    <definedName name="wwr" localSheetId="11" hidden="1">#REF!,#REF!,#REF!,#REF!,#REF!,#REF!,#REF!</definedName>
    <definedName name="wwr" localSheetId="8" hidden="1">#REF!,#REF!,#REF!,#REF!,#REF!,#REF!,#REF!</definedName>
    <definedName name="wwr" localSheetId="9" hidden="1">#REF!,#REF!,#REF!,#REF!,#REF!,#REF!,#REF!</definedName>
    <definedName name="wwr" localSheetId="10" hidden="1">#REF!,#REF!,#REF!,#REF!,#REF!,#REF!,#REF!</definedName>
    <definedName name="wwr" localSheetId="5" hidden="1">#REF!,#REF!,#REF!,#REF!,#REF!,#REF!,#REF!</definedName>
    <definedName name="wwr" localSheetId="4" hidden="1">#REF!,#REF!,#REF!,#REF!,#REF!,#REF!,#REF!</definedName>
    <definedName name="wwr" hidden="1">#REF!,#REF!,#REF!,#REF!,#REF!,#REF!,#REF!</definedName>
    <definedName name="x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15">#REF!</definedName>
    <definedName name="xoz_r" localSheetId="2">#REF!</definedName>
    <definedName name="xoz_r" localSheetId="1">#REF!</definedName>
    <definedName name="xoz_r" localSheetId="11">#REF!</definedName>
    <definedName name="xoz_r" localSheetId="8">#REF!</definedName>
    <definedName name="xoz_r" localSheetId="9">#REF!</definedName>
    <definedName name="xoz_r" localSheetId="10">#REF!</definedName>
    <definedName name="xoz_r" localSheetId="5">#REF!</definedName>
    <definedName name="xoz_r" localSheetId="4">#REF!</definedName>
    <definedName name="xoz_r">#REF!</definedName>
    <definedName name="y" localSheetId="15">#REF!</definedName>
    <definedName name="y" localSheetId="11">#REF!</definedName>
    <definedName name="y" localSheetId="8">#REF!</definedName>
    <definedName name="y" localSheetId="9">#REF!</definedName>
    <definedName name="y" localSheetId="10">#REF!</definedName>
    <definedName name="y">#REF!</definedName>
    <definedName name="YEAR_PERIOD" localSheetId="15">[39]Титульный!$F$23</definedName>
    <definedName name="YEAR_PERIOD" localSheetId="11">[73]Титульный!$F$24</definedName>
    <definedName name="YEAR_PERIOD" localSheetId="8">[73]Титульный!$F$24</definedName>
    <definedName name="YEAR_PERIOD" localSheetId="9">[73]Титульный!$F$24</definedName>
    <definedName name="YEAR_PERIOD" localSheetId="10">[50]Титульный!$F$24</definedName>
    <definedName name="YEAR_PERIOD">[75]Титульный!$F$24</definedName>
    <definedName name="YearEnd" localSheetId="15">#REF!</definedName>
    <definedName name="YearEnd" localSheetId="2">#REF!</definedName>
    <definedName name="YearEnd" localSheetId="1">#REF!</definedName>
    <definedName name="YearEnd" localSheetId="11">#REF!</definedName>
    <definedName name="YearEnd" localSheetId="8">#REF!</definedName>
    <definedName name="YearEnd" localSheetId="9">#REF!</definedName>
    <definedName name="YearEnd" localSheetId="10">#REF!</definedName>
    <definedName name="YearEnd" localSheetId="5">#REF!</definedName>
    <definedName name="YearEnd" localSheetId="4">#REF!</definedName>
    <definedName name="YearEnd">#REF!</definedName>
    <definedName name="YES_NO" localSheetId="15">[89]TECHSHEET!$B$1:$B$2</definedName>
    <definedName name="YES_NO" localSheetId="2">[90]TECHSHEET!$B$1:$B$2</definedName>
    <definedName name="YES_NO" localSheetId="1">[90]TECHSHEET!$B$1:$B$2</definedName>
    <definedName name="YES_NO" localSheetId="11">[89]TECHSHEET!$B$1:$B$2</definedName>
    <definedName name="YES_NO" localSheetId="8">[89]TECHSHEET!$B$1:$B$2</definedName>
    <definedName name="YES_NO" localSheetId="9">[89]TECHSHEET!$B$1:$B$2</definedName>
    <definedName name="YES_NO" localSheetId="10">[89]TECHSHEET!$B$1:$B$2</definedName>
    <definedName name="YES_NO" localSheetId="5">[90]TECHSHEET!$B$1:$B$2</definedName>
    <definedName name="YES_NO" localSheetId="4">[90]TECHSHEET!$B$1:$B$2</definedName>
    <definedName name="YES_NO">[91]TECHSHEET!$B$1:$B$2</definedName>
    <definedName name="ytjty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15">'[27]Input-Moscow'!#REF!</definedName>
    <definedName name="yust_ms" localSheetId="11">'[27]Input-Moscow'!#REF!</definedName>
    <definedName name="yust_ms" localSheetId="8">'[27]Input-Moscow'!#REF!</definedName>
    <definedName name="yust_ms" localSheetId="9">'[27]Input-Moscow'!#REF!</definedName>
    <definedName name="yust_ms" localSheetId="10">'[27]Input-Moscow'!#REF!</definedName>
    <definedName name="yust_ms">'[27]Input-Moscow'!#REF!</definedName>
    <definedName name="yust_ms2" localSheetId="15">'[27]Input-Moscow'!#REF!</definedName>
    <definedName name="yust_ms2" localSheetId="11">'[27]Input-Moscow'!#REF!</definedName>
    <definedName name="yust_ms2" localSheetId="8">'[27]Input-Moscow'!#REF!</definedName>
    <definedName name="yust_ms2" localSheetId="9">'[27]Input-Moscow'!#REF!</definedName>
    <definedName name="yust_ms2" localSheetId="10">'[27]Input-Moscow'!#REF!</definedName>
    <definedName name="yust_ms2">'[27]Input-Moscow'!#REF!</definedName>
    <definedName name="yutrferfghhjjl" localSheetId="15">#REF!</definedName>
    <definedName name="yutrferfghhjjl" localSheetId="2">#REF!</definedName>
    <definedName name="yutrferfghhjjl" localSheetId="1">#REF!</definedName>
    <definedName name="yutrferfghhjjl" localSheetId="11">#REF!</definedName>
    <definedName name="yutrferfghhjjl" localSheetId="8">#REF!</definedName>
    <definedName name="yutrferfghhjjl" localSheetId="9">#REF!</definedName>
    <definedName name="yutrferfghhjjl" localSheetId="10">#REF!</definedName>
    <definedName name="yutrferfghhjjl" localSheetId="5">#REF!</definedName>
    <definedName name="yutrferfghhjjl" localSheetId="4">#REF!</definedName>
    <definedName name="yutrferfghhjjl">#REF!</definedName>
    <definedName name="yyyjjjj" localSheetId="15" hidden="1">{#N/A,#N/A,FALSE,"Себестоимсть-97"}</definedName>
    <definedName name="yyyjjjj" localSheetId="2" hidden="1">{#N/A,#N/A,FALSE,"Себестоимсть-97"}</definedName>
    <definedName name="yyyjjjj" localSheetId="1" hidden="1">{#N/A,#N/A,FALSE,"Себестоимсть-97"}</definedName>
    <definedName name="yyyjjjj" localSheetId="11" hidden="1">{#N/A,#N/A,FALSE,"Себестоимсть-97"}</definedName>
    <definedName name="yyyjjjj" localSheetId="8" hidden="1">{#N/A,#N/A,FALSE,"Себестоимсть-97"}</definedName>
    <definedName name="yyyjjjj" localSheetId="9" hidden="1">{#N/A,#N/A,FALSE,"Себестоимсть-97"}</definedName>
    <definedName name="yyyjjjj" localSheetId="10" hidden="1">{#N/A,#N/A,FALSE,"Себестоимсть-97"}</definedName>
    <definedName name="yyyjjjj" localSheetId="5" hidden="1">{#N/A,#N/A,FALSE,"Себестоимсть-97"}</definedName>
    <definedName name="yyyjjjj" localSheetId="4" hidden="1">{#N/A,#N/A,FALSE,"Себестоимсть-97"}</definedName>
    <definedName name="yyyjjjj" hidden="1">{#N/A,#N/A,FALSE,"Себестоимсть-97"}</definedName>
    <definedName name="yyyjjjj1" localSheetId="15" hidden="1">{#N/A,#N/A,FALSE,"Себестоимсть-97"}</definedName>
    <definedName name="yyyjjjj1" localSheetId="2" hidden="1">{#N/A,#N/A,FALSE,"Себестоимсть-97"}</definedName>
    <definedName name="yyyjjjj1" localSheetId="1" hidden="1">{#N/A,#N/A,FALSE,"Себестоимсть-97"}</definedName>
    <definedName name="yyyjjjj1" localSheetId="11" hidden="1">{#N/A,#N/A,FALSE,"Себестоимсть-97"}</definedName>
    <definedName name="yyyjjjj1" localSheetId="8" hidden="1">{#N/A,#N/A,FALSE,"Себестоимсть-97"}</definedName>
    <definedName name="yyyjjjj1" localSheetId="9" hidden="1">{#N/A,#N/A,FALSE,"Себестоимсть-97"}</definedName>
    <definedName name="yyyjjjj1" localSheetId="10" hidden="1">{#N/A,#N/A,FALSE,"Себестоимсть-97"}</definedName>
    <definedName name="yyyjjjj1" localSheetId="5" hidden="1">{#N/A,#N/A,FALSE,"Себестоимсть-97"}</definedName>
    <definedName name="yyyjjjj1" localSheetId="4" hidden="1">{#N/A,#N/A,FALSE,"Себестоимсть-97"}</definedName>
    <definedName name="yyyjjjj1" hidden="1">{#N/A,#N/A,FALSE,"Себестоимсть-97"}</definedName>
    <definedName name="YYYYYY_Прогноз_Таблица" localSheetId="15">#REF!</definedName>
    <definedName name="YYYYYY_Прогноз_Таблица" localSheetId="2">#REF!</definedName>
    <definedName name="YYYYYY_Прогноз_Таблица" localSheetId="1">#REF!</definedName>
    <definedName name="YYYYYY_Прогноз_Таблица" localSheetId="11">#REF!</definedName>
    <definedName name="YYYYYY_Прогноз_Таблица" localSheetId="8">#REF!</definedName>
    <definedName name="YYYYYY_Прогноз_Таблица" localSheetId="9">#REF!</definedName>
    <definedName name="YYYYYY_Прогноз_Таблица" localSheetId="10">#REF!</definedName>
    <definedName name="YYYYYY_Прогноз_Таблица" localSheetId="5">#REF!</definedName>
    <definedName name="YYYYYY_Прогноз_Таблица" localSheetId="4">#REF!</definedName>
    <definedName name="YYYYYY_Прогноз_Таблица">#REF!</definedName>
    <definedName name="z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5" hidden="1">#REF!</definedName>
    <definedName name="Z_18E0A45A_F64C_11D3_90C7_000062A15C1A_.wvu.Cols" localSheetId="2" hidden="1">#REF!</definedName>
    <definedName name="Z_18E0A45A_F64C_11D3_90C7_000062A15C1A_.wvu.Cols" localSheetId="1" hidden="1">#REF!</definedName>
    <definedName name="Z_18E0A45A_F64C_11D3_90C7_000062A15C1A_.wvu.Cols" localSheetId="7" hidden="1">#REF!</definedName>
    <definedName name="Z_18E0A45A_F64C_11D3_90C7_000062A15C1A_.wvu.Cols" localSheetId="11" hidden="1">#REF!</definedName>
    <definedName name="Z_18E0A45A_F64C_11D3_90C7_000062A15C1A_.wvu.Cols" localSheetId="8" hidden="1">#REF!</definedName>
    <definedName name="Z_18E0A45A_F64C_11D3_90C7_000062A15C1A_.wvu.Cols" localSheetId="9" hidden="1">#REF!</definedName>
    <definedName name="Z_18E0A45A_F64C_11D3_90C7_000062A15C1A_.wvu.Cols" localSheetId="10" hidden="1">#REF!</definedName>
    <definedName name="Z_18E0A45A_F64C_11D3_90C7_000062A15C1A_.wvu.Cols" localSheetId="5" hidden="1">#REF!</definedName>
    <definedName name="Z_18E0A45A_F64C_11D3_90C7_000062A15C1A_.wvu.Cols" localSheetId="4" hidden="1">#REF!</definedName>
    <definedName name="Z_18E0A45A_F64C_11D3_90C7_000062A15C1A_.wvu.Cols" hidden="1">#REF!</definedName>
    <definedName name="Z_18E0A45A_F64C_11D3_90C7_000062A15C1A_.wvu.FilterData" localSheetId="15" hidden="1">#REF!</definedName>
    <definedName name="Z_18E0A45A_F64C_11D3_90C7_000062A15C1A_.wvu.FilterData" localSheetId="7" hidden="1">#REF!</definedName>
    <definedName name="Z_18E0A45A_F64C_11D3_90C7_000062A15C1A_.wvu.FilterData" localSheetId="11" hidden="1">#REF!</definedName>
    <definedName name="Z_18E0A45A_F64C_11D3_90C7_000062A15C1A_.wvu.FilterData" localSheetId="8" hidden="1">#REF!</definedName>
    <definedName name="Z_18E0A45A_F64C_11D3_90C7_000062A15C1A_.wvu.FilterData" localSheetId="9" hidden="1">#REF!</definedName>
    <definedName name="Z_18E0A45A_F64C_11D3_90C7_000062A15C1A_.wvu.FilterData" localSheetId="10" hidden="1">#REF!</definedName>
    <definedName name="Z_18E0A45A_F64C_11D3_90C7_000062A15C1A_.wvu.FilterData" hidden="1">#REF!</definedName>
    <definedName name="Z_18E0A45A_F64C_11D3_90C7_000062A15C1A_.wvu.PrintTitles" localSheetId="15" hidden="1">#REF!</definedName>
    <definedName name="Z_18E0A45A_F64C_11D3_90C7_000062A15C1A_.wvu.PrintTitles" localSheetId="7" hidden="1">#REF!</definedName>
    <definedName name="Z_18E0A45A_F64C_11D3_90C7_000062A15C1A_.wvu.PrintTitles" localSheetId="11" hidden="1">#REF!</definedName>
    <definedName name="Z_18E0A45A_F64C_11D3_90C7_000062A15C1A_.wvu.PrintTitles" localSheetId="8" hidden="1">#REF!</definedName>
    <definedName name="Z_18E0A45A_F64C_11D3_90C7_000062A15C1A_.wvu.PrintTitles" localSheetId="9" hidden="1">#REF!</definedName>
    <definedName name="Z_18E0A45A_F64C_11D3_90C7_000062A15C1A_.wvu.PrintTitles" localSheetId="10" hidden="1">#REF!</definedName>
    <definedName name="Z_18E0A45A_F64C_11D3_90C7_000062A15C1A_.wvu.PrintTitles" hidden="1">#REF!</definedName>
    <definedName name="Z_1FA0F3A0_9A3E_11D6_8FF0_00D0B7BABD9F_.wvu.Rows" localSheetId="15" hidden="1">[117]БДР!#REF!,[117]БДР!#REF!</definedName>
    <definedName name="Z_1FA0F3A0_9A3E_11D6_8FF0_00D0B7BABD9F_.wvu.Rows" localSheetId="2" hidden="1">[117]БДР!#REF!,[117]БДР!#REF!</definedName>
    <definedName name="Z_1FA0F3A0_9A3E_11D6_8FF0_00D0B7BABD9F_.wvu.Rows" localSheetId="1" hidden="1">[117]БДР!#REF!,[117]БДР!#REF!</definedName>
    <definedName name="Z_1FA0F3A0_9A3E_11D6_8FF0_00D0B7BABD9F_.wvu.Rows" localSheetId="11" hidden="1">[117]БДР!#REF!,[117]БДР!#REF!</definedName>
    <definedName name="Z_1FA0F3A0_9A3E_11D6_8FF0_00D0B7BABD9F_.wvu.Rows" localSheetId="8" hidden="1">[117]БДР!#REF!,[117]БДР!#REF!</definedName>
    <definedName name="Z_1FA0F3A0_9A3E_11D6_8FF0_00D0B7BABD9F_.wvu.Rows" localSheetId="9" hidden="1">[117]БДР!#REF!,[117]БДР!#REF!</definedName>
    <definedName name="Z_1FA0F3A0_9A3E_11D6_8FF0_00D0B7BABD9F_.wvu.Rows" localSheetId="10" hidden="1">[117]БДР!#REF!,[117]БДР!#REF!</definedName>
    <definedName name="Z_1FA0F3A0_9A3E_11D6_8FF0_00D0B7BABD9F_.wvu.Rows" localSheetId="5" hidden="1">[117]БДР!#REF!,[117]БДР!#REF!</definedName>
    <definedName name="Z_1FA0F3A0_9A3E_11D6_8FF0_00D0B7BABD9F_.wvu.Rows" localSheetId="4" hidden="1">[117]БДР!#REF!,[117]БДР!#REF!</definedName>
    <definedName name="Z_1FA0F3A0_9A3E_11D6_8FF0_00D0B7BABD9F_.wvu.Rows" hidden="1">[117]БДР!#REF!,[117]БДР!#REF!</definedName>
    <definedName name="Z_F9F3694A_8D99_11D6_96BF_00D0B7BD143A_.wvu.Rows" localSheetId="15" hidden="1">[117]БДР!#REF!,[117]БДР!#REF!</definedName>
    <definedName name="Z_F9F3694A_8D99_11D6_96BF_00D0B7BD143A_.wvu.Rows" localSheetId="2" hidden="1">[117]БДР!#REF!,[117]БДР!#REF!</definedName>
    <definedName name="Z_F9F3694A_8D99_11D6_96BF_00D0B7BD143A_.wvu.Rows" localSheetId="1" hidden="1">[117]БДР!#REF!,[117]БДР!#REF!</definedName>
    <definedName name="Z_F9F3694A_8D99_11D6_96BF_00D0B7BD143A_.wvu.Rows" localSheetId="11" hidden="1">[117]БДР!#REF!,[117]БДР!#REF!</definedName>
    <definedName name="Z_F9F3694A_8D99_11D6_96BF_00D0B7BD143A_.wvu.Rows" localSheetId="8" hidden="1">[117]БДР!#REF!,[117]БДР!#REF!</definedName>
    <definedName name="Z_F9F3694A_8D99_11D6_96BF_00D0B7BD143A_.wvu.Rows" localSheetId="9" hidden="1">[117]БДР!#REF!,[117]БДР!#REF!</definedName>
    <definedName name="Z_F9F3694A_8D99_11D6_96BF_00D0B7BD143A_.wvu.Rows" localSheetId="10" hidden="1">[117]БДР!#REF!,[117]БДР!#REF!</definedName>
    <definedName name="Z_F9F3694A_8D99_11D6_96BF_00D0B7BD143A_.wvu.Rows" localSheetId="5" hidden="1">[117]БДР!#REF!,[117]БДР!#REF!</definedName>
    <definedName name="Z_F9F3694A_8D99_11D6_96BF_00D0B7BD143A_.wvu.Rows" localSheetId="4" hidden="1">[117]БДР!#REF!,[117]БДР!#REF!</definedName>
    <definedName name="Z_F9F3694A_8D99_11D6_96BF_00D0B7BD143A_.wvu.Rows" hidden="1">[117]БДР!#REF!,[117]БДР!#REF!</definedName>
    <definedName name="zero" localSheetId="15">#REF!</definedName>
    <definedName name="zero" localSheetId="2">#REF!</definedName>
    <definedName name="zero" localSheetId="1">#REF!</definedName>
    <definedName name="zero" localSheetId="11">#REF!</definedName>
    <definedName name="zero" localSheetId="8">#REF!</definedName>
    <definedName name="zero" localSheetId="9">#REF!</definedName>
    <definedName name="zero" localSheetId="10">#REF!</definedName>
    <definedName name="zero" localSheetId="5">#REF!</definedName>
    <definedName name="zero" localSheetId="4">#REF!</definedName>
    <definedName name="zero">#REF!</definedName>
    <definedName name="zxs" localSheetId="15">#REF!</definedName>
    <definedName name="zxs" localSheetId="11">#REF!</definedName>
    <definedName name="zxs" localSheetId="10">#REF!</definedName>
    <definedName name="zxs">#REF!</definedName>
    <definedName name="а" localSheetId="15">#REF!</definedName>
    <definedName name="а" localSheetId="11">#REF!</definedName>
    <definedName name="а" localSheetId="10">#REF!</definedName>
    <definedName name="а">#REF!</definedName>
    <definedName name="А02" localSheetId="15">#REF!</definedName>
    <definedName name="А02" localSheetId="11">#REF!</definedName>
    <definedName name="А02" localSheetId="10">#REF!</definedName>
    <definedName name="А02">#REF!</definedName>
    <definedName name="а1" localSheetId="15">#REF!</definedName>
    <definedName name="а1" localSheetId="11">#REF!</definedName>
    <definedName name="а1" localSheetId="10">#REF!</definedName>
    <definedName name="а1">#REF!</definedName>
    <definedName name="а10000" localSheetId="15">#REF!</definedName>
    <definedName name="а10000" localSheetId="11">#REF!</definedName>
    <definedName name="а10000">#REF!</definedName>
    <definedName name="а4_2" localSheetId="15">#REF!</definedName>
    <definedName name="а4_2" localSheetId="11">#REF!</definedName>
    <definedName name="а4_2" localSheetId="10">#REF!</definedName>
    <definedName name="а4_2">#REF!</definedName>
    <definedName name="а42" localSheetId="15">#REF!</definedName>
    <definedName name="а42" localSheetId="11">#REF!</definedName>
    <definedName name="а42" localSheetId="10">#REF!</definedName>
    <definedName name="а42">#REF!</definedName>
    <definedName name="а6" localSheetId="15">#REF!</definedName>
    <definedName name="а6" localSheetId="11">#REF!</definedName>
    <definedName name="а6" localSheetId="10">#REF!</definedName>
    <definedName name="а6">#REF!</definedName>
    <definedName name="А8" localSheetId="15">#REF!</definedName>
    <definedName name="А8" localSheetId="11">#REF!</definedName>
    <definedName name="А8" localSheetId="10">#REF!</definedName>
    <definedName name="А8">#REF!</definedName>
    <definedName name="аа" localSheetId="15">#REF!</definedName>
    <definedName name="аа" localSheetId="11">#REF!</definedName>
    <definedName name="аа" localSheetId="10">#REF!</definedName>
    <definedName name="аа">#REF!</definedName>
    <definedName name="ааа">'[118]Продажи реальные и прогноз 20 л'!$E$47</definedName>
    <definedName name="АААААААА" localSheetId="15">[7]!АААААААА</definedName>
    <definedName name="АААААААА" localSheetId="11">#N/A</definedName>
    <definedName name="АААААААА" localSheetId="8">#N/A</definedName>
    <definedName name="АААААААА" localSheetId="9">#N/A</definedName>
    <definedName name="АААААААА">#N/A</definedName>
    <definedName name="ав" localSheetId="15">[7]!ав</definedName>
    <definedName name="ав" localSheetId="11">#N/A</definedName>
    <definedName name="ав" localSheetId="8">#N/A</definedName>
    <definedName name="ав" localSheetId="9">#N/A</definedName>
    <definedName name="ав">#N/A</definedName>
    <definedName name="ава" localSheetId="15">#REF!</definedName>
    <definedName name="ава" localSheetId="2">#REF!</definedName>
    <definedName name="ава" localSheetId="1">#REF!</definedName>
    <definedName name="ава" localSheetId="11">#REF!</definedName>
    <definedName name="ава" localSheetId="8">#REF!</definedName>
    <definedName name="ава" localSheetId="9">#REF!</definedName>
    <definedName name="ава" localSheetId="10">#REF!</definedName>
    <definedName name="ава" localSheetId="5">#REF!</definedName>
    <definedName name="ава" localSheetId="4">#REF!</definedName>
    <definedName name="ава">#REF!</definedName>
    <definedName name="авг" localSheetId="15">#REF!</definedName>
    <definedName name="авг" localSheetId="11">#REF!</definedName>
    <definedName name="авг" localSheetId="8">#REF!</definedName>
    <definedName name="авг" localSheetId="9">#REF!</definedName>
    <definedName name="авг" localSheetId="10">#REF!</definedName>
    <definedName name="авг">#REF!</definedName>
    <definedName name="авг2" localSheetId="15">#REF!</definedName>
    <definedName name="авг2" localSheetId="11">#REF!</definedName>
    <definedName name="авг2" localSheetId="8">#REF!</definedName>
    <definedName name="авг2" localSheetId="9">#REF!</definedName>
    <definedName name="авг2" localSheetId="10">#REF!</definedName>
    <definedName name="авг2">#REF!</definedName>
    <definedName name="аепк" localSheetId="15">#REF!</definedName>
    <definedName name="аепк" localSheetId="11">#REF!</definedName>
    <definedName name="аепк" localSheetId="10">#REF!</definedName>
    <definedName name="аепк">#REF!</definedName>
    <definedName name="альфа" localSheetId="15">'[119]Отопление помещ'!$A$69:$A$77</definedName>
    <definedName name="альфа" localSheetId="2">'[120]Отопление помещ'!$A$69:$A$77</definedName>
    <definedName name="альфа" localSheetId="1">'[120]Отопление помещ'!$A$69:$A$77</definedName>
    <definedName name="альфа" localSheetId="11">'[121]Отопление помещ'!$A$69:$A$77</definedName>
    <definedName name="альфа" localSheetId="8">'[121]Отопление помещ'!$A$69:$A$77</definedName>
    <definedName name="альфа" localSheetId="9">'[121]Отопление помещ'!$A$69:$A$77</definedName>
    <definedName name="альфа" localSheetId="10">'[122]Отопление помещ'!$A$69:$A$77</definedName>
    <definedName name="альфа" localSheetId="5">'[120]Отопление помещ'!$A$69:$A$77</definedName>
    <definedName name="альфа" localSheetId="4">'[120]Отопление помещ'!$A$69:$A$77</definedName>
    <definedName name="альфа">'[123]Отопление помещ'!$A$69:$A$77</definedName>
    <definedName name="аналБ">'[124]1пг02к03'!$B$75:$M$140</definedName>
    <definedName name="Анализ" localSheetId="15">#REF!</definedName>
    <definedName name="Анализ" localSheetId="2">#REF!</definedName>
    <definedName name="Анализ" localSheetId="1">#REF!</definedName>
    <definedName name="Анализ" localSheetId="11">#REF!</definedName>
    <definedName name="Анализ" localSheetId="8">#REF!</definedName>
    <definedName name="Анализ" localSheetId="9">#REF!</definedName>
    <definedName name="Анализ" localSheetId="10">#REF!</definedName>
    <definedName name="Анализ" localSheetId="5">#REF!</definedName>
    <definedName name="Анализ" localSheetId="4">#REF!</definedName>
    <definedName name="Анализ">#REF!</definedName>
    <definedName name="аналСеб">'[124]1пг02к03'!$B$2:$AC$73</definedName>
    <definedName name="анБ0203">'[124]02к03'!$B$75:$K$135</definedName>
    <definedName name="АнМ" localSheetId="15">'[125]Гр5(о)'!#REF!</definedName>
    <definedName name="АнМ" localSheetId="2">'[125]Гр5(о)'!#REF!</definedName>
    <definedName name="АнМ" localSheetId="1">'[125]Гр5(о)'!#REF!</definedName>
    <definedName name="АнМ" localSheetId="11">'[125]Гр5(о)'!#REF!</definedName>
    <definedName name="АнМ" localSheetId="8">'[125]Гр5(о)'!#REF!</definedName>
    <definedName name="АнМ" localSheetId="9">'[125]Гр5(о)'!#REF!</definedName>
    <definedName name="АнМ" localSheetId="10">'[125]Гр5(о)'!#REF!</definedName>
    <definedName name="АнМ" localSheetId="5">'[125]Гр5(о)'!#REF!</definedName>
    <definedName name="АнМ" localSheetId="4">'[125]Гр5(о)'!#REF!</definedName>
    <definedName name="АнМ">'[125]Гр5(о)'!#REF!</definedName>
    <definedName name="анСеб0203">'[124]02к03'!$B$2:$AA$73</definedName>
    <definedName name="ап" localSheetId="15">#REF!</definedName>
    <definedName name="ап" localSheetId="2">#REF!</definedName>
    <definedName name="ап" localSheetId="1">#REF!</definedName>
    <definedName name="ап" localSheetId="11">#REF!</definedName>
    <definedName name="ап" localSheetId="8">#REF!</definedName>
    <definedName name="ап" localSheetId="9">#REF!</definedName>
    <definedName name="ап" localSheetId="10">#REF!</definedName>
    <definedName name="ап" localSheetId="5">#REF!</definedName>
    <definedName name="ап" localSheetId="4">#REF!</definedName>
    <definedName name="ап">#REF!</definedName>
    <definedName name="апооз" localSheetId="15">#REF!</definedName>
    <definedName name="апооз" localSheetId="11">#REF!</definedName>
    <definedName name="апооз" localSheetId="8">#REF!</definedName>
    <definedName name="апооз" localSheetId="9">#REF!</definedName>
    <definedName name="апооз" localSheetId="10">#REF!</definedName>
    <definedName name="апооз">#REF!</definedName>
    <definedName name="апорплжлх" localSheetId="15">#REF!</definedName>
    <definedName name="апорплжлх" localSheetId="11">#REF!</definedName>
    <definedName name="апорплжлх" localSheetId="8">#REF!</definedName>
    <definedName name="апорплжлх" localSheetId="9">#REF!</definedName>
    <definedName name="апорплжлх" localSheetId="10">#REF!</definedName>
    <definedName name="апорплжлх">#REF!</definedName>
    <definedName name="апр" localSheetId="15">#REF!</definedName>
    <definedName name="апр" localSheetId="11">#REF!</definedName>
    <definedName name="апр" localSheetId="10">#REF!</definedName>
    <definedName name="апр">#REF!</definedName>
    <definedName name="апр2" localSheetId="15">#REF!</definedName>
    <definedName name="апр2" localSheetId="11">#REF!</definedName>
    <definedName name="апр2" localSheetId="10">#REF!</definedName>
    <definedName name="апр2">#REF!</definedName>
    <definedName name="апралоаорпло" localSheetId="15">#REF!</definedName>
    <definedName name="апралоаорпло" localSheetId="11">#REF!</definedName>
    <definedName name="апралоаорпло" localSheetId="10">#REF!</definedName>
    <definedName name="апралоаорпло">#REF!</definedName>
    <definedName name="апрель" localSheetId="15">#REF!</definedName>
    <definedName name="апрель" localSheetId="11">#REF!</definedName>
    <definedName name="апрель">#REF!</definedName>
    <definedName name="апрполлд" localSheetId="15">#REF!</definedName>
    <definedName name="апрполлд" localSheetId="11">#REF!</definedName>
    <definedName name="апрполлд" localSheetId="10">#REF!</definedName>
    <definedName name="апрполлд">#REF!</definedName>
    <definedName name="апршп" localSheetId="15">#REF!</definedName>
    <definedName name="апршп" localSheetId="11">#REF!</definedName>
    <definedName name="апршп" localSheetId="10">#REF!</definedName>
    <definedName name="апршп">#REF!</definedName>
    <definedName name="ара" localSheetId="15">#REF!</definedName>
    <definedName name="ара" localSheetId="11">#REF!</definedName>
    <definedName name="ара" localSheetId="10">#REF!</definedName>
    <definedName name="ара">#REF!</definedName>
    <definedName name="аре" localSheetId="15">#REF!</definedName>
    <definedName name="аре" localSheetId="11">#REF!</definedName>
    <definedName name="аре" localSheetId="10">#REF!</definedName>
    <definedName name="аре">#REF!</definedName>
    <definedName name="арпидлва">'[85]К-ты'!$D$9</definedName>
    <definedName name="АТП" localSheetId="15">#REF!</definedName>
    <definedName name="АТП" localSheetId="2">#REF!</definedName>
    <definedName name="АТП" localSheetId="1">#REF!</definedName>
    <definedName name="АТП" localSheetId="11">#REF!</definedName>
    <definedName name="АТП" localSheetId="8">#REF!</definedName>
    <definedName name="АТП" localSheetId="9">#REF!</definedName>
    <definedName name="АТП" localSheetId="10">#REF!</definedName>
    <definedName name="АТП" localSheetId="5">#REF!</definedName>
    <definedName name="АТП" localSheetId="4">#REF!</definedName>
    <definedName name="АТП">#REF!</definedName>
    <definedName name="аукапм" localSheetId="15">#REF!</definedName>
    <definedName name="аукапм" localSheetId="11">#REF!</definedName>
    <definedName name="аукапм" localSheetId="8">#REF!</definedName>
    <definedName name="аукапм" localSheetId="9">#REF!</definedName>
    <definedName name="аукапм" localSheetId="10">#REF!</definedName>
    <definedName name="аукапм">#REF!</definedName>
    <definedName name="аяыпамыпмипи" localSheetId="15">[7]!аяыпамыпмипи</definedName>
    <definedName name="аяыпамыпмипи" localSheetId="11">#N/A</definedName>
    <definedName name="аяыпамыпмипи" localSheetId="8">#N/A</definedName>
    <definedName name="аяыпамыпмипи" localSheetId="9">#N/A</definedName>
    <definedName name="аяыпамыпмипи">#N/A</definedName>
    <definedName name="Б" localSheetId="15">'[126]БСС-2'!#REF!</definedName>
    <definedName name="Б" localSheetId="11">'[126]БСС-2'!#REF!</definedName>
    <definedName name="Б">'[126]БСС-2'!#REF!</definedName>
    <definedName name="Б1">'[127]мар 2001'!$A$1:$Q$524</definedName>
    <definedName name="_xlnm.Database" localSheetId="15">#REF!</definedName>
    <definedName name="_xlnm.Database" localSheetId="2">#REF!</definedName>
    <definedName name="_xlnm.Database" localSheetId="1">#REF!</definedName>
    <definedName name="_xlnm.Database" localSheetId="11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5">#REF!</definedName>
    <definedName name="_xlnm.Database" localSheetId="4">#REF!</definedName>
    <definedName name="_xlnm.Database">#REF!</definedName>
    <definedName name="База_данных_1">'[128]мар 2001'!$A$1:$P$524</definedName>
    <definedName name="Баланс" localSheetId="15">#REF!</definedName>
    <definedName name="Баланс" localSheetId="2">#REF!</definedName>
    <definedName name="Баланс" localSheetId="1">#REF!</definedName>
    <definedName name="Баланс" localSheetId="11">#REF!</definedName>
    <definedName name="Баланс" localSheetId="8">#REF!</definedName>
    <definedName name="Баланс" localSheetId="9">#REF!</definedName>
    <definedName name="Баланс" localSheetId="10">#REF!</definedName>
    <definedName name="Баланс" localSheetId="5">#REF!</definedName>
    <definedName name="Баланс" localSheetId="4">#REF!</definedName>
    <definedName name="Баланс">#REF!</definedName>
    <definedName name="Балимела" localSheetId="15" hidden="1">{"PRINTME",#N/A,FALSE,"FINAL-10"}</definedName>
    <definedName name="Балимела" localSheetId="2" hidden="1">{"PRINTME",#N/A,FALSE,"FINAL-10"}</definedName>
    <definedName name="Балимела" localSheetId="1" hidden="1">{"PRINTME",#N/A,FALSE,"FINAL-10"}</definedName>
    <definedName name="Балимела" localSheetId="7" hidden="1">{"PRINTME",#N/A,FALSE,"FINAL-10"}</definedName>
    <definedName name="Балимела" localSheetId="11" hidden="1">{"PRINTME",#N/A,FALSE,"FINAL-10"}</definedName>
    <definedName name="Балимела" localSheetId="8" hidden="1">{"PRINTME",#N/A,FALSE,"FINAL-10"}</definedName>
    <definedName name="Балимела" localSheetId="9" hidden="1">{"PRINTME",#N/A,FALSE,"FINAL-10"}</definedName>
    <definedName name="Балимела" localSheetId="10" hidden="1">{"PRINTME",#N/A,FALSE,"FINAL-10"}</definedName>
    <definedName name="Балимела" localSheetId="5" hidden="1">{"PRINTME",#N/A,FALSE,"FINAL-10"}</definedName>
    <definedName name="Балимела" localSheetId="4" hidden="1">{"PRINTME",#N/A,FALSE,"FINAL-10"}</definedName>
    <definedName name="Балимела" hidden="1">{"PRINTME",#N/A,FALSE,"FINAL-10"}</definedName>
    <definedName name="бб" localSheetId="15">[7]!бб</definedName>
    <definedName name="бб" localSheetId="11">#N/A</definedName>
    <definedName name="бб" localSheetId="8">#N/A</definedName>
    <definedName name="бб" localSheetId="9">#N/A</definedName>
    <definedName name="бб">#N/A</definedName>
    <definedName name="БДР_3" localSheetId="15">[129]БДР!#REF!</definedName>
    <definedName name="БДР_3" localSheetId="11">[129]БДР!#REF!</definedName>
    <definedName name="БДР_3">[129]БДР!#REF!</definedName>
    <definedName name="БДР_4" localSheetId="15">[129]БДР!#REF!</definedName>
    <definedName name="БДР_4" localSheetId="11">[129]БДР!#REF!</definedName>
    <definedName name="БДР_4">[129]БДР!#REF!</definedName>
    <definedName name="БДР_5" localSheetId="15">[129]БДР!#REF!</definedName>
    <definedName name="БДР_5" localSheetId="11">[129]БДР!#REF!</definedName>
    <definedName name="БДР_5">[129]БДР!#REF!</definedName>
    <definedName name="БДР_6" localSheetId="15">[129]БДР!#REF!</definedName>
    <definedName name="БДР_6" localSheetId="11">[129]БДР!#REF!</definedName>
    <definedName name="БДР_6">[129]БДР!#REF!</definedName>
    <definedName name="Бищкек02" localSheetId="15">#REF!</definedName>
    <definedName name="Бищкек02" localSheetId="2">#REF!</definedName>
    <definedName name="Бищкек02" localSheetId="1">#REF!</definedName>
    <definedName name="Бищкек02" localSheetId="11">#REF!</definedName>
    <definedName name="Бищкек02" localSheetId="8">#REF!</definedName>
    <definedName name="Бищкек02" localSheetId="9">#REF!</definedName>
    <definedName name="Бищкек02" localSheetId="10">#REF!</definedName>
    <definedName name="Бищкек02" localSheetId="5">#REF!</definedName>
    <definedName name="Бищкек02" localSheetId="4">#REF!</definedName>
    <definedName name="Бищкек02">#REF!</definedName>
    <definedName name="БК" localSheetId="15">#REF!</definedName>
    <definedName name="БК" localSheetId="11">#REF!</definedName>
    <definedName name="БК">#REF!</definedName>
    <definedName name="БОТ_1" localSheetId="15">#REF!</definedName>
    <definedName name="БОТ_1" localSheetId="11">#REF!</definedName>
    <definedName name="БОТ_1">#REF!</definedName>
    <definedName name="БОТ_3" localSheetId="15">#REF!</definedName>
    <definedName name="БОТ_3" localSheetId="11">#REF!</definedName>
    <definedName name="БОТ_3">#REF!</definedName>
    <definedName name="БР" localSheetId="15">#REF!</definedName>
    <definedName name="БР" localSheetId="11">#REF!</definedName>
    <definedName name="БР">#REF!</definedName>
    <definedName name="БРМ_2" localSheetId="15">#REF!</definedName>
    <definedName name="БРМ_2" localSheetId="11">#REF!</definedName>
    <definedName name="БРМ_2">#REF!</definedName>
    <definedName name="БСС_2" localSheetId="15">'[129]БСС-2'!#REF!</definedName>
    <definedName name="БСС_2" localSheetId="11">'[129]БСС-2'!#REF!</definedName>
    <definedName name="БСС_2">'[129]БСС-2'!#REF!</definedName>
    <definedName name="БСС_5" localSheetId="15">'[129]БСС-2'!#REF!</definedName>
    <definedName name="БСС_5" localSheetId="11">'[129]БСС-2'!#REF!</definedName>
    <definedName name="БСС_5">'[129]БСС-2'!#REF!</definedName>
    <definedName name="БЦГ" localSheetId="15">#REF!</definedName>
    <definedName name="БЦГ" localSheetId="2">#REF!</definedName>
    <definedName name="БЦГ" localSheetId="1">#REF!</definedName>
    <definedName name="БЦГ" localSheetId="11">#REF!</definedName>
    <definedName name="БЦГ" localSheetId="8">#REF!</definedName>
    <definedName name="БЦГ" localSheetId="9">#REF!</definedName>
    <definedName name="БЦГ" localSheetId="10">#REF!</definedName>
    <definedName name="БЦГ" localSheetId="5">#REF!</definedName>
    <definedName name="БЦГ" localSheetId="4">#REF!</definedName>
    <definedName name="БЦГ">#REF!</definedName>
    <definedName name="в" localSheetId="15">#REF!</definedName>
    <definedName name="в" localSheetId="11">#REF!</definedName>
    <definedName name="в" localSheetId="8">#REF!</definedName>
    <definedName name="в" localSheetId="9">#REF!</definedName>
    <definedName name="в" localSheetId="10">#REF!</definedName>
    <definedName name="в">#REF!</definedName>
    <definedName name="в23ё" localSheetId="15">[7]!в23ё</definedName>
    <definedName name="в23ё" localSheetId="11">#N/A</definedName>
    <definedName name="в23ё" localSheetId="8">#N/A</definedName>
    <definedName name="в23ё" localSheetId="9">#N/A</definedName>
    <definedName name="в23ё">#N/A</definedName>
    <definedName name="ва" localSheetId="15" hidden="1">#REF!,#REF!,#REF!,амор!P1_SCOPE_PER_PRT,амор!P2_SCOPE_PER_PRT,амор!P3_SCOPE_PER_PRT,амор!P4_SCOPE_PER_PRT</definedName>
    <definedName name="ва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ва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ва" localSheetId="7" hidden="1">#REF!,#REF!,#REF!,подконтрольные!P1_SCOPE_PER_PRT,подконтрольные!P2_SCOPE_PER_PRT,подконтрольные!P3_SCOPE_PER_PRT,подконтрольные!P4_SCOPE_PER_PRT</definedName>
    <definedName name="ва" localSheetId="11" hidden="1">#REF!,#REF!,#REF!,'прил 4 к расп'!P1_SCOPE_PER_PRT,'прил 4 к расп'!P2_SCOPE_PER_PRT,'прил 4 к расп'!P3_SCOPE_PER_PRT,'прил 4 к расп'!P4_SCOPE_PER_PRT</definedName>
    <definedName name="ва" localSheetId="8" hidden="1">#REF!,#REF!,#REF!,Прил2!P1_SCOPE_PER_PRT,Прил2!P2_SCOPE_PER_PRT,Прил2!P3_SCOPE_PER_PRT,Прил2!P4_SCOPE_PER_PRT</definedName>
    <definedName name="ва" localSheetId="9" hidden="1">#REF!,#REF!,#REF!,Прил3!P1_SCOPE_PER_PRT,Прил3!P2_SCOPE_PER_PRT,Прил3!P3_SCOPE_PER_PRT,Прил3!P4_SCOPE_PER_PRT</definedName>
    <definedName name="ва" localSheetId="10" hidden="1">#REF!,#REF!,#REF!,прил4!P1_SCOPE_PER_PRT,прил4!P2_SCOPE_PER_PRT,прил4!P3_SCOPE_PER_PRT,прил4!P4_SCOPE_PER_PRT</definedName>
    <definedName name="ва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ва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ва" hidden="1">#REF!,#REF!,#REF!,P1_SCOPE_PER_PRT,P2_SCOPE_PER_PRT,P3_SCOPE_PER_PRT,P4_SCOPE_PER_PRT</definedName>
    <definedName name="Валюта" localSheetId="15">#REF!</definedName>
    <definedName name="Валюта" localSheetId="2">#REF!</definedName>
    <definedName name="Валюта" localSheetId="1">#REF!</definedName>
    <definedName name="Валюта" localSheetId="11">#REF!</definedName>
    <definedName name="Валюта" localSheetId="8">#REF!</definedName>
    <definedName name="Валюта" localSheetId="9">#REF!</definedName>
    <definedName name="Валюта" localSheetId="10">#REF!</definedName>
    <definedName name="Валюта" localSheetId="5">#REF!</definedName>
    <definedName name="Валюта" localSheetId="4">#REF!</definedName>
    <definedName name="Валюта">#REF!</definedName>
    <definedName name="ванмшилдьтджьл" localSheetId="15">#REF!</definedName>
    <definedName name="ванмшилдьтджьл" localSheetId="11">#REF!</definedName>
    <definedName name="ванмшилдьтджьл" localSheetId="8">#REF!</definedName>
    <definedName name="ванмшилдьтджьл" localSheetId="9">#REF!</definedName>
    <definedName name="ванмшилдьтджьл" localSheetId="10">#REF!</definedName>
    <definedName name="ванмшилдьтджьл">#REF!</definedName>
    <definedName name="вапва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5">#REF!</definedName>
    <definedName name="вау" localSheetId="2">#REF!</definedName>
    <definedName name="вау" localSheetId="1">#REF!</definedName>
    <definedName name="вау" localSheetId="11">#REF!</definedName>
    <definedName name="вау" localSheetId="8">#REF!</definedName>
    <definedName name="вау" localSheetId="9">#REF!</definedName>
    <definedName name="вау" localSheetId="10">#REF!</definedName>
    <definedName name="вау" localSheetId="5">#REF!</definedName>
    <definedName name="вау" localSheetId="4">#REF!</definedName>
    <definedName name="вау">#REF!</definedName>
    <definedName name="вв" localSheetId="15">[7]!вв</definedName>
    <definedName name="вв" localSheetId="11">#N/A</definedName>
    <definedName name="вв" localSheetId="8">#N/A</definedName>
    <definedName name="вв" localSheetId="9">#N/A</definedName>
    <definedName name="вв">#N/A</definedName>
    <definedName name="ввод_итог" localSheetId="15">#REF!</definedName>
    <definedName name="ввод_итог" localSheetId="2">#REF!</definedName>
    <definedName name="ввод_итог" localSheetId="1">#REF!</definedName>
    <definedName name="ввод_итог" localSheetId="11">#REF!</definedName>
    <definedName name="ввод_итог" localSheetId="8">#REF!</definedName>
    <definedName name="ввод_итог" localSheetId="9">#REF!</definedName>
    <definedName name="ввод_итог" localSheetId="10">#REF!</definedName>
    <definedName name="ввод_итог" localSheetId="5">#REF!</definedName>
    <definedName name="ввод_итог" localSheetId="4">#REF!</definedName>
    <definedName name="ввод_итог">#REF!</definedName>
    <definedName name="веапку" localSheetId="15">#REF!</definedName>
    <definedName name="веапку" localSheetId="11">#REF!</definedName>
    <definedName name="веапку" localSheetId="8">#REF!</definedName>
    <definedName name="веапку" localSheetId="9">#REF!</definedName>
    <definedName name="веапку" localSheetId="10">#REF!</definedName>
    <definedName name="веапку">#REF!</definedName>
    <definedName name="век" localSheetId="15">#REF!</definedName>
    <definedName name="век" localSheetId="11">#REF!</definedName>
    <definedName name="век" localSheetId="8">#REF!</definedName>
    <definedName name="век" localSheetId="9">#REF!</definedName>
    <definedName name="век" localSheetId="10">#REF!</definedName>
    <definedName name="век">#REF!</definedName>
    <definedName name="видсс" localSheetId="15" hidden="1">{#N/A,#N/A,FALSE,"Себестоимсть-97"}</definedName>
    <definedName name="видсс" localSheetId="2" hidden="1">{#N/A,#N/A,FALSE,"Себестоимсть-97"}</definedName>
    <definedName name="видсс" localSheetId="1" hidden="1">{#N/A,#N/A,FALSE,"Себестоимсть-97"}</definedName>
    <definedName name="видсс" localSheetId="11" hidden="1">{#N/A,#N/A,FALSE,"Себестоимсть-97"}</definedName>
    <definedName name="видсс" localSheetId="8" hidden="1">{#N/A,#N/A,FALSE,"Себестоимсть-97"}</definedName>
    <definedName name="видсс" localSheetId="9" hidden="1">{#N/A,#N/A,FALSE,"Себестоимсть-97"}</definedName>
    <definedName name="видсс" localSheetId="10" hidden="1">{#N/A,#N/A,FALSE,"Себестоимсть-97"}</definedName>
    <definedName name="видсс" localSheetId="5" hidden="1">{#N/A,#N/A,FALSE,"Себестоимсть-97"}</definedName>
    <definedName name="видсс" localSheetId="4" hidden="1">{#N/A,#N/A,FALSE,"Себестоимсть-97"}</definedName>
    <definedName name="видсс" hidden="1">{#N/A,#N/A,FALSE,"Себестоимсть-97"}</definedName>
    <definedName name="видсс1" localSheetId="15" hidden="1">{#N/A,#N/A,FALSE,"Себестоимсть-97"}</definedName>
    <definedName name="видсс1" localSheetId="2" hidden="1">{#N/A,#N/A,FALSE,"Себестоимсть-97"}</definedName>
    <definedName name="видсс1" localSheetId="1" hidden="1">{#N/A,#N/A,FALSE,"Себестоимсть-97"}</definedName>
    <definedName name="видсс1" localSheetId="11" hidden="1">{#N/A,#N/A,FALSE,"Себестоимсть-97"}</definedName>
    <definedName name="видсс1" localSheetId="8" hidden="1">{#N/A,#N/A,FALSE,"Себестоимсть-97"}</definedName>
    <definedName name="видсс1" localSheetId="9" hidden="1">{#N/A,#N/A,FALSE,"Себестоимсть-97"}</definedName>
    <definedName name="видсс1" localSheetId="10" hidden="1">{#N/A,#N/A,FALSE,"Себестоимсть-97"}</definedName>
    <definedName name="видсс1" localSheetId="5" hidden="1">{#N/A,#N/A,FALSE,"Себестоимсть-97"}</definedName>
    <definedName name="видсс1" localSheetId="4" hidden="1">{#N/A,#N/A,FALSE,"Себестоимсть-97"}</definedName>
    <definedName name="видсс1" hidden="1">{#N/A,#N/A,FALSE,"Себестоимсть-97"}</definedName>
    <definedName name="витт" localSheetId="15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localSheetId="11" hidden="1">{#N/A,#N/A,TRUE,"Лист1";#N/A,#N/A,TRUE,"Лист2";#N/A,#N/A,TRUE,"Лист3"}</definedName>
    <definedName name="витт" localSheetId="8" hidden="1">{#N/A,#N/A,TRUE,"Лист1";#N/A,#N/A,TRUE,"Лист2";#N/A,#N/A,TRUE,"Лист3"}</definedName>
    <definedName name="витт" localSheetId="9" hidden="1">{#N/A,#N/A,TRUE,"Лист1";#N/A,#N/A,TRUE,"Лист2";#N/A,#N/A,TRUE,"Лист3"}</definedName>
    <definedName name="витт" localSheetId="10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localSheetId="4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5">#REF!</definedName>
    <definedName name="вйу" localSheetId="2">#REF!</definedName>
    <definedName name="вйу" localSheetId="1">#REF!</definedName>
    <definedName name="вйу" localSheetId="11">#REF!</definedName>
    <definedName name="вйу" localSheetId="8">#REF!</definedName>
    <definedName name="вйу" localSheetId="9">#REF!</definedName>
    <definedName name="вйу" localSheetId="10">#REF!</definedName>
    <definedName name="вйу" localSheetId="5">#REF!</definedName>
    <definedName name="вйу" localSheetId="4">#REF!</definedName>
    <definedName name="вйу">#REF!</definedName>
    <definedName name="в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15">[130]БДР!#REF!</definedName>
    <definedName name="влд" localSheetId="11">[130]БДР!#REF!</definedName>
    <definedName name="влд">[130]БДР!#REF!</definedName>
    <definedName name="вм" localSheetId="15">[7]!вм</definedName>
    <definedName name="вм" localSheetId="11">#N/A</definedName>
    <definedName name="вм" localSheetId="8">#N/A</definedName>
    <definedName name="вм" localSheetId="9">#N/A</definedName>
    <definedName name="вм">#N/A</definedName>
    <definedName name="вмивртвр" localSheetId="15">[7]!вмивртвр</definedName>
    <definedName name="вмивртвр" localSheetId="11">#N/A</definedName>
    <definedName name="вмивртвр" localSheetId="8">#N/A</definedName>
    <definedName name="вмивртвр" localSheetId="9">#N/A</definedName>
    <definedName name="вмивртвр">#N/A</definedName>
    <definedName name="внереал_произв_08">[131]ДОП!$F$59</definedName>
    <definedName name="вода" localSheetId="15">#REF!</definedName>
    <definedName name="вода" localSheetId="2">#REF!</definedName>
    <definedName name="вода" localSheetId="1">#REF!</definedName>
    <definedName name="вода" localSheetId="11">#REF!</definedName>
    <definedName name="вода" localSheetId="8">#REF!</definedName>
    <definedName name="вода" localSheetId="9">#REF!</definedName>
    <definedName name="вода" localSheetId="10">#REF!</definedName>
    <definedName name="вода" localSheetId="5">#REF!</definedName>
    <definedName name="вода" localSheetId="4">#REF!</definedName>
    <definedName name="вода">#REF!</definedName>
    <definedName name="Возврат" localSheetId="15">[132]!Возврат</definedName>
    <definedName name="Возврат" localSheetId="11">[132]!Возврат</definedName>
    <definedName name="Возврат" localSheetId="10">[132]!Возврат</definedName>
    <definedName name="Возврат">[132]!Возврат</definedName>
    <definedName name="восемь" localSheetId="15">#REF!</definedName>
    <definedName name="восемь" localSheetId="2">#REF!</definedName>
    <definedName name="восемь" localSheetId="1">#REF!</definedName>
    <definedName name="восемь" localSheetId="11">#REF!</definedName>
    <definedName name="восемь" localSheetId="8">#REF!</definedName>
    <definedName name="восемь" localSheetId="9">#REF!</definedName>
    <definedName name="восемь" localSheetId="10">#REF!</definedName>
    <definedName name="восемь" localSheetId="5">#REF!</definedName>
    <definedName name="восемь" localSheetId="4">#REF!</definedName>
    <definedName name="восемь">#REF!</definedName>
    <definedName name="впер" localSheetId="15">#REF!</definedName>
    <definedName name="впер" localSheetId="11">#REF!</definedName>
    <definedName name="впер" localSheetId="8">#REF!</definedName>
    <definedName name="впер" localSheetId="9">#REF!</definedName>
    <definedName name="впер" localSheetId="10">#REF!</definedName>
    <definedName name="впер">#REF!</definedName>
    <definedName name="впке" localSheetId="15">#REF!</definedName>
    <definedName name="впке" localSheetId="11">#REF!</definedName>
    <definedName name="впке" localSheetId="8">#REF!</definedName>
    <definedName name="впке" localSheetId="9">#REF!</definedName>
    <definedName name="впке" localSheetId="10">#REF!</definedName>
    <definedName name="впке">#REF!</definedName>
    <definedName name="впрпроро" localSheetId="15">#REF!</definedName>
    <definedName name="впрпроро" localSheetId="11">#REF!</definedName>
    <definedName name="впрпроро" localSheetId="10">#REF!</definedName>
    <definedName name="впрпроро">#REF!</definedName>
    <definedName name="вртт" localSheetId="15">[7]!вртт</definedName>
    <definedName name="вртт" localSheetId="11">#N/A</definedName>
    <definedName name="вртт" localSheetId="8">#N/A</definedName>
    <definedName name="вртт" localSheetId="9">#N/A</definedName>
    <definedName name="вртт">#N/A</definedName>
    <definedName name="Все_продукты" localSheetId="15">#REF!</definedName>
    <definedName name="Все_продукты" localSheetId="2">#REF!</definedName>
    <definedName name="Все_продукты" localSheetId="1">#REF!</definedName>
    <definedName name="Все_продукты" localSheetId="11">#REF!</definedName>
    <definedName name="Все_продукты" localSheetId="8">#REF!</definedName>
    <definedName name="Все_продукты" localSheetId="9">#REF!</definedName>
    <definedName name="Все_продукты" localSheetId="10">#REF!</definedName>
    <definedName name="Все_продукты" localSheetId="5">#REF!</definedName>
    <definedName name="Все_продукты" localSheetId="4">#REF!</definedName>
    <definedName name="Все_продукты">#REF!</definedName>
    <definedName name="второй" localSheetId="15">#REF!</definedName>
    <definedName name="второй" localSheetId="11">#REF!</definedName>
    <definedName name="второй" localSheetId="8">#REF!</definedName>
    <definedName name="второй" localSheetId="9">#REF!</definedName>
    <definedName name="второй" localSheetId="10">#REF!</definedName>
    <definedName name="второй">#REF!</definedName>
    <definedName name="вукука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5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15">'[109]Текущие цены'!#REF!</definedName>
    <definedName name="Вып_н_2003" localSheetId="2">'[110]Текущие цены'!#REF!</definedName>
    <definedName name="Вып_н_2003" localSheetId="1">'[110]Текущие цены'!#REF!</definedName>
    <definedName name="Вып_н_2003" localSheetId="11">'[109]Текущие цены'!#REF!</definedName>
    <definedName name="Вып_н_2003" localSheetId="8">'[109]Текущие цены'!#REF!</definedName>
    <definedName name="Вып_н_2003" localSheetId="9">'[109]Текущие цены'!#REF!</definedName>
    <definedName name="Вып_н_2003" localSheetId="10">'[111]Текущие цены'!#REF!</definedName>
    <definedName name="Вып_н_2003" localSheetId="5">'[110]Текущие цены'!#REF!</definedName>
    <definedName name="Вып_н_2003" localSheetId="4">'[110]Текущие цены'!#REF!</definedName>
    <definedName name="Вып_н_2003">'[112]Текущие цены'!#REF!</definedName>
    <definedName name="вып_н_2004" localSheetId="15">'[109]Текущие цены'!#REF!</definedName>
    <definedName name="вып_н_2004" localSheetId="2">'[110]Текущие цены'!#REF!</definedName>
    <definedName name="вып_н_2004" localSheetId="1">'[110]Текущие цены'!#REF!</definedName>
    <definedName name="вып_н_2004" localSheetId="11">'[109]Текущие цены'!#REF!</definedName>
    <definedName name="вып_н_2004" localSheetId="8">'[109]Текущие цены'!#REF!</definedName>
    <definedName name="вып_н_2004" localSheetId="9">'[109]Текущие цены'!#REF!</definedName>
    <definedName name="вып_н_2004" localSheetId="10">'[111]Текущие цены'!#REF!</definedName>
    <definedName name="вып_н_2004" localSheetId="5">'[110]Текущие цены'!#REF!</definedName>
    <definedName name="вып_н_2004" localSheetId="4">'[110]Текущие цены'!#REF!</definedName>
    <definedName name="вып_н_2004">'[112]Текущие цены'!#REF!</definedName>
    <definedName name="Вып_ОФ_с_пц" localSheetId="15">[109]рабочий!$Y$202:$AP$224</definedName>
    <definedName name="Вып_ОФ_с_пц" localSheetId="2">[110]рабочий!$Y$202:$AP$224</definedName>
    <definedName name="Вып_ОФ_с_пц" localSheetId="1">[110]рабочий!$Y$202:$AP$224</definedName>
    <definedName name="Вып_ОФ_с_пц" localSheetId="11">[109]рабочий!$Y$202:$AP$224</definedName>
    <definedName name="Вып_ОФ_с_пц" localSheetId="8">[109]рабочий!$Y$202:$AP$224</definedName>
    <definedName name="Вып_ОФ_с_пц" localSheetId="9">[109]рабочий!$Y$202:$AP$224</definedName>
    <definedName name="Вып_ОФ_с_пц" localSheetId="10">[111]рабочий!$Y$202:$AP$224</definedName>
    <definedName name="Вып_ОФ_с_пц" localSheetId="5">[110]рабочий!$Y$202:$AP$224</definedName>
    <definedName name="Вып_ОФ_с_пц" localSheetId="4">[110]рабочий!$Y$202:$AP$224</definedName>
    <definedName name="Вып_ОФ_с_пц">[112]рабочий!$Y$202:$AP$224</definedName>
    <definedName name="Вып_оф_с_цпг" localSheetId="15">'[109]Текущие цены'!#REF!</definedName>
    <definedName name="Вып_оф_с_цпг" localSheetId="2">'[110]Текущие цены'!#REF!</definedName>
    <definedName name="Вып_оф_с_цпг" localSheetId="1">'[110]Текущие цены'!#REF!</definedName>
    <definedName name="Вып_оф_с_цпг" localSheetId="11">'[109]Текущие цены'!#REF!</definedName>
    <definedName name="Вып_оф_с_цпг" localSheetId="8">'[109]Текущие цены'!#REF!</definedName>
    <definedName name="Вып_оф_с_цпг" localSheetId="9">'[109]Текущие цены'!#REF!</definedName>
    <definedName name="Вып_оф_с_цпг" localSheetId="10">'[111]Текущие цены'!#REF!</definedName>
    <definedName name="Вып_оф_с_цпг" localSheetId="5">'[110]Текущие цены'!#REF!</definedName>
    <definedName name="Вып_оф_с_цпг" localSheetId="4">'[110]Текущие цены'!#REF!</definedName>
    <definedName name="Вып_оф_с_цпг">'[112]Текущие цены'!#REF!</definedName>
    <definedName name="Вып_с_новых_ОФ" localSheetId="15">[109]рабочий!$Y$277:$AP$299</definedName>
    <definedName name="Вып_с_новых_ОФ" localSheetId="2">[110]рабочий!$Y$277:$AP$299</definedName>
    <definedName name="Вып_с_новых_ОФ" localSheetId="1">[110]рабочий!$Y$277:$AP$299</definedName>
    <definedName name="Вып_с_новых_ОФ" localSheetId="11">[109]рабочий!$Y$277:$AP$299</definedName>
    <definedName name="Вып_с_новых_ОФ" localSheetId="8">[109]рабочий!$Y$277:$AP$299</definedName>
    <definedName name="Вып_с_новых_ОФ" localSheetId="9">[109]рабочий!$Y$277:$AP$299</definedName>
    <definedName name="Вып_с_новых_ОФ" localSheetId="10">[111]рабочий!$Y$277:$AP$299</definedName>
    <definedName name="Вып_с_новых_ОФ" localSheetId="5">[110]рабочий!$Y$277:$AP$299</definedName>
    <definedName name="Вып_с_новых_ОФ" localSheetId="4">[110]рабочий!$Y$277:$AP$299</definedName>
    <definedName name="Вып_с_новых_ОФ">[112]рабочий!$Y$277:$AP$299</definedName>
    <definedName name="выр_3" localSheetId="15">#REF!</definedName>
    <definedName name="выр_3" localSheetId="2">#REF!</definedName>
    <definedName name="выр_3" localSheetId="1">#REF!</definedName>
    <definedName name="выр_3" localSheetId="11">#REF!</definedName>
    <definedName name="выр_3" localSheetId="8">#REF!</definedName>
    <definedName name="выр_3" localSheetId="9">#REF!</definedName>
    <definedName name="выр_3" localSheetId="10">#REF!</definedName>
    <definedName name="выр_3" localSheetId="5">#REF!</definedName>
    <definedName name="выр_3" localSheetId="4">#REF!</definedName>
    <definedName name="выр_3">#REF!</definedName>
    <definedName name="выр_4" localSheetId="15">#REF!</definedName>
    <definedName name="выр_4" localSheetId="11">#REF!</definedName>
    <definedName name="выр_4" localSheetId="8">#REF!</definedName>
    <definedName name="выр_4" localSheetId="9">#REF!</definedName>
    <definedName name="выр_4" localSheetId="10">#REF!</definedName>
    <definedName name="выр_4">#REF!</definedName>
    <definedName name="Выручка_Молоко" localSheetId="15">#REF!,#REF!,#REF!,#REF!,#REF!,#REF!,#REF!,#REF!,#REF!,#REF!</definedName>
    <definedName name="Выручка_Молоко" localSheetId="2">#REF!,#REF!,#REF!,#REF!,#REF!,#REF!,#REF!,#REF!,#REF!,#REF!</definedName>
    <definedName name="Выручка_Молоко" localSheetId="1">#REF!,#REF!,#REF!,#REF!,#REF!,#REF!,#REF!,#REF!,#REF!,#REF!</definedName>
    <definedName name="Выручка_Молоко" localSheetId="11">#REF!,#REF!,#REF!,#REF!,#REF!,#REF!,#REF!,#REF!,#REF!,#REF!</definedName>
    <definedName name="Выручка_Молоко" localSheetId="8">#REF!,#REF!,#REF!,#REF!,#REF!,#REF!,#REF!,#REF!,#REF!,#REF!</definedName>
    <definedName name="Выручка_Молоко" localSheetId="9">#REF!,#REF!,#REF!,#REF!,#REF!,#REF!,#REF!,#REF!,#REF!,#REF!</definedName>
    <definedName name="Выручка_Молоко" localSheetId="10">#REF!,#REF!,#REF!,#REF!,#REF!,#REF!,#REF!,#REF!,#REF!,#REF!</definedName>
    <definedName name="Выручка_Молоко" localSheetId="5">#REF!,#REF!,#REF!,#REF!,#REF!,#REF!,#REF!,#REF!,#REF!,#REF!</definedName>
    <definedName name="Выручка_Молоко" localSheetId="4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5">#REF!,#REF!,#REF!,#REF!,#REF!,#REF!,#REF!,#REF!,#REF!,#REF!</definedName>
    <definedName name="Выручка_нетто_Молоко" localSheetId="11">#REF!,#REF!,#REF!,#REF!,#REF!,#REF!,#REF!,#REF!,#REF!,#REF!</definedName>
    <definedName name="Выручка_нетто_Молоко" localSheetId="8">#REF!,#REF!,#REF!,#REF!,#REF!,#REF!,#REF!,#REF!,#REF!,#REF!</definedName>
    <definedName name="Выручка_нетто_Молоко" localSheetId="9">#REF!,#REF!,#REF!,#REF!,#REF!,#REF!,#REF!,#REF!,#REF!,#REF!</definedName>
    <definedName name="Выручка_нетто_Молоко" localSheetId="1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5">#REF!,#REF!,#REF!,#REF!,#REF!,#REF!,#REF!,#REF!,#REF!,#REF!</definedName>
    <definedName name="Выручка_нетто_Сок" localSheetId="11">#REF!,#REF!,#REF!,#REF!,#REF!,#REF!,#REF!,#REF!,#REF!,#REF!</definedName>
    <definedName name="Выручка_нетто_Сок" localSheetId="8">#REF!,#REF!,#REF!,#REF!,#REF!,#REF!,#REF!,#REF!,#REF!,#REF!</definedName>
    <definedName name="Выручка_нетто_Сок" localSheetId="9">#REF!,#REF!,#REF!,#REF!,#REF!,#REF!,#REF!,#REF!,#REF!,#REF!</definedName>
    <definedName name="Выручка_нетто_Сок" localSheetId="10">#REF!,#REF!,#REF!,#REF!,#REF!,#REF!,#REF!,#REF!,#REF!,#REF!</definedName>
    <definedName name="Выручка_нетто_Сок">#REF!,#REF!,#REF!,#REF!,#REF!,#REF!,#REF!,#REF!,#REF!,#REF!</definedName>
    <definedName name="Выручка_Сок" localSheetId="15">#REF!,#REF!,#REF!,#REF!,#REF!,#REF!,#REF!,#REF!,#REF!,#REF!</definedName>
    <definedName name="Выручка_Сок" localSheetId="11">#REF!,#REF!,#REF!,#REF!,#REF!,#REF!,#REF!,#REF!,#REF!,#REF!</definedName>
    <definedName name="Выручка_Сок" localSheetId="10">#REF!,#REF!,#REF!,#REF!,#REF!,#REF!,#REF!,#REF!,#REF!,#REF!</definedName>
    <definedName name="Выручка_Сок">#REF!,#REF!,#REF!,#REF!,#REF!,#REF!,#REF!,#REF!,#REF!,#REF!</definedName>
    <definedName name="выфвау" localSheetId="15">#REF!</definedName>
    <definedName name="выфвау" localSheetId="2">#REF!</definedName>
    <definedName name="выфвау" localSheetId="1">#REF!</definedName>
    <definedName name="выфвау" localSheetId="11">#REF!</definedName>
    <definedName name="выфвау" localSheetId="8">#REF!</definedName>
    <definedName name="выфвау" localSheetId="9">#REF!</definedName>
    <definedName name="выфвау" localSheetId="10">#REF!</definedName>
    <definedName name="выфвау" localSheetId="5">#REF!</definedName>
    <definedName name="выфвау" localSheetId="4">#REF!</definedName>
    <definedName name="выфвау">#REF!</definedName>
    <definedName name="г" localSheetId="15">#REF!</definedName>
    <definedName name="г" localSheetId="11">#REF!</definedName>
    <definedName name="г" localSheetId="8">#REF!</definedName>
    <definedName name="г" localSheetId="9">#REF!</definedName>
    <definedName name="г" localSheetId="10">#REF!</definedName>
    <definedName name="г">#REF!</definedName>
    <definedName name="г1" localSheetId="15">[133]СписочнаяЧисленность!#REF!</definedName>
    <definedName name="г1" localSheetId="11">[133]СписочнаяЧисленность!#REF!</definedName>
    <definedName name="г1" localSheetId="8">[133]СписочнаяЧисленность!#REF!</definedName>
    <definedName name="г1" localSheetId="9">[133]СписочнаяЧисленность!#REF!</definedName>
    <definedName name="г1" localSheetId="10">[133]СписочнаяЧисленность!#REF!</definedName>
    <definedName name="г1">[133]СписочнаяЧисленность!#REF!</definedName>
    <definedName name="г1_код" localSheetId="15">[133]СписочнаяЧисленность!#REF!</definedName>
    <definedName name="г1_код" localSheetId="11">[133]СписочнаяЧисленность!#REF!</definedName>
    <definedName name="г1_код" localSheetId="8">[133]СписочнаяЧисленность!#REF!</definedName>
    <definedName name="г1_код" localSheetId="9">[133]СписочнаяЧисленность!#REF!</definedName>
    <definedName name="г1_код" localSheetId="10">[133]СписочнаяЧисленность!#REF!</definedName>
    <definedName name="г1_код">[133]СписочнаяЧисленность!#REF!</definedName>
    <definedName name="г1_наим" localSheetId="15">[133]СписочнаяЧисленность!#REF!</definedName>
    <definedName name="г1_наим" localSheetId="11">[133]СписочнаяЧисленность!#REF!</definedName>
    <definedName name="г1_наим" localSheetId="8">[133]СписочнаяЧисленность!#REF!</definedName>
    <definedName name="г1_наим" localSheetId="9">[133]СписочнаяЧисленность!#REF!</definedName>
    <definedName name="г1_наим" localSheetId="10">[133]СписочнаяЧисленность!#REF!</definedName>
    <definedName name="г1_наим">[133]СписочнаяЧисленность!#REF!</definedName>
    <definedName name="г1итог" localSheetId="15">[133]СписочнаяЧисленность!#REF!</definedName>
    <definedName name="г1итог" localSheetId="11">[133]СписочнаяЧисленность!#REF!</definedName>
    <definedName name="г1итог" localSheetId="8">[133]СписочнаяЧисленность!#REF!</definedName>
    <definedName name="г1итог" localSheetId="9">[133]СписочнаяЧисленность!#REF!</definedName>
    <definedName name="г1итог" localSheetId="10">[133]СписочнаяЧисленность!#REF!</definedName>
    <definedName name="г1итог">[133]СписочнаяЧисленность!#REF!</definedName>
    <definedName name="г1итог_код" localSheetId="15">[133]СписочнаяЧисленность!#REF!</definedName>
    <definedName name="г1итог_код" localSheetId="11">[133]СписочнаяЧисленность!#REF!</definedName>
    <definedName name="г1итог_код" localSheetId="10">[133]СписочнаяЧисленность!#REF!</definedName>
    <definedName name="г1итог_код">[133]СписочнаяЧисленность!#REF!</definedName>
    <definedName name="г2" localSheetId="15">[133]СписочнаяЧисленность!#REF!</definedName>
    <definedName name="г2" localSheetId="11">[133]СписочнаяЧисленность!#REF!</definedName>
    <definedName name="г2" localSheetId="10">[133]СписочнаяЧисленность!#REF!</definedName>
    <definedName name="г2">[133]СписочнаяЧисленность!#REF!</definedName>
    <definedName name="г2_код" localSheetId="15">[133]СписочнаяЧисленность!#REF!</definedName>
    <definedName name="г2_код" localSheetId="11">[133]СписочнаяЧисленность!#REF!</definedName>
    <definedName name="г2_код" localSheetId="10">[133]СписочнаяЧисленность!#REF!</definedName>
    <definedName name="г2_код">[133]СписочнаяЧисленность!#REF!</definedName>
    <definedName name="г2_наим" localSheetId="15">[133]СписочнаяЧисленность!#REF!</definedName>
    <definedName name="г2_наим" localSheetId="11">[133]СписочнаяЧисленность!#REF!</definedName>
    <definedName name="г2_наим" localSheetId="10">[133]СписочнаяЧисленность!#REF!</definedName>
    <definedName name="г2_наим">[133]СписочнаяЧисленность!#REF!</definedName>
    <definedName name="г2итог" localSheetId="15">[133]СписочнаяЧисленность!#REF!</definedName>
    <definedName name="г2итог" localSheetId="11">[133]СписочнаяЧисленность!#REF!</definedName>
    <definedName name="г2итог" localSheetId="10">[133]СписочнаяЧисленность!#REF!</definedName>
    <definedName name="г2итог">[133]СписочнаяЧисленность!#REF!</definedName>
    <definedName name="г2итог_код" localSheetId="15">[133]СписочнаяЧисленность!#REF!</definedName>
    <definedName name="г2итог_код" localSheetId="11">[133]СписочнаяЧисленность!#REF!</definedName>
    <definedName name="г2итог_код" localSheetId="10">[133]СписочнаяЧисленность!#REF!</definedName>
    <definedName name="г2итог_код">[133]СписочнаяЧисленность!#REF!</definedName>
    <definedName name="г3" localSheetId="15">[133]СписочнаяЧисленность!#REF!</definedName>
    <definedName name="г3" localSheetId="11">[133]СписочнаяЧисленность!#REF!</definedName>
    <definedName name="г3" localSheetId="10">[133]СписочнаяЧисленность!#REF!</definedName>
    <definedName name="г3">[133]СписочнаяЧисленность!#REF!</definedName>
    <definedName name="г3_код" localSheetId="15">[133]СписочнаяЧисленность!#REF!</definedName>
    <definedName name="г3_код" localSheetId="11">[133]СписочнаяЧисленность!#REF!</definedName>
    <definedName name="г3_код" localSheetId="10">[133]СписочнаяЧисленность!#REF!</definedName>
    <definedName name="г3_код">[133]СписочнаяЧисленность!#REF!</definedName>
    <definedName name="г3_наим" localSheetId="15">[133]СписочнаяЧисленность!#REF!</definedName>
    <definedName name="г3_наим" localSheetId="11">[133]СписочнаяЧисленность!#REF!</definedName>
    <definedName name="г3_наим" localSheetId="10">[133]СписочнаяЧисленность!#REF!</definedName>
    <definedName name="г3_наим">[133]СписочнаяЧисленность!#REF!</definedName>
    <definedName name="г3итог" localSheetId="15">[133]СписочнаяЧисленность!#REF!</definedName>
    <definedName name="г3итог" localSheetId="11">[133]СписочнаяЧисленность!#REF!</definedName>
    <definedName name="г3итог" localSheetId="10">[133]СписочнаяЧисленность!#REF!</definedName>
    <definedName name="г3итог">[133]СписочнаяЧисленность!#REF!</definedName>
    <definedName name="г3итог_код" localSheetId="15">[133]СписочнаяЧисленность!#REF!</definedName>
    <definedName name="г3итог_код" localSheetId="11">[133]СписочнаяЧисленность!#REF!</definedName>
    <definedName name="г3итог_код" localSheetId="10">[133]СписочнаяЧисленность!#REF!</definedName>
    <definedName name="г3итог_код">[133]СписочнаяЧисленность!#REF!</definedName>
    <definedName name="г4" localSheetId="15">[133]СписочнаяЧисленность!#REF!</definedName>
    <definedName name="г4" localSheetId="11">[133]СписочнаяЧисленность!#REF!</definedName>
    <definedName name="г4" localSheetId="10">[133]СписочнаяЧисленность!#REF!</definedName>
    <definedName name="г4">[133]СписочнаяЧисленность!#REF!</definedName>
    <definedName name="г4_код" localSheetId="15">[133]СписочнаяЧисленность!#REF!</definedName>
    <definedName name="г4_код" localSheetId="11">[133]СписочнаяЧисленность!#REF!</definedName>
    <definedName name="г4_код" localSheetId="10">[133]СписочнаяЧисленность!#REF!</definedName>
    <definedName name="г4_код">[133]СписочнаяЧисленность!#REF!</definedName>
    <definedName name="г4_наим" localSheetId="15">[133]СписочнаяЧисленность!#REF!</definedName>
    <definedName name="г4_наим" localSheetId="11">[133]СписочнаяЧисленность!#REF!</definedName>
    <definedName name="г4_наим" localSheetId="10">[133]СписочнаяЧисленность!#REF!</definedName>
    <definedName name="г4_наим">[133]СписочнаяЧисленность!#REF!</definedName>
    <definedName name="г4итог" localSheetId="15">[133]СписочнаяЧисленность!#REF!</definedName>
    <definedName name="г4итог" localSheetId="11">[133]СписочнаяЧисленность!#REF!</definedName>
    <definedName name="г4итог" localSheetId="10">[133]СписочнаяЧисленность!#REF!</definedName>
    <definedName name="г4итог">[133]СписочнаяЧисленность!#REF!</definedName>
    <definedName name="г4итог_код" localSheetId="15">[133]СписочнаяЧисленность!#REF!</definedName>
    <definedName name="г4итог_код" localSheetId="11">[133]СписочнаяЧисленность!#REF!</definedName>
    <definedName name="г4итог_код" localSheetId="10">[133]СписочнаяЧисленность!#REF!</definedName>
    <definedName name="г4итог_код">[133]СписочнаяЧисленность!#REF!</definedName>
    <definedName name="гггр" localSheetId="15">[7]!гггр</definedName>
    <definedName name="гггр" localSheetId="11">#N/A</definedName>
    <definedName name="гггр" localSheetId="8">#N/A</definedName>
    <definedName name="гггр" localSheetId="9">#N/A</definedName>
    <definedName name="гггр">#N/A</definedName>
    <definedName name="ГКМ" localSheetId="15">#REF!</definedName>
    <definedName name="ГКМ" localSheetId="2">#REF!</definedName>
    <definedName name="ГКМ" localSheetId="1">#REF!</definedName>
    <definedName name="ГКМ" localSheetId="11">#REF!</definedName>
    <definedName name="ГКМ" localSheetId="8">#REF!</definedName>
    <definedName name="ГКМ" localSheetId="9">#REF!</definedName>
    <definedName name="ГКМ" localSheetId="10">#REF!</definedName>
    <definedName name="ГКМ" localSheetId="5">#REF!</definedName>
    <definedName name="ГКМ" localSheetId="4">#REF!</definedName>
    <definedName name="ГКМ">#REF!</definedName>
    <definedName name="глнпе" localSheetId="15" hidden="1">#REF!,#REF!,#REF!,амор!P1_SCOPE_PER_PRT,амор!P2_SCOPE_PER_PRT,амор!P3_SCOPE_PER_PRT,амор!P4_SCOPE_PER_PRT</definedName>
    <definedName name="глнпе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глнпе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глнпе" localSheetId="7" hidden="1">#REF!,#REF!,#REF!,подконтрольные!P1_SCOPE_PER_PRT,подконтрольные!P2_SCOPE_PER_PRT,подконтрольные!P3_SCOPE_PER_PRT,подконтрольные!P4_SCOPE_PER_PRT</definedName>
    <definedName name="глнпе" localSheetId="11" hidden="1">#REF!,#REF!,#REF!,'прил 4 к расп'!P1_SCOPE_PER_PRT,'прил 4 к расп'!P2_SCOPE_PER_PRT,'прил 4 к расп'!P3_SCOPE_PER_PRT,'прил 4 к расп'!P4_SCOPE_PER_PRT</definedName>
    <definedName name="глнпе" localSheetId="8" hidden="1">#REF!,#REF!,#REF!,Прил2!P1_SCOPE_PER_PRT,Прил2!P2_SCOPE_PER_PRT,Прил2!P3_SCOPE_PER_PRT,Прил2!P4_SCOPE_PER_PRT</definedName>
    <definedName name="глнпе" localSheetId="9" hidden="1">#REF!,#REF!,#REF!,Прил3!P1_SCOPE_PER_PRT,Прил3!P2_SCOPE_PER_PRT,Прил3!P3_SCOPE_PER_PRT,Прил3!P4_SCOPE_PER_PRT</definedName>
    <definedName name="глнпе" localSheetId="10" hidden="1">#REF!,#REF!,#REF!,прил4!P1_SCOPE_PER_PRT,прил4!P2_SCOPE_PER_PRT,прил4!P3_SCOPE_PER_PRT,прил4!P4_SCOPE_PER_PRT</definedName>
    <definedName name="глнпе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глнпе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глнпе" hidden="1">#REF!,#REF!,#REF!,P1_SCOPE_PER_PRT,P2_SCOPE_PER_PRT,P3_SCOPE_PER_PRT,P4_SCOPE_PER_PRT</definedName>
    <definedName name="гнеруекр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15">[7]!гнлзщ</definedName>
    <definedName name="гнлзщ" localSheetId="11">#N/A</definedName>
    <definedName name="гнлзщ" localSheetId="8">#N/A</definedName>
    <definedName name="гнлзщ" localSheetId="9">#N/A</definedName>
    <definedName name="гнлзщ">#N/A</definedName>
    <definedName name="гнлн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15">#REF!</definedName>
    <definedName name="Год" localSheetId="11">#REF!</definedName>
    <definedName name="Год">#REF!</definedName>
    <definedName name="Год_отчета">2004</definedName>
    <definedName name="Годовой_индекс_2000" localSheetId="15">#REF!</definedName>
    <definedName name="Годовой_индекс_2000" localSheetId="2">#REF!</definedName>
    <definedName name="Годовой_индекс_2000" localSheetId="1">#REF!</definedName>
    <definedName name="Годовой_индекс_2000" localSheetId="11">#REF!</definedName>
    <definedName name="Годовой_индекс_2000" localSheetId="8">#REF!</definedName>
    <definedName name="Годовой_индекс_2000" localSheetId="9">#REF!</definedName>
    <definedName name="Годовой_индекс_2000" localSheetId="10">#REF!</definedName>
    <definedName name="Годовой_индекс_2000" localSheetId="5">#REF!</definedName>
    <definedName name="Годовой_индекс_2000" localSheetId="4">#REF!</definedName>
    <definedName name="Годовой_индекс_2000">#REF!</definedName>
    <definedName name="График">"Диагр. 4"</definedName>
    <definedName name="грприрцфв00ав98" localSheetId="15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[134]доп.!$A$12:$A$20</definedName>
    <definedName name="грфинцкавг98Х" localSheetId="15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5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localSheetId="11" hidden="1">{#N/A,#N/A,TRUE,"Лист1";#N/A,#N/A,TRUE,"Лист2";#N/A,#N/A,TRUE,"Лист3"}</definedName>
    <definedName name="гшгш" localSheetId="8" hidden="1">{#N/A,#N/A,TRUE,"Лист1";#N/A,#N/A,TRUE,"Лист2";#N/A,#N/A,TRUE,"Лист3"}</definedName>
    <definedName name="гшгш" localSheetId="9" hidden="1">{#N/A,#N/A,TRUE,"Лист1";#N/A,#N/A,TRUE,"Лист2";#N/A,#N/A,TRUE,"Лист3"}</definedName>
    <definedName name="гшгш" localSheetId="10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5">#REF!</definedName>
    <definedName name="гшщжзшщ" localSheetId="2">#REF!</definedName>
    <definedName name="гшщжзшщ" localSheetId="1">#REF!</definedName>
    <definedName name="гшщжзшщ" localSheetId="11">#REF!</definedName>
    <definedName name="гшщжзшщ" localSheetId="8">#REF!</definedName>
    <definedName name="гшщжзшщ" localSheetId="9">#REF!</definedName>
    <definedName name="гшщжзшщ" localSheetId="10">#REF!</definedName>
    <definedName name="гшщжзшщ" localSheetId="5">#REF!</definedName>
    <definedName name="гшщжзшщ" localSheetId="4">#REF!</definedName>
    <definedName name="гшщжзшщ">#REF!</definedName>
    <definedName name="гщ" localSheetId="15">#REF!</definedName>
    <definedName name="гщ" localSheetId="11">#REF!</definedName>
    <definedName name="гщ" localSheetId="8">#REF!</definedName>
    <definedName name="гщ" localSheetId="9">#REF!</definedName>
    <definedName name="гщ" localSheetId="10">#REF!</definedName>
    <definedName name="гщ">#REF!</definedName>
    <definedName name="д" localSheetId="15">#REF!</definedName>
    <definedName name="д" localSheetId="11">#REF!</definedName>
    <definedName name="д" localSheetId="8">#REF!</definedName>
    <definedName name="д" localSheetId="9">#REF!</definedName>
    <definedName name="д" localSheetId="10">#REF!</definedName>
    <definedName name="д">#REF!</definedName>
    <definedName name="Данные" localSheetId="15">#REF!</definedName>
    <definedName name="Данные" localSheetId="11">#REF!</definedName>
    <definedName name="Данные" localSheetId="10">#REF!</definedName>
    <definedName name="Данные">#REF!</definedName>
    <definedName name="дата_док" localSheetId="15">#REF!</definedName>
    <definedName name="дата_док" localSheetId="11">#REF!</definedName>
    <definedName name="дата_док" localSheetId="10">#REF!</definedName>
    <definedName name="дата_док">#REF!</definedName>
    <definedName name="дата_изменения" localSheetId="15">#REF!</definedName>
    <definedName name="дата_изменения" localSheetId="11">#REF!</definedName>
    <definedName name="дата_изменения" localSheetId="10">#REF!</definedName>
    <definedName name="дата_изменения">#REF!</definedName>
    <definedName name="движение" localSheetId="15">#REF!</definedName>
    <definedName name="движение" localSheetId="11">#REF!</definedName>
    <definedName name="движение" localSheetId="10">#REF!</definedName>
    <definedName name="движение">#REF!</definedName>
    <definedName name="ДВП" localSheetId="15">#REF!</definedName>
    <definedName name="ДВП" localSheetId="11">#REF!</definedName>
    <definedName name="ДВП">#REF!</definedName>
    <definedName name="двпБКХ" localSheetId="15">#REF!</definedName>
    <definedName name="двпБКХ" localSheetId="11">#REF!</definedName>
    <definedName name="двпБКХ">#REF!</definedName>
    <definedName name="двпсв" localSheetId="15">#REF!</definedName>
    <definedName name="двпсв" localSheetId="11">#REF!</definedName>
    <definedName name="двпсв">#REF!</definedName>
    <definedName name="двпЦКК" localSheetId="15">#REF!</definedName>
    <definedName name="двпЦКК" localSheetId="11">#REF!</definedName>
    <definedName name="двпЦКК">#REF!</definedName>
    <definedName name="дд" localSheetId="15">#REF!</definedName>
    <definedName name="дд" localSheetId="11">#REF!</definedName>
    <definedName name="дд" localSheetId="10">#REF!</definedName>
    <definedName name="дд">#REF!</definedName>
    <definedName name="ддд" localSheetId="15" hidden="1">{"PRINTME",#N/A,FALSE,"FINAL-10"}</definedName>
    <definedName name="ддд" localSheetId="2" hidden="1">{"PRINTME",#N/A,FALSE,"FINAL-10"}</definedName>
    <definedName name="ддд" localSheetId="1" hidden="1">{"PRINTME",#N/A,FALSE,"FINAL-10"}</definedName>
    <definedName name="ддд" localSheetId="7" hidden="1">{"PRINTME",#N/A,FALSE,"FINAL-10"}</definedName>
    <definedName name="ддд" localSheetId="11" hidden="1">{"PRINTME",#N/A,FALSE,"FINAL-10"}</definedName>
    <definedName name="ддд" localSheetId="8" hidden="1">{"PRINTME",#N/A,FALSE,"FINAL-10"}</definedName>
    <definedName name="ддд" localSheetId="9" hidden="1">{"PRINTME",#N/A,FALSE,"FINAL-10"}</definedName>
    <definedName name="ддд" localSheetId="10" hidden="1">{"PRINTME",#N/A,FALSE,"FINAL-10"}</definedName>
    <definedName name="ддд" localSheetId="5" hidden="1">{"PRINTME",#N/A,FALSE,"FINAL-10"}</definedName>
    <definedName name="ддд" localSheetId="4" hidden="1">{"PRINTME",#N/A,FALSE,"FINAL-10"}</definedName>
    <definedName name="ддд" hidden="1">{"PRINTME",#N/A,FALSE,"FINAL-10"}</definedName>
    <definedName name="ддс" localSheetId="15">#REF!</definedName>
    <definedName name="ддс" localSheetId="2">#REF!</definedName>
    <definedName name="ддс" localSheetId="1">#REF!</definedName>
    <definedName name="ддс" localSheetId="11">#REF!</definedName>
    <definedName name="ддс" localSheetId="8">#REF!</definedName>
    <definedName name="ддс" localSheetId="9">#REF!</definedName>
    <definedName name="ддс" localSheetId="10">#REF!</definedName>
    <definedName name="ддс" localSheetId="5">#REF!</definedName>
    <definedName name="ддс" localSheetId="4">#REF!</definedName>
    <definedName name="ддс">#REF!</definedName>
    <definedName name="ДДС1" localSheetId="15">#REF!</definedName>
    <definedName name="ДДС1" localSheetId="11">#REF!</definedName>
    <definedName name="ДДС1" localSheetId="8">#REF!</definedName>
    <definedName name="ДДС1" localSheetId="9">#REF!</definedName>
    <definedName name="ДДС1" localSheetId="10">#REF!</definedName>
    <definedName name="ДДС1">#REF!</definedName>
    <definedName name="ДДС2" localSheetId="15">#REF!</definedName>
    <definedName name="ДДС2" localSheetId="11">#REF!</definedName>
    <definedName name="ДДС2" localSheetId="8">#REF!</definedName>
    <definedName name="ДДС2" localSheetId="9">#REF!</definedName>
    <definedName name="ДДС2" localSheetId="10">#REF!</definedName>
    <definedName name="ДДС2">#REF!</definedName>
    <definedName name="ДДСа4" localSheetId="15">#REF!</definedName>
    <definedName name="ДДСа4" localSheetId="11">#REF!</definedName>
    <definedName name="ДДСа4" localSheetId="10">#REF!</definedName>
    <definedName name="ДДСа4">#REF!</definedName>
    <definedName name="ДДСббббббббб" localSheetId="15">#REF!</definedName>
    <definedName name="ДДСббббббббб" localSheetId="11">#REF!</definedName>
    <definedName name="ДДСббббббббб" localSheetId="10">#REF!</definedName>
    <definedName name="ДДСббббббббб">#REF!</definedName>
    <definedName name="деб." localSheetId="15">#REF!</definedName>
    <definedName name="деб." localSheetId="11">#REF!</definedName>
    <definedName name="деб." localSheetId="10">#REF!</definedName>
    <definedName name="деб.">#REF!</definedName>
    <definedName name="дек" localSheetId="15">#REF!</definedName>
    <definedName name="дек" localSheetId="11">#REF!</definedName>
    <definedName name="дек" localSheetId="10">#REF!</definedName>
    <definedName name="дек">#REF!</definedName>
    <definedName name="дек2" localSheetId="15">#REF!</definedName>
    <definedName name="дек2" localSheetId="11">#REF!</definedName>
    <definedName name="дек2" localSheetId="10">#REF!</definedName>
    <definedName name="дек2">#REF!</definedName>
    <definedName name="деньги" localSheetId="15">#REF!</definedName>
    <definedName name="деньги" localSheetId="11">#REF!</definedName>
    <definedName name="деньги" localSheetId="10">#REF!</definedName>
    <definedName name="деньги">#REF!</definedName>
    <definedName name="депозит">[134]Ставки!$D$1:$D$2</definedName>
    <definedName name="Детализация">[135]Детализация!$H$5:$H$12,[135]Детализация!$H$15:$H$17,[135]Детализация!$H$20:$H$21,[135]Детализация!$H$24:$H$26,[135]Детализация!$H$30:$H$34,[135]Детализация!$H$36,[135]Детализация!$H$39:$H$40</definedName>
    <definedName name="Детализация_СБ">[135]Детализация!$H$4:$H$41</definedName>
    <definedName name="Дефл_ц_пред_год" localSheetId="15">'[109]Текущие цены'!$AT$36:$BK$58</definedName>
    <definedName name="Дефл_ц_пред_год" localSheetId="2">'[110]Текущие цены'!$AT$36:$BK$58</definedName>
    <definedName name="Дефл_ц_пред_год" localSheetId="1">'[110]Текущие цены'!$AT$36:$BK$58</definedName>
    <definedName name="Дефл_ц_пред_год" localSheetId="11">'[109]Текущие цены'!$AT$36:$BK$58</definedName>
    <definedName name="Дефл_ц_пред_год" localSheetId="8">'[109]Текущие цены'!$AT$36:$BK$58</definedName>
    <definedName name="Дефл_ц_пред_год" localSheetId="9">'[109]Текущие цены'!$AT$36:$BK$58</definedName>
    <definedName name="Дефл_ц_пред_год" localSheetId="10">'[111]Текущие цены'!$AT$36:$BK$58</definedName>
    <definedName name="Дефл_ц_пред_год" localSheetId="5">'[110]Текущие цены'!$AT$36:$BK$58</definedName>
    <definedName name="Дефл_ц_пред_год" localSheetId="4">'[110]Текущие цены'!$AT$36:$BK$58</definedName>
    <definedName name="Дефл_ц_пред_год">'[112]Текущие цены'!$AT$36:$BK$58</definedName>
    <definedName name="Дефлятор_годовой" localSheetId="15">'[109]Текущие цены'!$Y$4:$AP$27</definedName>
    <definedName name="Дефлятор_годовой" localSheetId="2">'[110]Текущие цены'!$Y$4:$AP$27</definedName>
    <definedName name="Дефлятор_годовой" localSheetId="1">'[110]Текущие цены'!$Y$4:$AP$27</definedName>
    <definedName name="Дефлятор_годовой" localSheetId="11">'[109]Текущие цены'!$Y$4:$AP$27</definedName>
    <definedName name="Дефлятор_годовой" localSheetId="8">'[109]Текущие цены'!$Y$4:$AP$27</definedName>
    <definedName name="Дефлятор_годовой" localSheetId="9">'[109]Текущие цены'!$Y$4:$AP$27</definedName>
    <definedName name="Дефлятор_годовой" localSheetId="10">'[111]Текущие цены'!$Y$4:$AP$27</definedName>
    <definedName name="Дефлятор_годовой" localSheetId="5">'[110]Текущие цены'!$Y$4:$AP$27</definedName>
    <definedName name="Дефлятор_годовой" localSheetId="4">'[110]Текущие цены'!$Y$4:$AP$27</definedName>
    <definedName name="Дефлятор_годовой">'[112]Текущие цены'!$Y$4:$AP$27</definedName>
    <definedName name="Дефлятор_цепной" localSheetId="15">'[109]Текущие цены'!$Y$36:$AP$58</definedName>
    <definedName name="Дефлятор_цепной" localSheetId="2">'[110]Текущие цены'!$Y$36:$AP$58</definedName>
    <definedName name="Дефлятор_цепной" localSheetId="1">'[110]Текущие цены'!$Y$36:$AP$58</definedName>
    <definedName name="Дефлятор_цепной" localSheetId="11">'[109]Текущие цены'!$Y$36:$AP$58</definedName>
    <definedName name="Дефлятор_цепной" localSheetId="8">'[109]Текущие цены'!$Y$36:$AP$58</definedName>
    <definedName name="Дефлятор_цепной" localSheetId="9">'[109]Текущие цены'!$Y$36:$AP$58</definedName>
    <definedName name="Дефлятор_цепной" localSheetId="10">'[111]Текущие цены'!$Y$36:$AP$58</definedName>
    <definedName name="Дефлятор_цепной" localSheetId="5">'[110]Текущие цены'!$Y$36:$AP$58</definedName>
    <definedName name="Дефлятор_цепной" localSheetId="4">'[110]Текущие цены'!$Y$36:$AP$58</definedName>
    <definedName name="Дефлятор_цепной">'[112]Текущие цены'!$Y$36:$AP$58</definedName>
    <definedName name="дж" localSheetId="15">[7]!дж</definedName>
    <definedName name="дж" localSheetId="11">#N/A</definedName>
    <definedName name="дж" localSheetId="8">#N/A</definedName>
    <definedName name="дж" localSheetId="9">#N/A</definedName>
    <definedName name="дж">#N/A</definedName>
    <definedName name="ДиапазонЗащиты" localSheetId="15">#REF!,#REF!,#REF!,#REF!,[7]!P1_ДиапазонЗащиты,[7]!P2_ДиапазонЗащиты,[7]!P3_ДиапазонЗащиты,[7]!P4_ДиапазонЗащиты</definedName>
    <definedName name="ДиапазонЗащиты" localSheetId="2">#REF!,#REF!,#REF!,#REF!,[136]!P1_ДиапазонЗащиты,[136]!P2_ДиапазонЗащиты,[136]!P3_ДиапазонЗащиты,[136]!P4_ДиапазонЗащиты</definedName>
    <definedName name="ДиапазонЗащиты" localSheetId="1">#REF!,#REF!,#REF!,#REF!,[136]!P1_ДиапазонЗащиты,[136]!P2_ДиапазонЗащиты,[136]!P3_ДиапазонЗащиты,[136]!P4_ДиапазонЗащиты</definedName>
    <definedName name="ДиапазонЗащиты" localSheetId="11">#REF!,#REF!,#REF!,#REF!,[137]!P1_ДиапазонЗащиты,[137]!P2_ДиапазонЗащиты,[137]!P3_ДиапазонЗащиты,[137]!P4_ДиапазонЗащиты</definedName>
    <definedName name="ДиапазонЗащиты" localSheetId="8">#REF!,#REF!,#REF!,#REF!,[137]!P1_ДиапазонЗащиты,[137]!P2_ДиапазонЗащиты,[137]!P3_ДиапазонЗащиты,[137]!P4_ДиапазонЗащиты</definedName>
    <definedName name="ДиапазонЗащиты" localSheetId="9">#REF!,#REF!,#REF!,#REF!,[137]!P1_ДиапазонЗащиты,[137]!P2_ДиапазонЗащиты,[137]!P3_ДиапазонЗащиты,[137]!P4_ДиапазонЗащиты</definedName>
    <definedName name="ДиапазонЗащиты" localSheetId="10">#REF!,#REF!,#REF!,#REF!,[137]!P1_ДиапазонЗащиты,[137]!P2_ДиапазонЗащиты,[137]!P3_ДиапазонЗащиты,[137]!P4_ДиапазонЗащиты</definedName>
    <definedName name="ДиапазонЗащиты" localSheetId="5">#REF!,#REF!,#REF!,#REF!,[136]!P1_ДиапазонЗащиты,[136]!P2_ДиапазонЗащиты,[136]!P3_ДиапазонЗащиты,[136]!P4_ДиапазонЗащиты</definedName>
    <definedName name="ДиапазонЗащиты" localSheetId="4">#REF!,#REF!,#REF!,#REF!,[136]!P1_ДиапазонЗащиты,[136]!P2_ДиапазонЗащиты,[136]!P3_ДиапазонЗащиты,[136]!P4_ДиапазонЗащиты</definedName>
    <definedName name="ДиапазонЗащиты">#REF!,#REF!,#REF!,#REF!,[138]!P1_ДиапазонЗащиты,[138]!P2_ДиапазонЗащиты,[138]!P3_ДиапазонЗащиты,[138]!P4_ДиапазонЗащиты</definedName>
    <definedName name="Дивизионы" localSheetId="15">#REF!</definedName>
    <definedName name="Дивизионы" localSheetId="2">#REF!</definedName>
    <definedName name="Дивизионы" localSheetId="1">#REF!</definedName>
    <definedName name="Дивизионы" localSheetId="11">#REF!</definedName>
    <definedName name="Дивизионы" localSheetId="8">#REF!</definedName>
    <definedName name="Дивизионы" localSheetId="9">#REF!</definedName>
    <definedName name="Дивизионы" localSheetId="10">#REF!</definedName>
    <definedName name="Дивизионы" localSheetId="5">#REF!</definedName>
    <definedName name="Дивизионы" localSheetId="4">#REF!</definedName>
    <definedName name="Дивизионы">#REF!</definedName>
    <definedName name="дл" localSheetId="15">#REF!</definedName>
    <definedName name="дл" localSheetId="11">#REF!</definedName>
    <definedName name="дл" localSheetId="8">#REF!</definedName>
    <definedName name="дл" localSheetId="9">#REF!</definedName>
    <definedName name="дл" localSheetId="10">#REF!</definedName>
    <definedName name="дл">#REF!</definedName>
    <definedName name="длрио" localSheetId="15">#REF!</definedName>
    <definedName name="длрио" localSheetId="11">#REF!</definedName>
    <definedName name="длрио" localSheetId="8">#REF!</definedName>
    <definedName name="длрио" localSheetId="9">#REF!</definedName>
    <definedName name="длрио" localSheetId="10">#REF!</definedName>
    <definedName name="длрио">#REF!</definedName>
    <definedName name="Дней_в_месяце" localSheetId="15">#REF!</definedName>
    <definedName name="Дней_в_месяце" localSheetId="11">#REF!</definedName>
    <definedName name="Дней_в_месяце" localSheetId="10">#REF!</definedName>
    <definedName name="Дней_в_месяце">#REF!</definedName>
    <definedName name="дол" localSheetId="15">[133]СписочнаяЧисленность!#REF!</definedName>
    <definedName name="дол" localSheetId="11">[133]СписочнаяЧисленность!#REF!</definedName>
    <definedName name="дол" localSheetId="8">[133]СписочнаяЧисленность!#REF!</definedName>
    <definedName name="дол" localSheetId="9">[133]СписочнаяЧисленность!#REF!</definedName>
    <definedName name="дол" localSheetId="10">[133]СписочнаяЧисленность!#REF!</definedName>
    <definedName name="дол">[133]СписочнаяЧисленность!#REF!</definedName>
    <definedName name="дол_код" localSheetId="15">[133]СписочнаяЧисленность!#REF!</definedName>
    <definedName name="дол_код" localSheetId="11">[133]СписочнаяЧисленность!#REF!</definedName>
    <definedName name="дол_код" localSheetId="8">[133]СписочнаяЧисленность!#REF!</definedName>
    <definedName name="дол_код" localSheetId="9">[133]СписочнаяЧисленность!#REF!</definedName>
    <definedName name="дол_код" localSheetId="10">[133]СписочнаяЧисленность!#REF!</definedName>
    <definedName name="дол_код">[133]СписочнаяЧисленность!#REF!</definedName>
    <definedName name="долитог" localSheetId="15">[133]СписочнаяЧисленность!#REF!</definedName>
    <definedName name="долитог" localSheetId="11">[133]СписочнаяЧисленность!#REF!</definedName>
    <definedName name="долитог" localSheetId="8">[133]СписочнаяЧисленность!#REF!</definedName>
    <definedName name="долитог" localSheetId="9">[133]СписочнаяЧисленность!#REF!</definedName>
    <definedName name="долитог" localSheetId="10">[133]СписочнаяЧисленность!#REF!</definedName>
    <definedName name="долитог">[133]СписочнаяЧисленность!#REF!</definedName>
    <definedName name="долитог_код" localSheetId="15">[133]СписочнаяЧисленность!#REF!</definedName>
    <definedName name="долитог_код" localSheetId="11">[133]СписочнаяЧисленность!#REF!</definedName>
    <definedName name="долитог_код" localSheetId="8">[133]СписочнаяЧисленность!#REF!</definedName>
    <definedName name="долитог_код" localSheetId="9">[133]СписочнаяЧисленность!#REF!</definedName>
    <definedName name="долитог_код" localSheetId="10">[133]СписочнаяЧисленность!#REF!</definedName>
    <definedName name="долитог_код">[133]СписочнаяЧисленность!#REF!</definedName>
    <definedName name="доля_продукции_Б_сут" localSheetId="15">'[139] накладные расходы'!#REF!</definedName>
    <definedName name="доля_продукции_Б_сут" localSheetId="11">'[139] накладные расходы'!#REF!</definedName>
    <definedName name="доля_продукции_Б_сут" localSheetId="8">'[139] накладные расходы'!#REF!</definedName>
    <definedName name="доля_продукции_Б_сут" localSheetId="9">'[139] накладные расходы'!#REF!</definedName>
    <definedName name="доля_продукции_Б_сут" localSheetId="10">'[139] накладные расходы'!#REF!</definedName>
    <definedName name="доля_продукции_Б_сут">'[139] накладные расходы'!#REF!</definedName>
    <definedName name="доля_соков" localSheetId="15">'[139] накладные расходы'!#REF!</definedName>
    <definedName name="доля_соков" localSheetId="11">'[139] накладные расходы'!#REF!</definedName>
    <definedName name="доля_соков" localSheetId="8">'[139] накладные расходы'!#REF!</definedName>
    <definedName name="доля_соков" localSheetId="9">'[139] накладные расходы'!#REF!</definedName>
    <definedName name="доля_соков" localSheetId="10">'[139] накладные расходы'!#REF!</definedName>
    <definedName name="доля_соков">'[139] накладные расходы'!#REF!</definedName>
    <definedName name="доопатмо" localSheetId="15">[7]!доопатмо</definedName>
    <definedName name="доопатмо" localSheetId="11">#N/A</definedName>
    <definedName name="доопатмо" localSheetId="8">#N/A</definedName>
    <definedName name="доопатмо" localSheetId="9">#N/A</definedName>
    <definedName name="доопатмо">#N/A</definedName>
    <definedName name="Доход" localSheetId="15">#REF!</definedName>
    <definedName name="Доход" localSheetId="2">#REF!</definedName>
    <definedName name="Доход" localSheetId="1">#REF!</definedName>
    <definedName name="Доход" localSheetId="11">#REF!</definedName>
    <definedName name="Доход" localSheetId="8">#REF!</definedName>
    <definedName name="Доход" localSheetId="9">#REF!</definedName>
    <definedName name="Доход" localSheetId="10">#REF!</definedName>
    <definedName name="Доход" localSheetId="5">#REF!</definedName>
    <definedName name="Доход" localSheetId="4">#REF!</definedName>
    <definedName name="Доход">#REF!</definedName>
    <definedName name="Доход_1" localSheetId="15">#REF!</definedName>
    <definedName name="Доход_1" localSheetId="11">#REF!</definedName>
    <definedName name="Доход_1" localSheetId="8">#REF!</definedName>
    <definedName name="Доход_1" localSheetId="9">#REF!</definedName>
    <definedName name="Доход_1" localSheetId="10">#REF!</definedName>
    <definedName name="Доход_1">#REF!</definedName>
    <definedName name="ДС" localSheetId="15">#REF!</definedName>
    <definedName name="ДС" localSheetId="11">#REF!</definedName>
    <definedName name="ДС" localSheetId="8">#REF!</definedName>
    <definedName name="ДС" localSheetId="9">#REF!</definedName>
    <definedName name="ДС" localSheetId="10">#REF!</definedName>
    <definedName name="ДС">#REF!</definedName>
    <definedName name="е" localSheetId="15">#REF!</definedName>
    <definedName name="е" localSheetId="11">#REF!</definedName>
    <definedName name="е" localSheetId="8">#REF!</definedName>
    <definedName name="е" localSheetId="9">#REF!</definedName>
    <definedName name="е" localSheetId="10">#REF!</definedName>
    <definedName name="е">#REF!</definedName>
    <definedName name="е3екук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[140]Temp_TOV!$A$3:$EO$122</definedName>
    <definedName name="елнгл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5">#REF!</definedName>
    <definedName name="енгенг" localSheetId="2">#REF!</definedName>
    <definedName name="енгенг" localSheetId="1">#REF!</definedName>
    <definedName name="енгенг" localSheetId="11">#REF!</definedName>
    <definedName name="енгенг" localSheetId="8">#REF!</definedName>
    <definedName name="енгенг" localSheetId="9">#REF!</definedName>
    <definedName name="енгенг" localSheetId="10">#REF!</definedName>
    <definedName name="енгенг" localSheetId="5">#REF!</definedName>
    <definedName name="енгенг" localSheetId="4">#REF!</definedName>
    <definedName name="енгенг">#REF!</definedName>
    <definedName name="ено676он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ж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15">[7]!жд</definedName>
    <definedName name="жд" localSheetId="11">#N/A</definedName>
    <definedName name="жд" localSheetId="8">#N/A</definedName>
    <definedName name="жд" localSheetId="9">#N/A</definedName>
    <definedName name="жд">#N/A</definedName>
    <definedName name="жж" localSheetId="15" hidden="1">#REF!,#REF!,#REF!,амор!P1_SCOPE_PER_PRT,амор!P2_SCOPE_PER_PRT,амор!P3_SCOPE_PER_PRT,амор!P4_SCOPE_PER_PRT</definedName>
    <definedName name="жж" localSheetId="2">#REF!</definedName>
    <definedName name="жж" localSheetId="1">#REF!</definedName>
    <definedName name="жж" localSheetId="11">#REF!</definedName>
    <definedName name="жж" localSheetId="8">#REF!</definedName>
    <definedName name="жж" localSheetId="9">#REF!</definedName>
    <definedName name="жж" localSheetId="10">#REF!</definedName>
    <definedName name="жж" localSheetId="5">#REF!</definedName>
    <definedName name="жж" localSheetId="4">#REF!</definedName>
    <definedName name="жж">#REF!</definedName>
    <definedName name="жжж3" localSheetId="15">#REF!</definedName>
    <definedName name="жжж3" localSheetId="2">#REF!</definedName>
    <definedName name="жжж3" localSheetId="1">#REF!</definedName>
    <definedName name="жжж3" localSheetId="11">#REF!</definedName>
    <definedName name="жжж3" localSheetId="8">#REF!</definedName>
    <definedName name="жжж3" localSheetId="9">#REF!</definedName>
    <definedName name="жжж3" localSheetId="10">#REF!</definedName>
    <definedName name="жжж3" localSheetId="5">#REF!</definedName>
    <definedName name="жжж3" localSheetId="4">#REF!</definedName>
    <definedName name="жжж3">#REF!</definedName>
    <definedName name="з" localSheetId="15">#REF!</definedName>
    <definedName name="з" localSheetId="11">#REF!</definedName>
    <definedName name="з" localSheetId="8">#REF!</definedName>
    <definedName name="з" localSheetId="9">#REF!</definedName>
    <definedName name="з" localSheetId="10">#REF!</definedName>
    <definedName name="з">#REF!</definedName>
    <definedName name="з4" localSheetId="15">#REF!</definedName>
    <definedName name="з4" localSheetId="11">#REF!</definedName>
    <definedName name="з4" localSheetId="8">#REF!</definedName>
    <definedName name="з4" localSheetId="9">#REF!</definedName>
    <definedName name="з4" localSheetId="10">#REF!</definedName>
    <definedName name="з4">#REF!</definedName>
    <definedName name="_xlnm.Print_Titles" localSheetId="15">#REF!</definedName>
    <definedName name="_xlnm.Print_Titles" localSheetId="3">'Кальк.2019-2023 (ДИ)'!$5:$7</definedName>
    <definedName name="_xlnm.Print_Titles" localSheetId="2">'Кальк.2019-2023 (ДИ) (2)'!$5:$7</definedName>
    <definedName name="_xlnm.Print_Titles" localSheetId="1">'Кальк.2019-2023 (ДИ) (3)'!$5:$7</definedName>
    <definedName name="_xlnm.Print_Titles" localSheetId="11">#REF!</definedName>
    <definedName name="_xlnm.Print_Titles" localSheetId="8">#REF!</definedName>
    <definedName name="_xlnm.Print_Titles" localSheetId="10">#REF!</definedName>
    <definedName name="_xlnm.Print_Titles" localSheetId="5">#REF!</definedName>
    <definedName name="_xlnm.Print_Titles" localSheetId="4">#REF!</definedName>
    <definedName name="_xlnm.Print_Titles">#REF!</definedName>
    <definedName name="Заголовок_Валюта" localSheetId="15">#REF!</definedName>
    <definedName name="Заголовок_Валюта" localSheetId="2">#REF!</definedName>
    <definedName name="Заголовок_Валюта" localSheetId="1">#REF!</definedName>
    <definedName name="Заголовок_Валюта" localSheetId="11">#REF!</definedName>
    <definedName name="Заголовок_Валюта" localSheetId="8">#REF!</definedName>
    <definedName name="Заголовок_Валюта" localSheetId="9">#REF!</definedName>
    <definedName name="Заголовок_Валюта" localSheetId="10">#REF!</definedName>
    <definedName name="Заголовок_Валюта" localSheetId="5">#REF!</definedName>
    <definedName name="Заголовок_Валюта" localSheetId="4">#REF!</definedName>
    <definedName name="Заголовок_Валюта">#REF!</definedName>
    <definedName name="Заголовок_НДЕ" localSheetId="15">#REF!</definedName>
    <definedName name="Заголовок_НДЕ" localSheetId="11">#REF!</definedName>
    <definedName name="Заголовок_НДЕ" localSheetId="10">#REF!</definedName>
    <definedName name="Заголовок_НДЕ">#REF!</definedName>
    <definedName name="записка" localSheetId="15">'[141]БСС-2'!#REF!</definedName>
    <definedName name="записка" localSheetId="11">'[141]БСС-2'!#REF!</definedName>
    <definedName name="записка">'[141]БСС-2'!#REF!</definedName>
    <definedName name="Затраты" localSheetId="15">#REF!</definedName>
    <definedName name="Затраты" localSheetId="2">#REF!</definedName>
    <definedName name="Затраты" localSheetId="1">#REF!</definedName>
    <definedName name="Затраты" localSheetId="11">#REF!</definedName>
    <definedName name="Затраты" localSheetId="8">#REF!</definedName>
    <definedName name="Затраты" localSheetId="9">#REF!</definedName>
    <definedName name="Затраты" localSheetId="10">#REF!</definedName>
    <definedName name="Затраты" localSheetId="5">#REF!</definedName>
    <definedName name="Затраты" localSheetId="4">#REF!</definedName>
    <definedName name="Затраты">#REF!</definedName>
    <definedName name="Затраты_1_4">'[135]Справочник затрат_СБ'!$E$5:$E$68</definedName>
    <definedName name="Затраты_2" localSheetId="15">#REF!</definedName>
    <definedName name="Затраты_2" localSheetId="2">#REF!</definedName>
    <definedName name="Затраты_2" localSheetId="1">#REF!</definedName>
    <definedName name="Затраты_2" localSheetId="11">#REF!</definedName>
    <definedName name="Затраты_2" localSheetId="8">#REF!</definedName>
    <definedName name="Затраты_2" localSheetId="9">#REF!</definedName>
    <definedName name="Затраты_2" localSheetId="10">#REF!</definedName>
    <definedName name="Затраты_2" localSheetId="5">#REF!</definedName>
    <definedName name="Затраты_2" localSheetId="4">#REF!</definedName>
    <definedName name="Затраты_2">#REF!</definedName>
    <definedName name="зп_производство">[131]ЗПрасчет!$E$6</definedName>
    <definedName name="зп_транспорт">[131]ЗПрасчет!$E$7</definedName>
    <definedName name="И" localSheetId="15">#REF!</definedName>
    <definedName name="И" localSheetId="2">#REF!</definedName>
    <definedName name="И" localSheetId="1">#REF!</definedName>
    <definedName name="И" localSheetId="11">#REF!</definedName>
    <definedName name="И" localSheetId="8">#REF!</definedName>
    <definedName name="И" localSheetId="9">#REF!</definedName>
    <definedName name="И" localSheetId="10">#REF!</definedName>
    <definedName name="И" localSheetId="5">#REF!</definedName>
    <definedName name="И" localSheetId="4">#REF!</definedName>
    <definedName name="И">#REF!</definedName>
    <definedName name="й" localSheetId="15">#REF!</definedName>
    <definedName name="й" localSheetId="11">#REF!</definedName>
    <definedName name="й" localSheetId="8">#REF!</definedName>
    <definedName name="й" localSheetId="9">#REF!</definedName>
    <definedName name="й" localSheetId="10">#REF!</definedName>
    <definedName name="й">#REF!</definedName>
    <definedName name="И1" localSheetId="15">#REF!</definedName>
    <definedName name="И1" localSheetId="11">#REF!</definedName>
    <definedName name="И1">#REF!</definedName>
    <definedName name="й12" localSheetId="15">#REF!</definedName>
    <definedName name="й12" localSheetId="11">#REF!</definedName>
    <definedName name="й12" localSheetId="8">#REF!</definedName>
    <definedName name="й12" localSheetId="9">#REF!</definedName>
    <definedName name="й12" localSheetId="10">#REF!</definedName>
    <definedName name="й12">#REF!</definedName>
    <definedName name="и2" localSheetId="15">#REF!</definedName>
    <definedName name="и2" localSheetId="11">#REF!</definedName>
    <definedName name="и2">#REF!</definedName>
    <definedName name="и3" localSheetId="15">#REF!</definedName>
    <definedName name="и3" localSheetId="11">#REF!</definedName>
    <definedName name="и3">#REF!</definedName>
    <definedName name="и4" localSheetId="15">#REF!</definedName>
    <definedName name="и4" localSheetId="11">#REF!</definedName>
    <definedName name="и4">#REF!</definedName>
    <definedName name="й4535" localSheetId="15">#REF!</definedName>
    <definedName name="й4535" localSheetId="11">#REF!</definedName>
    <definedName name="й4535" localSheetId="8">#REF!</definedName>
    <definedName name="й4535" localSheetId="9">#REF!</definedName>
    <definedName name="й4535" localSheetId="10">#REF!</definedName>
    <definedName name="й4535">#REF!</definedName>
    <definedName name="Извлечение_ИМ" localSheetId="15">#REF!</definedName>
    <definedName name="Извлечение_ИМ" localSheetId="11">#REF!</definedName>
    <definedName name="Извлечение_ИМ" localSheetId="8">#REF!</definedName>
    <definedName name="Извлечение_ИМ" localSheetId="9">#REF!</definedName>
    <definedName name="Извлечение_ИМ" localSheetId="10">#REF!</definedName>
    <definedName name="Извлечение_ИМ">#REF!</definedName>
    <definedName name="_xlnm.Extract" localSheetId="15">#REF!</definedName>
    <definedName name="_xlnm.Extract" localSheetId="11">#REF!</definedName>
    <definedName name="_xlnm.Extract" localSheetId="8">#REF!</definedName>
    <definedName name="_xlnm.Extract" localSheetId="9">#REF!</definedName>
    <definedName name="_xlnm.Extract" localSheetId="10">#REF!</definedName>
    <definedName name="_xlnm.Extract">#REF!</definedName>
    <definedName name="изм" localSheetId="15">#REF!</definedName>
    <definedName name="изм" localSheetId="11">#REF!</definedName>
    <definedName name="изм" localSheetId="8">#REF!</definedName>
    <definedName name="изм" localSheetId="9">#REF!</definedName>
    <definedName name="изм" localSheetId="10">#REF!</definedName>
    <definedName name="изм">#REF!</definedName>
    <definedName name="йй" localSheetId="15">[7]!йй</definedName>
    <definedName name="йй" localSheetId="11">#N/A</definedName>
    <definedName name="йй" localSheetId="8">#N/A</definedName>
    <definedName name="йй" localSheetId="9">#N/A</definedName>
    <definedName name="йй">#N/A</definedName>
    <definedName name="иии" localSheetId="15">#REF!</definedName>
    <definedName name="иии" localSheetId="2">#REF!</definedName>
    <definedName name="иии" localSheetId="1">#REF!</definedName>
    <definedName name="иии" localSheetId="11">#REF!</definedName>
    <definedName name="иии" localSheetId="8">#REF!</definedName>
    <definedName name="иии" localSheetId="9">#REF!</definedName>
    <definedName name="иии" localSheetId="10">#REF!</definedName>
    <definedName name="иии" localSheetId="5">#REF!</definedName>
    <definedName name="иии" localSheetId="4">#REF!</definedName>
    <definedName name="иии">#REF!</definedName>
    <definedName name="ииии" localSheetId="15">#REF!</definedName>
    <definedName name="ииии" localSheetId="11">#REF!</definedName>
    <definedName name="ииии" localSheetId="8">#REF!</definedName>
    <definedName name="ииии" localSheetId="9">#REF!</definedName>
    <definedName name="ииии" localSheetId="10">#REF!</definedName>
    <definedName name="ииии">#REF!</definedName>
    <definedName name="йййййййййййййййййййййййй" localSheetId="15">[7]!йййййййййййййййййййййййй</definedName>
    <definedName name="йййййййййййййййййййййййй" localSheetId="11">#N/A</definedName>
    <definedName name="йййййййййййййййййййййййй" localSheetId="8">#N/A</definedName>
    <definedName name="йййййййййййййййййййййййй" localSheetId="9">#N/A</definedName>
    <definedName name="йййййййййййййййййййййййй">#N/A</definedName>
    <definedName name="ииьиютиьролр" localSheetId="15">#REF!</definedName>
    <definedName name="ииьиютиьролр" localSheetId="2">#REF!</definedName>
    <definedName name="ииьиютиьролр" localSheetId="1">#REF!</definedName>
    <definedName name="ииьиютиьролр" localSheetId="11">#REF!</definedName>
    <definedName name="ииьиютиьролр" localSheetId="8">#REF!</definedName>
    <definedName name="ииьиютиьролр" localSheetId="9">#REF!</definedName>
    <definedName name="ииьиютиьролр" localSheetId="10">#REF!</definedName>
    <definedName name="ииьиютиьролр" localSheetId="5">#REF!</definedName>
    <definedName name="ииьиютиьролр" localSheetId="4">#REF!</definedName>
    <definedName name="ииьиютиьролр">#REF!</definedName>
    <definedName name="йкуа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15">#REF!</definedName>
    <definedName name="илго" localSheetId="2">#REF!</definedName>
    <definedName name="илго" localSheetId="1">#REF!</definedName>
    <definedName name="илго" localSheetId="11">#REF!</definedName>
    <definedName name="илго" localSheetId="8">#REF!</definedName>
    <definedName name="илго" localSheetId="9">#REF!</definedName>
    <definedName name="илго" localSheetId="10">#REF!</definedName>
    <definedName name="илго" localSheetId="5">#REF!</definedName>
    <definedName name="илго" localSheetId="4">#REF!</definedName>
    <definedName name="илго">#REF!</definedName>
    <definedName name="ИМТ">'[126]БСС-1'!$B$3</definedName>
    <definedName name="индекс" localSheetId="15">#REF!</definedName>
    <definedName name="индекс" localSheetId="2">#REF!</definedName>
    <definedName name="индекс" localSheetId="1">#REF!</definedName>
    <definedName name="индекс" localSheetId="11">#REF!</definedName>
    <definedName name="индекс" localSheetId="8">#REF!</definedName>
    <definedName name="индекс" localSheetId="9">#REF!</definedName>
    <definedName name="индекс" localSheetId="10">#REF!</definedName>
    <definedName name="индекс" localSheetId="5">#REF!</definedName>
    <definedName name="индекс" localSheetId="4">#REF!</definedName>
    <definedName name="индекс">#REF!</definedName>
    <definedName name="ИНДЕКСЫ_2013" localSheetId="15">#REF!</definedName>
    <definedName name="ИНДЕКСЫ_2013" localSheetId="11">#REF!</definedName>
    <definedName name="ИНДЕКСЫ_2013" localSheetId="8">#REF!</definedName>
    <definedName name="ИНДЕКСЫ_2013" localSheetId="9">#REF!</definedName>
    <definedName name="ИНДЕКСЫ_2013" localSheetId="10">#REF!</definedName>
    <definedName name="ИНДЕКСЫ_2013">#REF!</definedName>
    <definedName name="индцкавг98" localSheetId="15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15">#REF!</definedName>
    <definedName name="ип" localSheetId="2">#REF!</definedName>
    <definedName name="ип" localSheetId="1">#REF!</definedName>
    <definedName name="ип" localSheetId="11">#REF!</definedName>
    <definedName name="ип" localSheetId="8">#REF!</definedName>
    <definedName name="ип" localSheetId="9">#REF!</definedName>
    <definedName name="ип" localSheetId="10">#REF!</definedName>
    <definedName name="ип" localSheetId="5">#REF!</definedName>
    <definedName name="ип" localSheetId="4">#REF!</definedName>
    <definedName name="ип">#REF!</definedName>
    <definedName name="иролгрщр" localSheetId="15">#REF!</definedName>
    <definedName name="иролгрщр" localSheetId="11">#REF!</definedName>
    <definedName name="иролгрщр" localSheetId="8">#REF!</definedName>
    <definedName name="иролгрщр" localSheetId="9">#REF!</definedName>
    <definedName name="иролгрщр" localSheetId="10">#REF!</definedName>
    <definedName name="иролгрщр">#REF!</definedName>
    <definedName name="ИТ">'[126]БСС-1'!$B$3</definedName>
    <definedName name="йукей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5">#REF!</definedName>
    <definedName name="йуц3к" localSheetId="2">#REF!</definedName>
    <definedName name="йуц3к" localSheetId="1">#REF!</definedName>
    <definedName name="йуц3к" localSheetId="11">#REF!</definedName>
    <definedName name="йуц3к" localSheetId="8">#REF!</definedName>
    <definedName name="йуц3к" localSheetId="9">#REF!</definedName>
    <definedName name="йуц3к" localSheetId="10">#REF!</definedName>
    <definedName name="йуц3к" localSheetId="5">#REF!</definedName>
    <definedName name="йуц3к" localSheetId="4">#REF!</definedName>
    <definedName name="йуц3к">#REF!</definedName>
    <definedName name="йуцк" localSheetId="15">#REF!</definedName>
    <definedName name="йуцк" localSheetId="11">#REF!</definedName>
    <definedName name="йуцк" localSheetId="8">#REF!</definedName>
    <definedName name="йуцк" localSheetId="9">#REF!</definedName>
    <definedName name="йуцк" localSheetId="10">#REF!</definedName>
    <definedName name="йуцк">#REF!</definedName>
    <definedName name="йфц" localSheetId="15">[7]!йфц</definedName>
    <definedName name="йфц" localSheetId="11">#N/A</definedName>
    <definedName name="йфц" localSheetId="8">#N/A</definedName>
    <definedName name="йфц" localSheetId="9">#N/A</definedName>
    <definedName name="йфц">#N/A</definedName>
    <definedName name="йц" localSheetId="15">[7]!йц</definedName>
    <definedName name="йц" localSheetId="11">#N/A</definedName>
    <definedName name="йц" localSheetId="8">#N/A</definedName>
    <definedName name="йц" localSheetId="9">#N/A</definedName>
    <definedName name="йц">#N/A</definedName>
    <definedName name="йц3" localSheetId="15">#REF!</definedName>
    <definedName name="йц3" localSheetId="2">#REF!</definedName>
    <definedName name="йц3" localSheetId="1">#REF!</definedName>
    <definedName name="йц3" localSheetId="11">#REF!</definedName>
    <definedName name="йц3" localSheetId="8">#REF!</definedName>
    <definedName name="йц3" localSheetId="9">#REF!</definedName>
    <definedName name="йц3" localSheetId="10">#REF!</definedName>
    <definedName name="йц3" localSheetId="5">#REF!</definedName>
    <definedName name="йц3" localSheetId="4">#REF!</definedName>
    <definedName name="йц3">#REF!</definedName>
    <definedName name="йцй" localSheetId="15">'[142]Справочно(январь)'!#REF!</definedName>
    <definedName name="йцй" localSheetId="2">'[142]Справочно(январь)'!#REF!</definedName>
    <definedName name="йцй" localSheetId="1">'[142]Справочно(январь)'!#REF!</definedName>
    <definedName name="йцй" localSheetId="11">'[142]Справочно(январь)'!#REF!</definedName>
    <definedName name="йцй" localSheetId="8">'[142]Справочно(январь)'!#REF!</definedName>
    <definedName name="йцй" localSheetId="9">'[142]Справочно(январь)'!#REF!</definedName>
    <definedName name="йцй" localSheetId="10">'[142]Справочно(январь)'!#REF!</definedName>
    <definedName name="йцй" localSheetId="5">'[142]Справочно(январь)'!#REF!</definedName>
    <definedName name="йцй" localSheetId="4">'[142]Справочно(январь)'!#REF!</definedName>
    <definedName name="йцй">'[142]Справочно(январь)'!#REF!</definedName>
    <definedName name="йцу" localSheetId="15">#REF!</definedName>
    <definedName name="йцу" localSheetId="2">#REF!</definedName>
    <definedName name="йцу" localSheetId="1">#REF!</definedName>
    <definedName name="йцу" localSheetId="11">#REF!</definedName>
    <definedName name="йцу" localSheetId="8">#REF!</definedName>
    <definedName name="йцу" localSheetId="9">#REF!</definedName>
    <definedName name="йцу" localSheetId="10">#REF!</definedName>
    <definedName name="йцу" localSheetId="5">#REF!</definedName>
    <definedName name="йцу" localSheetId="4">#REF!</definedName>
    <definedName name="йцу">#REF!</definedName>
    <definedName name="йцуйцуй" localSheetId="15">#REF!</definedName>
    <definedName name="йцуйцуй" localSheetId="11">#REF!</definedName>
    <definedName name="йцуйцуй" localSheetId="8">#REF!</definedName>
    <definedName name="йцуйцуй" localSheetId="9">#REF!</definedName>
    <definedName name="йцуйцуй" localSheetId="10">#REF!</definedName>
    <definedName name="йцуйцуй">#REF!</definedName>
    <definedName name="йцук" localSheetId="15">#REF!</definedName>
    <definedName name="йцук" localSheetId="11">#REF!</definedName>
    <definedName name="йцук" localSheetId="8">#REF!</definedName>
    <definedName name="йцук" localSheetId="9">#REF!</definedName>
    <definedName name="йцук" localSheetId="10">#REF!</definedName>
    <definedName name="йцук">#REF!</definedName>
    <definedName name="йцукай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15">#REF!</definedName>
    <definedName name="июл" localSheetId="2">#REF!</definedName>
    <definedName name="июл" localSheetId="1">#REF!</definedName>
    <definedName name="июл" localSheetId="11">#REF!</definedName>
    <definedName name="июл" localSheetId="8">#REF!</definedName>
    <definedName name="июл" localSheetId="9">#REF!</definedName>
    <definedName name="июл" localSheetId="10">#REF!</definedName>
    <definedName name="июл" localSheetId="5">#REF!</definedName>
    <definedName name="июл" localSheetId="4">#REF!</definedName>
    <definedName name="июл">#REF!</definedName>
    <definedName name="июл2" localSheetId="15">#REF!</definedName>
    <definedName name="июл2" localSheetId="11">#REF!</definedName>
    <definedName name="июл2" localSheetId="8">#REF!</definedName>
    <definedName name="июл2" localSheetId="9">#REF!</definedName>
    <definedName name="июл2" localSheetId="10">#REF!</definedName>
    <definedName name="июл2">#REF!</definedName>
    <definedName name="июль" localSheetId="15">#REF!</definedName>
    <definedName name="июль" localSheetId="11">#REF!</definedName>
    <definedName name="июль" localSheetId="8">#REF!</definedName>
    <definedName name="июль" localSheetId="9">#REF!</definedName>
    <definedName name="июль" localSheetId="10">#REF!</definedName>
    <definedName name="июль">#REF!</definedName>
    <definedName name="июн" localSheetId="15">#REF!</definedName>
    <definedName name="июн" localSheetId="11">#REF!</definedName>
    <definedName name="июн" localSheetId="10">#REF!</definedName>
    <definedName name="июн">#REF!</definedName>
    <definedName name="июн2" localSheetId="15">#REF!</definedName>
    <definedName name="июн2" localSheetId="11">#REF!</definedName>
    <definedName name="июн2" localSheetId="10">#REF!</definedName>
    <definedName name="июн2">#REF!</definedName>
    <definedName name="июнмол" localSheetId="15">[143]Сибмол!#REF!</definedName>
    <definedName name="июнмол" localSheetId="11">[143]Сибмол!#REF!</definedName>
    <definedName name="июнмол" localSheetId="10">[143]Сибмол!#REF!</definedName>
    <definedName name="июнмол">[143]Сибмол!#REF!</definedName>
    <definedName name="июнмолоб" localSheetId="15">[143]Сибмол!#REF!</definedName>
    <definedName name="июнмолоб" localSheetId="11">[143]Сибмол!#REF!</definedName>
    <definedName name="июнмолоб" localSheetId="10">[143]Сибмол!#REF!</definedName>
    <definedName name="июнмолоб">[143]Сибмол!#REF!</definedName>
    <definedName name="июноб" localSheetId="15">[143]Сибмол!#REF!</definedName>
    <definedName name="июноб" localSheetId="11">[143]Сибмол!#REF!</definedName>
    <definedName name="июноб" localSheetId="10">[143]Сибмол!#REF!</definedName>
    <definedName name="июноб">[143]Сибмол!#REF!</definedName>
    <definedName name="июнчоб" localSheetId="15">[143]Сибмол!#REF!</definedName>
    <definedName name="июнчоб" localSheetId="11">[143]Сибмол!#REF!</definedName>
    <definedName name="июнчоб" localSheetId="10">[143]Сибмол!#REF!</definedName>
    <definedName name="июнчоб">[143]Сибмол!#REF!</definedName>
    <definedName name="июнь" localSheetId="15">#REF!</definedName>
    <definedName name="июнь" localSheetId="2">#REF!</definedName>
    <definedName name="июнь" localSheetId="1">#REF!</definedName>
    <definedName name="июнь" localSheetId="11">#REF!</definedName>
    <definedName name="июнь" localSheetId="8">#REF!</definedName>
    <definedName name="июнь" localSheetId="9">#REF!</definedName>
    <definedName name="июнь" localSheetId="10">#REF!</definedName>
    <definedName name="июнь" localSheetId="5">#REF!</definedName>
    <definedName name="июнь" localSheetId="4">#REF!</definedName>
    <definedName name="июнь">#REF!</definedName>
    <definedName name="к" localSheetId="15">#REF!</definedName>
    <definedName name="к" localSheetId="11">#REF!</definedName>
    <definedName name="к" localSheetId="8">#REF!</definedName>
    <definedName name="к" localSheetId="9">#REF!</definedName>
    <definedName name="к" localSheetId="10">#REF!</definedName>
    <definedName name="к">#REF!</definedName>
    <definedName name="К1" localSheetId="15">'[144]7'!$B$29</definedName>
    <definedName name="К1" localSheetId="2">'[145]Приложение 3'!#REF!</definedName>
    <definedName name="К1" localSheetId="1">'[145]Приложение 3'!#REF!</definedName>
    <definedName name="К1" localSheetId="11">'[145]Приложение 3'!#REF!</definedName>
    <definedName name="К1" localSheetId="8">'[145]Приложение 3'!#REF!</definedName>
    <definedName name="К1" localSheetId="9">'[145]Приложение 3'!#REF!</definedName>
    <definedName name="К1" localSheetId="10">'[145]Приложение 3'!#REF!</definedName>
    <definedName name="К1" localSheetId="5">'[145]Приложение 3'!#REF!</definedName>
    <definedName name="К1" localSheetId="4">'[145]Приложение 3'!#REF!</definedName>
    <definedName name="К1">'[145]Приложение 3'!#REF!</definedName>
    <definedName name="к2" localSheetId="15">'[144]7'!$B$30</definedName>
    <definedName name="к2" localSheetId="2">'[146]7'!#REF!</definedName>
    <definedName name="к2" localSheetId="1">'[146]7'!#REF!</definedName>
    <definedName name="к2" localSheetId="11">'[147]7'!#REF!</definedName>
    <definedName name="к2" localSheetId="8">'[147]7'!#REF!</definedName>
    <definedName name="к2" localSheetId="9">'[147]7'!#REF!</definedName>
    <definedName name="к2" localSheetId="10">'[147]7'!#REF!</definedName>
    <definedName name="к2" localSheetId="5">'[146]7'!#REF!</definedName>
    <definedName name="к2" localSheetId="4">'[146]7'!#REF!</definedName>
    <definedName name="к2">'[148]7'!#REF!</definedName>
    <definedName name="канц" localSheetId="15">'[149]ФОТ по месяцам'!#REF!</definedName>
    <definedName name="канц" localSheetId="2">'[149]ФОТ по месяцам'!#REF!</definedName>
    <definedName name="канц" localSheetId="1">'[149]ФОТ по месяцам'!#REF!</definedName>
    <definedName name="канц" localSheetId="11">'[149]ФОТ по месяцам'!#REF!</definedName>
    <definedName name="канц" localSheetId="8">'[149]ФОТ по месяцам'!#REF!</definedName>
    <definedName name="канц" localSheetId="9">'[149]ФОТ по месяцам'!#REF!</definedName>
    <definedName name="канц" localSheetId="10">'[149]ФОТ по месяцам'!#REF!</definedName>
    <definedName name="канц" localSheetId="5">'[149]ФОТ по месяцам'!#REF!</definedName>
    <definedName name="канц" localSheetId="4">'[149]ФОТ по месяцам'!#REF!</definedName>
    <definedName name="канц">'[149]ФОТ по месяцам'!#REF!</definedName>
    <definedName name="Кап_влож_08_9мес">#N/A</definedName>
    <definedName name="Категория" localSheetId="15">[150]Категории!$A$2:$A$7</definedName>
    <definedName name="Категория" localSheetId="2">[151]Категории!$A$2:$A$7</definedName>
    <definedName name="Категория" localSheetId="1">[151]Категории!$A$2:$A$7</definedName>
    <definedName name="Категория" localSheetId="5">[151]Категории!$A$2:$A$7</definedName>
    <definedName name="Категория" localSheetId="4">[151]Категории!$A$2:$A$7</definedName>
    <definedName name="Категория">[152]Категории!$A$2:$A$7</definedName>
    <definedName name="кацукцук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в3" localSheetId="15">[7]!кв3</definedName>
    <definedName name="кв3" localSheetId="11">#N/A</definedName>
    <definedName name="кв3" localSheetId="8">#N/A</definedName>
    <definedName name="кв3" localSheetId="9">#N/A</definedName>
    <definedName name="кв3">#N/A</definedName>
    <definedName name="квартал" localSheetId="15">[7]!квартал</definedName>
    <definedName name="квартал" localSheetId="11">#N/A</definedName>
    <definedName name="квартал" localSheetId="8">#N/A</definedName>
    <definedName name="квартал" localSheetId="9">#N/A</definedName>
    <definedName name="квартал">#N/A</definedName>
    <definedName name="ке" localSheetId="15">[7]!ке</definedName>
    <definedName name="ке" localSheetId="11">#N/A</definedName>
    <definedName name="ке" localSheetId="8">#N/A</definedName>
    <definedName name="ке" localSheetId="9">#N/A</definedName>
    <definedName name="ке">#N/A</definedName>
    <definedName name="кен45нк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5" hidden="1">#REF!,#REF!,#REF!,амор!P1_SCOPE_PER_PRT,амор!P2_SCOPE_PER_PRT,амор!P3_SCOPE_PER_PRT,амор!P4_SCOPE_PER_PRT</definedName>
    <definedName name="кеныргекны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кеныргекны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кеныргекны" localSheetId="7" hidden="1">#REF!,#REF!,#REF!,подконтрольные!P1_SCOPE_PER_PRT,подконтрольные!P2_SCOPE_PER_PRT,подконтрольные!P3_SCOPE_PER_PRT,подконтрольные!P4_SCOPE_PER_PRT</definedName>
    <definedName name="кеныргекны" localSheetId="11" hidden="1">#REF!,#REF!,#REF!,'прил 4 к расп'!P1_SCOPE_PER_PRT,'прил 4 к расп'!P2_SCOPE_PER_PRT,'прил 4 к расп'!P3_SCOPE_PER_PRT,'прил 4 к расп'!P4_SCOPE_PER_PRT</definedName>
    <definedName name="кеныргекны" localSheetId="8" hidden="1">#REF!,#REF!,#REF!,Прил2!P1_SCOPE_PER_PRT,Прил2!P2_SCOPE_PER_PRT,Прил2!P3_SCOPE_PER_PRT,Прил2!P4_SCOPE_PER_PRT</definedName>
    <definedName name="кеныргекны" localSheetId="9" hidden="1">#REF!,#REF!,#REF!,Прил3!P1_SCOPE_PER_PRT,Прил3!P2_SCOPE_PER_PRT,Прил3!P3_SCOPE_PER_PRT,Прил3!P4_SCOPE_PER_PRT</definedName>
    <definedName name="кеныргекны" localSheetId="10" hidden="1">#REF!,#REF!,#REF!,прил4!P1_SCOPE_PER_PRT,прил4!P2_SCOPE_PER_PRT,прил4!P3_SCOPE_PER_PRT,прил4!P4_SCOPE_PER_PRT</definedName>
    <definedName name="кеныргекны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кеныргекны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кеныргекны" hidden="1">#REF!,#REF!,#REF!,P1_SCOPE_PER_PRT,P2_SCOPE_PER_PRT,P3_SCOPE_PER_PRT,P4_SCOPE_PER_PRT</definedName>
    <definedName name="кеппппппппппп" localSheetId="15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5" hidden="1">#REF!,#REF!,#REF!,амор!P1_SCOPE_PER_PRT,амор!P2_SCOPE_PER_PRT,амор!P3_SCOPE_PER_PRT,амор!P4_SCOPE_PER_PRT</definedName>
    <definedName name="кеы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кеы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кеы" localSheetId="7" hidden="1">#REF!,#REF!,#REF!,подконтрольные!P1_SCOPE_PER_PRT,подконтрольные!P2_SCOPE_PER_PRT,подконтрольные!P3_SCOPE_PER_PRT,подконтрольные!P4_SCOPE_PER_PRT</definedName>
    <definedName name="кеы" localSheetId="11" hidden="1">#REF!,#REF!,#REF!,'прил 4 к расп'!P1_SCOPE_PER_PRT,'прил 4 к расп'!P2_SCOPE_PER_PRT,'прил 4 к расп'!P3_SCOPE_PER_PRT,'прил 4 к расп'!P4_SCOPE_PER_PRT</definedName>
    <definedName name="кеы" localSheetId="8" hidden="1">#REF!,#REF!,#REF!,Прил2!P1_SCOPE_PER_PRT,Прил2!P2_SCOPE_PER_PRT,Прил2!P3_SCOPE_PER_PRT,Прил2!P4_SCOPE_PER_PRT</definedName>
    <definedName name="кеы" localSheetId="9" hidden="1">#REF!,#REF!,#REF!,Прил3!P1_SCOPE_PER_PRT,Прил3!P2_SCOPE_PER_PRT,Прил3!P3_SCOPE_PER_PRT,Прил3!P4_SCOPE_PER_PRT</definedName>
    <definedName name="кеы" localSheetId="10" hidden="1">#REF!,#REF!,#REF!,прил4!P1_SCOPE_PER_PRT,прил4!P2_SCOPE_PER_PRT,прил4!P3_SCOPE_PER_PRT,прил4!P4_SCOPE_PER_PRT</definedName>
    <definedName name="кеы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кеы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кеы" hidden="1">#REF!,#REF!,#REF!,P1_SCOPE_PER_PRT,P2_SCOPE_PER_PRT,P3_SCOPE_PER_PRT,P4_SCOPE_PER_PRT</definedName>
    <definedName name="ккк">'[153]накладные в %% факт'!$BP$62</definedName>
    <definedName name="кн45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5">#REF!</definedName>
    <definedName name="Книга_1" localSheetId="2">#REF!</definedName>
    <definedName name="Книга_1" localSheetId="1">#REF!</definedName>
    <definedName name="Книга_1" localSheetId="11">#REF!</definedName>
    <definedName name="Книга_1" localSheetId="8">#REF!</definedName>
    <definedName name="Книга_1" localSheetId="9">#REF!</definedName>
    <definedName name="Книга_1" localSheetId="10">#REF!</definedName>
    <definedName name="Книга_1" localSheetId="5">#REF!</definedName>
    <definedName name="Книга_1" localSheetId="4">#REF!</definedName>
    <definedName name="Книга_1">#REF!</definedName>
    <definedName name="КНИГА_2" localSheetId="15">#REF!</definedName>
    <definedName name="КНИГА_2" localSheetId="11">#REF!</definedName>
    <definedName name="КНИГА_2" localSheetId="8">#REF!</definedName>
    <definedName name="КНИГА_2" localSheetId="9">#REF!</definedName>
    <definedName name="КНИГА_2" localSheetId="10">#REF!</definedName>
    <definedName name="КНИГА_2">#REF!</definedName>
    <definedName name="Книга1" localSheetId="15">#REF!</definedName>
    <definedName name="Книга1" localSheetId="11">#REF!</definedName>
    <definedName name="Книга1" localSheetId="8">#REF!</definedName>
    <definedName name="Книга1" localSheetId="9">#REF!</definedName>
    <definedName name="Книга1" localSheetId="10">#REF!</definedName>
    <definedName name="Книга1">#REF!</definedName>
    <definedName name="кнрено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5">#REF!</definedName>
    <definedName name="кол_во_штат_ед" localSheetId="2">#REF!</definedName>
    <definedName name="кол_во_штат_ед" localSheetId="1">#REF!</definedName>
    <definedName name="кол_во_штат_ед" localSheetId="11">#REF!</definedName>
    <definedName name="кол_во_штат_ед" localSheetId="8">#REF!</definedName>
    <definedName name="кол_во_штат_ед" localSheetId="9">#REF!</definedName>
    <definedName name="кол_во_штат_ед" localSheetId="10">#REF!</definedName>
    <definedName name="кол_во_штат_ед" localSheetId="5">#REF!</definedName>
    <definedName name="кол_во_штат_ед" localSheetId="4">#REF!</definedName>
    <definedName name="кол_во_штат_ед">#REF!</definedName>
    <definedName name="Конец">12</definedName>
    <definedName name="коэф1" localSheetId="15">#REF!</definedName>
    <definedName name="коэф1" localSheetId="2">#REF!</definedName>
    <definedName name="коэф1" localSheetId="1">#REF!</definedName>
    <definedName name="коэф1" localSheetId="11">#REF!</definedName>
    <definedName name="коэф1" localSheetId="8">#REF!</definedName>
    <definedName name="коэф1" localSheetId="9">#REF!</definedName>
    <definedName name="коэф1" localSheetId="10">#REF!</definedName>
    <definedName name="коэф1" localSheetId="5">#REF!</definedName>
    <definedName name="коэф1" localSheetId="4">#REF!</definedName>
    <definedName name="коэф1">#REF!</definedName>
    <definedName name="коэф2" localSheetId="15">#REF!</definedName>
    <definedName name="коэф2" localSheetId="11">#REF!</definedName>
    <definedName name="коэф2" localSheetId="8">#REF!</definedName>
    <definedName name="коэф2" localSheetId="9">#REF!</definedName>
    <definedName name="коэф2" localSheetId="10">#REF!</definedName>
    <definedName name="коэф2">#REF!</definedName>
    <definedName name="коэф3" localSheetId="15">#REF!</definedName>
    <definedName name="коэф3" localSheetId="11">#REF!</definedName>
    <definedName name="коэф3" localSheetId="8">#REF!</definedName>
    <definedName name="коэф3" localSheetId="9">#REF!</definedName>
    <definedName name="коэф3" localSheetId="10">#REF!</definedName>
    <definedName name="коэф3">#REF!</definedName>
    <definedName name="коэф4" localSheetId="15">#REF!</definedName>
    <definedName name="коэф4" localSheetId="11">#REF!</definedName>
    <definedName name="коэф4" localSheetId="10">#REF!</definedName>
    <definedName name="коэф4">#REF!</definedName>
    <definedName name="КП" localSheetId="15">#REF!</definedName>
    <definedName name="КП" localSheetId="11">#REF!</definedName>
    <definedName name="КП" localSheetId="10">#REF!</definedName>
    <definedName name="КП">#REF!</definedName>
    <definedName name="КП_февраль" localSheetId="15">#REF!</definedName>
    <definedName name="КП_февраль" localSheetId="11">#REF!</definedName>
    <definedName name="КП_февраль" localSheetId="10">#REF!</definedName>
    <definedName name="КП_февраль">#REF!</definedName>
    <definedName name="кпнрг" localSheetId="15">[7]!кпнрг</definedName>
    <definedName name="кпнрг" localSheetId="11">#N/A</definedName>
    <definedName name="кпнрг" localSheetId="8">#N/A</definedName>
    <definedName name="кпнрг" localSheetId="9">#N/A</definedName>
    <definedName name="кпнрг">#N/A</definedName>
    <definedName name="кпукпцупвы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5">#REF!</definedName>
    <definedName name="_xlnm.Criteria" localSheetId="2">#REF!</definedName>
    <definedName name="_xlnm.Criteria" localSheetId="1">#REF!</definedName>
    <definedName name="_xlnm.Criteria" localSheetId="11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5">#REF!</definedName>
    <definedName name="_xlnm.Criteria" localSheetId="4">#REF!</definedName>
    <definedName name="_xlnm.Criteria">#REF!</definedName>
    <definedName name="критерий" localSheetId="15">#REF!</definedName>
    <definedName name="критерий" localSheetId="11">#REF!</definedName>
    <definedName name="критерий" localSheetId="8">#REF!</definedName>
    <definedName name="критерий" localSheetId="9">#REF!</definedName>
    <definedName name="критерий" localSheetId="10">#REF!</definedName>
    <definedName name="критерий">#REF!</definedName>
    <definedName name="Критерии_ИМ" localSheetId="15">#REF!</definedName>
    <definedName name="Критерии_ИМ" localSheetId="11">#REF!</definedName>
    <definedName name="Критерии_ИМ" localSheetId="8">#REF!</definedName>
    <definedName name="Критерии_ИМ" localSheetId="9">#REF!</definedName>
    <definedName name="Критерии_ИМ" localSheetId="10">#REF!</definedName>
    <definedName name="Критерии_ИМ">#REF!</definedName>
    <definedName name="кс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15">#REF!</definedName>
    <definedName name="КСС" localSheetId="11">#REF!</definedName>
    <definedName name="КСС">#REF!</definedName>
    <definedName name="ктджщз" localSheetId="15">[7]!ктджщз</definedName>
    <definedName name="ктджщз" localSheetId="11">#N/A</definedName>
    <definedName name="ктджщз" localSheetId="8">#N/A</definedName>
    <definedName name="ктджщз" localSheetId="9">#N/A</definedName>
    <definedName name="ктджщз">#N/A</definedName>
    <definedName name="кунекнук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5">#REF!</definedName>
    <definedName name="курс" localSheetId="2">#REF!</definedName>
    <definedName name="курс" localSheetId="1">#REF!</definedName>
    <definedName name="курс" localSheetId="11">#REF!</definedName>
    <definedName name="курс" localSheetId="8">#REF!</definedName>
    <definedName name="курс" localSheetId="9">#REF!</definedName>
    <definedName name="курс" localSheetId="10">#REF!</definedName>
    <definedName name="курс" localSheetId="5">#REF!</definedName>
    <definedName name="курс" localSheetId="4">#REF!</definedName>
    <definedName name="курс">#REF!</definedName>
    <definedName name="курс___рубль">'[154]план ФР'!$B$2</definedName>
    <definedName name="Курс_авг">'[6]#ССЫЛКА'!$N$4</definedName>
    <definedName name="Курс_дек">'[6]#ССЫЛКА'!$AP$4</definedName>
    <definedName name="курс_долл">[155]финрез!$B$42</definedName>
    <definedName name="Курс_июл">'[6]#ССЫЛКА'!$G$4</definedName>
    <definedName name="Курс_июнь" localSheetId="15">'[6]Изменения по статьям (2001)'!#REF!</definedName>
    <definedName name="Курс_июнь" localSheetId="2">'[6]Изменения по статьям (2001)'!#REF!</definedName>
    <definedName name="Курс_июнь" localSheetId="1">'[6]Изменения по статьям (2001)'!#REF!</definedName>
    <definedName name="Курс_июнь" localSheetId="11">'[6]Изменения по статьям (2001)'!#REF!</definedName>
    <definedName name="Курс_июнь" localSheetId="8">'[6]Изменения по статьям (2001)'!#REF!</definedName>
    <definedName name="Курс_июнь" localSheetId="9">'[6]Изменения по статьям (2001)'!#REF!</definedName>
    <definedName name="Курс_июнь" localSheetId="10">'[6]Изменения по статьям (2001)'!#REF!</definedName>
    <definedName name="Курс_июнь" localSheetId="5">'[6]Изменения по статьям (2001)'!#REF!</definedName>
    <definedName name="Курс_июнь" localSheetId="4">'[6]Изменения по статьям (2001)'!#REF!</definedName>
    <definedName name="Курс_июнь">'[6]Изменения по статьям (2001)'!#REF!</definedName>
    <definedName name="Курс_ноя">'[6]#ССЫЛКА'!$AI$4</definedName>
    <definedName name="Курс_окт">'[6]#ССЫЛКА'!$AB$4</definedName>
    <definedName name="курс_рубля" localSheetId="15">'[107]СОК накладные (ТК-Бишкек)'!#REF!</definedName>
    <definedName name="курс_рубля" localSheetId="2">'[107]СОК накладные (ТК-Бишкек)'!#REF!</definedName>
    <definedName name="курс_рубля" localSheetId="1">'[107]СОК накладные (ТК-Бишкек)'!#REF!</definedName>
    <definedName name="курс_рубля" localSheetId="11">'[107]СОК накладные (ТК-Бишкек)'!#REF!</definedName>
    <definedName name="курс_рубля" localSheetId="8">'[107]СОК накладные (ТК-Бишкек)'!#REF!</definedName>
    <definedName name="курс_рубля" localSheetId="9">'[107]СОК накладные (ТК-Бишкек)'!#REF!</definedName>
    <definedName name="курс_рубля" localSheetId="10">'[107]СОК накладные (ТК-Бишкек)'!#REF!</definedName>
    <definedName name="курс_рубля" localSheetId="5">'[107]СОК накладные (ТК-Бишкек)'!#REF!</definedName>
    <definedName name="курс_рубля" localSheetId="4">'[107]СОК накладные (ТК-Бишкек)'!#REF!</definedName>
    <definedName name="курс_рубля">'[107]СОК накладные (ТК-Бишкек)'!#REF!</definedName>
    <definedName name="Курс_сент">'[6]#ССЫЛКА'!$U$4</definedName>
    <definedName name="КурсATS" localSheetId="15">#REF!</definedName>
    <definedName name="КурсATS" localSheetId="2">#REF!</definedName>
    <definedName name="КурсATS" localSheetId="1">#REF!</definedName>
    <definedName name="КурсATS" localSheetId="11">#REF!</definedName>
    <definedName name="КурсATS" localSheetId="8">#REF!</definedName>
    <definedName name="КурсATS" localSheetId="9">#REF!</definedName>
    <definedName name="КурсATS" localSheetId="10">#REF!</definedName>
    <definedName name="КурсATS" localSheetId="5">#REF!</definedName>
    <definedName name="КурсATS" localSheetId="4">#REF!</definedName>
    <definedName name="КурсATS">#REF!</definedName>
    <definedName name="КурсDM" localSheetId="15">#REF!</definedName>
    <definedName name="КурсDM" localSheetId="11">#REF!</definedName>
    <definedName name="КурсDM" localSheetId="8">#REF!</definedName>
    <definedName name="КурсDM" localSheetId="9">#REF!</definedName>
    <definedName name="КурсDM" localSheetId="10">#REF!</definedName>
    <definedName name="КурсDM">#REF!</definedName>
    <definedName name="КурсFM" localSheetId="15">#REF!</definedName>
    <definedName name="КурсFM" localSheetId="11">#REF!</definedName>
    <definedName name="КурсFM" localSheetId="8">#REF!</definedName>
    <definedName name="КурсFM" localSheetId="9">#REF!</definedName>
    <definedName name="КурсFM" localSheetId="10">#REF!</definedName>
    <definedName name="КурсFM">#REF!</definedName>
    <definedName name="КурсFM1" localSheetId="15">#REF!</definedName>
    <definedName name="КурсFM1" localSheetId="11">#REF!</definedName>
    <definedName name="КурсFM1" localSheetId="10">#REF!</definedName>
    <definedName name="КурсFM1">#REF!</definedName>
    <definedName name="КурсUSD" localSheetId="15">#REF!</definedName>
    <definedName name="КурсUSD" localSheetId="11">#REF!</definedName>
    <definedName name="КурсUSD" localSheetId="10">#REF!</definedName>
    <definedName name="КурсUSD">#REF!</definedName>
    <definedName name="кцкенц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5">#REF!</definedName>
    <definedName name="л" localSheetId="2">#REF!</definedName>
    <definedName name="л" localSheetId="1">#REF!</definedName>
    <definedName name="л" localSheetId="11">#REF!</definedName>
    <definedName name="л" localSheetId="8">#REF!</definedName>
    <definedName name="л" localSheetId="9">#REF!</definedName>
    <definedName name="л" localSheetId="10">#REF!</definedName>
    <definedName name="л" localSheetId="5">#REF!</definedName>
    <definedName name="л" localSheetId="4">#REF!</definedName>
    <definedName name="л">#REF!</definedName>
    <definedName name="л4602_авг" localSheetId="15">#REF!</definedName>
    <definedName name="л4602_авг" localSheetId="11">#REF!</definedName>
    <definedName name="л4602_авг" localSheetId="8">#REF!</definedName>
    <definedName name="л4602_авг" localSheetId="9">#REF!</definedName>
    <definedName name="л4602_авг" localSheetId="10">#REF!</definedName>
    <definedName name="л4602_авг">#REF!</definedName>
    <definedName name="л460202" localSheetId="15">#REF!</definedName>
    <definedName name="л460202" localSheetId="11">#REF!</definedName>
    <definedName name="л460202" localSheetId="8">#REF!</definedName>
    <definedName name="л460202" localSheetId="9">#REF!</definedName>
    <definedName name="л460202" localSheetId="10">#REF!</definedName>
    <definedName name="л460202">#REF!</definedName>
    <definedName name="л460203" localSheetId="15">#REF!</definedName>
    <definedName name="л460203" localSheetId="11">#REF!</definedName>
    <definedName name="л460203" localSheetId="10">#REF!</definedName>
    <definedName name="л460203">#REF!</definedName>
    <definedName name="л460204" localSheetId="15">#REF!</definedName>
    <definedName name="л460204" localSheetId="11">#REF!</definedName>
    <definedName name="л460204" localSheetId="10">#REF!</definedName>
    <definedName name="л460204">#REF!</definedName>
    <definedName name="л460205" localSheetId="15">#REF!</definedName>
    <definedName name="л460205" localSheetId="11">#REF!</definedName>
    <definedName name="л460205" localSheetId="10">#REF!</definedName>
    <definedName name="л460205">#REF!</definedName>
    <definedName name="л460302" localSheetId="15">#REF!</definedName>
    <definedName name="л460302" localSheetId="11">#REF!</definedName>
    <definedName name="л460302" localSheetId="10">#REF!</definedName>
    <definedName name="л460302">#REF!</definedName>
    <definedName name="л460305" localSheetId="15">#REF!</definedName>
    <definedName name="л460305" localSheetId="11">#REF!</definedName>
    <definedName name="л460305" localSheetId="10">#REF!</definedName>
    <definedName name="л460305">#REF!</definedName>
    <definedName name="л4604_авг" localSheetId="15">[21]УФА!#REF!</definedName>
    <definedName name="л4604_авг" localSheetId="11">[21]УФА!#REF!</definedName>
    <definedName name="л4604_авг" localSheetId="8">[21]УФА!#REF!</definedName>
    <definedName name="л4604_авг" localSheetId="9">[21]УФА!#REF!</definedName>
    <definedName name="л4604_авг" localSheetId="10">[21]УФА!#REF!</definedName>
    <definedName name="л4604_авг">[21]УФА!#REF!</definedName>
    <definedName name="л460401" localSheetId="15">#REF!</definedName>
    <definedName name="л460401" localSheetId="2">#REF!</definedName>
    <definedName name="л460401" localSheetId="1">#REF!</definedName>
    <definedName name="л460401" localSheetId="11">#REF!</definedName>
    <definedName name="л460401" localSheetId="8">#REF!</definedName>
    <definedName name="л460401" localSheetId="9">#REF!</definedName>
    <definedName name="л460401" localSheetId="10">#REF!</definedName>
    <definedName name="л460401" localSheetId="5">#REF!</definedName>
    <definedName name="л460401" localSheetId="4">#REF!</definedName>
    <definedName name="л460401">#REF!</definedName>
    <definedName name="л460402" localSheetId="15">#REF!</definedName>
    <definedName name="л460402" localSheetId="11">#REF!</definedName>
    <definedName name="л460402" localSheetId="8">#REF!</definedName>
    <definedName name="л460402" localSheetId="9">#REF!</definedName>
    <definedName name="л460402" localSheetId="10">#REF!</definedName>
    <definedName name="л460402">#REF!</definedName>
    <definedName name="л460404" localSheetId="15">#REF!</definedName>
    <definedName name="л460404" localSheetId="11">#REF!</definedName>
    <definedName name="л460404" localSheetId="8">#REF!</definedName>
    <definedName name="л460404" localSheetId="9">#REF!</definedName>
    <definedName name="л460404" localSheetId="10">#REF!</definedName>
    <definedName name="л460404">#REF!</definedName>
    <definedName name="л460405" localSheetId="15">#REF!</definedName>
    <definedName name="л460405" localSheetId="11">#REF!</definedName>
    <definedName name="л460405" localSheetId="10">#REF!</definedName>
    <definedName name="л460405">#REF!</definedName>
    <definedName name="л7" localSheetId="15">[143]Сибмол!#REF!</definedName>
    <definedName name="л7" localSheetId="11">[143]Сибмол!#REF!</definedName>
    <definedName name="л7" localSheetId="10">[143]Сибмол!#REF!</definedName>
    <definedName name="л7">[143]Сибмол!#REF!</definedName>
    <definedName name="л8" localSheetId="15">[143]Сибмол!#REF!</definedName>
    <definedName name="л8" localSheetId="11">[143]Сибмол!#REF!</definedName>
    <definedName name="л8" localSheetId="10">[143]Сибмол!#REF!</definedName>
    <definedName name="л8">[143]Сибмол!#REF!</definedName>
    <definedName name="лара" localSheetId="15">[7]!лара</definedName>
    <definedName name="лара" localSheetId="11">#N/A</definedName>
    <definedName name="лара" localSheetId="8">#N/A</definedName>
    <definedName name="лара" localSheetId="9">#N/A</definedName>
    <definedName name="лара">#N/A</definedName>
    <definedName name="лджэ.зд" localSheetId="15">#REF!</definedName>
    <definedName name="лджэ.зд" localSheetId="2">#REF!</definedName>
    <definedName name="лджэ.зд" localSheetId="1">#REF!</definedName>
    <definedName name="лджэ.зд" localSheetId="11">#REF!</definedName>
    <definedName name="лджэ.зд" localSheetId="8">#REF!</definedName>
    <definedName name="лджэ.зд" localSheetId="9">#REF!</definedName>
    <definedName name="лджэ.зд" localSheetId="10">#REF!</definedName>
    <definedName name="лджэ.зд" localSheetId="5">#REF!</definedName>
    <definedName name="лджэ.зд" localSheetId="4">#REF!</definedName>
    <definedName name="лджэ.зд">#REF!</definedName>
    <definedName name="лена" localSheetId="15">[7]!лена</definedName>
    <definedName name="лена" localSheetId="11">#N/A</definedName>
    <definedName name="лена" localSheetId="8">#N/A</definedName>
    <definedName name="лена" localSheetId="9">#N/A</definedName>
    <definedName name="лена">#N/A</definedName>
    <definedName name="лз" localSheetId="15">#REF!</definedName>
    <definedName name="лз" localSheetId="2">#REF!</definedName>
    <definedName name="лз" localSheetId="1">#REF!</definedName>
    <definedName name="лз" localSheetId="11">#REF!</definedName>
    <definedName name="лз" localSheetId="8">#REF!</definedName>
    <definedName name="лз" localSheetId="9">#REF!</definedName>
    <definedName name="лз" localSheetId="10">#REF!</definedName>
    <definedName name="лз" localSheetId="5">#REF!</definedName>
    <definedName name="лз" localSheetId="4">#REF!</definedName>
    <definedName name="лз">#REF!</definedName>
    <definedName name="лимит" localSheetId="15" hidden="1">{#N/A,#N/A,FALSE,"Себестоимсть-97"}</definedName>
    <definedName name="лимит" localSheetId="2" hidden="1">{#N/A,#N/A,FALSE,"Себестоимсть-97"}</definedName>
    <definedName name="лимит" localSheetId="1" hidden="1">{#N/A,#N/A,FALSE,"Себестоимсть-97"}</definedName>
    <definedName name="лимит" localSheetId="11" hidden="1">{#N/A,#N/A,FALSE,"Себестоимсть-97"}</definedName>
    <definedName name="лимит" localSheetId="8" hidden="1">{#N/A,#N/A,FALSE,"Себестоимсть-97"}</definedName>
    <definedName name="лимит" localSheetId="9" hidden="1">{#N/A,#N/A,FALSE,"Себестоимсть-97"}</definedName>
    <definedName name="лимит" localSheetId="10" hidden="1">{#N/A,#N/A,FALSE,"Себестоимсть-97"}</definedName>
    <definedName name="лимит" localSheetId="5" hidden="1">{#N/A,#N/A,FALSE,"Себестоимсть-97"}</definedName>
    <definedName name="лимит" localSheetId="4" hidden="1">{#N/A,#N/A,FALSE,"Себестоимсть-97"}</definedName>
    <definedName name="лимит" hidden="1">{#N/A,#N/A,FALSE,"Себестоимсть-97"}</definedName>
    <definedName name="лимит1" localSheetId="15" hidden="1">{#N/A,#N/A,FALSE,"Себестоимсть-97"}</definedName>
    <definedName name="лимит1" localSheetId="2" hidden="1">{#N/A,#N/A,FALSE,"Себестоимсть-97"}</definedName>
    <definedName name="лимит1" localSheetId="1" hidden="1">{#N/A,#N/A,FALSE,"Себестоимсть-97"}</definedName>
    <definedName name="лимит1" localSheetId="11" hidden="1">{#N/A,#N/A,FALSE,"Себестоимсть-97"}</definedName>
    <definedName name="лимит1" localSheetId="8" hidden="1">{#N/A,#N/A,FALSE,"Себестоимсть-97"}</definedName>
    <definedName name="лимит1" localSheetId="9" hidden="1">{#N/A,#N/A,FALSE,"Себестоимсть-97"}</definedName>
    <definedName name="лимит1" localSheetId="10" hidden="1">{#N/A,#N/A,FALSE,"Себестоимсть-97"}</definedName>
    <definedName name="лимит1" localSheetId="5" hidden="1">{#N/A,#N/A,FALSE,"Себестоимсть-97"}</definedName>
    <definedName name="лимит1" localSheetId="4" hidden="1">{#N/A,#N/A,FALSE,"Себестоимсть-97"}</definedName>
    <definedName name="лимит1" hidden="1">{#N/A,#N/A,FALSE,"Себестоимсть-97"}</definedName>
    <definedName name="лист1" localSheetId="15">#REF!</definedName>
    <definedName name="лист1" localSheetId="2">#REF!</definedName>
    <definedName name="лист1" localSheetId="1">#REF!</definedName>
    <definedName name="лист1" localSheetId="11">#REF!</definedName>
    <definedName name="лист1" localSheetId="8">#REF!</definedName>
    <definedName name="лист1" localSheetId="9">#REF!</definedName>
    <definedName name="лист1" localSheetId="10">#REF!</definedName>
    <definedName name="лист1" localSheetId="5">#REF!</definedName>
    <definedName name="лист1" localSheetId="4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 localSheetId="15">#REF!</definedName>
    <definedName name="Лист2" localSheetId="11">#REF!</definedName>
    <definedName name="Лист2">#REF!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460105" localSheetId="15">#REF!</definedName>
    <definedName name="лист460105" localSheetId="2">#REF!</definedName>
    <definedName name="лист460105" localSheetId="1">#REF!</definedName>
    <definedName name="лист460105" localSheetId="11">#REF!</definedName>
    <definedName name="лист460105" localSheetId="8">#REF!</definedName>
    <definedName name="лист460105" localSheetId="9">#REF!</definedName>
    <definedName name="лист460105" localSheetId="10">#REF!</definedName>
    <definedName name="лист460105" localSheetId="5">#REF!</definedName>
    <definedName name="лист460105" localSheetId="4">#REF!</definedName>
    <definedName name="лист460105">#REF!</definedName>
    <definedName name="лист460201" localSheetId="15">#REF!</definedName>
    <definedName name="лист460201" localSheetId="11">#REF!</definedName>
    <definedName name="лист460201" localSheetId="8">#REF!</definedName>
    <definedName name="лист460201" localSheetId="9">#REF!</definedName>
    <definedName name="лист460201" localSheetId="1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15">[156]АНАЛИТ!$B$2:$B$87,[156]АНАЛИТ!#REF!,[156]АНАЛИТ!#REF!,[156]АНАЛИТ!$AB$2</definedName>
    <definedName name="лл" localSheetId="2">[156]АНАЛИТ!$B$2:$B$87,[156]АНАЛИТ!#REF!,[156]АНАЛИТ!#REF!,[156]АНАЛИТ!$AB$2</definedName>
    <definedName name="лл" localSheetId="1">[156]АНАЛИТ!$B$2:$B$87,[156]АНАЛИТ!#REF!,[156]АНАЛИТ!#REF!,[156]АНАЛИТ!$AB$2</definedName>
    <definedName name="лл" localSheetId="11">[156]АНАЛИТ!$B$2:$B$87,[156]АНАЛИТ!#REF!,[156]АНАЛИТ!#REF!,[156]АНАЛИТ!$AB$2</definedName>
    <definedName name="лл" localSheetId="8">[156]АНАЛИТ!$B$2:$B$87,[156]АНАЛИТ!#REF!,[156]АНАЛИТ!#REF!,[156]АНАЛИТ!$AB$2</definedName>
    <definedName name="лл" localSheetId="9">[156]АНАЛИТ!$B$2:$B$87,[156]АНАЛИТ!#REF!,[156]АНАЛИТ!#REF!,[156]АНАЛИТ!$AB$2</definedName>
    <definedName name="лл" localSheetId="10">[156]АНАЛИТ!$B$2:$B$87,[156]АНАЛИТ!#REF!,[156]АНАЛИТ!#REF!,[156]АНАЛИТ!$AB$2</definedName>
    <definedName name="лл" localSheetId="5">[156]АНАЛИТ!$B$2:$B$87,[156]АНАЛИТ!#REF!,[156]АНАЛИТ!#REF!,[156]АНАЛИТ!$AB$2</definedName>
    <definedName name="лл" localSheetId="4">[156]АНАЛИТ!$B$2:$B$87,[156]АНАЛИТ!#REF!,[156]АНАЛИТ!#REF!,[156]АНАЛИТ!$AB$2</definedName>
    <definedName name="лл">[156]АНАЛИТ!$B$2:$B$87,[156]АНАЛИТ!#REF!,[156]АНАЛИТ!#REF!,[156]АНАЛИТ!$AB$2</definedName>
    <definedName name="ллл" localSheetId="15">#REF!</definedName>
    <definedName name="ллл" localSheetId="2">#REF!</definedName>
    <definedName name="ллл" localSheetId="1">#REF!</definedName>
    <definedName name="ллл" localSheetId="11">#REF!</definedName>
    <definedName name="ллл" localSheetId="8">#REF!</definedName>
    <definedName name="ллл" localSheetId="9">#REF!</definedName>
    <definedName name="ллл" localSheetId="10">#REF!</definedName>
    <definedName name="ллл" localSheetId="5">#REF!</definedName>
    <definedName name="ллл" localSheetId="4">#REF!</definedName>
    <definedName name="ллл">#REF!</definedName>
    <definedName name="ло" localSheetId="15">[7]!ло</definedName>
    <definedName name="ло" localSheetId="11">#N/A</definedName>
    <definedName name="ло" localSheetId="8">#N/A</definedName>
    <definedName name="ло" localSheetId="9">#N/A</definedName>
    <definedName name="ло">#N/A</definedName>
    <definedName name="лод" localSheetId="15">[7]!лод</definedName>
    <definedName name="лод" localSheetId="11">#N/A</definedName>
    <definedName name="лод" localSheetId="8">#N/A</definedName>
    <definedName name="лод" localSheetId="9">#N/A</definedName>
    <definedName name="лод">#N/A</definedName>
    <definedName name="лор" localSheetId="15">[7]!лор</definedName>
    <definedName name="лор" localSheetId="11">#N/A</definedName>
    <definedName name="лор" localSheetId="8">#N/A</definedName>
    <definedName name="лор" localSheetId="9">#N/A</definedName>
    <definedName name="лор">#N/A</definedName>
    <definedName name="ЛПК" localSheetId="15">#REF!</definedName>
    <definedName name="ЛПК" localSheetId="11">#REF!</definedName>
    <definedName name="ЛПК">#REF!</definedName>
    <definedName name="лрпп" localSheetId="15">#REF!</definedName>
    <definedName name="лрпп" localSheetId="11">#REF!</definedName>
    <definedName name="лрпп" localSheetId="8">#REF!</definedName>
    <definedName name="лрпп" localSheetId="9">#REF!</definedName>
    <definedName name="лрпп" localSheetId="10">#REF!</definedName>
    <definedName name="лрпп">#REF!</definedName>
    <definedName name="лщжо" localSheetId="15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localSheetId="11" hidden="1">{#N/A,#N/A,TRUE,"Лист1";#N/A,#N/A,TRUE,"Лист2";#N/A,#N/A,TRUE,"Лист3"}</definedName>
    <definedName name="лщжо" localSheetId="8" hidden="1">{#N/A,#N/A,TRUE,"Лист1";#N/A,#N/A,TRUE,"Лист2";#N/A,#N/A,TRUE,"Лист3"}</definedName>
    <definedName name="лщжо" localSheetId="9" hidden="1">{#N/A,#N/A,TRUE,"Лист1";#N/A,#N/A,TRUE,"Лист2";#N/A,#N/A,TRUE,"Лист3"}</definedName>
    <definedName name="лщжо" localSheetId="10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localSheetId="4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15">#REF!</definedName>
    <definedName name="м" localSheetId="2">#REF!</definedName>
    <definedName name="м" localSheetId="1">#REF!</definedName>
    <definedName name="м" localSheetId="11">#REF!</definedName>
    <definedName name="м" localSheetId="8">#REF!</definedName>
    <definedName name="м" localSheetId="9">#REF!</definedName>
    <definedName name="м" localSheetId="10">#REF!</definedName>
    <definedName name="м" localSheetId="5">#REF!</definedName>
    <definedName name="м" localSheetId="4">#REF!</definedName>
    <definedName name="м">#REF!</definedName>
    <definedName name="М1" localSheetId="15">[157]ПРОГНОЗ_1!#REF!</definedName>
    <definedName name="М1" localSheetId="2">[157]ПРОГНОЗ_1!#REF!</definedName>
    <definedName name="М1" localSheetId="1">[157]ПРОГНОЗ_1!#REF!</definedName>
    <definedName name="М1" localSheetId="11">[157]ПРОГНОЗ_1!#REF!</definedName>
    <definedName name="М1" localSheetId="8">[157]ПРОГНОЗ_1!#REF!</definedName>
    <definedName name="М1" localSheetId="9">[157]ПРОГНОЗ_1!#REF!</definedName>
    <definedName name="М1" localSheetId="10">[157]ПРОГНОЗ_1!#REF!</definedName>
    <definedName name="М1" localSheetId="5">[157]ПРОГНОЗ_1!#REF!</definedName>
    <definedName name="М1" localSheetId="4">[157]ПРОГНОЗ_1!#REF!</definedName>
    <definedName name="М1">[157]ПРОГНОЗ_1!#REF!</definedName>
    <definedName name="Магазины_новые">'[158]Справочник подразделений_нов '!$C$5:$C$45</definedName>
    <definedName name="май" localSheetId="15">#REF!</definedName>
    <definedName name="май" localSheetId="2">#REF!</definedName>
    <definedName name="май" localSheetId="1">#REF!</definedName>
    <definedName name="май" localSheetId="11">#REF!</definedName>
    <definedName name="май" localSheetId="8">#REF!</definedName>
    <definedName name="май" localSheetId="9">#REF!</definedName>
    <definedName name="май" localSheetId="10">#REF!</definedName>
    <definedName name="май" localSheetId="5">#REF!</definedName>
    <definedName name="май" localSheetId="4">#REF!</definedName>
    <definedName name="май">#REF!</definedName>
    <definedName name="май2" localSheetId="15">#REF!</definedName>
    <definedName name="май2" localSheetId="11">#REF!</definedName>
    <definedName name="май2" localSheetId="8">#REF!</definedName>
    <definedName name="май2" localSheetId="9">#REF!</definedName>
    <definedName name="май2" localSheetId="10">#REF!</definedName>
    <definedName name="май2">#REF!</definedName>
    <definedName name="мам" localSheetId="15">[7]!мам</definedName>
    <definedName name="мам" localSheetId="11">#N/A</definedName>
    <definedName name="мам" localSheetId="8">#N/A</definedName>
    <definedName name="мам" localSheetId="9">#N/A</definedName>
    <definedName name="мам">#N/A</definedName>
    <definedName name="мар" localSheetId="15">#REF!</definedName>
    <definedName name="мар" localSheetId="2">#REF!</definedName>
    <definedName name="мар" localSheetId="1">#REF!</definedName>
    <definedName name="мар" localSheetId="11">#REF!</definedName>
    <definedName name="мар" localSheetId="8">#REF!</definedName>
    <definedName name="мар" localSheetId="9">#REF!</definedName>
    <definedName name="мар" localSheetId="10">#REF!</definedName>
    <definedName name="мар" localSheetId="5">#REF!</definedName>
    <definedName name="мар" localSheetId="4">#REF!</definedName>
    <definedName name="мар">#REF!</definedName>
    <definedName name="мар2" localSheetId="15">#REF!</definedName>
    <definedName name="мар2" localSheetId="11">#REF!</definedName>
    <definedName name="мар2" localSheetId="8">#REF!</definedName>
    <definedName name="мар2" localSheetId="9">#REF!</definedName>
    <definedName name="мар2" localSheetId="10">#REF!</definedName>
    <definedName name="мар2">#REF!</definedName>
    <definedName name="Материалы" localSheetId="15">#REF!</definedName>
    <definedName name="Материалы" localSheetId="11">#REF!</definedName>
    <definedName name="Материалы">#REF!</definedName>
    <definedName name="МатериалыДВП" localSheetId="15">#REF!</definedName>
    <definedName name="МатериалыДВП" localSheetId="11">#REF!</definedName>
    <definedName name="МатериалыДВП">#REF!</definedName>
    <definedName name="Месяц" localSheetId="15">[47]TSheet!$J$2:$J$13</definedName>
    <definedName name="Месяц" localSheetId="2">[48]TSheet!$J$2:$J$13</definedName>
    <definedName name="Месяц" localSheetId="1">[48]TSheet!$J$2:$J$13</definedName>
    <definedName name="Месяц" localSheetId="11">[49]TSheet!$J$2:$J$13</definedName>
    <definedName name="Месяц" localSheetId="8">[49]TSheet!$J$2:$J$13</definedName>
    <definedName name="Месяц" localSheetId="9">[49]TSheet!$J$2:$J$13</definedName>
    <definedName name="Месяц" localSheetId="10">[50]TSheet!$J$2:$J$13</definedName>
    <definedName name="Месяц" localSheetId="5">[48]TSheet!$J$2:$J$13</definedName>
    <definedName name="Месяц" localSheetId="4">[48]TSheet!$J$2:$J$13</definedName>
    <definedName name="Месяц">[51]TSheet!$J$2:$J$13</definedName>
    <definedName name="метод_расчета">[134]доп.!$B$1:$B$5</definedName>
    <definedName name="мимиь" localSheetId="15">#REF!</definedName>
    <definedName name="мимиь" localSheetId="2">#REF!</definedName>
    <definedName name="мимиь" localSheetId="1">#REF!</definedName>
    <definedName name="мимиь" localSheetId="11">#REF!</definedName>
    <definedName name="мимиь" localSheetId="8">#REF!</definedName>
    <definedName name="мимиь" localSheetId="9">#REF!</definedName>
    <definedName name="мимиь" localSheetId="10">#REF!</definedName>
    <definedName name="мимиь" localSheetId="5">#REF!</definedName>
    <definedName name="мимиь" localSheetId="4">#REF!</definedName>
    <definedName name="мимиь">#REF!</definedName>
    <definedName name="мирдт" localSheetId="15">#REF!</definedName>
    <definedName name="мирдт" localSheetId="11">#REF!</definedName>
    <definedName name="мирдт" localSheetId="8">#REF!</definedName>
    <definedName name="мирдт" localSheetId="9">#REF!</definedName>
    <definedName name="мирдт" localSheetId="10">#REF!</definedName>
    <definedName name="мирдт">#REF!</definedName>
    <definedName name="митолп" localSheetId="15">#REF!</definedName>
    <definedName name="митолп" localSheetId="11">#REF!</definedName>
    <definedName name="митолп" localSheetId="8">#REF!</definedName>
    <definedName name="митолп" localSheetId="9">#REF!</definedName>
    <definedName name="митолп" localSheetId="10">#REF!</definedName>
    <definedName name="митолп">#REF!</definedName>
    <definedName name="Модель2" localSheetId="15">#REF!</definedName>
    <definedName name="Модель2" localSheetId="11">#REF!</definedName>
    <definedName name="Модель2" localSheetId="10">#REF!</definedName>
    <definedName name="Модель2">#REF!</definedName>
    <definedName name="молиюн" localSheetId="15">[143]Сибмол!#REF!</definedName>
    <definedName name="молиюн" localSheetId="11">[143]Сибмол!#REF!</definedName>
    <definedName name="молиюн" localSheetId="8">[143]Сибмол!#REF!</definedName>
    <definedName name="молиюн" localSheetId="9">[143]Сибмол!#REF!</definedName>
    <definedName name="молиюн" localSheetId="10">[143]Сибмол!#REF!</definedName>
    <definedName name="молиюн">[143]Сибмол!#REF!</definedName>
    <definedName name="мом" localSheetId="15">#REF!</definedName>
    <definedName name="мом" localSheetId="2">#REF!</definedName>
    <definedName name="мом" localSheetId="1">#REF!</definedName>
    <definedName name="мом" localSheetId="11">#REF!</definedName>
    <definedName name="мом" localSheetId="8">#REF!</definedName>
    <definedName name="мом" localSheetId="9">#REF!</definedName>
    <definedName name="мом" localSheetId="10">#REF!</definedName>
    <definedName name="мом" localSheetId="5">#REF!</definedName>
    <definedName name="мом" localSheetId="4">#REF!</definedName>
    <definedName name="мом">#REF!</definedName>
    <definedName name="Мониторинг1" localSheetId="15">'[159]Гр5(о)'!#REF!</definedName>
    <definedName name="Мониторинг1" localSheetId="2">'[160]Гр5(о)'!#REF!</definedName>
    <definedName name="Мониторинг1" localSheetId="1">'[160]Гр5(о)'!#REF!</definedName>
    <definedName name="Мониторинг1" localSheetId="11">'[159]Гр5(о)'!#REF!</definedName>
    <definedName name="Мониторинг1" localSheetId="8">'[159]Гр5(о)'!#REF!</definedName>
    <definedName name="Мониторинг1" localSheetId="9">'[159]Гр5(о)'!#REF!</definedName>
    <definedName name="Мониторинг1" localSheetId="10">'[161]Гр5(о)'!#REF!</definedName>
    <definedName name="Мониторинг1" localSheetId="5">'[160]Гр5(о)'!#REF!</definedName>
    <definedName name="Мониторинг1" localSheetId="4">'[160]Гр5(о)'!#REF!</definedName>
    <definedName name="Мониторинг1">'[162]Гр5(о)'!#REF!</definedName>
    <definedName name="мопоморл" localSheetId="15">#REF!</definedName>
    <definedName name="мопоморл" localSheetId="2">#REF!</definedName>
    <definedName name="мопоморл" localSheetId="1">#REF!</definedName>
    <definedName name="мопоморл" localSheetId="11">#REF!</definedName>
    <definedName name="мопоморл" localSheetId="8">#REF!</definedName>
    <definedName name="мопоморл" localSheetId="9">#REF!</definedName>
    <definedName name="мопоморл" localSheetId="10">#REF!</definedName>
    <definedName name="мопоморл" localSheetId="5">#REF!</definedName>
    <definedName name="мопоморл" localSheetId="4">#REF!</definedName>
    <definedName name="мопоморл">#REF!</definedName>
    <definedName name="мр" localSheetId="15" hidden="1">{"Товар.выработка без продаж",#N/A,FALSE,"товар"}</definedName>
    <definedName name="мр" localSheetId="2" hidden="1">{"Товар.выработка без продаж",#N/A,FALSE,"товар"}</definedName>
    <definedName name="мр" localSheetId="1" hidden="1">{"Товар.выработка без продаж",#N/A,FALSE,"товар"}</definedName>
    <definedName name="мр" localSheetId="7" hidden="1">{"Товар.выработка без продаж",#N/A,FALSE,"товар"}</definedName>
    <definedName name="мр" localSheetId="11" hidden="1">{"Товар.выработка без продаж",#N/A,FALSE,"товар"}</definedName>
    <definedName name="мр" localSheetId="8" hidden="1">{"Товар.выработка без продаж",#N/A,FALSE,"товар"}</definedName>
    <definedName name="мр" localSheetId="9" hidden="1">{"Товар.выработка без продаж",#N/A,FALSE,"товар"}</definedName>
    <definedName name="мр" localSheetId="10" hidden="1">{"Товар.выработка без продаж",#N/A,FALSE,"товар"}</definedName>
    <definedName name="мр" localSheetId="5" hidden="1">{"Товар.выработка без продаж",#N/A,FALSE,"товар"}</definedName>
    <definedName name="мр" localSheetId="4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15">#REF!</definedName>
    <definedName name="мрпаадлд" localSheetId="2">#REF!</definedName>
    <definedName name="мрпаадлд" localSheetId="1">#REF!</definedName>
    <definedName name="мрпаадлд" localSheetId="11">#REF!</definedName>
    <definedName name="мрпаадлд" localSheetId="8">#REF!</definedName>
    <definedName name="мрпаадлд" localSheetId="9">#REF!</definedName>
    <definedName name="мрпаадлд" localSheetId="10">#REF!</definedName>
    <definedName name="мрпаадлд" localSheetId="5">#REF!</definedName>
    <definedName name="мрпаадлд" localSheetId="4">#REF!</definedName>
    <definedName name="мрпаадлд">#REF!</definedName>
    <definedName name="мтбтдщооь" localSheetId="15">#REF!</definedName>
    <definedName name="мтбтдщооь" localSheetId="11">#REF!</definedName>
    <definedName name="мтбтдщооь" localSheetId="8">#REF!</definedName>
    <definedName name="мтбтдщооь" localSheetId="9">#REF!</definedName>
    <definedName name="мтбтдщооь" localSheetId="10">#REF!</definedName>
    <definedName name="мтбтдщооь">#REF!</definedName>
    <definedName name="мфзп_итог" localSheetId="15">#REF!</definedName>
    <definedName name="мфзп_итог" localSheetId="11">#REF!</definedName>
    <definedName name="мфзп_итог" localSheetId="8">#REF!</definedName>
    <definedName name="мфзп_итог" localSheetId="9">#REF!</definedName>
    <definedName name="мфзп_итог" localSheetId="10">#REF!</definedName>
    <definedName name="мфзп_итог">#REF!</definedName>
    <definedName name="мым" localSheetId="15">[7]!мым</definedName>
    <definedName name="мым" localSheetId="11">#N/A</definedName>
    <definedName name="мым" localSheetId="8">#N/A</definedName>
    <definedName name="мым" localSheetId="9">#N/A</definedName>
    <definedName name="мым">#N/A</definedName>
    <definedName name="н" localSheetId="15">#REF!</definedName>
    <definedName name="н" localSheetId="2">#REF!</definedName>
    <definedName name="н" localSheetId="1">#REF!</definedName>
    <definedName name="н" localSheetId="11">#REF!</definedName>
    <definedName name="н" localSheetId="8">#REF!</definedName>
    <definedName name="н" localSheetId="9">#REF!</definedName>
    <definedName name="н" localSheetId="10">#REF!</definedName>
    <definedName name="н" localSheetId="5">#REF!</definedName>
    <definedName name="н" localSheetId="4">#REF!</definedName>
    <definedName name="н">#REF!</definedName>
    <definedName name="н4кенкен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им_орг" localSheetId="15">#REF!</definedName>
    <definedName name="наим_орг" localSheetId="2">#REF!</definedName>
    <definedName name="наим_орг" localSheetId="1">#REF!</definedName>
    <definedName name="наим_орг" localSheetId="11">#REF!</definedName>
    <definedName name="наим_орг" localSheetId="8">#REF!</definedName>
    <definedName name="наим_орг" localSheetId="9">#REF!</definedName>
    <definedName name="наим_орг" localSheetId="10">#REF!</definedName>
    <definedName name="наим_орг" localSheetId="5">#REF!</definedName>
    <definedName name="наим_орг" localSheetId="4">#REF!</definedName>
    <definedName name="наим_орг">#REF!</definedName>
    <definedName name="налоги" localSheetId="15">#REF!</definedName>
    <definedName name="налоги" localSheetId="11">#REF!</definedName>
    <definedName name="налоги" localSheetId="8">#REF!</definedName>
    <definedName name="налоги" localSheetId="9">#REF!</definedName>
    <definedName name="налоги" localSheetId="10">#REF!</definedName>
    <definedName name="налоги">#REF!</definedName>
    <definedName name="Направление_затрат" localSheetId="15">#REF!</definedName>
    <definedName name="Направление_затрат" localSheetId="11">#REF!</definedName>
    <definedName name="Направление_затрат" localSheetId="8">#REF!</definedName>
    <definedName name="Направление_затрат" localSheetId="9">#REF!</definedName>
    <definedName name="Направление_затрат" localSheetId="10">#REF!</definedName>
    <definedName name="Направление_затрат">#REF!</definedName>
    <definedName name="ната" localSheetId="15">#REF!</definedName>
    <definedName name="ната" localSheetId="11">#REF!</definedName>
    <definedName name="ната" localSheetId="10">#REF!</definedName>
    <definedName name="ната">#REF!</definedName>
    <definedName name="наташа" localSheetId="15">#REF!</definedName>
    <definedName name="наташа" localSheetId="11">#REF!</definedName>
    <definedName name="наташа" localSheetId="10">#REF!</definedName>
    <definedName name="наташа">#REF!</definedName>
    <definedName name="натре" localSheetId="15">#REF!</definedName>
    <definedName name="натре" localSheetId="11">#REF!</definedName>
    <definedName name="натре" localSheetId="10">#REF!</definedName>
    <definedName name="натре">#REF!</definedName>
    <definedName name="Начало">1</definedName>
    <definedName name="нвм" localSheetId="15">[130]БДР!#REF!</definedName>
    <definedName name="нвм" localSheetId="11">[130]БДР!#REF!</definedName>
    <definedName name="нвм">[130]БДР!#REF!</definedName>
    <definedName name="нг" localSheetId="15" hidden="1">{"'D'!$A$1:$E$13"}</definedName>
    <definedName name="нг" localSheetId="2" hidden="1">{"'D'!$A$1:$E$13"}</definedName>
    <definedName name="нг" localSheetId="1" hidden="1">{"'D'!$A$1:$E$13"}</definedName>
    <definedName name="нг" localSheetId="11" hidden="1">{"'D'!$A$1:$E$13"}</definedName>
    <definedName name="нг" localSheetId="8" hidden="1">{"'D'!$A$1:$E$13"}</definedName>
    <definedName name="нг" localSheetId="9" hidden="1">{"'D'!$A$1:$E$13"}</definedName>
    <definedName name="нг" localSheetId="10" hidden="1">{"'D'!$A$1:$E$13"}</definedName>
    <definedName name="нг" localSheetId="5" hidden="1">{"'D'!$A$1:$E$13"}</definedName>
    <definedName name="нг" localSheetId="4" hidden="1">{"'D'!$A$1:$E$13"}</definedName>
    <definedName name="нг" hidden="1">{"'D'!$A$1:$E$13"}</definedName>
    <definedName name="нгг" localSheetId="15">[7]!нгг</definedName>
    <definedName name="нгг" localSheetId="11">#N/A</definedName>
    <definedName name="нгг" localSheetId="8">#N/A</definedName>
    <definedName name="нгг" localSheetId="9">#N/A</definedName>
    <definedName name="нгг">#N/A</definedName>
    <definedName name="нггшл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5">#REF!</definedName>
    <definedName name="НДС" localSheetId="2">#REF!</definedName>
    <definedName name="НДС" localSheetId="1">#REF!</definedName>
    <definedName name="НДС" localSheetId="11">#REF!</definedName>
    <definedName name="НДС" localSheetId="8">#REF!</definedName>
    <definedName name="НДС" localSheetId="9">#REF!</definedName>
    <definedName name="НДС" localSheetId="10">#REF!</definedName>
    <definedName name="НДС" localSheetId="5">#REF!</definedName>
    <definedName name="НДС" localSheetId="4">#REF!</definedName>
    <definedName name="НДС">#REF!</definedName>
    <definedName name="нео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5">#REF!</definedName>
    <definedName name="нетп" localSheetId="2">#REF!</definedName>
    <definedName name="нетп" localSheetId="1">#REF!</definedName>
    <definedName name="нетп" localSheetId="11">#REF!</definedName>
    <definedName name="нетп" localSheetId="8">#REF!</definedName>
    <definedName name="нетп" localSheetId="9">#REF!</definedName>
    <definedName name="нетп" localSheetId="10">#REF!</definedName>
    <definedName name="нетп" localSheetId="5">#REF!</definedName>
    <definedName name="нетп" localSheetId="4">#REF!</definedName>
    <definedName name="нетп">#REF!</definedName>
    <definedName name="НоваяОборотка_Лист1_Таблица" localSheetId="15">#REF!</definedName>
    <definedName name="НоваяОборотка_Лист1_Таблица" localSheetId="11">#REF!</definedName>
    <definedName name="НоваяОборотка_Лист1_Таблица" localSheetId="8">#REF!</definedName>
    <definedName name="НоваяОборотка_Лист1_Таблица" localSheetId="9">#REF!</definedName>
    <definedName name="НоваяОборотка_Лист1_Таблица" localSheetId="10">#REF!</definedName>
    <definedName name="НоваяОборотка_Лист1_Таблица">#REF!</definedName>
    <definedName name="Новосиб_ЖД_ВБД" localSheetId="15">[163]Нск!#REF!</definedName>
    <definedName name="Новосиб_ЖД_ВБД" localSheetId="11">[163]Нск!#REF!</definedName>
    <definedName name="Новосиб_ЖД_ВБД" localSheetId="8">[163]Нск!#REF!</definedName>
    <definedName name="Новосиб_ЖД_ВБД" localSheetId="9">[163]Нск!#REF!</definedName>
    <definedName name="Новосиб_ЖД_ВБД" localSheetId="10">[163]Нск!#REF!</definedName>
    <definedName name="Новосиб_ЖД_ВБД">[163]Нск!#REF!</definedName>
    <definedName name="Новосиб_Сырье_СокиСибири" localSheetId="15">[163]Нск!#REF!</definedName>
    <definedName name="Новосиб_Сырье_СокиСибири" localSheetId="11">[163]Нск!#REF!</definedName>
    <definedName name="Новосиб_Сырье_СокиСибири" localSheetId="8">[163]Нск!#REF!</definedName>
    <definedName name="Новосиб_Сырье_СокиСибири" localSheetId="9">[163]Нск!#REF!</definedName>
    <definedName name="Новосиб_Сырье_СокиСибири" localSheetId="10">[163]Нск!#REF!</definedName>
    <definedName name="Новосиб_Сырье_СокиСибири">[163]Нск!#REF!</definedName>
    <definedName name="Новсиб_Сырье_ВБД" localSheetId="15">[163]Нск!#REF!</definedName>
    <definedName name="Новсиб_Сырье_ВБД" localSheetId="11">[163]Нск!#REF!</definedName>
    <definedName name="Новсиб_Сырье_ВБД" localSheetId="8">[163]Нск!#REF!</definedName>
    <definedName name="Новсиб_Сырье_ВБД" localSheetId="9">[163]Нск!#REF!</definedName>
    <definedName name="Новсиб_Сырье_ВБД" localSheetId="10">[163]Нск!#REF!</definedName>
    <definedName name="Новсиб_Сырье_ВБД">[163]Нск!#REF!</definedName>
    <definedName name="Новск_Сырье_ВБДиСырье_СС" localSheetId="15">[163]Нск!#REF!</definedName>
    <definedName name="Новск_Сырье_ВБДиСырье_СС" localSheetId="11">[163]Нск!#REF!</definedName>
    <definedName name="Новск_Сырье_ВБДиСырье_СС" localSheetId="8">[163]Нск!#REF!</definedName>
    <definedName name="Новск_Сырье_ВБДиСырье_СС" localSheetId="9">[163]Нск!#REF!</definedName>
    <definedName name="Новск_Сырье_ВБДиСырье_СС" localSheetId="10">[163]Нск!#REF!</definedName>
    <definedName name="Новск_Сырье_ВБДиСырье_СС">[163]Нск!#REF!</definedName>
    <definedName name="новые_ОФ_2003" localSheetId="15">[109]рабочий!$F$305:$W$327</definedName>
    <definedName name="новые_ОФ_2003" localSheetId="2">[110]рабочий!$F$305:$W$327</definedName>
    <definedName name="новые_ОФ_2003" localSheetId="1">[110]рабочий!$F$305:$W$327</definedName>
    <definedName name="новые_ОФ_2003" localSheetId="11">[109]рабочий!$F$305:$W$327</definedName>
    <definedName name="новые_ОФ_2003" localSheetId="8">[109]рабочий!$F$305:$W$327</definedName>
    <definedName name="новые_ОФ_2003" localSheetId="9">[109]рабочий!$F$305:$W$327</definedName>
    <definedName name="новые_ОФ_2003" localSheetId="10">[111]рабочий!$F$305:$W$327</definedName>
    <definedName name="новые_ОФ_2003" localSheetId="5">[110]рабочий!$F$305:$W$327</definedName>
    <definedName name="новые_ОФ_2003" localSheetId="4">[110]рабочий!$F$305:$W$327</definedName>
    <definedName name="новые_ОФ_2003">[112]рабочий!$F$305:$W$327</definedName>
    <definedName name="новые_ОФ_2004" localSheetId="15">[109]рабочий!$F$335:$W$357</definedName>
    <definedName name="новые_ОФ_2004" localSheetId="2">[110]рабочий!$F$335:$W$357</definedName>
    <definedName name="новые_ОФ_2004" localSheetId="1">[110]рабочий!$F$335:$W$357</definedName>
    <definedName name="новые_ОФ_2004" localSheetId="11">[109]рабочий!$F$335:$W$357</definedName>
    <definedName name="новые_ОФ_2004" localSheetId="8">[109]рабочий!$F$335:$W$357</definedName>
    <definedName name="новые_ОФ_2004" localSheetId="9">[109]рабочий!$F$335:$W$357</definedName>
    <definedName name="новые_ОФ_2004" localSheetId="10">[111]рабочий!$F$335:$W$357</definedName>
    <definedName name="новые_ОФ_2004" localSheetId="5">[110]рабочий!$F$335:$W$357</definedName>
    <definedName name="новые_ОФ_2004" localSheetId="4">[110]рабочий!$F$335:$W$357</definedName>
    <definedName name="новые_ОФ_2004">[112]рабочий!$F$335:$W$357</definedName>
    <definedName name="новые_ОФ_а_всего" localSheetId="15">[109]рабочий!$F$767:$V$789</definedName>
    <definedName name="новые_ОФ_а_всего" localSheetId="2">[110]рабочий!$F$767:$V$789</definedName>
    <definedName name="новые_ОФ_а_всего" localSheetId="1">[110]рабочий!$F$767:$V$789</definedName>
    <definedName name="новые_ОФ_а_всего" localSheetId="11">[109]рабочий!$F$767:$V$789</definedName>
    <definedName name="новые_ОФ_а_всего" localSheetId="8">[109]рабочий!$F$767:$V$789</definedName>
    <definedName name="новые_ОФ_а_всего" localSheetId="9">[109]рабочий!$F$767:$V$789</definedName>
    <definedName name="новые_ОФ_а_всего" localSheetId="10">[111]рабочий!$F$767:$V$789</definedName>
    <definedName name="новые_ОФ_а_всего" localSheetId="5">[110]рабочий!$F$767:$V$789</definedName>
    <definedName name="новые_ОФ_а_всего" localSheetId="4">[110]рабочий!$F$767:$V$789</definedName>
    <definedName name="новые_ОФ_а_всего">[112]рабочий!$F$767:$V$789</definedName>
    <definedName name="новые_ОФ_всего" localSheetId="15">[109]рабочий!$F$1331:$V$1353</definedName>
    <definedName name="новые_ОФ_всего" localSheetId="2">[110]рабочий!$F$1331:$V$1353</definedName>
    <definedName name="новые_ОФ_всего" localSheetId="1">[110]рабочий!$F$1331:$V$1353</definedName>
    <definedName name="новые_ОФ_всего" localSheetId="11">[109]рабочий!$F$1331:$V$1353</definedName>
    <definedName name="новые_ОФ_всего" localSheetId="8">[109]рабочий!$F$1331:$V$1353</definedName>
    <definedName name="новые_ОФ_всего" localSheetId="9">[109]рабочий!$F$1331:$V$1353</definedName>
    <definedName name="новые_ОФ_всего" localSheetId="10">[111]рабочий!$F$1331:$V$1353</definedName>
    <definedName name="новые_ОФ_всего" localSheetId="5">[110]рабочий!$F$1331:$V$1353</definedName>
    <definedName name="новые_ОФ_всего" localSheetId="4">[110]рабочий!$F$1331:$V$1353</definedName>
    <definedName name="новые_ОФ_всего">[112]рабочий!$F$1331:$V$1353</definedName>
    <definedName name="новые_ОФ_п_всего" localSheetId="15">[109]рабочий!$F$1293:$V$1315</definedName>
    <definedName name="новые_ОФ_п_всего" localSheetId="2">[110]рабочий!$F$1293:$V$1315</definedName>
    <definedName name="новые_ОФ_п_всего" localSheetId="1">[110]рабочий!$F$1293:$V$1315</definedName>
    <definedName name="новые_ОФ_п_всего" localSheetId="11">[109]рабочий!$F$1293:$V$1315</definedName>
    <definedName name="новые_ОФ_п_всего" localSheetId="8">[109]рабочий!$F$1293:$V$1315</definedName>
    <definedName name="новые_ОФ_п_всего" localSheetId="9">[109]рабочий!$F$1293:$V$1315</definedName>
    <definedName name="новые_ОФ_п_всего" localSheetId="10">[111]рабочий!$F$1293:$V$1315</definedName>
    <definedName name="новые_ОФ_п_всего" localSheetId="5">[110]рабочий!$F$1293:$V$1315</definedName>
    <definedName name="новые_ОФ_п_всего" localSheetId="4">[110]рабочий!$F$1293:$V$1315</definedName>
    <definedName name="новые_ОФ_п_всего">[112]рабочий!$F$1293:$V$1315</definedName>
    <definedName name="НОКЕНО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5">#REF!</definedName>
    <definedName name="Ном_группы" localSheetId="2">#REF!</definedName>
    <definedName name="Ном_группы" localSheetId="1">#REF!</definedName>
    <definedName name="Ном_группы" localSheetId="11">#REF!</definedName>
    <definedName name="Ном_группы" localSheetId="8">#REF!</definedName>
    <definedName name="Ном_группы" localSheetId="9">#REF!</definedName>
    <definedName name="Ном_группы" localSheetId="10">#REF!</definedName>
    <definedName name="Ном_группы" localSheetId="5">#REF!</definedName>
    <definedName name="Ном_группы" localSheetId="4">#REF!</definedName>
    <definedName name="Ном_группы">#REF!</definedName>
    <definedName name="ном_док" localSheetId="15">#REF!</definedName>
    <definedName name="ном_док" localSheetId="11">#REF!</definedName>
    <definedName name="ном_док" localSheetId="8">#REF!</definedName>
    <definedName name="ном_док" localSheetId="9">#REF!</definedName>
    <definedName name="ном_док" localSheetId="10">#REF!</definedName>
    <definedName name="ном_док">#REF!</definedName>
    <definedName name="ноп" localSheetId="15">#REF!</definedName>
    <definedName name="ноп" localSheetId="11">#REF!</definedName>
    <definedName name="ноп" localSheetId="8">#REF!</definedName>
    <definedName name="ноп" localSheetId="9">#REF!</definedName>
    <definedName name="ноп" localSheetId="10">#REF!</definedName>
    <definedName name="ноп">#REF!</definedName>
    <definedName name="норма" localSheetId="15">#REF!,#REF!,#REF!,#REF!,#REF!,#REF!,#REF!</definedName>
    <definedName name="норма" localSheetId="2">#REF!,#REF!,#REF!,#REF!,#REF!,#REF!,#REF!</definedName>
    <definedName name="норма" localSheetId="1">#REF!,#REF!,#REF!,#REF!,#REF!,#REF!,#REF!</definedName>
    <definedName name="норма" localSheetId="11">#REF!,#REF!,#REF!,#REF!,#REF!,#REF!,#REF!</definedName>
    <definedName name="норма" localSheetId="8">#REF!,#REF!,#REF!,#REF!,#REF!,#REF!,#REF!</definedName>
    <definedName name="норма" localSheetId="9">#REF!,#REF!,#REF!,#REF!,#REF!,#REF!,#REF!</definedName>
    <definedName name="норма" localSheetId="10">#REF!,#REF!,#REF!,#REF!,#REF!,#REF!,#REF!</definedName>
    <definedName name="норма" localSheetId="5">#REF!,#REF!,#REF!,#REF!,#REF!,#REF!,#REF!</definedName>
    <definedName name="норма" localSheetId="4">#REF!,#REF!,#REF!,#REF!,#REF!,#REF!,#REF!</definedName>
    <definedName name="норма">#REF!,#REF!,#REF!,#REF!,#REF!,#REF!,#REF!</definedName>
    <definedName name="ноя" localSheetId="15">#REF!</definedName>
    <definedName name="ноя" localSheetId="2">#REF!</definedName>
    <definedName name="ноя" localSheetId="1">#REF!</definedName>
    <definedName name="ноя" localSheetId="11">#REF!</definedName>
    <definedName name="ноя" localSheetId="8">#REF!</definedName>
    <definedName name="ноя" localSheetId="9">#REF!</definedName>
    <definedName name="ноя" localSheetId="10">#REF!</definedName>
    <definedName name="ноя" localSheetId="5">#REF!</definedName>
    <definedName name="ноя" localSheetId="4">#REF!</definedName>
    <definedName name="ноя">#REF!</definedName>
    <definedName name="ноя2" localSheetId="15">#REF!</definedName>
    <definedName name="ноя2" localSheetId="11">#REF!</definedName>
    <definedName name="ноя2" localSheetId="8">#REF!</definedName>
    <definedName name="ноя2" localSheetId="9">#REF!</definedName>
    <definedName name="ноя2" localSheetId="10">#REF!</definedName>
    <definedName name="ноя2">#REF!</definedName>
    <definedName name="ноябрь" localSheetId="15">#REF!</definedName>
    <definedName name="ноябрь" localSheetId="11">#REF!</definedName>
    <definedName name="ноябрь" localSheetId="8">#REF!</definedName>
    <definedName name="ноябрь" localSheetId="9">#REF!</definedName>
    <definedName name="ноябрь" localSheetId="10">#REF!</definedName>
    <definedName name="ноябрь">#REF!</definedName>
    <definedName name="НР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15">'[1]7'!$B$21</definedName>
    <definedName name="ншгнгшншщрпгангсмбомл" localSheetId="11">'[2]7'!$B$21</definedName>
    <definedName name="ншгнгшншщрпгангсмбомл" localSheetId="8">'[2]7'!$B$21</definedName>
    <definedName name="ншгнгшншщрпгангсмбомл" localSheetId="9">'[2]7'!$B$21</definedName>
    <definedName name="ншгнгшншщрпгангсмбомл">'[2]7'!$B$21</definedName>
    <definedName name="ншш" localSheetId="15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localSheetId="11" hidden="1">{#N/A,#N/A,TRUE,"Лист1";#N/A,#N/A,TRUE,"Лист2";#N/A,#N/A,TRUE,"Лист3"}</definedName>
    <definedName name="ншш" localSheetId="8" hidden="1">{#N/A,#N/A,TRUE,"Лист1";#N/A,#N/A,TRUE,"Лист2";#N/A,#N/A,TRUE,"Лист3"}</definedName>
    <definedName name="ншш" localSheetId="9" hidden="1">{#N/A,#N/A,TRUE,"Лист1";#N/A,#N/A,TRUE,"Лист2";#N/A,#N/A,TRUE,"Лист3"}</definedName>
    <definedName name="ншш" localSheetId="10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localSheetId="4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5">#REF!</definedName>
    <definedName name="о" localSheetId="2">#REF!</definedName>
    <definedName name="о" localSheetId="1">#REF!</definedName>
    <definedName name="о" localSheetId="11">#REF!</definedName>
    <definedName name="о" localSheetId="8">#REF!</definedName>
    <definedName name="о" localSheetId="9">#REF!</definedName>
    <definedName name="о" localSheetId="10">#REF!</definedName>
    <definedName name="о" localSheetId="5">#REF!</definedName>
    <definedName name="о" localSheetId="4">#REF!</definedName>
    <definedName name="о">#REF!</definedName>
    <definedName name="ОБ">[126]БУР!$B$1</definedName>
    <definedName name="_xlnm.Print_Area" localSheetId="15">#REF!</definedName>
    <definedName name="_xlnm.Print_Area" localSheetId="0">индексы!$A$1:$S$183</definedName>
    <definedName name="_xlnm.Print_Area" localSheetId="3">'Кальк.2019-2023 (ДИ)'!$A$2:$BX$125</definedName>
    <definedName name="_xlnm.Print_Area" localSheetId="2">'Кальк.2019-2023 (ДИ) (2)'!$A$2:$BX$125</definedName>
    <definedName name="_xlnm.Print_Area" localSheetId="1">'Кальк.2019-2023 (ДИ) (3)'!$A$2:$BX$125</definedName>
    <definedName name="_xlnm.Print_Area" localSheetId="11">'прил 4 к расп'!$A$1:$M$15</definedName>
    <definedName name="_xlnm.Print_Area" localSheetId="8">Прил2!$A$1:$H$25</definedName>
    <definedName name="_xlnm.Print_Area" localSheetId="9">Прил3!$A$1:$M$15</definedName>
    <definedName name="_xlnm.Print_Area" localSheetId="10">прил4!$A$1:$Y$57</definedName>
    <definedName name="_xlnm.Print_Area" localSheetId="6">'Тарифное меню'!$A$1:$AA$100</definedName>
    <definedName name="_xlnm.Print_Area" localSheetId="5">'Тарифное меню (2)'!$A$1:$AA$100</definedName>
    <definedName name="_xlnm.Print_Area" localSheetId="4">'Тарифное меню (3)'!$A$1:$AA$90</definedName>
    <definedName name="_xlnm.Print_Area" localSheetId="13">'учет итогов'!$A$1:$L$31</definedName>
    <definedName name="_xlnm.Print_Area">#REF!</definedName>
    <definedName name="оборот" localSheetId="15">#REF!</definedName>
    <definedName name="оборот" localSheetId="2">#REF!</definedName>
    <definedName name="оборот" localSheetId="1">#REF!</definedName>
    <definedName name="оборот" localSheetId="11">#REF!</definedName>
    <definedName name="оборот" localSheetId="8">#REF!</definedName>
    <definedName name="оборот" localSheetId="9">#REF!</definedName>
    <definedName name="оборот" localSheetId="10">#REF!</definedName>
    <definedName name="оборот" localSheetId="5">#REF!</definedName>
    <definedName name="оборот" localSheetId="4">#REF!</definedName>
    <definedName name="оборот">#REF!</definedName>
    <definedName name="оборотные" localSheetId="11">'[164]выр _июль'!$K$1</definedName>
    <definedName name="оборотные" localSheetId="8">'[164]выр _июль'!$K$1</definedName>
    <definedName name="оборотные" localSheetId="9">'[164]выр _июль'!$K$1</definedName>
    <definedName name="оборотные">'[164]выр _июль'!$K$1</definedName>
    <definedName name="Общехоз" localSheetId="15">#REF!</definedName>
    <definedName name="Общехоз" localSheetId="2">#REF!</definedName>
    <definedName name="Общехоз" localSheetId="1">#REF!</definedName>
    <definedName name="Общехоз" localSheetId="11">#REF!</definedName>
    <definedName name="Общехоз" localSheetId="8">#REF!</definedName>
    <definedName name="Общехоз" localSheetId="9">#REF!</definedName>
    <definedName name="Общехоз" localSheetId="10">#REF!</definedName>
    <definedName name="Общехоз" localSheetId="5">#REF!</definedName>
    <definedName name="Общехоз" localSheetId="4">#REF!</definedName>
    <definedName name="Общехоз">#REF!</definedName>
    <definedName name="Общехозяйственные" localSheetId="15">#REF!</definedName>
    <definedName name="Общехозяйственные" localSheetId="11">#REF!</definedName>
    <definedName name="Общехозяйственные" localSheetId="8">#REF!</definedName>
    <definedName name="Общехозяйственные" localSheetId="9">#REF!</definedName>
    <definedName name="Общехозяйственные" localSheetId="10">#REF!</definedName>
    <definedName name="Общехозяйственные">#REF!</definedName>
    <definedName name="общий_Запрос" localSheetId="15">#REF!</definedName>
    <definedName name="общий_Запрос" localSheetId="11">#REF!</definedName>
    <definedName name="общий_Запрос" localSheetId="8">#REF!</definedName>
    <definedName name="общий_Запрос" localSheetId="9">#REF!</definedName>
    <definedName name="общий_Запрос" localSheetId="10">#REF!</definedName>
    <definedName name="общий_Запрос">#REF!</definedName>
    <definedName name="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15">#REF!</definedName>
    <definedName name="окпо" localSheetId="2">#REF!</definedName>
    <definedName name="окпо" localSheetId="1">#REF!</definedName>
    <definedName name="окпо" localSheetId="11">#REF!</definedName>
    <definedName name="окпо" localSheetId="8">#REF!</definedName>
    <definedName name="окпо" localSheetId="9">#REF!</definedName>
    <definedName name="окпо" localSheetId="10">#REF!</definedName>
    <definedName name="окпо" localSheetId="5">#REF!</definedName>
    <definedName name="окпо" localSheetId="4">#REF!</definedName>
    <definedName name="окпо">#REF!</definedName>
    <definedName name="окраска_05" localSheetId="15">[109]окраска!$C$7:$Z$30</definedName>
    <definedName name="окраска_05" localSheetId="2">[110]окраска!$C$7:$Z$30</definedName>
    <definedName name="окраска_05" localSheetId="1">[110]окраска!$C$7:$Z$30</definedName>
    <definedName name="окраска_05" localSheetId="11">[109]окраска!$C$7:$Z$30</definedName>
    <definedName name="окраска_05" localSheetId="8">[109]окраска!$C$7:$Z$30</definedName>
    <definedName name="окраска_05" localSheetId="9">[109]окраска!$C$7:$Z$30</definedName>
    <definedName name="окраска_05" localSheetId="10">[111]окраска!$C$7:$Z$30</definedName>
    <definedName name="окраска_05" localSheetId="5">[110]окраска!$C$7:$Z$30</definedName>
    <definedName name="окраска_05" localSheetId="4">[110]окраска!$C$7:$Z$30</definedName>
    <definedName name="окраска_05">[112]окраска!$C$7:$Z$30</definedName>
    <definedName name="окраска_06" localSheetId="15">[109]окраска!$C$35:$Z$58</definedName>
    <definedName name="окраска_06" localSheetId="2">[110]окраска!$C$35:$Z$58</definedName>
    <definedName name="окраска_06" localSheetId="1">[110]окраска!$C$35:$Z$58</definedName>
    <definedName name="окраска_06" localSheetId="11">[109]окраска!$C$35:$Z$58</definedName>
    <definedName name="окраска_06" localSheetId="8">[109]окраска!$C$35:$Z$58</definedName>
    <definedName name="окраска_06" localSheetId="9">[109]окраска!$C$35:$Z$58</definedName>
    <definedName name="окраска_06" localSheetId="10">[111]окраска!$C$35:$Z$58</definedName>
    <definedName name="окраска_06" localSheetId="5">[110]окраска!$C$35:$Z$58</definedName>
    <definedName name="окраска_06" localSheetId="4">[110]окраска!$C$35:$Z$58</definedName>
    <definedName name="окраска_06">[112]окраска!$C$35:$Z$58</definedName>
    <definedName name="окраска_07" localSheetId="15">[109]окраска!$C$63:$Z$86</definedName>
    <definedName name="окраска_07" localSheetId="2">[110]окраска!$C$63:$Z$86</definedName>
    <definedName name="окраска_07" localSheetId="1">[110]окраска!$C$63:$Z$86</definedName>
    <definedName name="окраска_07" localSheetId="11">[109]окраска!$C$63:$Z$86</definedName>
    <definedName name="окраска_07" localSheetId="8">[109]окраска!$C$63:$Z$86</definedName>
    <definedName name="окраска_07" localSheetId="9">[109]окраска!$C$63:$Z$86</definedName>
    <definedName name="окраска_07" localSheetId="10">[111]окраска!$C$63:$Z$86</definedName>
    <definedName name="окраска_07" localSheetId="5">[110]окраска!$C$63:$Z$86</definedName>
    <definedName name="окраска_07" localSheetId="4">[110]окраска!$C$63:$Z$86</definedName>
    <definedName name="окраска_07">[112]окраска!$C$63:$Z$86</definedName>
    <definedName name="окраска_08" localSheetId="15">[109]окраска!$C$91:$Z$114</definedName>
    <definedName name="окраска_08" localSheetId="2">[110]окраска!$C$91:$Z$114</definedName>
    <definedName name="окраска_08" localSheetId="1">[110]окраска!$C$91:$Z$114</definedName>
    <definedName name="окраска_08" localSheetId="11">[109]окраска!$C$91:$Z$114</definedName>
    <definedName name="окраска_08" localSheetId="8">[109]окраска!$C$91:$Z$114</definedName>
    <definedName name="окраска_08" localSheetId="9">[109]окраска!$C$91:$Z$114</definedName>
    <definedName name="окраска_08" localSheetId="10">[111]окраска!$C$91:$Z$114</definedName>
    <definedName name="окраска_08" localSheetId="5">[110]окраска!$C$91:$Z$114</definedName>
    <definedName name="окраска_08" localSheetId="4">[110]окраска!$C$91:$Z$114</definedName>
    <definedName name="окраска_08">[112]окраска!$C$91:$Z$114</definedName>
    <definedName name="окраска_09" localSheetId="15">[109]окраска!$C$119:$Z$142</definedName>
    <definedName name="окраска_09" localSheetId="2">[110]окраска!$C$119:$Z$142</definedName>
    <definedName name="окраска_09" localSheetId="1">[110]окраска!$C$119:$Z$142</definedName>
    <definedName name="окраска_09" localSheetId="11">[109]окраска!$C$119:$Z$142</definedName>
    <definedName name="окраска_09" localSheetId="8">[109]окраска!$C$119:$Z$142</definedName>
    <definedName name="окраска_09" localSheetId="9">[109]окраска!$C$119:$Z$142</definedName>
    <definedName name="окраска_09" localSheetId="10">[111]окраска!$C$119:$Z$142</definedName>
    <definedName name="окраска_09" localSheetId="5">[110]окраска!$C$119:$Z$142</definedName>
    <definedName name="окраска_09" localSheetId="4">[110]окраска!$C$119:$Z$142</definedName>
    <definedName name="окраска_09">[112]окраска!$C$119:$Z$142</definedName>
    <definedName name="окраска_10" localSheetId="15">[109]окраска!$C$147:$Z$170</definedName>
    <definedName name="окраска_10" localSheetId="2">[110]окраска!$C$147:$Z$170</definedName>
    <definedName name="окраска_10" localSheetId="1">[110]окраска!$C$147:$Z$170</definedName>
    <definedName name="окраска_10" localSheetId="11">[109]окраска!$C$147:$Z$170</definedName>
    <definedName name="окраска_10" localSheetId="8">[109]окраска!$C$147:$Z$170</definedName>
    <definedName name="окраска_10" localSheetId="9">[109]окраска!$C$147:$Z$170</definedName>
    <definedName name="окраска_10" localSheetId="10">[111]окраска!$C$147:$Z$170</definedName>
    <definedName name="окраска_10" localSheetId="5">[110]окраска!$C$147:$Z$170</definedName>
    <definedName name="окраска_10" localSheetId="4">[110]окраска!$C$147:$Z$170</definedName>
    <definedName name="окраска_10">[112]окраска!$C$147:$Z$170</definedName>
    <definedName name="окраска_11" localSheetId="15">[109]окраска!$C$175:$Z$198</definedName>
    <definedName name="окраска_11" localSheetId="2">[110]окраска!$C$175:$Z$198</definedName>
    <definedName name="окраска_11" localSheetId="1">[110]окраска!$C$175:$Z$198</definedName>
    <definedName name="окраска_11" localSheetId="11">[109]окраска!$C$175:$Z$198</definedName>
    <definedName name="окраска_11" localSheetId="8">[109]окраска!$C$175:$Z$198</definedName>
    <definedName name="окраска_11" localSheetId="9">[109]окраска!$C$175:$Z$198</definedName>
    <definedName name="окраска_11" localSheetId="10">[111]окраска!$C$175:$Z$198</definedName>
    <definedName name="окраска_11" localSheetId="5">[110]окраска!$C$175:$Z$198</definedName>
    <definedName name="окраска_11" localSheetId="4">[110]окраска!$C$175:$Z$198</definedName>
    <definedName name="окраска_11">[112]окраска!$C$175:$Z$198</definedName>
    <definedName name="окраска_12" localSheetId="15">[109]окраска!$C$203:$Z$226</definedName>
    <definedName name="окраска_12" localSheetId="2">[110]окраска!$C$203:$Z$226</definedName>
    <definedName name="окраска_12" localSheetId="1">[110]окраска!$C$203:$Z$226</definedName>
    <definedName name="окраска_12" localSheetId="11">[109]окраска!$C$203:$Z$226</definedName>
    <definedName name="окраска_12" localSheetId="8">[109]окраска!$C$203:$Z$226</definedName>
    <definedName name="окраска_12" localSheetId="9">[109]окраска!$C$203:$Z$226</definedName>
    <definedName name="окраска_12" localSheetId="10">[111]окраска!$C$203:$Z$226</definedName>
    <definedName name="окраска_12" localSheetId="5">[110]окраска!$C$203:$Z$226</definedName>
    <definedName name="окраска_12" localSheetId="4">[110]окраска!$C$203:$Z$226</definedName>
    <definedName name="окраска_12">[112]окраска!$C$203:$Z$226</definedName>
    <definedName name="окраска_13" localSheetId="15">[109]окраска!$C$231:$Z$254</definedName>
    <definedName name="окраска_13" localSheetId="2">[110]окраска!$C$231:$Z$254</definedName>
    <definedName name="окраска_13" localSheetId="1">[110]окраска!$C$231:$Z$254</definedName>
    <definedName name="окраска_13" localSheetId="11">[109]окраска!$C$231:$Z$254</definedName>
    <definedName name="окраска_13" localSheetId="8">[109]окраска!$C$231:$Z$254</definedName>
    <definedName name="окраска_13" localSheetId="9">[109]окраска!$C$231:$Z$254</definedName>
    <definedName name="окраска_13" localSheetId="10">[111]окраска!$C$231:$Z$254</definedName>
    <definedName name="окраска_13" localSheetId="5">[110]окраска!$C$231:$Z$254</definedName>
    <definedName name="окраска_13" localSheetId="4">[110]окраска!$C$231:$Z$254</definedName>
    <definedName name="окраска_13">[112]окраска!$C$231:$Z$254</definedName>
    <definedName name="окраска_14" localSheetId="15">[109]окраска!$C$259:$Z$282</definedName>
    <definedName name="окраска_14" localSheetId="2">[110]окраска!$C$259:$Z$282</definedName>
    <definedName name="окраска_14" localSheetId="1">[110]окраска!$C$259:$Z$282</definedName>
    <definedName name="окраска_14" localSheetId="11">[109]окраска!$C$259:$Z$282</definedName>
    <definedName name="окраска_14" localSheetId="8">[109]окраска!$C$259:$Z$282</definedName>
    <definedName name="окраска_14" localSheetId="9">[109]окраска!$C$259:$Z$282</definedName>
    <definedName name="окраска_14" localSheetId="10">[111]окраска!$C$259:$Z$282</definedName>
    <definedName name="окраска_14" localSheetId="5">[110]окраска!$C$259:$Z$282</definedName>
    <definedName name="окраска_14" localSheetId="4">[110]окраска!$C$259:$Z$282</definedName>
    <definedName name="окраска_14">[112]окраска!$C$259:$Z$282</definedName>
    <definedName name="окраска_15" localSheetId="15">[109]окраска!$C$287:$Z$310</definedName>
    <definedName name="окраска_15" localSheetId="2">[110]окраска!$C$287:$Z$310</definedName>
    <definedName name="окраска_15" localSheetId="1">[110]окраска!$C$287:$Z$310</definedName>
    <definedName name="окраска_15" localSheetId="11">[109]окраска!$C$287:$Z$310</definedName>
    <definedName name="окраска_15" localSheetId="8">[109]окраска!$C$287:$Z$310</definedName>
    <definedName name="окраска_15" localSheetId="9">[109]окраска!$C$287:$Z$310</definedName>
    <definedName name="окраска_15" localSheetId="10">[111]окраска!$C$287:$Z$310</definedName>
    <definedName name="окраска_15" localSheetId="5">[110]окраска!$C$287:$Z$310</definedName>
    <definedName name="окраска_15" localSheetId="4">[110]окраска!$C$287:$Z$310</definedName>
    <definedName name="окраска_15">[112]окраска!$C$287:$Z$310</definedName>
    <definedName name="окт" localSheetId="15">#REF!</definedName>
    <definedName name="окт" localSheetId="2">#REF!</definedName>
    <definedName name="окт" localSheetId="1">#REF!</definedName>
    <definedName name="окт" localSheetId="11">#REF!</definedName>
    <definedName name="окт" localSheetId="8">#REF!</definedName>
    <definedName name="окт" localSheetId="9">#REF!</definedName>
    <definedName name="окт" localSheetId="10">#REF!</definedName>
    <definedName name="окт" localSheetId="5">#REF!</definedName>
    <definedName name="окт" localSheetId="4">#REF!</definedName>
    <definedName name="окт">#REF!</definedName>
    <definedName name="окт2" localSheetId="15">#REF!</definedName>
    <definedName name="окт2" localSheetId="11">#REF!</definedName>
    <definedName name="окт2" localSheetId="8">#REF!</definedName>
    <definedName name="окт2" localSheetId="9">#REF!</definedName>
    <definedName name="окт2" localSheetId="10">#REF!</definedName>
    <definedName name="окт2">#REF!</definedName>
    <definedName name="олдд" localSheetId="15">#REF!</definedName>
    <definedName name="олдд" localSheetId="11">#REF!</definedName>
    <definedName name="олдд" localSheetId="8">#REF!</definedName>
    <definedName name="олдд" localSheetId="9">#REF!</definedName>
    <definedName name="олдд" localSheetId="10">#REF!</definedName>
    <definedName name="олдд">#REF!</definedName>
    <definedName name="олло" localSheetId="15">[7]!олло</definedName>
    <definedName name="олло" localSheetId="11">#N/A</definedName>
    <definedName name="олло" localSheetId="8">#N/A</definedName>
    <definedName name="олло" localSheetId="9">#N/A</definedName>
    <definedName name="олло">#N/A</definedName>
    <definedName name="ОЛОЛБОЛ" localSheetId="15">#REF!</definedName>
    <definedName name="ОЛОЛБОЛ" localSheetId="2">#REF!</definedName>
    <definedName name="ОЛОЛБОЛ" localSheetId="1">#REF!</definedName>
    <definedName name="ОЛОЛБОЛ" localSheetId="11">#REF!</definedName>
    <definedName name="ОЛОЛБОЛ" localSheetId="8">#REF!</definedName>
    <definedName name="ОЛОЛБОЛ" localSheetId="9">#REF!</definedName>
    <definedName name="ОЛОЛБОЛ" localSheetId="10">#REF!</definedName>
    <definedName name="ОЛОЛБОЛ" localSheetId="5">#REF!</definedName>
    <definedName name="ОЛОЛБОЛ" localSheetId="4">#REF!</definedName>
    <definedName name="ОЛОЛБОЛ">#REF!</definedName>
    <definedName name="олс" localSheetId="15">[7]!олс</definedName>
    <definedName name="олс" localSheetId="11">#N/A</definedName>
    <definedName name="олс" localSheetId="8">#N/A</definedName>
    <definedName name="олс" localSheetId="9">#N/A</definedName>
    <definedName name="олс">#N/A</definedName>
    <definedName name="оо" localSheetId="15">[165]Настройка!#REF!</definedName>
    <definedName name="оо" localSheetId="2">[165]Настройка!#REF!</definedName>
    <definedName name="оо" localSheetId="1">[165]Настройка!#REF!</definedName>
    <definedName name="оо" localSheetId="11">[165]Настройка!#REF!</definedName>
    <definedName name="оо" localSheetId="8">[165]Настройка!#REF!</definedName>
    <definedName name="оо" localSheetId="9">[165]Настройка!#REF!</definedName>
    <definedName name="оо" localSheetId="10">[165]Настройка!#REF!</definedName>
    <definedName name="оо" localSheetId="5">[165]Настройка!#REF!</definedName>
    <definedName name="оо" localSheetId="4">[165]Настройка!#REF!</definedName>
    <definedName name="оо">[165]Настройка!#REF!</definedName>
    <definedName name="ооо" localSheetId="15">#REF!</definedName>
    <definedName name="ооо" localSheetId="2">#REF!</definedName>
    <definedName name="ооо" localSheetId="1">#REF!</definedName>
    <definedName name="ооо" localSheetId="11">#REF!</definedName>
    <definedName name="ооо" localSheetId="8">#REF!</definedName>
    <definedName name="ооо" localSheetId="9">#REF!</definedName>
    <definedName name="ооо" localSheetId="10">#REF!</definedName>
    <definedName name="ооо" localSheetId="5">#REF!</definedName>
    <definedName name="ооо" localSheetId="4">#REF!</definedName>
    <definedName name="ооо">#REF!</definedName>
    <definedName name="оооо" localSheetId="15">#REF!</definedName>
    <definedName name="оооо" localSheetId="11">#REF!</definedName>
    <definedName name="оооо" localSheetId="8">#REF!</definedName>
    <definedName name="оооо" localSheetId="9">#REF!</definedName>
    <definedName name="оооо" localSheetId="10">#REF!</definedName>
    <definedName name="оооо">#REF!</definedName>
    <definedName name="оооооолол" localSheetId="15">#REF!</definedName>
    <definedName name="оооооолол" localSheetId="11">#REF!</definedName>
    <definedName name="оооооолол">#REF!</definedName>
    <definedName name="Операция" localSheetId="15">#REF!</definedName>
    <definedName name="Операция" localSheetId="11">#REF!</definedName>
    <definedName name="Операция" localSheetId="8">#REF!</definedName>
    <definedName name="Операция" localSheetId="9">#REF!</definedName>
    <definedName name="Операция" localSheetId="10">#REF!</definedName>
    <definedName name="Операция">#REF!</definedName>
    <definedName name="опрлпшл" localSheetId="15">[133]СписочнаяЧисленность!#REF!</definedName>
    <definedName name="опрлпшл" localSheetId="11">[133]СписочнаяЧисленность!#REF!</definedName>
    <definedName name="опрлпшл" localSheetId="8">[133]СписочнаяЧисленность!#REF!</definedName>
    <definedName name="опрлпшл" localSheetId="9">[133]СписочнаяЧисленность!#REF!</definedName>
    <definedName name="опрлпшл" localSheetId="10">[133]СписочнаяЧисленность!#REF!</definedName>
    <definedName name="опрлпшл">[133]СписочнаяЧисленность!#REF!</definedName>
    <definedName name="ОР" localSheetId="15">#REF!</definedName>
    <definedName name="ОР" localSheetId="2">#REF!</definedName>
    <definedName name="ОР" localSheetId="1">#REF!</definedName>
    <definedName name="ОР" localSheetId="11">#REF!</definedName>
    <definedName name="ОР" localSheetId="8">#REF!</definedName>
    <definedName name="ОР" localSheetId="9">#REF!</definedName>
    <definedName name="ОР" localSheetId="10">#REF!</definedName>
    <definedName name="ОР" localSheetId="5">#REF!</definedName>
    <definedName name="ОР" localSheetId="4">#REF!</definedName>
    <definedName name="ОР">#REF!</definedName>
    <definedName name="орнк" localSheetId="15">'[166]БСС-2'!#REF!</definedName>
    <definedName name="орнк" localSheetId="2">'[166]БСС-2'!#REF!</definedName>
    <definedName name="орнк" localSheetId="1">'[166]БСС-2'!#REF!</definedName>
    <definedName name="орнк" localSheetId="11">'[166]БСС-2'!#REF!</definedName>
    <definedName name="орнк" localSheetId="8">'[166]БСС-2'!#REF!</definedName>
    <definedName name="орнк" localSheetId="9">'[166]БСС-2'!#REF!</definedName>
    <definedName name="орнк" localSheetId="10">'[166]БСС-2'!#REF!</definedName>
    <definedName name="орнк" localSheetId="5">'[166]БСС-2'!#REF!</definedName>
    <definedName name="орнк" localSheetId="4">'[166]БСС-2'!#REF!</definedName>
    <definedName name="орнк">'[166]БСС-2'!#REF!</definedName>
    <definedName name="оро" localSheetId="15">[7]!оро</definedName>
    <definedName name="оро" localSheetId="11">#N/A</definedName>
    <definedName name="оро" localSheetId="8">#N/A</definedName>
    <definedName name="оро" localSheetId="9">#N/A</definedName>
    <definedName name="оро">#N/A</definedName>
    <definedName name="ОТЧет" localSheetId="15">#REF!</definedName>
    <definedName name="ОТЧет" localSheetId="2">#REF!</definedName>
    <definedName name="ОТЧет" localSheetId="1">#REF!</definedName>
    <definedName name="ОТЧет" localSheetId="11">#REF!</definedName>
    <definedName name="ОТЧет" localSheetId="8">#REF!</definedName>
    <definedName name="ОТЧет" localSheetId="9">#REF!</definedName>
    <definedName name="ОТЧет" localSheetId="10">#REF!</definedName>
    <definedName name="ОТЧет" localSheetId="5">#REF!</definedName>
    <definedName name="ОТЧет" localSheetId="4">#REF!</definedName>
    <definedName name="ОТЧет">#REF!</definedName>
    <definedName name="Отчет_сок" localSheetId="15">#REF!</definedName>
    <definedName name="Отчет_сок" localSheetId="11">#REF!</definedName>
    <definedName name="Отчет_сок" localSheetId="8">#REF!</definedName>
    <definedName name="Отчет_сок" localSheetId="9">#REF!</definedName>
    <definedName name="Отчет_сок" localSheetId="10">#REF!</definedName>
    <definedName name="Отчет_сок">#REF!</definedName>
    <definedName name="ОФ_а_с_пц" localSheetId="15">[109]рабочий!$CI$121:$CY$143</definedName>
    <definedName name="ОФ_а_с_пц" localSheetId="2">[110]рабочий!$CI$121:$CY$143</definedName>
    <definedName name="ОФ_а_с_пц" localSheetId="1">[110]рабочий!$CI$121:$CY$143</definedName>
    <definedName name="ОФ_а_с_пц" localSheetId="11">[109]рабочий!$CI$121:$CY$143</definedName>
    <definedName name="ОФ_а_с_пц" localSheetId="8">[109]рабочий!$CI$121:$CY$143</definedName>
    <definedName name="ОФ_а_с_пц" localSheetId="9">[109]рабочий!$CI$121:$CY$143</definedName>
    <definedName name="ОФ_а_с_пц" localSheetId="10">[111]рабочий!$CI$121:$CY$143</definedName>
    <definedName name="ОФ_а_с_пц" localSheetId="5">[110]рабочий!$CI$121:$CY$143</definedName>
    <definedName name="ОФ_а_с_пц" localSheetId="4">[110]рабочий!$CI$121:$CY$143</definedName>
    <definedName name="ОФ_а_с_пц">[112]рабочий!$CI$121:$CY$143</definedName>
    <definedName name="оф_н_а_2003_пц" localSheetId="15">'[109]Текущие цены'!#REF!</definedName>
    <definedName name="оф_н_а_2003_пц" localSheetId="2">'[110]Текущие цены'!#REF!</definedName>
    <definedName name="оф_н_а_2003_пц" localSheetId="1">'[110]Текущие цены'!#REF!</definedName>
    <definedName name="оф_н_а_2003_пц" localSheetId="11">'[109]Текущие цены'!#REF!</definedName>
    <definedName name="оф_н_а_2003_пц" localSheetId="8">'[109]Текущие цены'!#REF!</definedName>
    <definedName name="оф_н_а_2003_пц" localSheetId="9">'[109]Текущие цены'!#REF!</definedName>
    <definedName name="оф_н_а_2003_пц" localSheetId="10">'[111]Текущие цены'!#REF!</definedName>
    <definedName name="оф_н_а_2003_пц" localSheetId="5">'[110]Текущие цены'!#REF!</definedName>
    <definedName name="оф_н_а_2003_пц" localSheetId="4">'[110]Текущие цены'!#REF!</definedName>
    <definedName name="оф_н_а_2003_пц">'[112]Текущие цены'!#REF!</definedName>
    <definedName name="оф_н_а_2004" localSheetId="15">'[109]Текущие цены'!#REF!</definedName>
    <definedName name="оф_н_а_2004" localSheetId="2">'[110]Текущие цены'!#REF!</definedName>
    <definedName name="оф_н_а_2004" localSheetId="1">'[110]Текущие цены'!#REF!</definedName>
    <definedName name="оф_н_а_2004" localSheetId="11">'[109]Текущие цены'!#REF!</definedName>
    <definedName name="оф_н_а_2004" localSheetId="8">'[109]Текущие цены'!#REF!</definedName>
    <definedName name="оф_н_а_2004" localSheetId="9">'[109]Текущие цены'!#REF!</definedName>
    <definedName name="оф_н_а_2004" localSheetId="10">'[111]Текущие цены'!#REF!</definedName>
    <definedName name="оф_н_а_2004" localSheetId="5">'[110]Текущие цены'!#REF!</definedName>
    <definedName name="оф_н_а_2004" localSheetId="4">'[110]Текущие цены'!#REF!</definedName>
    <definedName name="оф_н_а_2004">'[112]Текущие цены'!#REF!</definedName>
    <definedName name="ОЬБ">'[126]БСФ-2'!$B$3</definedName>
    <definedName name="п" localSheetId="15">#REF!</definedName>
    <definedName name="п" localSheetId="2">#REF!</definedName>
    <definedName name="п" localSheetId="1">#REF!</definedName>
    <definedName name="п" localSheetId="11">#REF!</definedName>
    <definedName name="п" localSheetId="8">#REF!</definedName>
    <definedName name="п" localSheetId="9">#REF!</definedName>
    <definedName name="п" localSheetId="10">#REF!</definedName>
    <definedName name="п" localSheetId="5">#REF!</definedName>
    <definedName name="п" localSheetId="4">#REF!</definedName>
    <definedName name="п">#REF!</definedName>
    <definedName name="п_авг" localSheetId="15">#REF!</definedName>
    <definedName name="п_авг" localSheetId="11">#REF!</definedName>
    <definedName name="п_авг" localSheetId="8">#REF!</definedName>
    <definedName name="п_авг" localSheetId="9">#REF!</definedName>
    <definedName name="п_авг" localSheetId="10">#REF!</definedName>
    <definedName name="п_авг">#REF!</definedName>
    <definedName name="п_апр" localSheetId="15">#REF!</definedName>
    <definedName name="п_апр" localSheetId="11">#REF!</definedName>
    <definedName name="п_апр" localSheetId="8">#REF!</definedName>
    <definedName name="п_апр" localSheetId="9">#REF!</definedName>
    <definedName name="п_апр" localSheetId="10">#REF!</definedName>
    <definedName name="п_апр">#REF!</definedName>
    <definedName name="п_дек" localSheetId="15">#REF!</definedName>
    <definedName name="п_дек" localSheetId="11">#REF!</definedName>
    <definedName name="п_дек" localSheetId="10">#REF!</definedName>
    <definedName name="п_дек">#REF!</definedName>
    <definedName name="п_июл" localSheetId="15">#REF!</definedName>
    <definedName name="п_июл" localSheetId="11">#REF!</definedName>
    <definedName name="п_июл" localSheetId="10">#REF!</definedName>
    <definedName name="п_июл">#REF!</definedName>
    <definedName name="п_июн" localSheetId="15">#REF!</definedName>
    <definedName name="п_июн" localSheetId="11">#REF!</definedName>
    <definedName name="п_июн" localSheetId="10">#REF!</definedName>
    <definedName name="п_июн">#REF!</definedName>
    <definedName name="п_к" localSheetId="15">#REF!</definedName>
    <definedName name="п_к" localSheetId="11">#REF!</definedName>
    <definedName name="п_к" localSheetId="10">#REF!</definedName>
    <definedName name="п_к">#REF!</definedName>
    <definedName name="п_май" localSheetId="15">#REF!</definedName>
    <definedName name="п_май" localSheetId="11">#REF!</definedName>
    <definedName name="п_май" localSheetId="10">#REF!</definedName>
    <definedName name="п_май">#REF!</definedName>
    <definedName name="п_мар" localSheetId="15">#REF!</definedName>
    <definedName name="п_мар" localSheetId="11">#REF!</definedName>
    <definedName name="п_мар" localSheetId="10">#REF!</definedName>
    <definedName name="п_мар">#REF!</definedName>
    <definedName name="п_ноя" localSheetId="15">#REF!</definedName>
    <definedName name="п_ноя" localSheetId="11">#REF!</definedName>
    <definedName name="п_ноя" localSheetId="10">#REF!</definedName>
    <definedName name="п_ноя">#REF!</definedName>
    <definedName name="п_окт" localSheetId="15">#REF!</definedName>
    <definedName name="п_окт" localSheetId="11">#REF!</definedName>
    <definedName name="п_окт" localSheetId="10">#REF!</definedName>
    <definedName name="п_окт">#REF!</definedName>
    <definedName name="п_сен" localSheetId="15">#REF!</definedName>
    <definedName name="п_сен" localSheetId="11">#REF!</definedName>
    <definedName name="п_сен" localSheetId="10">#REF!</definedName>
    <definedName name="п_сен">#REF!</definedName>
    <definedName name="п_фев" localSheetId="15">#REF!</definedName>
    <definedName name="п_фев" localSheetId="11">#REF!</definedName>
    <definedName name="п_фев" localSheetId="10">#REF!</definedName>
    <definedName name="п_фев">#REF!</definedName>
    <definedName name="п_янв" localSheetId="15">#REF!</definedName>
    <definedName name="п_янв" localSheetId="11">#REF!</definedName>
    <definedName name="п_янв" localSheetId="10">#REF!</definedName>
    <definedName name="п_янв">#REF!</definedName>
    <definedName name="п1" localSheetId="15">'[144]7'!$B$21</definedName>
    <definedName name="п1" localSheetId="2">[143]Сибмол!#REF!</definedName>
    <definedName name="п1" localSheetId="1">[143]Сибмол!#REF!</definedName>
    <definedName name="п1" localSheetId="11">[143]Сибмол!#REF!</definedName>
    <definedName name="п1" localSheetId="8">[143]Сибмол!#REF!</definedName>
    <definedName name="п1" localSheetId="9">[143]Сибмол!#REF!</definedName>
    <definedName name="п1" localSheetId="10">[143]Сибмол!#REF!</definedName>
    <definedName name="п1" localSheetId="5">[143]Сибмол!#REF!</definedName>
    <definedName name="п1" localSheetId="4">[143]Сибмол!#REF!</definedName>
    <definedName name="п1">[143]Сибмол!#REF!</definedName>
    <definedName name="п1с" localSheetId="15">'[144]7'!$B$25</definedName>
    <definedName name="п1с" localSheetId="2">'[167]7'!$B$25</definedName>
    <definedName name="п1с" localSheetId="1">'[167]7'!$B$25</definedName>
    <definedName name="п1с" localSheetId="11">'[144]7'!$B$25</definedName>
    <definedName name="п1с" localSheetId="8">'[144]7'!$B$25</definedName>
    <definedName name="п1с" localSheetId="9">'[144]7'!$B$25</definedName>
    <definedName name="п1с" localSheetId="10">'[144]7'!$B$25</definedName>
    <definedName name="п1с" localSheetId="5">'[167]7'!$B$25</definedName>
    <definedName name="п1с" localSheetId="4">'[167]7'!$B$25</definedName>
    <definedName name="п1с">'[168]7'!$B$25</definedName>
    <definedName name="п2" localSheetId="15">'[144]7'!$B$22</definedName>
    <definedName name="п2" localSheetId="2">[143]Сибмол!#REF!</definedName>
    <definedName name="п2" localSheetId="1">[143]Сибмол!#REF!</definedName>
    <definedName name="п2" localSheetId="11">[143]Сибмол!#REF!</definedName>
    <definedName name="п2" localSheetId="8">[143]Сибмол!#REF!</definedName>
    <definedName name="п2" localSheetId="9">[143]Сибмол!#REF!</definedName>
    <definedName name="п2" localSheetId="10">[143]Сибмол!#REF!</definedName>
    <definedName name="п2" localSheetId="5">[143]Сибмол!#REF!</definedName>
    <definedName name="п2" localSheetId="4">[143]Сибмол!#REF!</definedName>
    <definedName name="п2">[143]Сибмол!#REF!</definedName>
    <definedName name="п2с" localSheetId="15">'[144]7'!$B$26</definedName>
    <definedName name="п2с" localSheetId="2">'[167]7'!$B$26</definedName>
    <definedName name="п2с" localSheetId="1">'[167]7'!$B$26</definedName>
    <definedName name="п2с" localSheetId="11">'[144]7'!$B$26</definedName>
    <definedName name="п2с" localSheetId="8">'[144]7'!$B$26</definedName>
    <definedName name="п2с" localSheetId="9">'[144]7'!$B$26</definedName>
    <definedName name="п2с" localSheetId="10">'[144]7'!$B$26</definedName>
    <definedName name="п2с" localSheetId="5">'[167]7'!$B$26</definedName>
    <definedName name="п2с" localSheetId="4">'[167]7'!$B$26</definedName>
    <definedName name="п2с">'[168]7'!$B$26</definedName>
    <definedName name="п3" localSheetId="15">'[144]7'!$B$23</definedName>
    <definedName name="п3" localSheetId="2">[143]Сибмол!#REF!</definedName>
    <definedName name="п3" localSheetId="1">[143]Сибмол!#REF!</definedName>
    <definedName name="п3" localSheetId="11">[143]Сибмол!#REF!</definedName>
    <definedName name="п3" localSheetId="8">[143]Сибмол!#REF!</definedName>
    <definedName name="п3" localSheetId="9">[143]Сибмол!#REF!</definedName>
    <definedName name="п3" localSheetId="10">[143]Сибмол!#REF!</definedName>
    <definedName name="п3" localSheetId="5">[143]Сибмол!#REF!</definedName>
    <definedName name="п3" localSheetId="4">[143]Сибмол!#REF!</definedName>
    <definedName name="п3">[143]Сибмол!#REF!</definedName>
    <definedName name="п3с" localSheetId="15">'[144]7'!$B$27</definedName>
    <definedName name="п3с" localSheetId="2">'[167]7'!$B$27</definedName>
    <definedName name="п3с" localSheetId="1">'[167]7'!$B$27</definedName>
    <definedName name="п3с" localSheetId="11">'[144]7'!$B$27</definedName>
    <definedName name="п3с" localSheetId="8">'[144]7'!$B$27</definedName>
    <definedName name="п3с" localSheetId="9">'[144]7'!$B$27</definedName>
    <definedName name="п3с" localSheetId="10">'[144]7'!$B$27</definedName>
    <definedName name="п3с" localSheetId="5">'[167]7'!$B$27</definedName>
    <definedName name="п3с" localSheetId="4">'[167]7'!$B$27</definedName>
    <definedName name="п3с">'[168]7'!$B$27</definedName>
    <definedName name="п4" localSheetId="15">[143]Сибмол!#REF!</definedName>
    <definedName name="п4" localSheetId="2">[143]Сибмол!#REF!</definedName>
    <definedName name="п4" localSheetId="1">[143]Сибмол!#REF!</definedName>
    <definedName name="п4" localSheetId="11">[143]Сибмол!#REF!</definedName>
    <definedName name="п4" localSheetId="8">[143]Сибмол!#REF!</definedName>
    <definedName name="п4" localSheetId="9">[143]Сибмол!#REF!</definedName>
    <definedName name="п4" localSheetId="10">[143]Сибмол!#REF!</definedName>
    <definedName name="п4" localSheetId="5">[143]Сибмол!#REF!</definedName>
    <definedName name="п4" localSheetId="4">[143]Сибмол!#REF!</definedName>
    <definedName name="п4">[143]Сибмол!#REF!</definedName>
    <definedName name="п5" localSheetId="15">[143]Сибмол!#REF!</definedName>
    <definedName name="п5" localSheetId="2">[143]Сибмол!#REF!</definedName>
    <definedName name="п5" localSheetId="1">[143]Сибмол!#REF!</definedName>
    <definedName name="п5" localSheetId="11">[143]Сибмол!#REF!</definedName>
    <definedName name="п5" localSheetId="8">[143]Сибмол!#REF!</definedName>
    <definedName name="п5" localSheetId="9">[143]Сибмол!#REF!</definedName>
    <definedName name="п5" localSheetId="10">[143]Сибмол!#REF!</definedName>
    <definedName name="п5" localSheetId="5">[143]Сибмол!#REF!</definedName>
    <definedName name="п5" localSheetId="4">[143]Сибмол!#REF!</definedName>
    <definedName name="п5">[143]Сибмол!#REF!</definedName>
    <definedName name="п6" localSheetId="15">[143]Сибмол!#REF!</definedName>
    <definedName name="п6" localSheetId="11">[143]Сибмол!#REF!</definedName>
    <definedName name="п6" localSheetId="8">[143]Сибмол!#REF!</definedName>
    <definedName name="п6" localSheetId="9">[143]Сибмол!#REF!</definedName>
    <definedName name="п6" localSheetId="10">[143]Сибмол!#REF!</definedName>
    <definedName name="п6">[143]Сибмол!#REF!</definedName>
    <definedName name="павв" localSheetId="15">#REF!</definedName>
    <definedName name="павв" localSheetId="2">#REF!</definedName>
    <definedName name="павв" localSheetId="1">#REF!</definedName>
    <definedName name="павв" localSheetId="11">#REF!</definedName>
    <definedName name="павв" localSheetId="8">#REF!</definedName>
    <definedName name="павв" localSheetId="9">#REF!</definedName>
    <definedName name="павв" localSheetId="10">#REF!</definedName>
    <definedName name="павв" localSheetId="5">#REF!</definedName>
    <definedName name="павв" localSheetId="4">#REF!</definedName>
    <definedName name="павв">#REF!</definedName>
    <definedName name="паоаолаол" localSheetId="15">#REF!</definedName>
    <definedName name="паоаолаол" localSheetId="11">#REF!</definedName>
    <definedName name="паоаолаол" localSheetId="8">#REF!</definedName>
    <definedName name="паоаолаол" localSheetId="9">#REF!</definedName>
    <definedName name="паоаолаол" localSheetId="10">#REF!</definedName>
    <definedName name="паоаолаол">#REF!</definedName>
    <definedName name="папп" localSheetId="15">#REF!</definedName>
    <definedName name="папп" localSheetId="11">#REF!</definedName>
    <definedName name="папп" localSheetId="8">#REF!</definedName>
    <definedName name="папп" localSheetId="9">#REF!</definedName>
    <definedName name="папп" localSheetId="10">#REF!</definedName>
    <definedName name="папп">#REF!</definedName>
    <definedName name="Параметры" localSheetId="15">[169]Параметры!#REF!</definedName>
    <definedName name="Параметры" localSheetId="11">[169]Параметры!#REF!</definedName>
    <definedName name="Параметры" localSheetId="8">[169]Параметры!#REF!</definedName>
    <definedName name="Параметры" localSheetId="9">[169]Параметры!#REF!</definedName>
    <definedName name="Параметры" localSheetId="10">[169]Параметры!#REF!</definedName>
    <definedName name="Параметры">[169]Параметры!#REF!</definedName>
    <definedName name="пва" localSheetId="15">#REF!</definedName>
    <definedName name="пва" localSheetId="2">#REF!</definedName>
    <definedName name="пва" localSheetId="1">#REF!</definedName>
    <definedName name="пва" localSheetId="11">#REF!</definedName>
    <definedName name="пва" localSheetId="8">#REF!</definedName>
    <definedName name="пва" localSheetId="9">#REF!</definedName>
    <definedName name="пва" localSheetId="10">#REF!</definedName>
    <definedName name="пва" localSheetId="5">#REF!</definedName>
    <definedName name="пва" localSheetId="4">#REF!</definedName>
    <definedName name="пва">#REF!</definedName>
    <definedName name="пварп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5">#REF!</definedName>
    <definedName name="пвп" localSheetId="2">#REF!</definedName>
    <definedName name="пвп" localSheetId="1">#REF!</definedName>
    <definedName name="пвп" localSheetId="11">#REF!</definedName>
    <definedName name="пвп" localSheetId="8">#REF!</definedName>
    <definedName name="пвп" localSheetId="9">#REF!</definedName>
    <definedName name="пвп" localSheetId="10">#REF!</definedName>
    <definedName name="пвп" localSheetId="5">#REF!</definedName>
    <definedName name="пвп" localSheetId="4">#REF!</definedName>
    <definedName name="пвп">#REF!</definedName>
    <definedName name="Пдс" localSheetId="15">#REF!</definedName>
    <definedName name="Пдс" localSheetId="11">#REF!</definedName>
    <definedName name="Пдс" localSheetId="8">#REF!</definedName>
    <definedName name="Пдс" localSheetId="9">#REF!</definedName>
    <definedName name="Пдс" localSheetId="10">#REF!</definedName>
    <definedName name="Пдс">#REF!</definedName>
    <definedName name="первый" localSheetId="15">#REF!</definedName>
    <definedName name="первый" localSheetId="11">#REF!</definedName>
    <definedName name="первый" localSheetId="8">#REF!</definedName>
    <definedName name="первый" localSheetId="9">#REF!</definedName>
    <definedName name="первый" localSheetId="10">#REF!</definedName>
    <definedName name="первый">#REF!</definedName>
    <definedName name="Период" localSheetId="15">#REF!</definedName>
    <definedName name="Период" localSheetId="11">#REF!</definedName>
    <definedName name="Период" localSheetId="10">#REF!</definedName>
    <definedName name="Период">#REF!</definedName>
    <definedName name="ПЛАН" localSheetId="15">#REF!,#REF!,#REF!</definedName>
    <definedName name="ПЛАН" localSheetId="2">#REF!,#REF!,#REF!</definedName>
    <definedName name="ПЛАН" localSheetId="1">#REF!,#REF!,#REF!</definedName>
    <definedName name="ПЛАН" localSheetId="11">#REF!,#REF!,#REF!</definedName>
    <definedName name="ПЛАН" localSheetId="8">#REF!,#REF!,#REF!</definedName>
    <definedName name="ПЛАН" localSheetId="9">#REF!,#REF!,#REF!</definedName>
    <definedName name="ПЛАН" localSheetId="10">#REF!,#REF!,#REF!</definedName>
    <definedName name="ПЛАН" localSheetId="5">#REF!,#REF!,#REF!</definedName>
    <definedName name="ПЛАН" localSheetId="4">#REF!,#REF!,#REF!</definedName>
    <definedName name="ПЛАН">#REF!,#REF!,#REF!</definedName>
    <definedName name="ПЛАН1" localSheetId="15">#REF!</definedName>
    <definedName name="ПЛАН1" localSheetId="2">#REF!</definedName>
    <definedName name="ПЛАН1" localSheetId="1">#REF!</definedName>
    <definedName name="ПЛАН1" localSheetId="11">#REF!</definedName>
    <definedName name="ПЛАН1" localSheetId="8">#REF!</definedName>
    <definedName name="ПЛАН1" localSheetId="9">#REF!</definedName>
    <definedName name="ПЛАН1" localSheetId="10">#REF!</definedName>
    <definedName name="ПЛАН1" localSheetId="5">#REF!</definedName>
    <definedName name="ПЛАН1" localSheetId="4">#REF!</definedName>
    <definedName name="ПЛАН1">#REF!</definedName>
    <definedName name="план56" localSheetId="15">[7]!план56</definedName>
    <definedName name="план56" localSheetId="11">#N/A</definedName>
    <definedName name="план56" localSheetId="8">#N/A</definedName>
    <definedName name="план56" localSheetId="9">#N/A</definedName>
    <definedName name="план56">#N/A</definedName>
    <definedName name="Плата_за_капитал" localSheetId="15">#REF!,#REF!,#REF!,#REF!,#REF!,#REF!,#REF!,#REF!,#REF!,#REF!</definedName>
    <definedName name="Плата_за_капитал" localSheetId="2">#REF!,#REF!,#REF!,#REF!,#REF!,#REF!,#REF!,#REF!,#REF!,#REF!</definedName>
    <definedName name="Плата_за_капитал" localSheetId="1">#REF!,#REF!,#REF!,#REF!,#REF!,#REF!,#REF!,#REF!,#REF!,#REF!</definedName>
    <definedName name="Плата_за_капитал" localSheetId="11">#REF!,#REF!,#REF!,#REF!,#REF!,#REF!,#REF!,#REF!,#REF!,#REF!</definedName>
    <definedName name="Плата_за_капитал" localSheetId="8">#REF!,#REF!,#REF!,#REF!,#REF!,#REF!,#REF!,#REF!,#REF!,#REF!</definedName>
    <definedName name="Плата_за_капитал" localSheetId="9">#REF!,#REF!,#REF!,#REF!,#REF!,#REF!,#REF!,#REF!,#REF!,#REF!</definedName>
    <definedName name="Плата_за_капитал" localSheetId="10">#REF!,#REF!,#REF!,#REF!,#REF!,#REF!,#REF!,#REF!,#REF!,#REF!</definedName>
    <definedName name="Плата_за_капитал" localSheetId="5">#REF!,#REF!,#REF!,#REF!,#REF!,#REF!,#REF!,#REF!,#REF!,#REF!</definedName>
    <definedName name="Плата_за_капитал" localSheetId="4">#REF!,#REF!,#REF!,#REF!,#REF!,#REF!,#REF!,#REF!,#REF!,#REF!</definedName>
    <definedName name="Плата_за_капитал">#REF!,#REF!,#REF!,#REF!,#REF!,#REF!,#REF!,#REF!,#REF!,#REF!</definedName>
    <definedName name="ПМС" localSheetId="15">[7]!ПМС</definedName>
    <definedName name="ПМС" localSheetId="11">#N/A</definedName>
    <definedName name="ПМС" localSheetId="8">#N/A</definedName>
    <definedName name="ПМС" localSheetId="9">#N/A</definedName>
    <definedName name="ПМС">#N/A</definedName>
    <definedName name="ПМС1" localSheetId="15">[7]!ПМС1</definedName>
    <definedName name="ПМС1" localSheetId="11">#N/A</definedName>
    <definedName name="ПМС1" localSheetId="8">#N/A</definedName>
    <definedName name="ПМС1" localSheetId="9">#N/A</definedName>
    <definedName name="ПМС1">#N/A</definedName>
    <definedName name="пнлнееен" localSheetId="15" hidden="1">{#N/A,#N/A,FALSE,"Себестоимсть-97"}</definedName>
    <definedName name="пнлнееен" localSheetId="2" hidden="1">{#N/A,#N/A,FALSE,"Себестоимсть-97"}</definedName>
    <definedName name="пнлнееен" localSheetId="1" hidden="1">{#N/A,#N/A,FALSE,"Себестоимсть-97"}</definedName>
    <definedName name="пнлнееен" localSheetId="11" hidden="1">{#N/A,#N/A,FALSE,"Себестоимсть-97"}</definedName>
    <definedName name="пнлнееен" localSheetId="8" hidden="1">{#N/A,#N/A,FALSE,"Себестоимсть-97"}</definedName>
    <definedName name="пнлнееен" localSheetId="9" hidden="1">{#N/A,#N/A,FALSE,"Себестоимсть-97"}</definedName>
    <definedName name="пнлнееен" localSheetId="10" hidden="1">{#N/A,#N/A,FALSE,"Себестоимсть-97"}</definedName>
    <definedName name="пнлнееен" localSheetId="5" hidden="1">{#N/A,#N/A,FALSE,"Себестоимсть-97"}</definedName>
    <definedName name="пнлнееен" localSheetId="4" hidden="1">{#N/A,#N/A,FALSE,"Себестоимсть-97"}</definedName>
    <definedName name="пнлнееен" hidden="1">{#N/A,#N/A,FALSE,"Себестоимсть-97"}</definedName>
    <definedName name="пнлнееен1" localSheetId="15" hidden="1">{#N/A,#N/A,FALSE,"Себестоимсть-97"}</definedName>
    <definedName name="пнлнееен1" localSheetId="2" hidden="1">{#N/A,#N/A,FALSE,"Себестоимсть-97"}</definedName>
    <definedName name="пнлнееен1" localSheetId="1" hidden="1">{#N/A,#N/A,FALSE,"Себестоимсть-97"}</definedName>
    <definedName name="пнлнееен1" localSheetId="11" hidden="1">{#N/A,#N/A,FALSE,"Себестоимсть-97"}</definedName>
    <definedName name="пнлнееен1" localSheetId="8" hidden="1">{#N/A,#N/A,FALSE,"Себестоимсть-97"}</definedName>
    <definedName name="пнлнееен1" localSheetId="9" hidden="1">{#N/A,#N/A,FALSE,"Себестоимсть-97"}</definedName>
    <definedName name="пнлнееен1" localSheetId="10" hidden="1">{#N/A,#N/A,FALSE,"Себестоимсть-97"}</definedName>
    <definedName name="пнлнееен1" localSheetId="5" hidden="1">{#N/A,#N/A,FALSE,"Себестоимсть-97"}</definedName>
    <definedName name="пнлнееен1" localSheetId="4" hidden="1">{#N/A,#N/A,FALSE,"Себестоимсть-97"}</definedName>
    <definedName name="пнлнееен1" hidden="1">{#N/A,#N/A,FALSE,"Себестоимсть-97"}</definedName>
    <definedName name="Подоперация" localSheetId="15">#REF!</definedName>
    <definedName name="Подоперация" localSheetId="2">#REF!</definedName>
    <definedName name="Подоперация" localSheetId="1">#REF!</definedName>
    <definedName name="Подоперация" localSheetId="11">#REF!</definedName>
    <definedName name="Подоперация" localSheetId="8">#REF!</definedName>
    <definedName name="Подоперация" localSheetId="9">#REF!</definedName>
    <definedName name="Подоперация" localSheetId="10">#REF!</definedName>
    <definedName name="Подоперация" localSheetId="5">#REF!</definedName>
    <definedName name="Подоперация" localSheetId="4">#REF!</definedName>
    <definedName name="Подоперация">#REF!</definedName>
    <definedName name="подпись_должн1" localSheetId="15">#REF!</definedName>
    <definedName name="подпись_должн1" localSheetId="11">#REF!</definedName>
    <definedName name="подпись_должн1" localSheetId="8">#REF!</definedName>
    <definedName name="подпись_должн1" localSheetId="9">#REF!</definedName>
    <definedName name="подпись_должн1" localSheetId="10">#REF!</definedName>
    <definedName name="подпись_должн1">#REF!</definedName>
    <definedName name="подпись_должн2" localSheetId="15">#REF!</definedName>
    <definedName name="подпись_должн2" localSheetId="11">#REF!</definedName>
    <definedName name="подпись_должн2" localSheetId="8">#REF!</definedName>
    <definedName name="подпись_должн2" localSheetId="9">#REF!</definedName>
    <definedName name="подпись_должн2" localSheetId="10">#REF!</definedName>
    <definedName name="подпись_должн2">#REF!</definedName>
    <definedName name="подпись_должн3" localSheetId="15">#REF!</definedName>
    <definedName name="подпись_должн3" localSheetId="11">#REF!</definedName>
    <definedName name="подпись_должн3" localSheetId="10">#REF!</definedName>
    <definedName name="подпись_должн3">#REF!</definedName>
    <definedName name="подпись_фио1" localSheetId="15">#REF!</definedName>
    <definedName name="подпись_фио1" localSheetId="11">#REF!</definedName>
    <definedName name="подпись_фио1" localSheetId="10">#REF!</definedName>
    <definedName name="подпись_фио1">#REF!</definedName>
    <definedName name="подпись_фио2" localSheetId="15">#REF!</definedName>
    <definedName name="подпись_фио2" localSheetId="11">#REF!</definedName>
    <definedName name="подпись_фио2" localSheetId="10">#REF!</definedName>
    <definedName name="подпись_фио2">#REF!</definedName>
    <definedName name="подпись_фио3" localSheetId="15">#REF!</definedName>
    <definedName name="подпись_фио3" localSheetId="11">#REF!</definedName>
    <definedName name="подпись_фио3" localSheetId="10">#REF!</definedName>
    <definedName name="подпись_фио3">#REF!</definedName>
    <definedName name="ПОКАЗАТЕЛИ_ДОЛГОСР.ПРОГНОЗА" localSheetId="15">'[170]2002(v2)'!#REF!</definedName>
    <definedName name="ПОКАЗАТЕЛИ_ДОЛГОСР.ПРОГНОЗА" localSheetId="2">'[170]2002(v2)'!#REF!</definedName>
    <definedName name="ПОКАЗАТЕЛИ_ДОЛГОСР.ПРОГНОЗА" localSheetId="1">'[170]2002(v2)'!#REF!</definedName>
    <definedName name="ПОКАЗАТЕЛИ_ДОЛГОСР.ПРОГНОЗА" localSheetId="11">#REF!</definedName>
    <definedName name="ПОКАЗАТЕЛИ_ДОЛГОСР.ПРОГНОЗА" localSheetId="8">#REF!</definedName>
    <definedName name="ПОКАЗАТЕЛИ_ДОЛГОСР.ПРОГНОЗА" localSheetId="9">#REF!</definedName>
    <definedName name="ПОКАЗАТЕЛИ_ДОЛГОСР.ПРОГНОЗА" localSheetId="10">#REF!</definedName>
    <definedName name="ПОКАЗАТЕЛИ_ДОЛГОСР.ПРОГНОЗА" localSheetId="5">'[170]2002(v2)'!#REF!</definedName>
    <definedName name="ПОКАЗАТЕЛИ_ДОЛГОСР.ПРОГНОЗА" localSheetId="4">'[170]2002(v2)'!#REF!</definedName>
    <definedName name="ПОКАЗАТЕЛИ_ДОЛГОСР.ПРОГНОЗА">'[170]2002(v2)'!#REF!</definedName>
    <definedName name="попороо" localSheetId="15">#REF!</definedName>
    <definedName name="попороо" localSheetId="2">#REF!</definedName>
    <definedName name="попороо" localSheetId="1">#REF!</definedName>
    <definedName name="попороо" localSheetId="11">#REF!</definedName>
    <definedName name="попороо" localSheetId="8">#REF!</definedName>
    <definedName name="попороо" localSheetId="9">#REF!</definedName>
    <definedName name="попороо" localSheetId="10">#REF!</definedName>
    <definedName name="попороо" localSheetId="5">#REF!</definedName>
    <definedName name="попороо" localSheetId="4">#REF!</definedName>
    <definedName name="попороо">#REF!</definedName>
    <definedName name="попро" localSheetId="15">#REF!</definedName>
    <definedName name="попро" localSheetId="11">#REF!</definedName>
    <definedName name="попро" localSheetId="10">#REF!</definedName>
    <definedName name="попро">#REF!</definedName>
    <definedName name="постав" localSheetId="15">#REF!</definedName>
    <definedName name="постав" localSheetId="11">#REF!</definedName>
    <definedName name="постав" localSheetId="10">#REF!</definedName>
    <definedName name="постав">#REF!</definedName>
    <definedName name="ПОТР._РЫНОКДП" localSheetId="15">'[17]1999-veca'!#REF!</definedName>
    <definedName name="ПОТР._РЫНОКДП" localSheetId="2">'[18]1999-veca'!#REF!</definedName>
    <definedName name="ПОТР._РЫНОКДП" localSheetId="1">'[18]1999-veca'!#REF!</definedName>
    <definedName name="ПОТР._РЫНОКДП" localSheetId="11">'[17]1999-veca'!#REF!</definedName>
    <definedName name="ПОТР._РЫНОКДП" localSheetId="8">'[17]1999-veca'!#REF!</definedName>
    <definedName name="ПОТР._РЫНОКДП" localSheetId="9">'[17]1999-veca'!#REF!</definedName>
    <definedName name="ПОТР._РЫНОКДП" localSheetId="10">'[19]1999-veca'!#REF!</definedName>
    <definedName name="ПОТР._РЫНОКДП" localSheetId="5">'[18]1999-veca'!#REF!</definedName>
    <definedName name="ПОТР._РЫНОКДП" localSheetId="4">'[18]1999-veca'!#REF!</definedName>
    <definedName name="ПОТР._РЫНОКДП">'[20]1999-veca'!#REF!</definedName>
    <definedName name="Потреб_вып_всего" localSheetId="15">'[109]Текущие цены'!#REF!</definedName>
    <definedName name="Потреб_вып_всего" localSheetId="2">'[110]Текущие цены'!#REF!</definedName>
    <definedName name="Потреб_вып_всего" localSheetId="1">'[110]Текущие цены'!#REF!</definedName>
    <definedName name="Потреб_вып_всего" localSheetId="11">'[109]Текущие цены'!#REF!</definedName>
    <definedName name="Потреб_вып_всего" localSheetId="8">'[109]Текущие цены'!#REF!</definedName>
    <definedName name="Потреб_вып_всего" localSheetId="9">'[109]Текущие цены'!#REF!</definedName>
    <definedName name="Потреб_вып_всего" localSheetId="10">'[111]Текущие цены'!#REF!</definedName>
    <definedName name="Потреб_вып_всего" localSheetId="5">'[110]Текущие цены'!#REF!</definedName>
    <definedName name="Потреб_вып_всего" localSheetId="4">'[110]Текущие цены'!#REF!</definedName>
    <definedName name="Потреб_вып_всего">'[112]Текущие цены'!#REF!</definedName>
    <definedName name="Потреб_вып_оф_н_цпг" localSheetId="15">'[109]Текущие цены'!#REF!</definedName>
    <definedName name="Потреб_вып_оф_н_цпг" localSheetId="2">'[110]Текущие цены'!#REF!</definedName>
    <definedName name="Потреб_вып_оф_н_цпг" localSheetId="1">'[110]Текущие цены'!#REF!</definedName>
    <definedName name="Потреб_вып_оф_н_цпг" localSheetId="11">'[109]Текущие цены'!#REF!</definedName>
    <definedName name="Потреб_вып_оф_н_цпг" localSheetId="8">'[109]Текущие цены'!#REF!</definedName>
    <definedName name="Потреб_вып_оф_н_цпг" localSheetId="9">'[109]Текущие цены'!#REF!</definedName>
    <definedName name="Потреб_вып_оф_н_цпг" localSheetId="10">'[111]Текущие цены'!#REF!</definedName>
    <definedName name="Потреб_вып_оф_н_цпг" localSheetId="5">'[110]Текущие цены'!#REF!</definedName>
    <definedName name="Потреб_вып_оф_н_цпг" localSheetId="4">'[110]Текущие цены'!#REF!</definedName>
    <definedName name="Потреб_вып_оф_н_цпг">'[112]Текущие цены'!#REF!</definedName>
    <definedName name="Поясн" localSheetId="15">#REF!</definedName>
    <definedName name="Поясн" localSheetId="2">#REF!</definedName>
    <definedName name="Поясн" localSheetId="1">#REF!</definedName>
    <definedName name="Поясн" localSheetId="11">#REF!</definedName>
    <definedName name="Поясн" localSheetId="8">#REF!</definedName>
    <definedName name="Поясн" localSheetId="9">#REF!</definedName>
    <definedName name="Поясн" localSheetId="10">#REF!</definedName>
    <definedName name="Поясн" localSheetId="5">#REF!</definedName>
    <definedName name="Поясн" localSheetId="4">#REF!</definedName>
    <definedName name="Поясн">#REF!</definedName>
    <definedName name="пояснения" localSheetId="15">#REF!</definedName>
    <definedName name="пояснения" localSheetId="11">#REF!</definedName>
    <definedName name="пояснения" localSheetId="8">#REF!</definedName>
    <definedName name="пояснения" localSheetId="9">#REF!</definedName>
    <definedName name="пояснения" localSheetId="10">#REF!</definedName>
    <definedName name="пояснения">#REF!</definedName>
    <definedName name="пп" localSheetId="15" hidden="1">#REF!,#REF!,#REF!,амор!P1_SCOPE_PER_PRT,амор!P2_SCOPE_PER_PRT,амор!P3_SCOPE_PER_PRT,амор!P4_SCOPE_PER_PRT</definedName>
    <definedName name="пп" localSheetId="2" hidden="1">#REF!,#REF!,#REF!,[136]!P1_SCOPE_PER_PRT,[136]!P2_SCOPE_PER_PRT,[136]!P3_SCOPE_PER_PRT,[136]!P4_SCOPE_PER_PRT</definedName>
    <definedName name="пп" localSheetId="1" hidden="1">#REF!,#REF!,#REF!,[136]!P1_SCOPE_PER_PRT,[136]!P2_SCOPE_PER_PRT,[136]!P3_SCOPE_PER_PRT,[136]!P4_SCOPE_PER_PRT</definedName>
    <definedName name="пп" localSheetId="7" hidden="1">#REF!,#REF!,#REF!,[138]!P1_SCOPE_PER_PRT,[138]!P2_SCOPE_PER_PRT,[138]!P3_SCOPE_PER_PRT,[138]!P4_SCOPE_PER_PRT</definedName>
    <definedName name="пп" localSheetId="11" hidden="1">#REF!,#REF!,#REF!,'прил 4 к расп'!P1_SCOPE_PER_PRT,'прил 4 к расп'!P2_SCOPE_PER_PRT,'прил 4 к расп'!P3_SCOPE_PER_PRT,'прил 4 к расп'!P4_SCOPE_PER_PRT</definedName>
    <definedName name="пп" localSheetId="8" hidden="1">#REF!,#REF!,#REF!,Прил2!P1_SCOPE_PER_PRT,Прил2!P2_SCOPE_PER_PRT,Прил2!P3_SCOPE_PER_PRT,Прил2!P4_SCOPE_PER_PRT</definedName>
    <definedName name="пп" localSheetId="9" hidden="1">#REF!,#REF!,#REF!,Прил3!P1_SCOPE_PER_PRT,Прил3!P2_SCOPE_PER_PRT,Прил3!P3_SCOPE_PER_PRT,Прил3!P4_SCOPE_PER_PRT</definedName>
    <definedName name="пп" localSheetId="10" hidden="1">#REF!,#REF!,#REF!,[137]!P1_SCOPE_PER_PRT,[137]!P2_SCOPE_PER_PRT,[137]!P3_SCOPE_PER_PRT,[137]!P4_SCOPE_PER_PRT</definedName>
    <definedName name="пп" localSheetId="5" hidden="1">#REF!,#REF!,#REF!,[136]!P1_SCOPE_PER_PRT,[136]!P2_SCOPE_PER_PRT,[136]!P3_SCOPE_PER_PRT,[136]!P4_SCOPE_PER_PRT</definedName>
    <definedName name="пп" localSheetId="4" hidden="1">#REF!,#REF!,#REF!,[136]!P1_SCOPE_PER_PRT,[136]!P2_SCOPE_PER_PRT,[136]!P3_SCOPE_PER_PRT,[136]!P4_SCOPE_PER_PRT</definedName>
    <definedName name="пп" hidden="1">#REF!,#REF!,#REF!,[138]!P1_SCOPE_PER_PRT,[138]!P2_SCOPE_PER_PRT,[138]!P3_SCOPE_PER_PRT,[138]!P4_SCOPE_PER_PRT</definedName>
    <definedName name="ппп">'[6]#ССЫЛКА'!$A$5:$EH$116</definedName>
    <definedName name="пппп" localSheetId="15">#REF!</definedName>
    <definedName name="пппп" localSheetId="2">#REF!</definedName>
    <definedName name="пппп" localSheetId="1">#REF!</definedName>
    <definedName name="пппп" localSheetId="11">#REF!</definedName>
    <definedName name="пппп" localSheetId="8">#REF!</definedName>
    <definedName name="пппп" localSheetId="9">#REF!</definedName>
    <definedName name="пппп" localSheetId="10">#REF!</definedName>
    <definedName name="пппп" localSheetId="5">#REF!</definedName>
    <definedName name="пппп" localSheetId="4">#REF!</definedName>
    <definedName name="пппп">#REF!</definedName>
    <definedName name="ппррр" localSheetId="15">#REF!</definedName>
    <definedName name="ппррр" localSheetId="11">#REF!</definedName>
    <definedName name="ппррр" localSheetId="8">#REF!</definedName>
    <definedName name="ппррр" localSheetId="9">#REF!</definedName>
    <definedName name="ппррр" localSheetId="10">#REF!</definedName>
    <definedName name="ппррр">#REF!</definedName>
    <definedName name="пр" localSheetId="15" hidden="1">{"План продаж",#N/A,FALSE,"товар"}</definedName>
    <definedName name="пр" localSheetId="2" hidden="1">{"План продаж",#N/A,FALSE,"товар"}</definedName>
    <definedName name="пр" localSheetId="1" hidden="1">{"План продаж",#N/A,FALSE,"товар"}</definedName>
    <definedName name="пр" localSheetId="7" hidden="1">{"План продаж",#N/A,FALSE,"товар"}</definedName>
    <definedName name="пр" localSheetId="11" hidden="1">{"План продаж",#N/A,FALSE,"товар"}</definedName>
    <definedName name="пр" localSheetId="8" hidden="1">{"План продаж",#N/A,FALSE,"товар"}</definedName>
    <definedName name="пр" localSheetId="9" hidden="1">{"План продаж",#N/A,FALSE,"товар"}</definedName>
    <definedName name="пр" localSheetId="10" hidden="1">{"План продаж",#N/A,FALSE,"товар"}</definedName>
    <definedName name="пр" localSheetId="5" hidden="1">{"План продаж",#N/A,FALSE,"товар"}</definedName>
    <definedName name="пр" localSheetId="4" hidden="1">{"План продаж",#N/A,FALSE,"товар"}</definedName>
    <definedName name="пр" hidden="1">{"План продаж",#N/A,FALSE,"товар"}</definedName>
    <definedName name="пр.пр." localSheetId="15" hidden="1">#REF!,#REF!,#REF!,амор!P1_SCOPE_PER_PRT,амор!P2_SCOPE_PER_PRT,амор!P3_SCOPE_PER_PRT,амор!P4_SCOPE_PER_PRT</definedName>
    <definedName name="пр.пр.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пр.пр.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пр.пр." localSheetId="11" hidden="1">#REF!,#REF!,#REF!,P1_SCOPE_PER_PRT,P2_SCOPE_PER_PRT,P3_SCOPE_PER_PRT,P4_SCOPE_PER_PRT</definedName>
    <definedName name="пр.пр." localSheetId="8" hidden="1">#REF!,#REF!,#REF!,P1_SCOPE_PER_PRT,P2_SCOPE_PER_PRT,P3_SCOPE_PER_PRT,P4_SCOPE_PER_PRT</definedName>
    <definedName name="пр.пр." localSheetId="9" hidden="1">#REF!,#REF!,#REF!,P1_SCOPE_PER_PRT,P2_SCOPE_PER_PRT,P3_SCOPE_PER_PRT,P4_SCOPE_PER_PRT</definedName>
    <definedName name="пр.пр." localSheetId="10" hidden="1">#REF!,#REF!,#REF!,прил4!P1_SCOPE_PER_PRT,прил4!P2_SCOPE_PER_PRT,прил4!P3_SCOPE_PER_PRT,прил4!P4_SCOPE_PER_PRT</definedName>
    <definedName name="пр.пр.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пр.пр.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пр.пр." hidden="1">#REF!,#REF!,#REF!,P1_SCOPE_PER_PRT,P2_SCOPE_PER_PRT,P3_SCOPE_PER_PRT,P4_SCOPE_PER_PRT</definedName>
    <definedName name="Предлагаемые_для_утверждения_тарифы_на_эл.эн" localSheetId="15">#REF!</definedName>
    <definedName name="Предлагаемые_для_утверждения_тарифы_на_эл.эн" localSheetId="2">#REF!</definedName>
    <definedName name="Предлагаемые_для_утверждения_тарифы_на_эл.эн" localSheetId="1">#REF!</definedName>
    <definedName name="Предлагаемые_для_утверждения_тарифы_на_эл.эн" localSheetId="11">#REF!</definedName>
    <definedName name="Предлагаемые_для_утверждения_тарифы_на_эл.эн" localSheetId="8">#REF!</definedName>
    <definedName name="Предлагаемые_для_утверждения_тарифы_на_эл.эн" localSheetId="9">#REF!</definedName>
    <definedName name="Предлагаемые_для_утверждения_тарифы_на_эл.эн" localSheetId="10">#REF!</definedName>
    <definedName name="Предлагаемые_для_утверждения_тарифы_на_эл.эн" localSheetId="5">#REF!</definedName>
    <definedName name="Предлагаемые_для_утверждения_тарифы_на_эл.эн" localSheetId="4">#REF!</definedName>
    <definedName name="Предлагаемые_для_утверждения_тарифы_на_эл.эн">#REF!</definedName>
    <definedName name="Предприятие" localSheetId="15">#REF!</definedName>
    <definedName name="Предприятие" localSheetId="11">#REF!</definedName>
    <definedName name="Предприятие" localSheetId="8">#REF!</definedName>
    <definedName name="Предприятие" localSheetId="9">#REF!</definedName>
    <definedName name="Предприятие" localSheetId="10">#REF!</definedName>
    <definedName name="Предприятие">#REF!</definedName>
    <definedName name="Предприятия" localSheetId="15">#REF!</definedName>
    <definedName name="Предприятия" localSheetId="11">#REF!</definedName>
    <definedName name="Предприятия" localSheetId="8">#REF!</definedName>
    <definedName name="Предприятия" localSheetId="9">#REF!</definedName>
    <definedName name="Предприятия" localSheetId="10">#REF!</definedName>
    <definedName name="Предприятия">#REF!</definedName>
    <definedName name="прибыль3" localSheetId="15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15">[7]!прил</definedName>
    <definedName name="прил" localSheetId="11">#N/A</definedName>
    <definedName name="прил" localSheetId="8">#N/A</definedName>
    <definedName name="прил" localSheetId="9">#N/A</definedName>
    <definedName name="прил">#N/A</definedName>
    <definedName name="приложе" localSheetId="15">#REF!</definedName>
    <definedName name="приложе" localSheetId="2">#REF!</definedName>
    <definedName name="приложе" localSheetId="1">#REF!</definedName>
    <definedName name="приложе" localSheetId="11">#REF!</definedName>
    <definedName name="приложе" localSheetId="8">#REF!</definedName>
    <definedName name="приложе" localSheetId="9">#REF!</definedName>
    <definedName name="приложе" localSheetId="10">#REF!</definedName>
    <definedName name="приложе" localSheetId="5">#REF!</definedName>
    <definedName name="приложе" localSheetId="4">#REF!</definedName>
    <definedName name="приложе">#REF!</definedName>
    <definedName name="Приход_расход" localSheetId="15">#REF!</definedName>
    <definedName name="Приход_расход" localSheetId="11">#REF!</definedName>
    <definedName name="Приход_расход" localSheetId="8">#REF!</definedName>
    <definedName name="Приход_расход" localSheetId="9">#REF!</definedName>
    <definedName name="Приход_расход" localSheetId="10">#REF!</definedName>
    <definedName name="Приход_расход">#REF!</definedName>
    <definedName name="Прогноз_Вып_пц" localSheetId="15">[109]рабочий!$Y$240:$AP$262</definedName>
    <definedName name="Прогноз_Вып_пц" localSheetId="2">[110]рабочий!$Y$240:$AP$262</definedName>
    <definedName name="Прогноз_Вып_пц" localSheetId="1">[110]рабочий!$Y$240:$AP$262</definedName>
    <definedName name="Прогноз_Вып_пц" localSheetId="11">[109]рабочий!$Y$240:$AP$262</definedName>
    <definedName name="Прогноз_Вып_пц" localSheetId="8">[109]рабочий!$Y$240:$AP$262</definedName>
    <definedName name="Прогноз_Вып_пц" localSheetId="9">[109]рабочий!$Y$240:$AP$262</definedName>
    <definedName name="Прогноз_Вып_пц" localSheetId="10">[111]рабочий!$Y$240:$AP$262</definedName>
    <definedName name="Прогноз_Вып_пц" localSheetId="5">[110]рабочий!$Y$240:$AP$262</definedName>
    <definedName name="Прогноз_Вып_пц" localSheetId="4">[110]рабочий!$Y$240:$AP$262</definedName>
    <definedName name="Прогноз_Вып_пц">[112]рабочий!$Y$240:$AP$262</definedName>
    <definedName name="Прогноз_вып_цпг" localSheetId="15">'[109]Текущие цены'!#REF!</definedName>
    <definedName name="Прогноз_вып_цпг" localSheetId="2">'[110]Текущие цены'!#REF!</definedName>
    <definedName name="Прогноз_вып_цпг" localSheetId="1">'[110]Текущие цены'!#REF!</definedName>
    <definedName name="Прогноз_вып_цпг" localSheetId="11">'[109]Текущие цены'!#REF!</definedName>
    <definedName name="Прогноз_вып_цпг" localSheetId="8">'[109]Текущие цены'!#REF!</definedName>
    <definedName name="Прогноз_вып_цпг" localSheetId="9">'[109]Текущие цены'!#REF!</definedName>
    <definedName name="Прогноз_вып_цпг" localSheetId="10">'[111]Текущие цены'!#REF!</definedName>
    <definedName name="Прогноз_вып_цпг" localSheetId="5">'[110]Текущие цены'!#REF!</definedName>
    <definedName name="Прогноз_вып_цпг" localSheetId="4">'[110]Текущие цены'!#REF!</definedName>
    <definedName name="Прогноз_вып_цпг">'[112]Текущие цены'!#REF!</definedName>
    <definedName name="Прогноз97" localSheetId="15">[171]ПРОГНОЗ_1!#REF!</definedName>
    <definedName name="Прогноз97" localSheetId="2">[172]ПРОГНОЗ_1!#REF!</definedName>
    <definedName name="Прогноз97" localSheetId="1">[172]ПРОГНОЗ_1!#REF!</definedName>
    <definedName name="Прогноз97" localSheetId="11">[171]ПРОГНОЗ_1!#REF!</definedName>
    <definedName name="Прогноз97" localSheetId="8">[171]ПРОГНОЗ_1!#REF!</definedName>
    <definedName name="Прогноз97" localSheetId="9">[171]ПРОГНОЗ_1!#REF!</definedName>
    <definedName name="Прогноз97" localSheetId="10">[173]ПРОГНОЗ_1!#REF!</definedName>
    <definedName name="Прогноз97" localSheetId="5">[172]ПРОГНОЗ_1!#REF!</definedName>
    <definedName name="Прогноз97" localSheetId="4">[172]ПРОГНОЗ_1!#REF!</definedName>
    <definedName name="Прогноз97">[174]ПРОГНОЗ_1!#REF!</definedName>
    <definedName name="прод" localSheetId="15">#REF!</definedName>
    <definedName name="прод" localSheetId="2">#REF!</definedName>
    <definedName name="прод" localSheetId="1">#REF!</definedName>
    <definedName name="прод" localSheetId="11">#REF!</definedName>
    <definedName name="прод" localSheetId="8">#REF!</definedName>
    <definedName name="прод" localSheetId="9">#REF!</definedName>
    <definedName name="прод" localSheetId="10">#REF!</definedName>
    <definedName name="прод" localSheetId="5">#REF!</definedName>
    <definedName name="прод" localSheetId="4">#REF!</definedName>
    <definedName name="прод">#REF!</definedName>
    <definedName name="Проект" localSheetId="15">#REF!</definedName>
    <definedName name="Проект" localSheetId="11">#REF!</definedName>
    <definedName name="Проект" localSheetId="8">#REF!</definedName>
    <definedName name="Проект" localSheetId="9">#REF!</definedName>
    <definedName name="Проект" localSheetId="10">#REF!</definedName>
    <definedName name="Проект">#REF!</definedName>
    <definedName name="проп" localSheetId="15">#REF!</definedName>
    <definedName name="проп" localSheetId="11">#REF!</definedName>
    <definedName name="проп" localSheetId="8">#REF!</definedName>
    <definedName name="проп" localSheetId="9">#REF!</definedName>
    <definedName name="проп" localSheetId="10">#REF!</definedName>
    <definedName name="проп">#REF!</definedName>
    <definedName name="пропл" localSheetId="15">#REF!,#REF!,#REF!,#REF!,#REF!,#REF!,#REF!,#REF!,#REF!,#REF!</definedName>
    <definedName name="пропл" localSheetId="2">#REF!,#REF!,#REF!,#REF!,#REF!,#REF!,#REF!,#REF!,#REF!,#REF!</definedName>
    <definedName name="пропл" localSheetId="1">#REF!,#REF!,#REF!,#REF!,#REF!,#REF!,#REF!,#REF!,#REF!,#REF!</definedName>
    <definedName name="пропл" localSheetId="11">#REF!,#REF!,#REF!,#REF!,#REF!,#REF!,#REF!,#REF!,#REF!,#REF!</definedName>
    <definedName name="пропл" localSheetId="8">#REF!,#REF!,#REF!,#REF!,#REF!,#REF!,#REF!,#REF!,#REF!,#REF!</definedName>
    <definedName name="пропл" localSheetId="9">#REF!,#REF!,#REF!,#REF!,#REF!,#REF!,#REF!,#REF!,#REF!,#REF!</definedName>
    <definedName name="пропл" localSheetId="10">#REF!,#REF!,#REF!,#REF!,#REF!,#REF!,#REF!,#REF!,#REF!,#REF!</definedName>
    <definedName name="пропл" localSheetId="5">#REF!,#REF!,#REF!,#REF!,#REF!,#REF!,#REF!,#REF!,#REF!,#REF!</definedName>
    <definedName name="пропл" localSheetId="4">#REF!,#REF!,#REF!,#REF!,#REF!,#REF!,#REF!,#REF!,#REF!,#REF!</definedName>
    <definedName name="пропл">#REF!,#REF!,#REF!,#REF!,#REF!,#REF!,#REF!,#REF!,#REF!,#REF!</definedName>
    <definedName name="проплп" localSheetId="15">#REF!</definedName>
    <definedName name="проплп" localSheetId="2">#REF!</definedName>
    <definedName name="проплп" localSheetId="1">#REF!</definedName>
    <definedName name="проплп" localSheetId="11">#REF!</definedName>
    <definedName name="проплп" localSheetId="8">#REF!</definedName>
    <definedName name="проплп" localSheetId="9">#REF!</definedName>
    <definedName name="проплп" localSheetId="10">#REF!</definedName>
    <definedName name="проплп" localSheetId="5">#REF!</definedName>
    <definedName name="проплп" localSheetId="4">#REF!</definedName>
    <definedName name="проплп">#REF!</definedName>
    <definedName name="Процент" localSheetId="15">[175]Financing!#REF!</definedName>
    <definedName name="Процент" localSheetId="2">[175]Financing!#REF!</definedName>
    <definedName name="Процент" localSheetId="1">[175]Financing!#REF!</definedName>
    <definedName name="Процент" localSheetId="11">[175]Financing!#REF!</definedName>
    <definedName name="Процент" localSheetId="8">[175]Financing!#REF!</definedName>
    <definedName name="Процент" localSheetId="9">[175]Financing!#REF!</definedName>
    <definedName name="Процент" localSheetId="10">[175]Financing!#REF!</definedName>
    <definedName name="Процент" localSheetId="5">[175]Financing!#REF!</definedName>
    <definedName name="Процент" localSheetId="4">[175]Financing!#REF!</definedName>
    <definedName name="Процент">[175]Financing!#REF!</definedName>
    <definedName name="прош_год" localSheetId="15">#REF!</definedName>
    <definedName name="прош_год" localSheetId="2">#REF!</definedName>
    <definedName name="прош_год" localSheetId="1">#REF!</definedName>
    <definedName name="прош_год" localSheetId="11">#REF!</definedName>
    <definedName name="прош_год" localSheetId="8">#REF!</definedName>
    <definedName name="прош_год" localSheetId="9">#REF!</definedName>
    <definedName name="прош_год" localSheetId="10">#REF!</definedName>
    <definedName name="прош_год" localSheetId="5">#REF!</definedName>
    <definedName name="прош_год" localSheetId="4">#REF!</definedName>
    <definedName name="прош_год">#REF!</definedName>
    <definedName name="прпооооооо" localSheetId="15">#REF!</definedName>
    <definedName name="прпооооооо" localSheetId="11">#REF!</definedName>
    <definedName name="прпооооооо" localSheetId="8">#REF!</definedName>
    <definedName name="прпооооооо" localSheetId="9">#REF!</definedName>
    <definedName name="прпооооооо" localSheetId="10">#REF!</definedName>
    <definedName name="прпооооооо">#REF!</definedName>
    <definedName name="прпор" localSheetId="15">#REF!</definedName>
    <definedName name="прпор" localSheetId="11">#REF!</definedName>
    <definedName name="прпор" localSheetId="8">#REF!</definedName>
    <definedName name="прпор" localSheetId="9">#REF!</definedName>
    <definedName name="прпор" localSheetId="10">#REF!</definedName>
    <definedName name="прпор">#REF!</definedName>
    <definedName name="прпрнаанал" localSheetId="15" hidden="1">#REF!,#REF!,#REF!,амор!P1_SCOPE_PER_PRT,амор!P2_SCOPE_PER_PRT,амор!P3_SCOPE_PER_PRT,амор!P4_SCOPE_PER_PRT</definedName>
    <definedName name="прпрнаанал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прпрнаанал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прпрнаанал" localSheetId="7" hidden="1">#REF!,#REF!,#REF!,подконтрольные!P1_SCOPE_PER_PRT,подконтрольные!P2_SCOPE_PER_PRT,подконтрольные!P3_SCOPE_PER_PRT,подконтрольные!P4_SCOPE_PER_PRT</definedName>
    <definedName name="прпрнаанал" localSheetId="11" hidden="1">#REF!,#REF!,#REF!,'прил 4 к расп'!P1_SCOPE_PER_PRT,'прил 4 к расп'!P2_SCOPE_PER_PRT,'прил 4 к расп'!P3_SCOPE_PER_PRT,'прил 4 к расп'!P4_SCOPE_PER_PRT</definedName>
    <definedName name="прпрнаанал" localSheetId="8" hidden="1">#REF!,#REF!,#REF!,Прил2!P1_SCOPE_PER_PRT,Прил2!P2_SCOPE_PER_PRT,Прил2!P3_SCOPE_PER_PRT,Прил2!P4_SCOPE_PER_PRT</definedName>
    <definedName name="прпрнаанал" localSheetId="9" hidden="1">#REF!,#REF!,#REF!,Прил3!P1_SCOPE_PER_PRT,Прил3!P2_SCOPE_PER_PRT,Прил3!P3_SCOPE_PER_PRT,Прил3!P4_SCOPE_PER_PRT</definedName>
    <definedName name="прпрнаанал" localSheetId="10" hidden="1">#REF!,#REF!,#REF!,прил4!P1_SCOPE_PER_PRT,прил4!P2_SCOPE_PER_PRT,прил4!P3_SCOPE_PER_PRT,прил4!P4_SCOPE_PER_PRT</definedName>
    <definedName name="прпрнаанал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прпрнаанал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прпрнаанал" hidden="1">#REF!,#REF!,#REF!,P1_SCOPE_PER_PRT,P2_SCOPE_PER_PRT,P3_SCOPE_PER_PRT,P4_SCOPE_PER_PRT</definedName>
    <definedName name="ПТО" localSheetId="15">[176]БДР!#REF!</definedName>
    <definedName name="ПТО" localSheetId="11">[176]БДР!#REF!</definedName>
    <definedName name="ПТО">[176]БДР!#REF!</definedName>
    <definedName name="пуд" localSheetId="15">[143]Сибмол!#REF!</definedName>
    <definedName name="пуд" localSheetId="2">[143]Сибмол!#REF!</definedName>
    <definedName name="пуд" localSheetId="1">[143]Сибмол!#REF!</definedName>
    <definedName name="пуд" localSheetId="11">[143]Сибмол!#REF!</definedName>
    <definedName name="пуд" localSheetId="8">[143]Сибмол!#REF!</definedName>
    <definedName name="пуд" localSheetId="9">[143]Сибмол!#REF!</definedName>
    <definedName name="пуд" localSheetId="10">[143]Сибмол!#REF!</definedName>
    <definedName name="пуд" localSheetId="5">[143]Сибмол!#REF!</definedName>
    <definedName name="пуд" localSheetId="4">[143]Сибмол!#REF!</definedName>
    <definedName name="пуд">[143]Сибмол!#REF!</definedName>
    <definedName name="пукпа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ятый" localSheetId="15">#REF!</definedName>
    <definedName name="пятый" localSheetId="11">#REF!</definedName>
    <definedName name="пятый">#REF!</definedName>
    <definedName name="р" localSheetId="15">#REF!</definedName>
    <definedName name="р" localSheetId="11">#REF!</definedName>
    <definedName name="р" localSheetId="8">#REF!</definedName>
    <definedName name="р" localSheetId="9">#REF!</definedName>
    <definedName name="р" localSheetId="10">#REF!</definedName>
    <definedName name="р">#REF!</definedName>
    <definedName name="Расчёт_диффер_по_времени_суток_ставок_за_эл.эн" localSheetId="15">#REF!</definedName>
    <definedName name="Расчёт_диффер_по_времени_суток_ставок_за_эл.эн" localSheetId="11">#REF!</definedName>
    <definedName name="Расчёт_диффер_по_времени_суток_ставок_за_эл.эн" localSheetId="8">#REF!</definedName>
    <definedName name="Расчёт_диффер_по_времени_суток_ставок_за_эл.эн" localSheetId="9">#REF!</definedName>
    <definedName name="Расчёт_диффер_по_времени_суток_ставок_за_эл.эн" localSheetId="10">#REF!</definedName>
    <definedName name="Расчёт_диффер_по_времени_суток_ставок_за_эл.эн">#REF!</definedName>
    <definedName name="Расчет_диффер_ставок_платы_за_тепловую_мощность" localSheetId="15">#REF!</definedName>
    <definedName name="Расчет_диффер_ставок_платы_за_тепловую_мощность" localSheetId="11">#REF!</definedName>
    <definedName name="Расчет_диффер_ставок_платы_за_тепловую_мощность" localSheetId="8">#REF!</definedName>
    <definedName name="Расчет_диффер_ставок_платы_за_тепловую_мощность" localSheetId="9">#REF!</definedName>
    <definedName name="Расчет_диффер_ставок_платы_за_тепловую_мощность" localSheetId="1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5">#REF!</definedName>
    <definedName name="Расчет_дифференцированных_ставок_платы_за_теплоэнергию" localSheetId="11">#REF!</definedName>
    <definedName name="Расчет_дифференцированных_ставок_платы_за_теплоэнергию" localSheetId="10">#REF!</definedName>
    <definedName name="Расчет_дифференцированных_ставок_платы_за_теплоэнергию">#REF!</definedName>
    <definedName name="Расчет_региональной_абонентной_платы" localSheetId="15">#REF!</definedName>
    <definedName name="Расчет_региональной_абонентной_платы" localSheetId="11">#REF!</definedName>
    <definedName name="Расчет_региональной_абонентной_платы" localSheetId="10">#REF!</definedName>
    <definedName name="Расчет_региональной_абонентной_платы">#REF!</definedName>
    <definedName name="ргззхщ" localSheetId="15">#REF!</definedName>
    <definedName name="ргззхщ" localSheetId="11">#REF!</definedName>
    <definedName name="ргззхщ" localSheetId="10">#REF!</definedName>
    <definedName name="ргззхщ">#REF!</definedName>
    <definedName name="Регион" localSheetId="15">#REF!</definedName>
    <definedName name="Регион" localSheetId="11">#REF!</definedName>
    <definedName name="Регион" localSheetId="10">#REF!</definedName>
    <definedName name="Регион">#REF!</definedName>
    <definedName name="Регионы" localSheetId="15">#REF!</definedName>
    <definedName name="Регионы" localSheetId="11">#REF!</definedName>
    <definedName name="Регионы" localSheetId="10">#REF!</definedName>
    <definedName name="Регионы">#REF!</definedName>
    <definedName name="ремонт" localSheetId="15">#REF!</definedName>
    <definedName name="ремонт" localSheetId="11">#REF!</definedName>
    <definedName name="ремонт" localSheetId="10">#REF!</definedName>
    <definedName name="ремонт">#REF!</definedName>
    <definedName name="рис1" localSheetId="15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[126]ПЦ!$C$1</definedName>
    <definedName name="рол" localSheetId="15" hidden="1">{"Товар.выработка без продаж",#N/A,FALSE,"товар"}</definedName>
    <definedName name="рол" localSheetId="2" hidden="1">{"Товар.выработка без продаж",#N/A,FALSE,"товар"}</definedName>
    <definedName name="рол" localSheetId="1" hidden="1">{"Товар.выработка без продаж",#N/A,FALSE,"товар"}</definedName>
    <definedName name="рол" localSheetId="7" hidden="1">{"Товар.выработка без продаж",#N/A,FALSE,"товар"}</definedName>
    <definedName name="рол" localSheetId="11" hidden="1">{"Товар.выработка без продаж",#N/A,FALSE,"товар"}</definedName>
    <definedName name="рол" localSheetId="8" hidden="1">{"Товар.выработка без продаж",#N/A,FALSE,"товар"}</definedName>
    <definedName name="рол" localSheetId="9" hidden="1">{"Товар.выработка без продаж",#N/A,FALSE,"товар"}</definedName>
    <definedName name="рол" localSheetId="10" hidden="1">{"Товар.выработка без продаж",#N/A,FALSE,"товар"}</definedName>
    <definedName name="рол" localSheetId="5" hidden="1">{"Товар.выработка без продаж",#N/A,FALSE,"товар"}</definedName>
    <definedName name="рол" localSheetId="4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15">#REF!</definedName>
    <definedName name="ролллллп" localSheetId="2">#REF!</definedName>
    <definedName name="ролллллп" localSheetId="1">#REF!</definedName>
    <definedName name="ролллллп" localSheetId="11">#REF!</definedName>
    <definedName name="ролллллп" localSheetId="8">#REF!</definedName>
    <definedName name="ролллллп" localSheetId="9">#REF!</definedName>
    <definedName name="ролллллп" localSheetId="10">#REF!</definedName>
    <definedName name="ролллллп" localSheetId="5">#REF!</definedName>
    <definedName name="ролллллп" localSheetId="4">#REF!</definedName>
    <definedName name="ролллллп">#REF!</definedName>
    <definedName name="ролржрж" localSheetId="15">#REF!</definedName>
    <definedName name="ролржрж" localSheetId="11">#REF!</definedName>
    <definedName name="ролржрж" localSheetId="8">#REF!</definedName>
    <definedName name="ролржрж" localSheetId="9">#REF!</definedName>
    <definedName name="ролржрж" localSheetId="10">#REF!</definedName>
    <definedName name="ролржрж">#REF!</definedName>
    <definedName name="ронп" localSheetId="15">'[166]БСС-2'!#REF!</definedName>
    <definedName name="ронп" localSheetId="11">'[166]БСС-2'!#REF!</definedName>
    <definedName name="ронп">'[166]БСС-2'!#REF!</definedName>
    <definedName name="роо" localSheetId="15">#REF!</definedName>
    <definedName name="роо" localSheetId="2">#REF!</definedName>
    <definedName name="роо" localSheetId="1">#REF!</definedName>
    <definedName name="роо" localSheetId="11">#REF!</definedName>
    <definedName name="роо" localSheetId="8">#REF!</definedName>
    <definedName name="роо" localSheetId="9">#REF!</definedName>
    <definedName name="роо" localSheetId="10">#REF!</definedName>
    <definedName name="роо" localSheetId="5">#REF!</definedName>
    <definedName name="роо" localSheetId="4">#REF!</definedName>
    <definedName name="роо">#REF!</definedName>
    <definedName name="ропор" localSheetId="15">[7]!ропор</definedName>
    <definedName name="ропор" localSheetId="11">#N/A</definedName>
    <definedName name="ропор" localSheetId="8">#N/A</definedName>
    <definedName name="ропор" localSheetId="9">#N/A</definedName>
    <definedName name="ропор">#N/A</definedName>
    <definedName name="рород" localSheetId="15">#REF!</definedName>
    <definedName name="рород" localSheetId="2">#REF!</definedName>
    <definedName name="рород" localSheetId="1">#REF!</definedName>
    <definedName name="рород" localSheetId="11">#REF!</definedName>
    <definedName name="рород" localSheetId="8">#REF!</definedName>
    <definedName name="рород" localSheetId="9">#REF!</definedName>
    <definedName name="рород" localSheetId="10">#REF!</definedName>
    <definedName name="рород" localSheetId="5">#REF!</definedName>
    <definedName name="рород" localSheetId="4">#REF!</definedName>
    <definedName name="рород">#REF!</definedName>
    <definedName name="РП">'[126]БР-1'!$B$3</definedName>
    <definedName name="РПП" localSheetId="15">#REF!</definedName>
    <definedName name="РПП" localSheetId="2">#REF!</definedName>
    <definedName name="РПП" localSheetId="1">#REF!</definedName>
    <definedName name="РПП" localSheetId="11">#REF!</definedName>
    <definedName name="РПП" localSheetId="8">#REF!</definedName>
    <definedName name="РПП" localSheetId="9">#REF!</definedName>
    <definedName name="РПП" localSheetId="10">#REF!</definedName>
    <definedName name="РПП" localSheetId="5">#REF!</definedName>
    <definedName name="РПП" localSheetId="4">#REF!</definedName>
    <definedName name="РПП">#REF!</definedName>
    <definedName name="рпшо" localSheetId="15">#REF!</definedName>
    <definedName name="рпшо" localSheetId="11">#REF!</definedName>
    <definedName name="рпшо" localSheetId="8">#REF!</definedName>
    <definedName name="рпшо" localSheetId="9">#REF!</definedName>
    <definedName name="рпшо" localSheetId="10">#REF!</definedName>
    <definedName name="рпшо">#REF!</definedName>
    <definedName name="РРР" localSheetId="15">#REF!</definedName>
    <definedName name="РРР" localSheetId="11">#REF!</definedName>
    <definedName name="РРР" localSheetId="8">#REF!</definedName>
    <definedName name="РРР" localSheetId="9">#REF!</definedName>
    <definedName name="РРР" localSheetId="10">#REF!</definedName>
    <definedName name="РРР">#REF!</definedName>
    <definedName name="рск2" localSheetId="15">[7]!рск2</definedName>
    <definedName name="рск2" localSheetId="11">#N/A</definedName>
    <definedName name="рск2" localSheetId="8">#N/A</definedName>
    <definedName name="рск2" localSheetId="9">#N/A</definedName>
    <definedName name="рск2">#N/A</definedName>
    <definedName name="рск3" localSheetId="15">[7]!рск3</definedName>
    <definedName name="рск3" localSheetId="11">#N/A</definedName>
    <definedName name="рск3" localSheetId="8">#N/A</definedName>
    <definedName name="рск3" localSheetId="9">#N/A</definedName>
    <definedName name="рск3">#N/A</definedName>
    <definedName name="с" localSheetId="15">#REF!</definedName>
    <definedName name="с" localSheetId="2">#REF!</definedName>
    <definedName name="с" localSheetId="1">#REF!</definedName>
    <definedName name="с" localSheetId="11">#REF!</definedName>
    <definedName name="с" localSheetId="8">#REF!</definedName>
    <definedName name="с" localSheetId="9">#REF!</definedName>
    <definedName name="с" localSheetId="10">#REF!</definedName>
    <definedName name="с" localSheetId="5">#REF!</definedName>
    <definedName name="с" localSheetId="4">#REF!</definedName>
    <definedName name="с">#REF!</definedName>
    <definedName name="с_деп" localSheetId="15">#REF!</definedName>
    <definedName name="с_деп" localSheetId="11">#REF!</definedName>
    <definedName name="с_деп" localSheetId="8">#REF!</definedName>
    <definedName name="с_деп" localSheetId="9">#REF!</definedName>
    <definedName name="с_деп" localSheetId="10">#REF!</definedName>
    <definedName name="с_деп">#REF!</definedName>
    <definedName name="с_доплВУпроц" localSheetId="15">#REF!</definedName>
    <definedName name="с_доплВУпроц" localSheetId="11">#REF!</definedName>
    <definedName name="с_доплВУпроц" localSheetId="8">#REF!</definedName>
    <definedName name="с_доплВУпроц" localSheetId="9">#REF!</definedName>
    <definedName name="с_доплВУпроц" localSheetId="10">#REF!</definedName>
    <definedName name="с_доплВУпроц">#REF!</definedName>
    <definedName name="с_доплВУсумма" localSheetId="15">#REF!</definedName>
    <definedName name="с_доплВУсумма" localSheetId="11">#REF!</definedName>
    <definedName name="с_доплВУсумма" localSheetId="10">#REF!</definedName>
    <definedName name="с_доплВУсумма">#REF!</definedName>
    <definedName name="с_доплСЛпроц" localSheetId="15">#REF!</definedName>
    <definedName name="с_доплСЛпроц" localSheetId="11">#REF!</definedName>
    <definedName name="с_доплСЛпроц" localSheetId="10">#REF!</definedName>
    <definedName name="с_доплСЛпроц">#REF!</definedName>
    <definedName name="с_доплСЛсумма" localSheetId="15">#REF!</definedName>
    <definedName name="с_доплСЛсумма" localSheetId="11">#REF!</definedName>
    <definedName name="с_доплСЛсумма" localSheetId="10">#REF!</definedName>
    <definedName name="с_доплСЛсумма">#REF!</definedName>
    <definedName name="с_категПерс" localSheetId="15">#REF!</definedName>
    <definedName name="с_категПерс" localSheetId="11">#REF!</definedName>
    <definedName name="с_категПерс" localSheetId="10">#REF!</definedName>
    <definedName name="с_категПерс">#REF!</definedName>
    <definedName name="с_кол" localSheetId="15">#REF!</definedName>
    <definedName name="с_кол" localSheetId="11">#REF!</definedName>
    <definedName name="с_кол" localSheetId="10">#REF!</definedName>
    <definedName name="с_кол">#REF!</definedName>
    <definedName name="с_оклад" localSheetId="15">#REF!</definedName>
    <definedName name="с_оклад" localSheetId="11">#REF!</definedName>
    <definedName name="с_оклад" localSheetId="10">#REF!</definedName>
    <definedName name="с_оклад">#REF!</definedName>
    <definedName name="с_период" localSheetId="15">#REF!</definedName>
    <definedName name="с_период" localSheetId="11">#REF!</definedName>
    <definedName name="с_период" localSheetId="10">#REF!</definedName>
    <definedName name="с_период">#REF!</definedName>
    <definedName name="с_прим" localSheetId="15">#REF!</definedName>
    <definedName name="с_прим" localSheetId="11">#REF!</definedName>
    <definedName name="с_прим" localSheetId="10">#REF!</definedName>
    <definedName name="с_прим">#REF!</definedName>
    <definedName name="с_разрядКв" localSheetId="15">#REF!</definedName>
    <definedName name="с_разрядКв" localSheetId="11">#REF!</definedName>
    <definedName name="с_разрядКв" localSheetId="10">#REF!</definedName>
    <definedName name="с_разрядКв">#REF!</definedName>
    <definedName name="с_разрядОпл" localSheetId="15">#REF!</definedName>
    <definedName name="с_разрядОпл" localSheetId="11">#REF!</definedName>
    <definedName name="с_разрядОпл" localSheetId="10">#REF!</definedName>
    <definedName name="с_разрядОпл">#REF!</definedName>
    <definedName name="с_фонд" localSheetId="15">#REF!</definedName>
    <definedName name="с_фонд" localSheetId="11">#REF!</definedName>
    <definedName name="с_фонд" localSheetId="10">#REF!</definedName>
    <definedName name="с_фонд">#REF!</definedName>
    <definedName name="с1" localSheetId="15">#REF!</definedName>
    <definedName name="с1" localSheetId="11">#REF!</definedName>
    <definedName name="с1" localSheetId="10">#REF!</definedName>
    <definedName name="с1">#REF!</definedName>
    <definedName name="самара" localSheetId="15">#REF!</definedName>
    <definedName name="самара" localSheetId="11">#REF!</definedName>
    <definedName name="самара" localSheetId="10">#REF!</definedName>
    <definedName name="самара">#REF!</definedName>
    <definedName name="СБЕ" localSheetId="15">#REF!</definedName>
    <definedName name="СБЕ" localSheetId="11">#REF!</definedName>
    <definedName name="СБЕ" localSheetId="10">#REF!</definedName>
    <definedName name="СБЕ">#REF!</definedName>
    <definedName name="сваеррта" localSheetId="15">[7]!сваеррта</definedName>
    <definedName name="сваеррта" localSheetId="11">#N/A</definedName>
    <definedName name="сваеррта" localSheetId="8">#N/A</definedName>
    <definedName name="сваеррта" localSheetId="9">#N/A</definedName>
    <definedName name="сваеррта">#N/A</definedName>
    <definedName name="свмпвппв" localSheetId="15">[7]!свмпвппв</definedName>
    <definedName name="свмпвппв" localSheetId="11">#N/A</definedName>
    <definedName name="свмпвппв" localSheetId="8">#N/A</definedName>
    <definedName name="свмпвппв" localSheetId="9">#N/A</definedName>
    <definedName name="свмпвппв">#N/A</definedName>
    <definedName name="свод">[177]Temp_TOV!$A$1:$FE$130</definedName>
    <definedName name="сводная" localSheetId="15">#REF!</definedName>
    <definedName name="сводная" localSheetId="2">#REF!</definedName>
    <definedName name="сводная" localSheetId="1">#REF!</definedName>
    <definedName name="сводная" localSheetId="11">#REF!</definedName>
    <definedName name="сводная" localSheetId="8">#REF!</definedName>
    <definedName name="сводная" localSheetId="9">#REF!</definedName>
    <definedName name="сводная" localSheetId="10">#REF!</definedName>
    <definedName name="сводная" localSheetId="5">#REF!</definedName>
    <definedName name="сводная" localSheetId="4">#REF!</definedName>
    <definedName name="сводная">#REF!</definedName>
    <definedName name="Сводная_таблица_по_эл.эн" localSheetId="15">#REF!</definedName>
    <definedName name="Сводная_таблица_по_эл.эн" localSheetId="11">#REF!</definedName>
    <definedName name="Сводная_таблица_по_эл.эн" localSheetId="8">#REF!</definedName>
    <definedName name="Сводная_таблица_по_эл.эн" localSheetId="9">#REF!</definedName>
    <definedName name="Сводная_таблица_по_эл.эн" localSheetId="10">#REF!</definedName>
    <definedName name="Сводная_таблица_по_эл.эн">#REF!</definedName>
    <definedName name="Сводная_таблица_тарифов_на_тепловую_энергию_и_мощность" localSheetId="15">#REF!</definedName>
    <definedName name="Сводная_таблица_тарифов_на_тепловую_энергию_и_мощность" localSheetId="11">#REF!</definedName>
    <definedName name="Сводная_таблица_тарифов_на_тепловую_энергию_и_мощность" localSheetId="8">#REF!</definedName>
    <definedName name="Сводная_таблица_тарифов_на_тепловую_энергию_и_мощность" localSheetId="9">#REF!</definedName>
    <definedName name="Сводная_таблица_тарифов_на_тепловую_энергию_и_мощность" localSheetId="1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5">#REF!</definedName>
    <definedName name="Сводная_таблица_тарифов_на_электроэнергию_и_мощность" localSheetId="11">#REF!</definedName>
    <definedName name="Сводная_таблица_тарифов_на_электроэнергию_и_мощность" localSheetId="8">#REF!</definedName>
    <definedName name="Сводная_таблица_тарифов_на_электроэнергию_и_мощность" localSheetId="9">#REF!</definedName>
    <definedName name="Сводная_таблица_тарифов_на_электроэнергию_и_мощность" localSheetId="1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5">#REF!</definedName>
    <definedName name="Сводные_экономические_показатели_по_потребителям" localSheetId="11">#REF!</definedName>
    <definedName name="Сводные_экономические_показатели_по_потребителям" localSheetId="10">#REF!</definedName>
    <definedName name="Сводные_экономические_показатели_по_потребителям">#REF!</definedName>
    <definedName name="себ" localSheetId="15">[7]!себ</definedName>
    <definedName name="себ" localSheetId="11">#N/A</definedName>
    <definedName name="себ" localSheetId="8">#N/A</definedName>
    <definedName name="себ" localSheetId="9">#N/A</definedName>
    <definedName name="себ">#N/A</definedName>
    <definedName name="Себестоимость_Молоко" localSheetId="15">#REF!,#REF!,#REF!,#REF!,#REF!,#REF!,#REF!,#REF!,#REF!,#REF!</definedName>
    <definedName name="Себестоимость_Молоко" localSheetId="2">#REF!,#REF!,#REF!,#REF!,#REF!,#REF!,#REF!,#REF!,#REF!,#REF!</definedName>
    <definedName name="Себестоимость_Молоко" localSheetId="1">#REF!,#REF!,#REF!,#REF!,#REF!,#REF!,#REF!,#REF!,#REF!,#REF!</definedName>
    <definedName name="Себестоимость_Молоко" localSheetId="11">#REF!,#REF!,#REF!,#REF!,#REF!,#REF!,#REF!,#REF!,#REF!,#REF!</definedName>
    <definedName name="Себестоимость_Молоко" localSheetId="8">#REF!,#REF!,#REF!,#REF!,#REF!,#REF!,#REF!,#REF!,#REF!,#REF!</definedName>
    <definedName name="Себестоимость_Молоко" localSheetId="9">#REF!,#REF!,#REF!,#REF!,#REF!,#REF!,#REF!,#REF!,#REF!,#REF!</definedName>
    <definedName name="Себестоимость_Молоко" localSheetId="10">#REF!,#REF!,#REF!,#REF!,#REF!,#REF!,#REF!,#REF!,#REF!,#REF!</definedName>
    <definedName name="Себестоимость_Молоко" localSheetId="5">#REF!,#REF!,#REF!,#REF!,#REF!,#REF!,#REF!,#REF!,#REF!,#REF!</definedName>
    <definedName name="Себестоимость_Молоко" localSheetId="4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5">#REF!,#REF!,#REF!,#REF!,#REF!,#REF!,#REF!,#REF!,#REF!,#REF!</definedName>
    <definedName name="Себестоимость_Сок" localSheetId="11">#REF!,#REF!,#REF!,#REF!,#REF!,#REF!,#REF!,#REF!,#REF!,#REF!</definedName>
    <definedName name="Себестоимость_Сок" localSheetId="8">#REF!,#REF!,#REF!,#REF!,#REF!,#REF!,#REF!,#REF!,#REF!,#REF!</definedName>
    <definedName name="Себестоимость_Сок" localSheetId="9">#REF!,#REF!,#REF!,#REF!,#REF!,#REF!,#REF!,#REF!,#REF!,#REF!</definedName>
    <definedName name="Себестоимость_Сок" localSheetId="1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5">#REF!,#REF!,#REF!,#REF!,#REF!,#REF!,#REF!,#REF!,#REF!,#REF!</definedName>
    <definedName name="Себестоимость_Сок3" localSheetId="11">#REF!,#REF!,#REF!,#REF!,#REF!,#REF!,#REF!,#REF!,#REF!,#REF!</definedName>
    <definedName name="Себестоимость_Сок3" localSheetId="8">#REF!,#REF!,#REF!,#REF!,#REF!,#REF!,#REF!,#REF!,#REF!,#REF!</definedName>
    <definedName name="Себестоимость_Сок3" localSheetId="9">#REF!,#REF!,#REF!,#REF!,#REF!,#REF!,#REF!,#REF!,#REF!,#REF!</definedName>
    <definedName name="Себестоимость_Сок3" localSheetId="10">#REF!,#REF!,#REF!,#REF!,#REF!,#REF!,#REF!,#REF!,#REF!,#REF!</definedName>
    <definedName name="Себестоимость_Сок3">#REF!,#REF!,#REF!,#REF!,#REF!,#REF!,#REF!,#REF!,#REF!,#REF!</definedName>
    <definedName name="себестоимость2" localSheetId="15">[7]!себестоимость2</definedName>
    <definedName name="себестоимость2" localSheetId="11">#N/A</definedName>
    <definedName name="себестоимость2" localSheetId="8">#N/A</definedName>
    <definedName name="себестоимость2" localSheetId="9">#N/A</definedName>
    <definedName name="себестоимость2">#N/A</definedName>
    <definedName name="семь" localSheetId="15">#REF!</definedName>
    <definedName name="семь" localSheetId="2">#REF!</definedName>
    <definedName name="семь" localSheetId="1">#REF!</definedName>
    <definedName name="семь" localSheetId="11">#REF!</definedName>
    <definedName name="семь" localSheetId="8">#REF!</definedName>
    <definedName name="семь" localSheetId="9">#REF!</definedName>
    <definedName name="семь" localSheetId="10">#REF!</definedName>
    <definedName name="семь" localSheetId="5">#REF!</definedName>
    <definedName name="семь" localSheetId="4">#REF!</definedName>
    <definedName name="семь">#REF!</definedName>
    <definedName name="сен" localSheetId="15">#REF!</definedName>
    <definedName name="сен" localSheetId="11">#REF!</definedName>
    <definedName name="сен" localSheetId="8">#REF!</definedName>
    <definedName name="сен" localSheetId="9">#REF!</definedName>
    <definedName name="сен" localSheetId="10">#REF!</definedName>
    <definedName name="сен">#REF!</definedName>
    <definedName name="сен2" localSheetId="15">#REF!</definedName>
    <definedName name="сен2" localSheetId="11">#REF!</definedName>
    <definedName name="сен2" localSheetId="8">#REF!</definedName>
    <definedName name="сен2" localSheetId="9">#REF!</definedName>
    <definedName name="сен2" localSheetId="10">#REF!</definedName>
    <definedName name="сен2">#REF!</definedName>
    <definedName name="Сергею" localSheetId="15">[178]АНАЛИТ!$B$2:$B$87,[178]АНАЛИТ!#REF!,[178]АНАЛИТ!#REF!,[178]АНАЛИТ!$AB$2</definedName>
    <definedName name="Сергею" localSheetId="2">[178]АНАЛИТ!$B$2:$B$87,[178]АНАЛИТ!#REF!,[178]АНАЛИТ!#REF!,[178]АНАЛИТ!$AB$2</definedName>
    <definedName name="Сергею" localSheetId="1">[178]АНАЛИТ!$B$2:$B$87,[178]АНАЛИТ!#REF!,[178]АНАЛИТ!#REF!,[178]АНАЛИТ!$AB$2</definedName>
    <definedName name="Сергею" localSheetId="11">[178]АНАЛИТ!$B$2:$B$87,[178]АНАЛИТ!#REF!,[178]АНАЛИТ!#REF!,[178]АНАЛИТ!$AB$2</definedName>
    <definedName name="Сергею" localSheetId="8">[178]АНАЛИТ!$B$2:$B$87,[178]АНАЛИТ!#REF!,[178]АНАЛИТ!#REF!,[178]АНАЛИТ!$AB$2</definedName>
    <definedName name="Сергею" localSheetId="9">[178]АНАЛИТ!$B$2:$B$87,[178]АНАЛИТ!#REF!,[178]АНАЛИТ!#REF!,[178]АНАЛИТ!$AB$2</definedName>
    <definedName name="Сергею" localSheetId="10">[178]АНАЛИТ!$B$2:$B$87,[178]АНАЛИТ!#REF!,[178]АНАЛИТ!#REF!,[178]АНАЛИТ!$AB$2</definedName>
    <definedName name="Сергею" localSheetId="5">[178]АНАЛИТ!$B$2:$B$87,[178]АНАЛИТ!#REF!,[178]АНАЛИТ!#REF!,[178]АНАЛИТ!$AB$2</definedName>
    <definedName name="Сергею" localSheetId="4">[178]АНАЛИТ!$B$2:$B$87,[178]АНАЛИТ!#REF!,[178]АНАЛИТ!#REF!,[178]АНАЛИТ!$AB$2</definedName>
    <definedName name="Сергею">[178]АНАЛИТ!$B$2:$B$87,[178]АНАЛИТ!#REF!,[178]АНАЛИТ!#REF!,[178]АНАЛИТ!$AB$2</definedName>
    <definedName name="Сергеюnew" localSheetId="15">[179]АНАЛИТ!$B$2:$B$87,[179]АНАЛИТ!#REF!,[179]АНАЛИТ!#REF!,[179]АНАЛИТ!$AB$2</definedName>
    <definedName name="Сергеюnew" localSheetId="2">[179]АНАЛИТ!$B$2:$B$87,[179]АНАЛИТ!#REF!,[179]АНАЛИТ!#REF!,[179]АНАЛИТ!$AB$2</definedName>
    <definedName name="Сергеюnew" localSheetId="1">[179]АНАЛИТ!$B$2:$B$87,[179]АНАЛИТ!#REF!,[179]АНАЛИТ!#REF!,[179]АНАЛИТ!$AB$2</definedName>
    <definedName name="Сергеюnew" localSheetId="11">[179]АНАЛИТ!$B$2:$B$87,[179]АНАЛИТ!#REF!,[179]АНАЛИТ!#REF!,[179]АНАЛИТ!$AB$2</definedName>
    <definedName name="Сергеюnew" localSheetId="8">[179]АНАЛИТ!$B$2:$B$87,[179]АНАЛИТ!#REF!,[179]АНАЛИТ!#REF!,[179]АНАЛИТ!$AB$2</definedName>
    <definedName name="Сергеюnew" localSheetId="9">[179]АНАЛИТ!$B$2:$B$87,[179]АНАЛИТ!#REF!,[179]АНАЛИТ!#REF!,[179]АНАЛИТ!$AB$2</definedName>
    <definedName name="Сергеюnew" localSheetId="10">[179]АНАЛИТ!$B$2:$B$87,[179]АНАЛИТ!#REF!,[179]АНАЛИТ!#REF!,[179]АНАЛИТ!$AB$2</definedName>
    <definedName name="Сергеюnew" localSheetId="5">[179]АНАЛИТ!$B$2:$B$87,[179]АНАЛИТ!#REF!,[179]АНАЛИТ!#REF!,[179]АНАЛИТ!$AB$2</definedName>
    <definedName name="Сергеюnew" localSheetId="4">[179]АНАЛИТ!$B$2:$B$87,[179]АНАЛИТ!#REF!,[179]АНАЛИТ!#REF!,[179]АНАЛИТ!$AB$2</definedName>
    <definedName name="Сергеюnew">[179]АНАЛИТ!$B$2:$B$87,[179]АНАЛИТ!#REF!,[179]АНАЛИТ!#REF!,[179]АНАЛИТ!$AB$2</definedName>
    <definedName name="СИ">'[126]БН-2'!$B$3</definedName>
    <definedName name="ск" localSheetId="15">[7]!ск</definedName>
    <definedName name="ск" localSheetId="11">#N/A</definedName>
    <definedName name="ск" localSheetId="8">#N/A</definedName>
    <definedName name="ск" localSheetId="9">#N/A</definedName>
    <definedName name="ск">#N/A</definedName>
    <definedName name="см" localSheetId="15" hidden="1">{"План продаж",#N/A,FALSE,"товар"}</definedName>
    <definedName name="см" localSheetId="2" hidden="1">{"План продаж",#N/A,FALSE,"товар"}</definedName>
    <definedName name="см" localSheetId="1" hidden="1">{"План продаж",#N/A,FALSE,"товар"}</definedName>
    <definedName name="см" localSheetId="7" hidden="1">{"План продаж",#N/A,FALSE,"товар"}</definedName>
    <definedName name="см" localSheetId="11" hidden="1">{"План продаж",#N/A,FALSE,"товар"}</definedName>
    <definedName name="см" localSheetId="8" hidden="1">{"План продаж",#N/A,FALSE,"товар"}</definedName>
    <definedName name="см" localSheetId="9" hidden="1">{"План продаж",#N/A,FALSE,"товар"}</definedName>
    <definedName name="см" localSheetId="10" hidden="1">{"План продаж",#N/A,FALSE,"товар"}</definedName>
    <definedName name="см" localSheetId="5" hidden="1">{"План продаж",#N/A,FALSE,"товар"}</definedName>
    <definedName name="см" localSheetId="4" hidden="1">{"План продаж",#N/A,FALSE,"товар"}</definedName>
    <definedName name="см" hidden="1">{"План продаж",#N/A,FALSE,"товар"}</definedName>
    <definedName name="СМИ">'[126]БН-1'!$B$3</definedName>
    <definedName name="сммито" localSheetId="15">#REF!</definedName>
    <definedName name="сммито" localSheetId="2">#REF!</definedName>
    <definedName name="сммито" localSheetId="1">#REF!</definedName>
    <definedName name="сммито" localSheetId="11">#REF!</definedName>
    <definedName name="сммито" localSheetId="8">#REF!</definedName>
    <definedName name="сммито" localSheetId="9">#REF!</definedName>
    <definedName name="сммито" localSheetId="10">#REF!</definedName>
    <definedName name="сммито" localSheetId="5">#REF!</definedName>
    <definedName name="сммито" localSheetId="4">#REF!</definedName>
    <definedName name="сммито">#REF!</definedName>
    <definedName name="Смолы" localSheetId="15">#REF!,#REF!</definedName>
    <definedName name="Смолы" localSheetId="2">#REF!,#REF!</definedName>
    <definedName name="Смолы" localSheetId="1">#REF!,#REF!</definedName>
    <definedName name="Смолы" localSheetId="11">#REF!,#REF!</definedName>
    <definedName name="Смолы" localSheetId="8">#REF!,#REF!</definedName>
    <definedName name="Смолы" localSheetId="9">#REF!,#REF!</definedName>
    <definedName name="Смолы" localSheetId="10">#REF!,#REF!</definedName>
    <definedName name="Смолы" localSheetId="5">#REF!,#REF!</definedName>
    <definedName name="Смолы" localSheetId="4">#REF!,#REF!</definedName>
    <definedName name="Смолы">#REF!,#REF!</definedName>
    <definedName name="смсист" localSheetId="15">#REF!</definedName>
    <definedName name="смсист" localSheetId="2">#REF!</definedName>
    <definedName name="смсист" localSheetId="1">#REF!</definedName>
    <definedName name="смсист" localSheetId="11">#REF!</definedName>
    <definedName name="смсист" localSheetId="8">#REF!</definedName>
    <definedName name="смсист" localSheetId="9">#REF!</definedName>
    <definedName name="смсист" localSheetId="10">#REF!</definedName>
    <definedName name="смсист" localSheetId="5">#REF!</definedName>
    <definedName name="смсист" localSheetId="4">#REF!</definedName>
    <definedName name="смсист">#REF!</definedName>
    <definedName name="соб.нуж.02." localSheetId="15">#REF!</definedName>
    <definedName name="соб.нуж.02." localSheetId="11">#REF!</definedName>
    <definedName name="соб.нуж.02.">#REF!</definedName>
    <definedName name="сомп" localSheetId="15">[7]!сомп</definedName>
    <definedName name="сомп" localSheetId="11">#N/A</definedName>
    <definedName name="сомп" localSheetId="8">#N/A</definedName>
    <definedName name="сомп" localSheetId="9">#N/A</definedName>
    <definedName name="сомп">#N/A</definedName>
    <definedName name="сомпас" localSheetId="15">[7]!сомпас</definedName>
    <definedName name="сомпас" localSheetId="11">#N/A</definedName>
    <definedName name="сомпас" localSheetId="8">#N/A</definedName>
    <definedName name="сомпас" localSheetId="9">#N/A</definedName>
    <definedName name="сомпас">#N/A</definedName>
    <definedName name="соро" localSheetId="15">#REF!</definedName>
    <definedName name="соро" localSheetId="2">#REF!</definedName>
    <definedName name="соро" localSheetId="1">#REF!</definedName>
    <definedName name="соро" localSheetId="11">#REF!</definedName>
    <definedName name="соро" localSheetId="8">#REF!</definedName>
    <definedName name="соро" localSheetId="9">#REF!</definedName>
    <definedName name="соро" localSheetId="10">#REF!</definedName>
    <definedName name="соро" localSheetId="5">#REF!</definedName>
    <definedName name="соро" localSheetId="4">#REF!</definedName>
    <definedName name="соро">#REF!</definedName>
    <definedName name="СПб9" localSheetId="2">OFFSET(#REF!,0,0,COUNTA(#REF!)-COUNTBLANK(#REF!))</definedName>
    <definedName name="СПб9" localSheetId="1">OFFSET(#REF!,0,0,COUNTA(#REF!)-COUNTBLANK(#REF!))</definedName>
    <definedName name="СПб9" localSheetId="11">OFFSET(#REF!,0,0,COUNTA(#REF!)-COUNTBLANK(#REF!))</definedName>
    <definedName name="СПб9" localSheetId="8">OFFSET(#REF!,0,0,COUNTA(#REF!)-COUNTBLANK(#REF!))</definedName>
    <definedName name="СПб9" localSheetId="9">OFFSET(#REF!,0,0,COUNTA(#REF!)-COUNTBLANK(#REF!))</definedName>
    <definedName name="СПб9" localSheetId="10">OFFSET(#REF!,0,0,COUNTA(#REF!)-COUNTBLANK(#REF!))</definedName>
    <definedName name="СПб9" localSheetId="5">OFFSET(#REF!,0,0,COUNTA(#REF!)-COUNTBLANK(#REF!))</definedName>
    <definedName name="СПб9" localSheetId="4">OFFSET(#REF!,0,0,COUNTA(#REF!)-COUNTBLANK(#REF!))</definedName>
    <definedName name="СПб9">OFFSET(#REF!,0,0,COUNTA(#REF!)-COUNTBLANK(#REF!))</definedName>
    <definedName name="Сравнительные_варианты_двухставочных_тарифов_на_теплоэн" localSheetId="15">#REF!</definedName>
    <definedName name="Сравнительные_варианты_двухставочных_тарифов_на_теплоэн" localSheetId="2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 localSheetId="11">#REF!</definedName>
    <definedName name="Сравнительные_варианты_двухставочных_тарифов_на_теплоэн" localSheetId="8">#REF!</definedName>
    <definedName name="Сравнительные_варианты_двухставочных_тарифов_на_теплоэн" localSheetId="9">#REF!</definedName>
    <definedName name="Сравнительные_варианты_двухставочных_тарифов_на_теплоэн" localSheetId="10">#REF!</definedName>
    <definedName name="Сравнительные_варианты_двухставочных_тарифов_на_теплоэн" localSheetId="5">#REF!</definedName>
    <definedName name="Сравнительные_варианты_двухставочных_тарифов_на_теплоэн" localSheetId="4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5">#REF!</definedName>
    <definedName name="Сравнительные_варианты_двухставочных_тарифов_на_эл.эн" localSheetId="11">#REF!</definedName>
    <definedName name="Сравнительные_варианты_двухставочных_тарифов_на_эл.эн" localSheetId="8">#REF!</definedName>
    <definedName name="Сравнительные_варианты_двухставочных_тарифов_на_эл.эн" localSheetId="9">#REF!</definedName>
    <definedName name="Сравнительные_варианты_двухставочных_тарифов_на_эл.эн" localSheetId="1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5">#REF!</definedName>
    <definedName name="Сравнительный_анализ_ТЭП_к_расчету_тарифов" localSheetId="11">#REF!</definedName>
    <definedName name="Сравнительный_анализ_ТЭП_к_расчету_тарифов" localSheetId="10">#REF!</definedName>
    <definedName name="Сравнительный_анализ_ТЭП_к_расчету_тарифов">#REF!</definedName>
    <definedName name="СрЦенаГаз2" localSheetId="11">[102]газ!$O$33</definedName>
    <definedName name="СрЦенаГаз2" localSheetId="8">[102]газ!$O$33</definedName>
    <definedName name="СрЦенаГаз2" localSheetId="9">[102]газ!$O$33</definedName>
    <definedName name="СрЦенаГаз2">[102]газ!$O$33</definedName>
    <definedName name="сс" localSheetId="15">#REF!</definedName>
    <definedName name="сс" localSheetId="2">#REF!</definedName>
    <definedName name="сс" localSheetId="1">#REF!</definedName>
    <definedName name="сс" localSheetId="11">#REF!</definedName>
    <definedName name="сс" localSheetId="8">#REF!</definedName>
    <definedName name="сс" localSheetId="9">#REF!</definedName>
    <definedName name="сс" localSheetId="10">#REF!</definedName>
    <definedName name="сс" localSheetId="5">#REF!</definedName>
    <definedName name="сс" localSheetId="4">#REF!</definedName>
    <definedName name="сс">#REF!</definedName>
    <definedName name="сситьннно" localSheetId="15">#REF!</definedName>
    <definedName name="сситьннно" localSheetId="11">#REF!</definedName>
    <definedName name="сситьннно" localSheetId="8">#REF!</definedName>
    <definedName name="сситьннно" localSheetId="9">#REF!</definedName>
    <definedName name="сситьннно" localSheetId="10">#REF!</definedName>
    <definedName name="сситьннно">#REF!</definedName>
    <definedName name="сссс" localSheetId="15">[7]!сссс</definedName>
    <definedName name="сссс" localSheetId="11">#N/A</definedName>
    <definedName name="сссс" localSheetId="8">#N/A</definedName>
    <definedName name="сссс" localSheetId="9">#N/A</definedName>
    <definedName name="сссс">#N/A</definedName>
    <definedName name="ссы" localSheetId="15">[7]!ссы</definedName>
    <definedName name="ссы" localSheetId="11">#N/A</definedName>
    <definedName name="ссы" localSheetId="8">#N/A</definedName>
    <definedName name="ссы" localSheetId="9">#N/A</definedName>
    <definedName name="ссы">#N/A</definedName>
    <definedName name="ссы2" localSheetId="15">[7]!ссы2</definedName>
    <definedName name="ссы2" localSheetId="11">#N/A</definedName>
    <definedName name="ссы2" localSheetId="8">#N/A</definedName>
    <definedName name="ссы2" localSheetId="9">#N/A</definedName>
    <definedName name="ссы2">#N/A</definedName>
    <definedName name="старьё" localSheetId="15">#REF!</definedName>
    <definedName name="старьё" localSheetId="11">#REF!</definedName>
    <definedName name="старьё">#REF!</definedName>
    <definedName name="Статус_контрагента" localSheetId="15">#REF!</definedName>
    <definedName name="Статус_контрагента" localSheetId="11">#REF!</definedName>
    <definedName name="Статус_контрагента" localSheetId="8">#REF!</definedName>
    <definedName name="Статус_контрагента" localSheetId="9">#REF!</definedName>
    <definedName name="Статус_контрагента" localSheetId="10">#REF!</definedName>
    <definedName name="Статус_контрагента">#REF!</definedName>
    <definedName name="Статья" localSheetId="15">#REF!</definedName>
    <definedName name="Статья" localSheetId="11">#REF!</definedName>
    <definedName name="Статья" localSheetId="8">#REF!</definedName>
    <definedName name="Статья" localSheetId="9">#REF!</definedName>
    <definedName name="Статья" localSheetId="10">#REF!</definedName>
    <definedName name="Статья">#REF!</definedName>
    <definedName name="строка" localSheetId="15">[133]СписочнаяЧисленность!#REF!</definedName>
    <definedName name="строка" localSheetId="11">[133]СписочнаяЧисленность!#REF!</definedName>
    <definedName name="строка" localSheetId="8">[133]СписочнаяЧисленность!#REF!</definedName>
    <definedName name="строка" localSheetId="9">[133]СписочнаяЧисленность!#REF!</definedName>
    <definedName name="строка" localSheetId="10">[133]СписочнаяЧисленность!#REF!</definedName>
    <definedName name="строка">[133]СписочнаяЧисленность!#REF!</definedName>
    <definedName name="т" localSheetId="15">#REF!</definedName>
    <definedName name="т" localSheetId="2">#REF!</definedName>
    <definedName name="т" localSheetId="1">#REF!</definedName>
    <definedName name="т" localSheetId="11">#REF!</definedName>
    <definedName name="т" localSheetId="8">#REF!</definedName>
    <definedName name="т" localSheetId="9">#REF!</definedName>
    <definedName name="т" localSheetId="10">#REF!</definedName>
    <definedName name="т" localSheetId="5">#REF!</definedName>
    <definedName name="т" localSheetId="4">#REF!</definedName>
    <definedName name="т">#REF!</definedName>
    <definedName name="Таблица41" localSheetId="15">#REF!</definedName>
    <definedName name="Таблица41" localSheetId="11">#REF!</definedName>
    <definedName name="Таблица41" localSheetId="8">#REF!</definedName>
    <definedName name="Таблица41" localSheetId="9">#REF!</definedName>
    <definedName name="Таблица41" localSheetId="10">#REF!</definedName>
    <definedName name="Таблица41">#REF!</definedName>
    <definedName name="таня" localSheetId="15">[7]!таня</definedName>
    <definedName name="таня" localSheetId="11">#N/A</definedName>
    <definedName name="таня" localSheetId="8">#N/A</definedName>
    <definedName name="таня" localSheetId="9">#N/A</definedName>
    <definedName name="таня">#N/A</definedName>
    <definedName name="текмес" localSheetId="15">#REF!</definedName>
    <definedName name="текмес" localSheetId="2">#REF!</definedName>
    <definedName name="текмес" localSheetId="1">#REF!</definedName>
    <definedName name="текмес" localSheetId="11">#REF!</definedName>
    <definedName name="текмес" localSheetId="8">#REF!</definedName>
    <definedName name="текмес" localSheetId="9">#REF!</definedName>
    <definedName name="текмес" localSheetId="10">#REF!</definedName>
    <definedName name="текмес" localSheetId="5">#REF!</definedName>
    <definedName name="текмес" localSheetId="4">#REF!</definedName>
    <definedName name="текмес">#REF!</definedName>
    <definedName name="текмес2" localSheetId="15">#REF!</definedName>
    <definedName name="текмес2" localSheetId="11">#REF!</definedName>
    <definedName name="текмес2" localSheetId="8">#REF!</definedName>
    <definedName name="текмес2" localSheetId="9">#REF!</definedName>
    <definedName name="текмес2" localSheetId="10">#REF!</definedName>
    <definedName name="текмес2">#REF!</definedName>
    <definedName name="тело_отчета" localSheetId="15">[133]СписочнаяЧисленность!#REF!</definedName>
    <definedName name="тело_отчета" localSheetId="11">[133]СписочнаяЧисленность!#REF!</definedName>
    <definedName name="тело_отчета" localSheetId="8">[133]СписочнаяЧисленность!#REF!</definedName>
    <definedName name="тело_отчета" localSheetId="9">[133]СписочнаяЧисленность!#REF!</definedName>
    <definedName name="тело_отчета" localSheetId="10">[133]СписочнаяЧисленность!#REF!</definedName>
    <definedName name="тело_отчета">[133]СписочнаяЧисленность!#REF!</definedName>
    <definedName name="тепло" localSheetId="15">[7]!тепло</definedName>
    <definedName name="тепло" localSheetId="11">#N/A</definedName>
    <definedName name="тепло" localSheetId="8">#N/A</definedName>
    <definedName name="тепло" localSheetId="9">#N/A</definedName>
    <definedName name="тепло">#N/A</definedName>
    <definedName name="Тепло_1">[180]Нормы!$D$10</definedName>
    <definedName name="ТМИТМ" localSheetId="15">'[126]БСС-2'!#REF!</definedName>
    <definedName name="ТМИТМ" localSheetId="11">'[126]БСС-2'!#REF!</definedName>
    <definedName name="ТМИТМ">'[126]БСС-2'!#REF!</definedName>
    <definedName name="ТМЦ">[126]БДР!$B$3</definedName>
    <definedName name="ТМЦ2">[126]БДР!$B$41</definedName>
    <definedName name="ТМЦ3" localSheetId="15">[126]БДР!#REF!</definedName>
    <definedName name="ТМЦ3" localSheetId="11">[126]БДР!#REF!</definedName>
    <definedName name="ТМЦ3">[126]БДР!#REF!</definedName>
    <definedName name="толо" localSheetId="15">#REF!</definedName>
    <definedName name="толо" localSheetId="2">#REF!</definedName>
    <definedName name="толо" localSheetId="1">#REF!</definedName>
    <definedName name="толо" localSheetId="11">#REF!</definedName>
    <definedName name="толо" localSheetId="8">#REF!</definedName>
    <definedName name="толо" localSheetId="9">#REF!</definedName>
    <definedName name="толо" localSheetId="10">#REF!</definedName>
    <definedName name="толо" localSheetId="5">#REF!</definedName>
    <definedName name="толо" localSheetId="4">#REF!</definedName>
    <definedName name="толо">#REF!</definedName>
    <definedName name="тп" localSheetId="15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5">#REF!</definedName>
    <definedName name="третий" localSheetId="2">#REF!</definedName>
    <definedName name="третий" localSheetId="1">#REF!</definedName>
    <definedName name="третий" localSheetId="11">#REF!</definedName>
    <definedName name="третий" localSheetId="8">#REF!</definedName>
    <definedName name="третий" localSheetId="9">#REF!</definedName>
    <definedName name="третий" localSheetId="10">#REF!</definedName>
    <definedName name="третий" localSheetId="5">#REF!</definedName>
    <definedName name="третий" localSheetId="4">#REF!</definedName>
    <definedName name="третий">#REF!</definedName>
    <definedName name="ттт" localSheetId="15">#REF!</definedName>
    <definedName name="ттт" localSheetId="11">#REF!</definedName>
    <definedName name="ттт" localSheetId="8">#REF!</definedName>
    <definedName name="ттт" localSheetId="9">#REF!</definedName>
    <definedName name="ттт" localSheetId="10">#REF!</definedName>
    <definedName name="ттт">#REF!</definedName>
    <definedName name="тттт" localSheetId="15">#REF!</definedName>
    <definedName name="тттт" localSheetId="11">#REF!</definedName>
    <definedName name="тттт" localSheetId="8">#REF!</definedName>
    <definedName name="тттт" localSheetId="9">#REF!</definedName>
    <definedName name="тттт" localSheetId="10">#REF!</definedName>
    <definedName name="тттт">#REF!</definedName>
    <definedName name="ть" localSheetId="15">[7]!ть</definedName>
    <definedName name="ть" localSheetId="11">#N/A</definedName>
    <definedName name="ть" localSheetId="8">#N/A</definedName>
    <definedName name="ть" localSheetId="9">#N/A</definedName>
    <definedName name="ть">#N/A</definedName>
    <definedName name="у" localSheetId="15">#REF!</definedName>
    <definedName name="у" localSheetId="2">#REF!</definedName>
    <definedName name="у" localSheetId="1">#REF!</definedName>
    <definedName name="у" localSheetId="11">#REF!</definedName>
    <definedName name="у" localSheetId="8">#REF!</definedName>
    <definedName name="у" localSheetId="9">#REF!</definedName>
    <definedName name="у" localSheetId="10">#REF!</definedName>
    <definedName name="у" localSheetId="5">#REF!</definedName>
    <definedName name="у" localSheetId="4">#REF!</definedName>
    <definedName name="у">#REF!</definedName>
    <definedName name="у1" localSheetId="15">[7]!у1</definedName>
    <definedName name="у1" localSheetId="11">#N/A</definedName>
    <definedName name="у1" localSheetId="8">#N/A</definedName>
    <definedName name="у1" localSheetId="9">#N/A</definedName>
    <definedName name="у1">#N/A</definedName>
    <definedName name="уакк" localSheetId="15">#REF!</definedName>
    <definedName name="уакк" localSheetId="2">#REF!</definedName>
    <definedName name="уакк" localSheetId="1">#REF!</definedName>
    <definedName name="уакк" localSheetId="11">#REF!</definedName>
    <definedName name="уакк" localSheetId="8">#REF!</definedName>
    <definedName name="уакк" localSheetId="9">#REF!</definedName>
    <definedName name="уакк" localSheetId="10">#REF!</definedName>
    <definedName name="уакк" localSheetId="5">#REF!</definedName>
    <definedName name="уакк" localSheetId="4">#REF!</definedName>
    <definedName name="уакк">#REF!</definedName>
    <definedName name="уакупр" localSheetId="15">#REF!</definedName>
    <definedName name="уакупр" localSheetId="11">#REF!</definedName>
    <definedName name="уакупр" localSheetId="8">#REF!</definedName>
    <definedName name="уакупр" localSheetId="9">#REF!</definedName>
    <definedName name="уакупр" localSheetId="10">#REF!</definedName>
    <definedName name="уакупр">#REF!</definedName>
    <definedName name="уаук" localSheetId="15">#REF!</definedName>
    <definedName name="уаук" localSheetId="11">#REF!</definedName>
    <definedName name="уаук" localSheetId="8">#REF!</definedName>
    <definedName name="уаук" localSheetId="9">#REF!</definedName>
    <definedName name="уаук" localSheetId="10">#REF!</definedName>
    <definedName name="уаук">#REF!</definedName>
    <definedName name="уаукеап" localSheetId="15">#REF!</definedName>
    <definedName name="уаукеап" localSheetId="11">#REF!</definedName>
    <definedName name="уаукеап" localSheetId="10">#REF!</definedName>
    <definedName name="уаукеап">#REF!</definedName>
    <definedName name="уваса" localSheetId="15">#REF!</definedName>
    <definedName name="уваса" localSheetId="11">#REF!</definedName>
    <definedName name="уваса" localSheetId="10">#REF!</definedName>
    <definedName name="уваса">#REF!</definedName>
    <definedName name="увцфук" localSheetId="15">#REF!</definedName>
    <definedName name="увцфук" localSheetId="11">#REF!</definedName>
    <definedName name="увцфук" localSheetId="10">#REF!</definedName>
    <definedName name="увцфук">#REF!</definedName>
    <definedName name="уеку" localSheetId="15">#REF!</definedName>
    <definedName name="уеку" localSheetId="11">#REF!</definedName>
    <definedName name="уеку" localSheetId="10">#REF!</definedName>
    <definedName name="уеку">#REF!</definedName>
    <definedName name="ук" localSheetId="15">[7]!ук</definedName>
    <definedName name="ук" localSheetId="11">#N/A</definedName>
    <definedName name="ук" localSheetId="8">#N/A</definedName>
    <definedName name="ук" localSheetId="9">#N/A</definedName>
    <definedName name="ук">#N/A</definedName>
    <definedName name="ук12" localSheetId="15">#REF!</definedName>
    <definedName name="ук12" localSheetId="2">#REF!</definedName>
    <definedName name="ук12" localSheetId="1">#REF!</definedName>
    <definedName name="ук12" localSheetId="11">#REF!</definedName>
    <definedName name="ук12" localSheetId="8">#REF!</definedName>
    <definedName name="ук12" localSheetId="9">#REF!</definedName>
    <definedName name="ук12" localSheetId="10">#REF!</definedName>
    <definedName name="ук12" localSheetId="5">#REF!</definedName>
    <definedName name="ук12" localSheetId="4">#REF!</definedName>
    <definedName name="ук12">#REF!</definedName>
    <definedName name="укац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5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5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15">[7]!умер</definedName>
    <definedName name="умер" localSheetId="11">#N/A</definedName>
    <definedName name="умер" localSheetId="8">#N/A</definedName>
    <definedName name="умер" localSheetId="9">#N/A</definedName>
    <definedName name="умер">#N/A</definedName>
    <definedName name="уу" localSheetId="15">[7]!уу</definedName>
    <definedName name="уу" localSheetId="11">#N/A</definedName>
    <definedName name="уу" localSheetId="8">#N/A</definedName>
    <definedName name="уу" localSheetId="9">#N/A</definedName>
    <definedName name="уу">#N/A</definedName>
    <definedName name="уук" localSheetId="15">#REF!</definedName>
    <definedName name="уук" localSheetId="2">#REF!</definedName>
    <definedName name="уук" localSheetId="1">#REF!</definedName>
    <definedName name="уук" localSheetId="11">#REF!</definedName>
    <definedName name="уук" localSheetId="8">#REF!</definedName>
    <definedName name="уук" localSheetId="9">#REF!</definedName>
    <definedName name="уук" localSheetId="10">#REF!</definedName>
    <definedName name="уук" localSheetId="5">#REF!</definedName>
    <definedName name="уук" localSheetId="4">#REF!</definedName>
    <definedName name="уук">#REF!</definedName>
    <definedName name="уууу" localSheetId="15">#REF!</definedName>
    <definedName name="уууу" localSheetId="11">#REF!</definedName>
    <definedName name="уууу" localSheetId="8">#REF!</definedName>
    <definedName name="уууу" localSheetId="9">#REF!</definedName>
    <definedName name="уууу" localSheetId="10">#REF!</definedName>
    <definedName name="уууу">#REF!</definedName>
    <definedName name="ууууу" localSheetId="15">#REF!</definedName>
    <definedName name="ууууу" localSheetId="11">#REF!</definedName>
    <definedName name="ууууу" localSheetId="8">#REF!</definedName>
    <definedName name="ууууу" localSheetId="9">#REF!</definedName>
    <definedName name="ууууу" localSheetId="10">#REF!</definedName>
    <definedName name="ууууу">#REF!</definedName>
    <definedName name="УФ" localSheetId="15">[7]!УФ</definedName>
    <definedName name="УФ" localSheetId="11">#N/A</definedName>
    <definedName name="УФ" localSheetId="8">#N/A</definedName>
    <definedName name="УФ" localSheetId="9">#N/A</definedName>
    <definedName name="УФ">#N/A</definedName>
    <definedName name="уцапек" localSheetId="15">#REF!</definedName>
    <definedName name="уцапек" localSheetId="2">#REF!</definedName>
    <definedName name="уцапек" localSheetId="1">#REF!</definedName>
    <definedName name="уцапек" localSheetId="11">#REF!</definedName>
    <definedName name="уцапек" localSheetId="8">#REF!</definedName>
    <definedName name="уцапек" localSheetId="9">#REF!</definedName>
    <definedName name="уцапек" localSheetId="10">#REF!</definedName>
    <definedName name="уцапек" localSheetId="5">#REF!</definedName>
    <definedName name="уцапек" localSheetId="4">#REF!</definedName>
    <definedName name="уцапек">#REF!</definedName>
    <definedName name="уц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15">[7]!уыукпе</definedName>
    <definedName name="уыукпе" localSheetId="11">#N/A</definedName>
    <definedName name="уыукпе" localSheetId="8">#N/A</definedName>
    <definedName name="уыукпе" localSheetId="9">#N/A</definedName>
    <definedName name="уыукпе">#N/A</definedName>
    <definedName name="ф" localSheetId="15">#REF!</definedName>
    <definedName name="ф" localSheetId="2">#REF!</definedName>
    <definedName name="ф" localSheetId="1">#REF!</definedName>
    <definedName name="ф" localSheetId="11">#REF!</definedName>
    <definedName name="ф" localSheetId="8">#REF!</definedName>
    <definedName name="ф" localSheetId="9">#REF!</definedName>
    <definedName name="ф" localSheetId="10">#REF!</definedName>
    <definedName name="ф" localSheetId="5">#REF!</definedName>
    <definedName name="ф" localSheetId="4">#REF!</definedName>
    <definedName name="ф">#REF!</definedName>
    <definedName name="ф0113" localSheetId="15">#REF!</definedName>
    <definedName name="ф0113" localSheetId="11">#REF!</definedName>
    <definedName name="ф0113" localSheetId="8">#REF!</definedName>
    <definedName name="ф0113" localSheetId="9">#REF!</definedName>
    <definedName name="ф0113" localSheetId="10">#REF!</definedName>
    <definedName name="ф0113">#REF!</definedName>
    <definedName name="фам" localSheetId="15">[7]!фам</definedName>
    <definedName name="фам" localSheetId="11">#N/A</definedName>
    <definedName name="фам" localSheetId="8">#N/A</definedName>
    <definedName name="фам" localSheetId="9">#N/A</definedName>
    <definedName name="фам">#N/A</definedName>
    <definedName name="фв" localSheetId="15">#REF!</definedName>
    <definedName name="фв" localSheetId="2">#REF!</definedName>
    <definedName name="фв" localSheetId="1">#REF!</definedName>
    <definedName name="фв" localSheetId="11">#REF!</definedName>
    <definedName name="фв" localSheetId="8">#REF!</definedName>
    <definedName name="фв" localSheetId="9">#REF!</definedName>
    <definedName name="фв" localSheetId="10">#REF!</definedName>
    <definedName name="фв" localSheetId="5">#REF!</definedName>
    <definedName name="фв" localSheetId="4">#REF!</definedName>
    <definedName name="фв">#REF!</definedName>
    <definedName name="фвар" localSheetId="15" hidden="1">#REF!,#REF!,#REF!,амор!P1_SCOPE_PER_PRT,амор!P2_SCOPE_PER_PRT,амор!P3_SCOPE_PER_PRT,амор!P4_SCOPE_PER_PRT</definedName>
    <definedName name="фвар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фвар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фвар" localSheetId="7" hidden="1">#REF!,#REF!,#REF!,подконтрольные!P1_SCOPE_PER_PRT,подконтрольные!P2_SCOPE_PER_PRT,подконтрольные!P3_SCOPE_PER_PRT,подконтрольные!P4_SCOPE_PER_PRT</definedName>
    <definedName name="фвар" localSheetId="11" hidden="1">#REF!,#REF!,#REF!,'прил 4 к расп'!P1_SCOPE_PER_PRT,'прил 4 к расп'!P2_SCOPE_PER_PRT,'прил 4 к расп'!P3_SCOPE_PER_PRT,'прил 4 к расп'!P4_SCOPE_PER_PRT</definedName>
    <definedName name="фвар" localSheetId="8" hidden="1">#REF!,#REF!,#REF!,Прил2!P1_SCOPE_PER_PRT,Прил2!P2_SCOPE_PER_PRT,Прил2!P3_SCOPE_PER_PRT,Прил2!P4_SCOPE_PER_PRT</definedName>
    <definedName name="фвар" localSheetId="9" hidden="1">#REF!,#REF!,#REF!,Прил3!P1_SCOPE_PER_PRT,Прил3!P2_SCOPE_PER_PRT,Прил3!P3_SCOPE_PER_PRT,Прил3!P4_SCOPE_PER_PRT</definedName>
    <definedName name="фвар" localSheetId="10" hidden="1">#REF!,#REF!,#REF!,прил4!P1_SCOPE_PER_PRT,прил4!P2_SCOPE_PER_PRT,прил4!P3_SCOPE_PER_PRT,прил4!P4_SCOPE_PER_PRT</definedName>
    <definedName name="фвар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фвар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фвар" hidden="1">#REF!,#REF!,#REF!,P1_SCOPE_PER_PRT,P2_SCOPE_PER_PRT,P3_SCOPE_PER_PRT,P4_SCOPE_PER_PRT</definedName>
    <definedName name="фвцу" localSheetId="15">#REF!</definedName>
    <definedName name="фвцу" localSheetId="2">#REF!</definedName>
    <definedName name="фвцу" localSheetId="1">#REF!</definedName>
    <definedName name="фвцу" localSheetId="11">#REF!</definedName>
    <definedName name="фвцу" localSheetId="8">#REF!</definedName>
    <definedName name="фвцу" localSheetId="9">#REF!</definedName>
    <definedName name="фвцу" localSheetId="10">#REF!</definedName>
    <definedName name="фвцу" localSheetId="5">#REF!</definedName>
    <definedName name="фвцу" localSheetId="4">#REF!</definedName>
    <definedName name="фвцу">#REF!</definedName>
    <definedName name="фев" localSheetId="15">#REF!</definedName>
    <definedName name="фев" localSheetId="11">#REF!</definedName>
    <definedName name="фев" localSheetId="8">#REF!</definedName>
    <definedName name="фев" localSheetId="9">#REF!</definedName>
    <definedName name="фев" localSheetId="10">#REF!</definedName>
    <definedName name="фев">#REF!</definedName>
    <definedName name="фев2" localSheetId="15">#REF!</definedName>
    <definedName name="фев2" localSheetId="11">#REF!</definedName>
    <definedName name="фев2" localSheetId="8">#REF!</definedName>
    <definedName name="фев2" localSheetId="9">#REF!</definedName>
    <definedName name="фев2" localSheetId="10">#REF!</definedName>
    <definedName name="фев2">#REF!</definedName>
    <definedName name="фильтр" localSheetId="15">#REF!</definedName>
    <definedName name="фильтр" localSheetId="11">#REF!</definedName>
    <definedName name="фильтр" localSheetId="10">#REF!</definedName>
    <definedName name="фильтр">#REF!</definedName>
    <definedName name="фо_а_н_пц" localSheetId="15">[109]рабочий!$AR$240:$BI$263</definedName>
    <definedName name="фо_а_н_пц" localSheetId="2">[110]рабочий!$AR$240:$BI$263</definedName>
    <definedName name="фо_а_н_пц" localSheetId="1">[110]рабочий!$AR$240:$BI$263</definedName>
    <definedName name="фо_а_н_пц" localSheetId="11">[109]рабочий!$AR$240:$BI$263</definedName>
    <definedName name="фо_а_н_пц" localSheetId="8">[109]рабочий!$AR$240:$BI$263</definedName>
    <definedName name="фо_а_н_пц" localSheetId="9">[109]рабочий!$AR$240:$BI$263</definedName>
    <definedName name="фо_а_н_пц" localSheetId="10">[111]рабочий!$AR$240:$BI$263</definedName>
    <definedName name="фо_а_н_пц" localSheetId="5">[110]рабочий!$AR$240:$BI$263</definedName>
    <definedName name="фо_а_н_пц" localSheetId="4">[110]рабочий!$AR$240:$BI$263</definedName>
    <definedName name="фо_а_н_пц">[112]рабочий!$AR$240:$BI$263</definedName>
    <definedName name="фо_а_с_пц" localSheetId="15">[109]рабочий!$AS$202:$BI$224</definedName>
    <definedName name="фо_а_с_пц" localSheetId="2">[110]рабочий!$AS$202:$BI$224</definedName>
    <definedName name="фо_а_с_пц" localSheetId="1">[110]рабочий!$AS$202:$BI$224</definedName>
    <definedName name="фо_а_с_пц" localSheetId="11">[109]рабочий!$AS$202:$BI$224</definedName>
    <definedName name="фо_а_с_пц" localSheetId="8">[109]рабочий!$AS$202:$BI$224</definedName>
    <definedName name="фо_а_с_пц" localSheetId="9">[109]рабочий!$AS$202:$BI$224</definedName>
    <definedName name="фо_а_с_пц" localSheetId="10">[111]рабочий!$AS$202:$BI$224</definedName>
    <definedName name="фо_а_с_пц" localSheetId="5">[110]рабочий!$AS$202:$BI$224</definedName>
    <definedName name="фо_а_с_пц" localSheetId="4">[110]рабочий!$AS$202:$BI$224</definedName>
    <definedName name="фо_а_с_пц">[112]рабочий!$AS$202:$BI$224</definedName>
    <definedName name="фо_н_03" localSheetId="15">[109]рабочий!$X$305:$X$327</definedName>
    <definedName name="фо_н_03" localSheetId="2">[110]рабочий!$X$305:$X$327</definedName>
    <definedName name="фо_н_03" localSheetId="1">[110]рабочий!$X$305:$X$327</definedName>
    <definedName name="фо_н_03" localSheetId="11">[109]рабочий!$X$305:$X$327</definedName>
    <definedName name="фо_н_03" localSheetId="8">[109]рабочий!$X$305:$X$327</definedName>
    <definedName name="фо_н_03" localSheetId="9">[109]рабочий!$X$305:$X$327</definedName>
    <definedName name="фо_н_03" localSheetId="10">[111]рабочий!$X$305:$X$327</definedName>
    <definedName name="фо_н_03" localSheetId="5">[110]рабочий!$X$305:$X$327</definedName>
    <definedName name="фо_н_03" localSheetId="4">[110]рабочий!$X$305:$X$327</definedName>
    <definedName name="фо_н_03">[112]рабочий!$X$305:$X$327</definedName>
    <definedName name="фо_н_04" localSheetId="15">[109]рабочий!$X$335:$X$357</definedName>
    <definedName name="фо_н_04" localSheetId="2">[110]рабочий!$X$335:$X$357</definedName>
    <definedName name="фо_н_04" localSheetId="1">[110]рабочий!$X$335:$X$357</definedName>
    <definedName name="фо_н_04" localSheetId="11">[109]рабочий!$X$335:$X$357</definedName>
    <definedName name="фо_н_04" localSheetId="8">[109]рабочий!$X$335:$X$357</definedName>
    <definedName name="фо_н_04" localSheetId="9">[109]рабочий!$X$335:$X$357</definedName>
    <definedName name="фо_н_04" localSheetId="10">[111]рабочий!$X$335:$X$357</definedName>
    <definedName name="фо_н_04" localSheetId="5">[110]рабочий!$X$335:$X$357</definedName>
    <definedName name="фо_н_04" localSheetId="4">[110]рабочий!$X$335:$X$357</definedName>
    <definedName name="фо_н_04">[112]рабочий!$X$335:$X$357</definedName>
    <definedName name="Форма" localSheetId="15">[7]!Форма</definedName>
    <definedName name="Форма" localSheetId="11">#N/A</definedName>
    <definedName name="Форма" localSheetId="8">#N/A</definedName>
    <definedName name="Форма" localSheetId="9">#N/A</definedName>
    <definedName name="Форма">#N/A</definedName>
    <definedName name="ФПБКХ" localSheetId="15">#REF!</definedName>
    <definedName name="ФПБКХ" localSheetId="11">#REF!</definedName>
    <definedName name="ФПБКХ">#REF!</definedName>
    <definedName name="фпсв" localSheetId="15">#REF!</definedName>
    <definedName name="фпсв" localSheetId="11">#REF!</definedName>
    <definedName name="фпсв">#REF!</definedName>
    <definedName name="фпЦКК" localSheetId="15">#REF!</definedName>
    <definedName name="фпЦКК" localSheetId="11">#REF!</definedName>
    <definedName name="фпЦКК">#REF!</definedName>
    <definedName name="фук" localSheetId="15" hidden="1">#REF!,#REF!,#REF!,амор!P1_SCOPE_PER_PRT,амор!P2_SCOPE_PER_PRT,амор!P3_SCOPE_PER_PRT,амор!P4_SCOPE_PER_PRT</definedName>
    <definedName name="фук" localSheetId="2" hidden="1">#REF!,#REF!,#REF!,'Кальк.2019-2023 (ДИ) (2)'!P1_SCOPE_PER_PRT,'Кальк.2019-2023 (ДИ) (2)'!P2_SCOPE_PER_PRT,'Кальк.2019-2023 (ДИ) (2)'!P3_SCOPE_PER_PRT,'Кальк.2019-2023 (ДИ) (2)'!P4_SCOPE_PER_PRT</definedName>
    <definedName name="фук" localSheetId="1" hidden="1">#REF!,#REF!,#REF!,'Кальк.2019-2023 (ДИ) (3)'!P1_SCOPE_PER_PRT,'Кальк.2019-2023 (ДИ) (3)'!P2_SCOPE_PER_PRT,'Кальк.2019-2023 (ДИ) (3)'!P3_SCOPE_PER_PRT,'Кальк.2019-2023 (ДИ) (3)'!P4_SCOPE_PER_PRT</definedName>
    <definedName name="фук" localSheetId="7" hidden="1">#REF!,#REF!,#REF!,подконтрольные!P1_SCOPE_PER_PRT,подконтрольные!P2_SCOPE_PER_PRT,подконтрольные!P3_SCOPE_PER_PRT,подконтрольные!P4_SCOPE_PER_PRT</definedName>
    <definedName name="фук" localSheetId="11" hidden="1">#REF!,#REF!,#REF!,'прил 4 к расп'!P1_SCOPE_PER_PRT,'прил 4 к расп'!P2_SCOPE_PER_PRT,'прил 4 к расп'!P3_SCOPE_PER_PRT,'прил 4 к расп'!P4_SCOPE_PER_PRT</definedName>
    <definedName name="фук" localSheetId="8" hidden="1">#REF!,#REF!,#REF!,Прил2!P1_SCOPE_PER_PRT,Прил2!P2_SCOPE_PER_PRT,Прил2!P3_SCOPE_PER_PRT,Прил2!P4_SCOPE_PER_PRT</definedName>
    <definedName name="фук" localSheetId="9" hidden="1">#REF!,#REF!,#REF!,Прил3!P1_SCOPE_PER_PRT,Прил3!P2_SCOPE_PER_PRT,Прил3!P3_SCOPE_PER_PRT,Прил3!P4_SCOPE_PER_PRT</definedName>
    <definedName name="фук" localSheetId="10" hidden="1">#REF!,#REF!,#REF!,прил4!P1_SCOPE_PER_PRT,прил4!P2_SCOPE_PER_PRT,прил4!P3_SCOPE_PER_PRT,прил4!P4_SCOPE_PER_PRT</definedName>
    <definedName name="фук" localSheetId="5" hidden="1">#REF!,#REF!,#REF!,'Тарифное меню (2)'!P1_SCOPE_PER_PRT,'Тарифное меню (2)'!P2_SCOPE_PER_PRT,'Тарифное меню (2)'!P3_SCOPE_PER_PRT,'Тарифное меню (2)'!P4_SCOPE_PER_PRT</definedName>
    <definedName name="фук" localSheetId="4" hidden="1">#REF!,#REF!,#REF!,'Тарифное меню (3)'!P1_SCOPE_PER_PRT,'Тарифное меню (3)'!P2_SCOPE_PER_PRT,'Тарифное меню (3)'!P3_SCOPE_PER_PRT,'Тарифное меню (3)'!P4_SCOPE_PER_PRT</definedName>
    <definedName name="фук" hidden="1">#REF!,#REF!,#REF!,P1_SCOPE_PER_PRT,P2_SCOPE_PER_PRT,P3_SCOPE_PER_PRT,P4_SCOPE_PER_PRT</definedName>
    <definedName name="Фуфцу" localSheetId="15">#REF!</definedName>
    <definedName name="Фуфцу" localSheetId="2">#REF!</definedName>
    <definedName name="Фуфцу" localSheetId="1">#REF!</definedName>
    <definedName name="Фуфцу" localSheetId="11">#REF!</definedName>
    <definedName name="Фуфцу" localSheetId="8">#REF!</definedName>
    <definedName name="Фуфцу" localSheetId="9">#REF!</definedName>
    <definedName name="Фуфцу" localSheetId="10">#REF!</definedName>
    <definedName name="Фуфцу" localSheetId="5">#REF!</definedName>
    <definedName name="Фуфцу" localSheetId="4">#REF!</definedName>
    <definedName name="Фуфцу">#REF!</definedName>
    <definedName name="фуцу" localSheetId="15">#REF!</definedName>
    <definedName name="фуцу" localSheetId="11">#REF!</definedName>
    <definedName name="фуцу" localSheetId="8">#REF!</definedName>
    <definedName name="фуцу" localSheetId="9">#REF!</definedName>
    <definedName name="фуцу" localSheetId="10">#REF!</definedName>
    <definedName name="фуцу">#REF!</definedName>
    <definedName name="фф" localSheetId="15">#REF!</definedName>
    <definedName name="фф" localSheetId="11">#REF!</definedName>
    <definedName name="фф" localSheetId="8">#REF!</definedName>
    <definedName name="фф" localSheetId="9">#REF!</definedName>
    <definedName name="фф" localSheetId="10">#REF!</definedName>
    <definedName name="фф">#REF!</definedName>
    <definedName name="ффф" localSheetId="15" hidden="1">{"PRINTME",#N/A,FALSE,"FINAL-10"}</definedName>
    <definedName name="ффф" localSheetId="2" hidden="1">{"PRINTME",#N/A,FALSE,"FINAL-10"}</definedName>
    <definedName name="ффф" localSheetId="1" hidden="1">{"PRINTME",#N/A,FALSE,"FINAL-10"}</definedName>
    <definedName name="ффф" localSheetId="7" hidden="1">{"PRINTME",#N/A,FALSE,"FINAL-10"}</definedName>
    <definedName name="ффф" localSheetId="11" hidden="1">{"PRINTME",#N/A,FALSE,"FINAL-10"}</definedName>
    <definedName name="ффф" localSheetId="8" hidden="1">{"PRINTME",#N/A,FALSE,"FINAL-10"}</definedName>
    <definedName name="ффф" localSheetId="9" hidden="1">{"PRINTME",#N/A,FALSE,"FINAL-10"}</definedName>
    <definedName name="ффф" localSheetId="10" hidden="1">{"PRINTME",#N/A,FALSE,"FINAL-10"}</definedName>
    <definedName name="ффф" localSheetId="5" hidden="1">{"PRINTME",#N/A,FALSE,"FINAL-10"}</definedName>
    <definedName name="ффф" localSheetId="4" hidden="1">{"PRINTME",#N/A,FALSE,"FINAL-10"}</definedName>
    <definedName name="ффф" hidden="1">{"PRINTME",#N/A,FALSE,"FINAL-10"}</definedName>
    <definedName name="фффффф" localSheetId="15" hidden="1">{#N/A,#N/A,TRUE,"Лист1";#N/A,#N/A,TRUE,"Лист2";#N/A,#N/A,TRUE,"Лист3"}</definedName>
    <definedName name="фффффф" localSheetId="2" hidden="1">{#N/A,#N/A,TRUE,"Лист1";#N/A,#N/A,TRUE,"Лист2";#N/A,#N/A,TRUE,"Лист3"}</definedName>
    <definedName name="фффффф" localSheetId="1" hidden="1">{#N/A,#N/A,TRUE,"Лист1";#N/A,#N/A,TRUE,"Лист2";#N/A,#N/A,TRUE,"Лист3"}</definedName>
    <definedName name="фффффф" localSheetId="11" hidden="1">{#N/A,#N/A,TRUE,"Лист1";#N/A,#N/A,TRUE,"Лист2";#N/A,#N/A,TRUE,"Лист3"}</definedName>
    <definedName name="фффффф" localSheetId="8" hidden="1">{#N/A,#N/A,TRUE,"Лист1";#N/A,#N/A,TRUE,"Лист2";#N/A,#N/A,TRUE,"Лист3"}</definedName>
    <definedName name="фффффф" localSheetId="9" hidden="1">{#N/A,#N/A,TRUE,"Лист1";#N/A,#N/A,TRUE,"Лист2";#N/A,#N/A,TRUE,"Лист3"}</definedName>
    <definedName name="фффффф" localSheetId="10" hidden="1">{#N/A,#N/A,TRUE,"Лист1";#N/A,#N/A,TRUE,"Лист2";#N/A,#N/A,TRUE,"Лист3"}</definedName>
    <definedName name="фффффф" localSheetId="5" hidden="1">{#N/A,#N/A,TRUE,"Лист1";#N/A,#N/A,TRUE,"Лист2";#N/A,#N/A,TRUE,"Лист3"}</definedName>
    <definedName name="фффффф" localSheetId="4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5">#REF!</definedName>
    <definedName name="фцуцйук" localSheetId="2">#REF!</definedName>
    <definedName name="фцуцйук" localSheetId="1">#REF!</definedName>
    <definedName name="фцуцйук" localSheetId="11">#REF!</definedName>
    <definedName name="фцуцйук" localSheetId="8">#REF!</definedName>
    <definedName name="фцуцйук" localSheetId="9">#REF!</definedName>
    <definedName name="фцуцйук" localSheetId="10">#REF!</definedName>
    <definedName name="фцуцйук" localSheetId="5">#REF!</definedName>
    <definedName name="фцуцйук" localSheetId="4">#REF!</definedName>
    <definedName name="фцуцйук">#REF!</definedName>
    <definedName name="фы" localSheetId="15">#REF!</definedName>
    <definedName name="фы" localSheetId="11">#REF!</definedName>
    <definedName name="фы">#REF!</definedName>
    <definedName name="фыаспит" localSheetId="15">[7]!фыаспит</definedName>
    <definedName name="фыаспит" localSheetId="11">#N/A</definedName>
    <definedName name="фыаспит" localSheetId="8">#N/A</definedName>
    <definedName name="фыаспит" localSheetId="9">#N/A</definedName>
    <definedName name="фыаспит">#N/A</definedName>
    <definedName name="фывфы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5">#REF!</definedName>
    <definedName name="фыйцу" localSheetId="2">#REF!</definedName>
    <definedName name="фыйцу" localSheetId="1">#REF!</definedName>
    <definedName name="фыйцу" localSheetId="11">#REF!</definedName>
    <definedName name="фыйцу" localSheetId="8">#REF!</definedName>
    <definedName name="фыйцу" localSheetId="9">#REF!</definedName>
    <definedName name="фыйцу" localSheetId="10">#REF!</definedName>
    <definedName name="фыйцу" localSheetId="5">#REF!</definedName>
    <definedName name="фыйцу" localSheetId="4">#REF!</definedName>
    <definedName name="фыйцу">#REF!</definedName>
    <definedName name="фыувц" localSheetId="15">#REF!</definedName>
    <definedName name="фыувц" localSheetId="11">#REF!</definedName>
    <definedName name="фыувц" localSheetId="8">#REF!</definedName>
    <definedName name="фыувц" localSheetId="9">#REF!</definedName>
    <definedName name="фыувц" localSheetId="10">#REF!</definedName>
    <definedName name="фыувц">#REF!</definedName>
    <definedName name="х" localSheetId="15">#REF!</definedName>
    <definedName name="х" localSheetId="11">#REF!</definedName>
    <definedName name="х" localSheetId="8">#REF!</definedName>
    <definedName name="х" localSheetId="9">#REF!</definedName>
    <definedName name="х" localSheetId="10">#REF!</definedName>
    <definedName name="х">#REF!</definedName>
    <definedName name="Химикаты" localSheetId="15">#REF!</definedName>
    <definedName name="Химикаты" localSheetId="11">#REF!</definedName>
    <definedName name="Химикаты">#REF!</definedName>
    <definedName name="ц" localSheetId="15">#REF!</definedName>
    <definedName name="ц" localSheetId="11">#REF!</definedName>
    <definedName name="ц" localSheetId="10">#REF!</definedName>
    <definedName name="ц">#REF!</definedName>
    <definedName name="ц1" localSheetId="15">[7]!ц1</definedName>
    <definedName name="ц1" localSheetId="11">#N/A</definedName>
    <definedName name="ц1" localSheetId="8">#N/A</definedName>
    <definedName name="ц1" localSheetId="9">#N/A</definedName>
    <definedName name="ц1">#N/A</definedName>
    <definedName name="цвсцуа" localSheetId="15">#REF!</definedName>
    <definedName name="цвсцуа" localSheetId="2">#REF!</definedName>
    <definedName name="цвсцуа" localSheetId="1">#REF!</definedName>
    <definedName name="цвсцуа" localSheetId="11">#REF!</definedName>
    <definedName name="цвсцуа" localSheetId="8">#REF!</definedName>
    <definedName name="цвсцуа" localSheetId="9">#REF!</definedName>
    <definedName name="цвсцуа" localSheetId="10">#REF!</definedName>
    <definedName name="цвсцуа" localSheetId="5">#REF!</definedName>
    <definedName name="цвсцуа" localSheetId="4">#REF!</definedName>
    <definedName name="цвсцуа">#REF!</definedName>
    <definedName name="цена_фреш_АП" localSheetId="15">#REF!</definedName>
    <definedName name="цена_фреш_АП" localSheetId="11">#REF!</definedName>
    <definedName name="цена_фреш_АП" localSheetId="8">#REF!</definedName>
    <definedName name="цена_фреш_АП" localSheetId="9">#REF!</definedName>
    <definedName name="цена_фреш_АП" localSheetId="10">#REF!</definedName>
    <definedName name="цена_фреш_АП">#REF!</definedName>
    <definedName name="цйаук" localSheetId="15">#REF!</definedName>
    <definedName name="цйаук" localSheetId="11">#REF!</definedName>
    <definedName name="цйаук" localSheetId="8">#REF!</definedName>
    <definedName name="цйаук" localSheetId="9">#REF!</definedName>
    <definedName name="цйаук" localSheetId="10">#REF!</definedName>
    <definedName name="цйаук">#REF!</definedName>
    <definedName name="цпцп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15">#REF!</definedName>
    <definedName name="ЦУ" localSheetId="2">#REF!</definedName>
    <definedName name="ЦУ" localSheetId="1">#REF!</definedName>
    <definedName name="ЦУ" localSheetId="11">#REF!</definedName>
    <definedName name="ЦУ" localSheetId="8">#REF!</definedName>
    <definedName name="ЦУ" localSheetId="9">#REF!</definedName>
    <definedName name="ЦУ" localSheetId="10">#REF!</definedName>
    <definedName name="ЦУ" localSheetId="5">#REF!</definedName>
    <definedName name="ЦУ" localSheetId="4">#REF!</definedName>
    <definedName name="ЦУ">#REF!</definedName>
    <definedName name="ЦУ_2" localSheetId="15">#REF!</definedName>
    <definedName name="ЦУ_2" localSheetId="11">#REF!</definedName>
    <definedName name="ЦУ_2" localSheetId="8">#REF!</definedName>
    <definedName name="ЦУ_2" localSheetId="9">#REF!</definedName>
    <definedName name="ЦУ_2" localSheetId="10">#REF!</definedName>
    <definedName name="ЦУ_2">#REF!</definedName>
    <definedName name="ЦУ_ДЛ" localSheetId="11">'[181]Справочник подразделений'!$C$5:$C$137</definedName>
    <definedName name="ЦУ_ДЛ" localSheetId="8">'[181]Справочник подразделений'!$C$5:$C$137</definedName>
    <definedName name="ЦУ_ДЛ" localSheetId="9">'[181]Справочник подразделений'!$C$5:$C$137</definedName>
    <definedName name="ЦУ_ДЛ">'[181]Справочник подразделений'!$C$5:$C$137</definedName>
    <definedName name="ЦУ_ДЛ_2" localSheetId="11">'[182]Справочник подразделений'!$C$5:$C$184</definedName>
    <definedName name="ЦУ_ДЛ_2" localSheetId="8">'[182]Справочник подразделений'!$C$5:$C$184</definedName>
    <definedName name="ЦУ_ДЛ_2" localSheetId="9">'[182]Справочник подразделений'!$C$5:$C$184</definedName>
    <definedName name="ЦУ_ДЛ_2">'[182]Справочник подразделений'!$C$5:$C$184</definedName>
    <definedName name="ЦУ_ДРП">'[183]Справочник подразделений'!$C$5:$C$137</definedName>
    <definedName name="цуа" localSheetId="15">[7]!цуа</definedName>
    <definedName name="цуа" localSheetId="11">#N/A</definedName>
    <definedName name="цуа" localSheetId="8">#N/A</definedName>
    <definedName name="цуа" localSheetId="9">#N/A</definedName>
    <definedName name="цуа">#N/A</definedName>
    <definedName name="цуав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5">#REF!</definedName>
    <definedName name="цуаку" localSheetId="2">#REF!</definedName>
    <definedName name="цуаку" localSheetId="1">#REF!</definedName>
    <definedName name="цуаку" localSheetId="11">#REF!</definedName>
    <definedName name="цуаку" localSheetId="8">#REF!</definedName>
    <definedName name="цуаку" localSheetId="9">#REF!</definedName>
    <definedName name="цуаку" localSheetId="10">#REF!</definedName>
    <definedName name="цуаку" localSheetId="5">#REF!</definedName>
    <definedName name="цуаку" localSheetId="4">#REF!</definedName>
    <definedName name="цуаку">#REF!</definedName>
    <definedName name="цуа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5">#REF!</definedName>
    <definedName name="цуй" localSheetId="2">#REF!</definedName>
    <definedName name="цуй" localSheetId="1">#REF!</definedName>
    <definedName name="цуй" localSheetId="11">#REF!</definedName>
    <definedName name="цуй" localSheetId="8">#REF!</definedName>
    <definedName name="цуй" localSheetId="9">#REF!</definedName>
    <definedName name="цуй" localSheetId="10">#REF!</definedName>
    <definedName name="цуй" localSheetId="5">#REF!</definedName>
    <definedName name="цуй" localSheetId="4">#REF!</definedName>
    <definedName name="цуй">#REF!</definedName>
    <definedName name="цук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5">#REF!</definedName>
    <definedName name="цукц" localSheetId="2">#REF!</definedName>
    <definedName name="цукц" localSheetId="1">#REF!</definedName>
    <definedName name="цукц" localSheetId="11">#REF!</definedName>
    <definedName name="цукц" localSheetId="8">#REF!</definedName>
    <definedName name="цукц" localSheetId="9">#REF!</definedName>
    <definedName name="цукц" localSheetId="10">#REF!</definedName>
    <definedName name="цукц" localSheetId="5">#REF!</definedName>
    <definedName name="цукц" localSheetId="4">#REF!</definedName>
    <definedName name="цукц">#REF!</definedName>
    <definedName name="цукц34" localSheetId="15">#REF!</definedName>
    <definedName name="цукц34" localSheetId="11">#REF!</definedName>
    <definedName name="цукц34" localSheetId="8">#REF!</definedName>
    <definedName name="цукц34" localSheetId="9">#REF!</definedName>
    <definedName name="цукц34" localSheetId="10">#REF!</definedName>
    <definedName name="цукц34">#REF!</definedName>
    <definedName name="цукц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5">#REF!</definedName>
    <definedName name="цуц" localSheetId="2">#REF!</definedName>
    <definedName name="цуц" localSheetId="1">#REF!</definedName>
    <definedName name="цуц" localSheetId="11">#REF!</definedName>
    <definedName name="цуц" localSheetId="8">#REF!</definedName>
    <definedName name="цуц" localSheetId="9">#REF!</definedName>
    <definedName name="цуц" localSheetId="10">#REF!</definedName>
    <definedName name="цуц" localSheetId="5">#REF!</definedName>
    <definedName name="цуц" localSheetId="4">#REF!</definedName>
    <definedName name="цуц">#REF!</definedName>
    <definedName name="цу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5">#REF!</definedName>
    <definedName name="ЦФО" localSheetId="2">#REF!</definedName>
    <definedName name="ЦФО" localSheetId="1">#REF!</definedName>
    <definedName name="ЦФО" localSheetId="11">#REF!</definedName>
    <definedName name="ЦФО" localSheetId="8">#REF!</definedName>
    <definedName name="ЦФО" localSheetId="9">#REF!</definedName>
    <definedName name="ЦФО" localSheetId="10">#REF!</definedName>
    <definedName name="ЦФО" localSheetId="5">#REF!</definedName>
    <definedName name="ЦФО" localSheetId="4">#REF!</definedName>
    <definedName name="ЦФО">#REF!</definedName>
    <definedName name="цццц" localSheetId="15">#REF!</definedName>
    <definedName name="цццц" localSheetId="11">#REF!</definedName>
    <definedName name="цццц" localSheetId="8">#REF!</definedName>
    <definedName name="цццц" localSheetId="9">#REF!</definedName>
    <definedName name="цццц" localSheetId="10">#REF!</definedName>
    <definedName name="цццц">#REF!</definedName>
    <definedName name="цыукцк" localSheetId="15">#REF!</definedName>
    <definedName name="цыукцк" localSheetId="11">#REF!</definedName>
    <definedName name="цыукцк" localSheetId="8">#REF!</definedName>
    <definedName name="цыукцк" localSheetId="9">#REF!</definedName>
    <definedName name="цыукцк" localSheetId="10">#REF!</definedName>
    <definedName name="цыукцк">#REF!</definedName>
    <definedName name="ч" localSheetId="15">#REF!</definedName>
    <definedName name="ч" localSheetId="11">#REF!</definedName>
    <definedName name="ч" localSheetId="10">#REF!</definedName>
    <definedName name="ч">#REF!</definedName>
    <definedName name="черновик" localSheetId="15">[7]!черновик</definedName>
    <definedName name="черновик" localSheetId="11">#N/A</definedName>
    <definedName name="черновик" localSheetId="8">#N/A</definedName>
    <definedName name="черновик" localSheetId="9">#N/A</definedName>
    <definedName name="черновик">#N/A</definedName>
    <definedName name="четвертый" localSheetId="15">#REF!</definedName>
    <definedName name="четвертый" localSheetId="2">#REF!</definedName>
    <definedName name="четвертый" localSheetId="1">#REF!</definedName>
    <definedName name="четвертый" localSheetId="11">#REF!</definedName>
    <definedName name="четвертый" localSheetId="8">#REF!</definedName>
    <definedName name="четвертый" localSheetId="9">#REF!</definedName>
    <definedName name="четвертый" localSheetId="10">#REF!</definedName>
    <definedName name="четвертый" localSheetId="5">#REF!</definedName>
    <definedName name="четвертый" localSheetId="4">#REF!</definedName>
    <definedName name="четвертый">#REF!</definedName>
    <definedName name="четвёртый" localSheetId="15">#REF!</definedName>
    <definedName name="четвёртый" localSheetId="11">#REF!</definedName>
    <definedName name="четвёртый">#REF!</definedName>
    <definedName name="Чистая_прибыль" localSheetId="15">#REF!,#REF!,#REF!,#REF!,#REF!,#REF!,#REF!,#REF!,#REF!,#REF!</definedName>
    <definedName name="Чистая_прибыль" localSheetId="2">#REF!,#REF!,#REF!,#REF!,#REF!,#REF!,#REF!,#REF!,#REF!,#REF!</definedName>
    <definedName name="Чистая_прибыль" localSheetId="1">#REF!,#REF!,#REF!,#REF!,#REF!,#REF!,#REF!,#REF!,#REF!,#REF!</definedName>
    <definedName name="Чистая_прибыль" localSheetId="11">#REF!,#REF!,#REF!,#REF!,#REF!,#REF!,#REF!,#REF!,#REF!,#REF!</definedName>
    <definedName name="Чистая_прибыль" localSheetId="8">#REF!,#REF!,#REF!,#REF!,#REF!,#REF!,#REF!,#REF!,#REF!,#REF!</definedName>
    <definedName name="Чистая_прибыль" localSheetId="9">#REF!,#REF!,#REF!,#REF!,#REF!,#REF!,#REF!,#REF!,#REF!,#REF!</definedName>
    <definedName name="Чистая_прибыль" localSheetId="10">#REF!,#REF!,#REF!,#REF!,#REF!,#REF!,#REF!,#REF!,#REF!,#REF!</definedName>
    <definedName name="Чистая_прибыль" localSheetId="5">#REF!,#REF!,#REF!,#REF!,#REF!,#REF!,#REF!,#REF!,#REF!,#REF!</definedName>
    <definedName name="Чистая_прибыль" localSheetId="4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5">#REF!,#REF!,#REF!,#REF!,#REF!,#REF!,#REF!,#REF!,#REF!,#REF!</definedName>
    <definedName name="Чистая_прибыль_Молоко" localSheetId="11">#REF!,#REF!,#REF!,#REF!,#REF!,#REF!,#REF!,#REF!,#REF!,#REF!</definedName>
    <definedName name="Чистая_прибыль_Молоко" localSheetId="8">#REF!,#REF!,#REF!,#REF!,#REF!,#REF!,#REF!,#REF!,#REF!,#REF!</definedName>
    <definedName name="Чистая_прибыль_Молоко" localSheetId="9">#REF!,#REF!,#REF!,#REF!,#REF!,#REF!,#REF!,#REF!,#REF!,#REF!</definedName>
    <definedName name="Чистая_прибыль_Молоко" localSheetId="1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5">#REF!,#REF!,#REF!,#REF!,#REF!,#REF!,#REF!,#REF!,#REF!,#REF!</definedName>
    <definedName name="Чистая_прибыль_Сок" localSheetId="11">#REF!,#REF!,#REF!,#REF!,#REF!,#REF!,#REF!,#REF!,#REF!,#REF!</definedName>
    <definedName name="Чистая_прибыль_Сок" localSheetId="8">#REF!,#REF!,#REF!,#REF!,#REF!,#REF!,#REF!,#REF!,#REF!,#REF!</definedName>
    <definedName name="Чистая_прибыль_Сок" localSheetId="9">#REF!,#REF!,#REF!,#REF!,#REF!,#REF!,#REF!,#REF!,#REF!,#REF!</definedName>
    <definedName name="Чистая_прибыль_Сок" localSheetId="10">#REF!,#REF!,#REF!,#REF!,#REF!,#REF!,#REF!,#REF!,#REF!,#REF!</definedName>
    <definedName name="Чистая_прибыль_Сок">#REF!,#REF!,#REF!,#REF!,#REF!,#REF!,#REF!,#REF!,#REF!,#REF!</definedName>
    <definedName name="ЧМ">[126]БКР!$B$1</definedName>
    <definedName name="чч" localSheetId="15">#REF!</definedName>
    <definedName name="чч" localSheetId="2">#REF!</definedName>
    <definedName name="чч" localSheetId="1">#REF!</definedName>
    <definedName name="чч" localSheetId="11">#REF!</definedName>
    <definedName name="чч" localSheetId="8">#REF!</definedName>
    <definedName name="чч" localSheetId="9">#REF!</definedName>
    <definedName name="чч" localSheetId="10">#REF!</definedName>
    <definedName name="чч" localSheetId="5">#REF!</definedName>
    <definedName name="чч" localSheetId="4">#REF!</definedName>
    <definedName name="чч">#REF!</definedName>
    <definedName name="ччччч" localSheetId="15">#REF!</definedName>
    <definedName name="ччччч" localSheetId="11">#REF!</definedName>
    <definedName name="ччччч" localSheetId="8">#REF!</definedName>
    <definedName name="ччччч" localSheetId="9">#REF!</definedName>
    <definedName name="ччччч" localSheetId="10">#REF!</definedName>
    <definedName name="ччччч">#REF!</definedName>
    <definedName name="ш" localSheetId="15">#REF!</definedName>
    <definedName name="ш" localSheetId="11">#REF!</definedName>
    <definedName name="ш" localSheetId="8">#REF!</definedName>
    <definedName name="ш" localSheetId="9">#REF!</definedName>
    <definedName name="ш" localSheetId="10">#REF!</definedName>
    <definedName name="ш">#REF!</definedName>
    <definedName name="шашп" localSheetId="15">#REF!</definedName>
    <definedName name="шашп" localSheetId="11">#REF!</definedName>
    <definedName name="шашп" localSheetId="10">#REF!</definedName>
    <definedName name="шашп">#REF!</definedName>
    <definedName name="шир_дан" localSheetId="15">#REF!</definedName>
    <definedName name="шир_дан" localSheetId="11">#REF!</definedName>
    <definedName name="шир_дан" localSheetId="10">#REF!</definedName>
    <definedName name="шир_дан">#REF!</definedName>
    <definedName name="шир_отч" localSheetId="15">#REF!</definedName>
    <definedName name="шир_отч" localSheetId="11">#REF!</definedName>
    <definedName name="шир_отч" localSheetId="10">#REF!</definedName>
    <definedName name="шир_отч">#REF!</definedName>
    <definedName name="шир_прош" localSheetId="15">#REF!</definedName>
    <definedName name="шир_прош" localSheetId="11">#REF!</definedName>
    <definedName name="шир_прош" localSheetId="10">#REF!</definedName>
    <definedName name="шир_прош">#REF!</definedName>
    <definedName name="шир_тек" localSheetId="15">#REF!</definedName>
    <definedName name="шир_тек" localSheetId="11">#REF!</definedName>
    <definedName name="шир_тек" localSheetId="10">#REF!</definedName>
    <definedName name="шир_тек">#REF!</definedName>
    <definedName name="шт" localSheetId="15">#REF!</definedName>
    <definedName name="шт" localSheetId="11">#REF!</definedName>
    <definedName name="шт" localSheetId="10">#REF!</definedName>
    <definedName name="шт">#REF!</definedName>
    <definedName name="шшшшшо" localSheetId="15">[7]!шшшшшо</definedName>
    <definedName name="шшшшшо" localSheetId="11">#N/A</definedName>
    <definedName name="шшшшшо" localSheetId="8">#N/A</definedName>
    <definedName name="шшшшшо" localSheetId="9">#N/A</definedName>
    <definedName name="шшшшшо">#N/A</definedName>
    <definedName name="щ" localSheetId="15">#REF!</definedName>
    <definedName name="щ" localSheetId="2">#REF!</definedName>
    <definedName name="щ" localSheetId="1">#REF!</definedName>
    <definedName name="щ" localSheetId="11">#REF!</definedName>
    <definedName name="щ" localSheetId="8">#REF!</definedName>
    <definedName name="щ" localSheetId="9">#REF!</definedName>
    <definedName name="щ" localSheetId="10">#REF!</definedName>
    <definedName name="щ" localSheetId="5">#REF!</definedName>
    <definedName name="щ" localSheetId="4">#REF!</definedName>
    <definedName name="щ">#REF!</definedName>
    <definedName name="щжш" localSheetId="15">#REF!</definedName>
    <definedName name="щжш" localSheetId="11">#REF!</definedName>
    <definedName name="щжш" localSheetId="8">#REF!</definedName>
    <definedName name="щжш" localSheetId="9">#REF!</definedName>
    <definedName name="щжш" localSheetId="10">#REF!</definedName>
    <definedName name="щжш">#REF!</definedName>
    <definedName name="щжшжэ." localSheetId="15">#REF!</definedName>
    <definedName name="щжшжэ." localSheetId="11">#REF!</definedName>
    <definedName name="щжшжэ." localSheetId="8">#REF!</definedName>
    <definedName name="щжшжэ." localSheetId="9">#REF!</definedName>
    <definedName name="щжшжэ." localSheetId="10">#REF!</definedName>
    <definedName name="щжшжэ.">#REF!</definedName>
    <definedName name="щлл" localSheetId="15">#REF!</definedName>
    <definedName name="щлл" localSheetId="11">#REF!</definedName>
    <definedName name="щлл" localSheetId="10">#REF!</definedName>
    <definedName name="щлл">#REF!</definedName>
    <definedName name="ы" localSheetId="15">#REF!</definedName>
    <definedName name="ы" localSheetId="11">#REF!</definedName>
    <definedName name="ы" localSheetId="10">#REF!</definedName>
    <definedName name="ы">#REF!</definedName>
    <definedName name="ыа" localSheetId="15">#REF!</definedName>
    <definedName name="ыа" localSheetId="11">#REF!</definedName>
    <definedName name="ыа" localSheetId="10">#REF!</definedName>
    <definedName name="ыа">#REF!</definedName>
    <definedName name="ыаппав">#N/A</definedName>
    <definedName name="ыаппр" localSheetId="15">[7]!ыаппр</definedName>
    <definedName name="ыаппр" localSheetId="11">#N/A</definedName>
    <definedName name="ыаппр" localSheetId="8">#N/A</definedName>
    <definedName name="ыаппр" localSheetId="9">#N/A</definedName>
    <definedName name="ыаппр">#N/A</definedName>
    <definedName name="ыапр" localSheetId="15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localSheetId="11" hidden="1">{#N/A,#N/A,TRUE,"Лист1";#N/A,#N/A,TRUE,"Лист2";#N/A,#N/A,TRUE,"Лист3"}</definedName>
    <definedName name="ыапр" localSheetId="8" hidden="1">{#N/A,#N/A,TRUE,"Лист1";#N/A,#N/A,TRUE,"Лист2";#N/A,#N/A,TRUE,"Лист3"}</definedName>
    <definedName name="ыапр" localSheetId="9" hidden="1">{#N/A,#N/A,TRUE,"Лист1";#N/A,#N/A,TRUE,"Лист2";#N/A,#N/A,TRUE,"Лист3"}</definedName>
    <definedName name="ыапр" localSheetId="10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localSheetId="4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15">[7]!ыаупп</definedName>
    <definedName name="ыаупп" localSheetId="11">#N/A</definedName>
    <definedName name="ыаупп" localSheetId="8">#N/A</definedName>
    <definedName name="ыаупп" localSheetId="9">#N/A</definedName>
    <definedName name="ыаупп">#N/A</definedName>
    <definedName name="ыаыыа" localSheetId="15">[7]!ыаыыа</definedName>
    <definedName name="ыаыыа" localSheetId="11">#N/A</definedName>
    <definedName name="ыаыыа" localSheetId="8">#N/A</definedName>
    <definedName name="ыаыыа" localSheetId="9">#N/A</definedName>
    <definedName name="ыаыыа">#N/A</definedName>
    <definedName name="ыв" localSheetId="15">[7]!ыв</definedName>
    <definedName name="ыв" localSheetId="11">#N/A</definedName>
    <definedName name="ыв" localSheetId="8">#N/A</definedName>
    <definedName name="ыв" localSheetId="9">#N/A</definedName>
    <definedName name="ыв">#N/A</definedName>
    <definedName name="ыва" localSheetId="15">#REF!</definedName>
    <definedName name="ыва" localSheetId="2">#REF!</definedName>
    <definedName name="ыва" localSheetId="1">#REF!</definedName>
    <definedName name="ыва" localSheetId="11">#REF!</definedName>
    <definedName name="ыва" localSheetId="8">#REF!</definedName>
    <definedName name="ыва" localSheetId="9">#REF!</definedName>
    <definedName name="ыва" localSheetId="10">#REF!</definedName>
    <definedName name="ыва" localSheetId="5">#REF!</definedName>
    <definedName name="ыва" localSheetId="4">#REF!</definedName>
    <definedName name="ыва">#REF!</definedName>
    <definedName name="ывау" localSheetId="15">#REF!</definedName>
    <definedName name="ывау" localSheetId="11">#REF!</definedName>
    <definedName name="ывау" localSheetId="8">#REF!</definedName>
    <definedName name="ывау" localSheetId="9">#REF!</definedName>
    <definedName name="ывау" localSheetId="10">#REF!</definedName>
    <definedName name="ывау">#REF!</definedName>
    <definedName name="ывацу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5">#REF!</definedName>
    <definedName name="ываыа" localSheetId="2">#REF!</definedName>
    <definedName name="ываыа" localSheetId="1">#REF!</definedName>
    <definedName name="ываыа" localSheetId="11">#REF!</definedName>
    <definedName name="ываыа" localSheetId="8">#REF!</definedName>
    <definedName name="ываыа" localSheetId="9">#REF!</definedName>
    <definedName name="ываыа" localSheetId="10">#REF!</definedName>
    <definedName name="ываыа" localSheetId="5">#REF!</definedName>
    <definedName name="ываыа" localSheetId="4">#REF!</definedName>
    <definedName name="ываыа">#REF!</definedName>
    <definedName name="ываывац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15">[7]!ывпкывк</definedName>
    <definedName name="ывпкывк" localSheetId="11">#N/A</definedName>
    <definedName name="ывпкывк" localSheetId="8">#N/A</definedName>
    <definedName name="ывпкывк" localSheetId="9">#N/A</definedName>
    <definedName name="ывпкывк">#N/A</definedName>
    <definedName name="ывпмьпь" localSheetId="15">[7]!ывпмьпь</definedName>
    <definedName name="ывпмьпь" localSheetId="11">#N/A</definedName>
    <definedName name="ывпмьпь" localSheetId="8">#N/A</definedName>
    <definedName name="ывпмьпь" localSheetId="9">#N/A</definedName>
    <definedName name="ывпмьпь">#N/A</definedName>
    <definedName name="ывпцу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5">#REF!</definedName>
    <definedName name="ывцук" localSheetId="2">#REF!</definedName>
    <definedName name="ывцук" localSheetId="1">#REF!</definedName>
    <definedName name="ывцук" localSheetId="11">#REF!</definedName>
    <definedName name="ывцук" localSheetId="8">#REF!</definedName>
    <definedName name="ывцук" localSheetId="9">#REF!</definedName>
    <definedName name="ывцук" localSheetId="10">#REF!</definedName>
    <definedName name="ывцук" localSheetId="5">#REF!</definedName>
    <definedName name="ывцук" localSheetId="4">#REF!</definedName>
    <definedName name="ывцук">#REF!</definedName>
    <definedName name="ыкыук" localSheetId="15">#REF!</definedName>
    <definedName name="ыкыук" localSheetId="11">#REF!</definedName>
    <definedName name="ыкыук" localSheetId="8">#REF!</definedName>
    <definedName name="ыкыук" localSheetId="9">#REF!</definedName>
    <definedName name="ыкыук" localSheetId="10">#REF!</definedName>
    <definedName name="ыкыук">#REF!</definedName>
    <definedName name="ымпы" localSheetId="15">[7]!ымпы</definedName>
    <definedName name="ымпы" localSheetId="11">#N/A</definedName>
    <definedName name="ымпы" localSheetId="8">#N/A</definedName>
    <definedName name="ымпы" localSheetId="9">#N/A</definedName>
    <definedName name="ымпы">#N/A</definedName>
    <definedName name="ыпр" localSheetId="15">[7]!ыпр</definedName>
    <definedName name="ыпр" localSheetId="11">#N/A</definedName>
    <definedName name="ыпр" localSheetId="8">#N/A</definedName>
    <definedName name="ыпр" localSheetId="9">#N/A</definedName>
    <definedName name="ыпр">#N/A</definedName>
    <definedName name="ыпукп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5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localSheetId="11" hidden="1">{#N/A,#N/A,TRUE,"Лист1";#N/A,#N/A,TRUE,"Лист2";#N/A,#N/A,TRUE,"Лист3"}</definedName>
    <definedName name="ыпыим" localSheetId="8" hidden="1">{#N/A,#N/A,TRUE,"Лист1";#N/A,#N/A,TRUE,"Лист2";#N/A,#N/A,TRUE,"Лист3"}</definedName>
    <definedName name="ыпыим" localSheetId="9" hidden="1">{#N/A,#N/A,TRUE,"Лист1";#N/A,#N/A,TRUE,"Лист2";#N/A,#N/A,TRUE,"Лист3"}</definedName>
    <definedName name="ыпыим" localSheetId="10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localSheetId="4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5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11" hidden="1">{#N/A,#N/A,TRUE,"Лист1";#N/A,#N/A,TRUE,"Лист2";#N/A,#N/A,TRUE,"Лист3"}</definedName>
    <definedName name="ыпыпми" localSheetId="8" hidden="1">{#N/A,#N/A,TRUE,"Лист1";#N/A,#N/A,TRUE,"Лист2";#N/A,#N/A,TRUE,"Лист3"}</definedName>
    <definedName name="ыпыпми" localSheetId="9" hidden="1">{#N/A,#N/A,TRUE,"Лист1";#N/A,#N/A,TRUE,"Лист2";#N/A,#N/A,TRUE,"Лист3"}</definedName>
    <definedName name="ыпыпми" localSheetId="10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5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11" hidden="1">{#N/A,#N/A,TRUE,"Лист1";#N/A,#N/A,TRUE,"Лист2";#N/A,#N/A,TRUE,"Лист3"}</definedName>
    <definedName name="ысчпи" localSheetId="8" hidden="1">{#N/A,#N/A,TRUE,"Лист1";#N/A,#N/A,TRUE,"Лист2";#N/A,#N/A,TRUE,"Лист3"}</definedName>
    <definedName name="ысчпи" localSheetId="9" hidden="1">{#N/A,#N/A,TRUE,"Лист1";#N/A,#N/A,TRUE,"Лист2";#N/A,#N/A,TRUE,"Лист3"}</definedName>
    <definedName name="ысчпи" localSheetId="10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5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5" hidden="1">#REF!,#REF!,#REF!,#REF!,#REF!,#REF!,#REF!</definedName>
    <definedName name="ыфавфыв" localSheetId="2" hidden="1">#REF!,#REF!,#REF!,#REF!,#REF!,#REF!,#REF!</definedName>
    <definedName name="ыфавфыв" localSheetId="1" hidden="1">#REF!,#REF!,#REF!,#REF!,#REF!,#REF!,#REF!</definedName>
    <definedName name="ыфавфыв" localSheetId="7" hidden="1">#REF!,#REF!,#REF!,#REF!,#REF!,#REF!,#REF!</definedName>
    <definedName name="ыфавфыв" localSheetId="11" hidden="1">#REF!,#REF!,#REF!,#REF!,#REF!,#REF!,#REF!</definedName>
    <definedName name="ыфавфыв" localSheetId="8" hidden="1">#REF!,#REF!,#REF!,#REF!,#REF!,#REF!,#REF!</definedName>
    <definedName name="ыфавфыв" localSheetId="9" hidden="1">#REF!,#REF!,#REF!,#REF!,#REF!,#REF!,#REF!</definedName>
    <definedName name="ыфавфыв" localSheetId="10" hidden="1">#REF!,#REF!,#REF!,#REF!,#REF!,#REF!,#REF!</definedName>
    <definedName name="ыфавфыв" localSheetId="5" hidden="1">#REF!,#REF!,#REF!,#REF!,#REF!,#REF!,#REF!</definedName>
    <definedName name="ыфавфыв" localSheetId="4" hidden="1">#REF!,#REF!,#REF!,#REF!,#REF!,#REF!,#REF!</definedName>
    <definedName name="ыфавфыв" hidden="1">#REF!,#REF!,#REF!,#REF!,#REF!,#REF!,#REF!</definedName>
    <definedName name="ыфса" localSheetId="15">[7]!ыфса</definedName>
    <definedName name="ыфса" localSheetId="11">#N/A</definedName>
    <definedName name="ыфса" localSheetId="8">#N/A</definedName>
    <definedName name="ыфса" localSheetId="9">#N/A</definedName>
    <definedName name="ыфса">#N/A</definedName>
    <definedName name="ыфцу" localSheetId="15">#REF!</definedName>
    <definedName name="ыфцу" localSheetId="2">#REF!</definedName>
    <definedName name="ыфцу" localSheetId="1">#REF!</definedName>
    <definedName name="ыфцу" localSheetId="11">#REF!</definedName>
    <definedName name="ыфцу" localSheetId="8">#REF!</definedName>
    <definedName name="ыфцу" localSheetId="9">#REF!</definedName>
    <definedName name="ыфцу" localSheetId="10">#REF!</definedName>
    <definedName name="ыфцу" localSheetId="5">#REF!</definedName>
    <definedName name="ыфцу" localSheetId="4">#REF!</definedName>
    <definedName name="ыфцу">#REF!</definedName>
    <definedName name="ыыы" localSheetId="15">#REF!</definedName>
    <definedName name="ыыы" localSheetId="11">#REF!</definedName>
    <definedName name="ыыы" localSheetId="8">#REF!</definedName>
    <definedName name="ыыы" localSheetId="9">#REF!</definedName>
    <definedName name="ыыы" localSheetId="10">#REF!</definedName>
    <definedName name="ыыы">#REF!</definedName>
    <definedName name="ыыы1" localSheetId="15" hidden="1">{#N/A,#N/A,FALSE,"Себестоимсть-97"}</definedName>
    <definedName name="ыыы1" localSheetId="2" hidden="1">{#N/A,#N/A,FALSE,"Себестоимсть-97"}</definedName>
    <definedName name="ыыы1" localSheetId="1" hidden="1">{#N/A,#N/A,FALSE,"Себестоимсть-97"}</definedName>
    <definedName name="ыыы1" localSheetId="11" hidden="1">{#N/A,#N/A,FALSE,"Себестоимсть-97"}</definedName>
    <definedName name="ыыы1" localSheetId="8" hidden="1">{#N/A,#N/A,FALSE,"Себестоимсть-97"}</definedName>
    <definedName name="ыыы1" localSheetId="9" hidden="1">{#N/A,#N/A,FALSE,"Себестоимсть-97"}</definedName>
    <definedName name="ыыы1" localSheetId="10" hidden="1">{#N/A,#N/A,FALSE,"Себестоимсть-97"}</definedName>
    <definedName name="ыыы1" localSheetId="5" hidden="1">{#N/A,#N/A,FALSE,"Себестоимсть-97"}</definedName>
    <definedName name="ыыы1" localSheetId="4" hidden="1">{#N/A,#N/A,FALSE,"Себестоимсть-97"}</definedName>
    <definedName name="ыыы1" hidden="1">{#N/A,#N/A,FALSE,"Себестоимсть-97"}</definedName>
    <definedName name="ыыыы" localSheetId="15">#REF!</definedName>
    <definedName name="ыыыы" localSheetId="2">#REF!</definedName>
    <definedName name="ыыыы" localSheetId="1">#REF!</definedName>
    <definedName name="ыыыы" localSheetId="11">#REF!</definedName>
    <definedName name="ыыыы" localSheetId="8">#REF!</definedName>
    <definedName name="ыыыы" localSheetId="9">#REF!</definedName>
    <definedName name="ыыыы" localSheetId="10">#REF!</definedName>
    <definedName name="ыыыы" localSheetId="5">#REF!</definedName>
    <definedName name="ыыыы" localSheetId="4">#REF!</definedName>
    <definedName name="ыыыы">#REF!</definedName>
    <definedName name="ьлбюб" localSheetId="15">#REF!</definedName>
    <definedName name="ьлбюб" localSheetId="11">#REF!</definedName>
    <definedName name="ьлбюб" localSheetId="10">#REF!</definedName>
    <definedName name="ьлбюб">#REF!</definedName>
    <definedName name="ььь" localSheetId="15">#REF!</definedName>
    <definedName name="ььь" localSheetId="11">#REF!</definedName>
    <definedName name="ььь" localSheetId="10">#REF!</definedName>
    <definedName name="ььь">#REF!</definedName>
    <definedName name="э" localSheetId="15">#REF!</definedName>
    <definedName name="э" localSheetId="11">#REF!</definedName>
    <definedName name="э" localSheetId="10">#REF!</definedName>
    <definedName name="э">#REF!</definedName>
    <definedName name="ЭлДВП" localSheetId="15">#REF!</definedName>
    <definedName name="ЭлДВП" localSheetId="11">#REF!</definedName>
    <definedName name="ЭлДВП">#REF!</definedName>
    <definedName name="электр" localSheetId="15">#REF!</definedName>
    <definedName name="электр" localSheetId="11">#REF!</definedName>
    <definedName name="электр">#REF!</definedName>
    <definedName name="Энергоресурсы" localSheetId="15">#REF!</definedName>
    <definedName name="Энергоресурсы" localSheetId="11">#REF!</definedName>
    <definedName name="Энергоресурсы">#REF!</definedName>
    <definedName name="ээ" localSheetId="15">#REF!</definedName>
    <definedName name="ээ" localSheetId="11">#REF!</definedName>
    <definedName name="ээ" localSheetId="10">#REF!</definedName>
    <definedName name="ээ">#REF!</definedName>
    <definedName name="эээ" localSheetId="15">#REF!</definedName>
    <definedName name="эээ" localSheetId="11">#REF!</definedName>
    <definedName name="эээ">#REF!</definedName>
    <definedName name="ю" localSheetId="15">[7]!ю</definedName>
    <definedName name="ю" localSheetId="11">#N/A</definedName>
    <definedName name="ю" localSheetId="8">#N/A</definedName>
    <definedName name="ю" localSheetId="9">#N/A</definedName>
    <definedName name="ю">#N/A</definedName>
    <definedName name="юююю" localSheetId="15">#REF!</definedName>
    <definedName name="юююю" localSheetId="2">#REF!</definedName>
    <definedName name="юююю" localSheetId="1">#REF!</definedName>
    <definedName name="юююю" localSheetId="11">#REF!</definedName>
    <definedName name="юююю" localSheetId="8">#REF!</definedName>
    <definedName name="юююю" localSheetId="9">#REF!</definedName>
    <definedName name="юююю" localSheetId="10">#REF!</definedName>
    <definedName name="юююю" localSheetId="5">#REF!</definedName>
    <definedName name="юююю" localSheetId="4">#REF!</definedName>
    <definedName name="юююю">#REF!</definedName>
    <definedName name="ююююююю" localSheetId="15">[7]!ююююююю</definedName>
    <definedName name="ююююююю" localSheetId="11">#N/A</definedName>
    <definedName name="ююююююю" localSheetId="8">#N/A</definedName>
    <definedName name="ююююююю" localSheetId="9">#N/A</definedName>
    <definedName name="ююююююю">#N/A</definedName>
    <definedName name="я" localSheetId="15">#REF!</definedName>
    <definedName name="я" localSheetId="2">#REF!</definedName>
    <definedName name="я" localSheetId="1">#REF!</definedName>
    <definedName name="я" localSheetId="11">#REF!</definedName>
    <definedName name="я" localSheetId="8">#REF!</definedName>
    <definedName name="я" localSheetId="9">#REF!</definedName>
    <definedName name="я" localSheetId="10">#REF!</definedName>
    <definedName name="я" localSheetId="5">#REF!</definedName>
    <definedName name="я" localSheetId="4">#REF!</definedName>
    <definedName name="я">#REF!</definedName>
    <definedName name="явцыв" localSheetId="15">#REF!</definedName>
    <definedName name="явцыв" localSheetId="11">#REF!</definedName>
    <definedName name="явцыв" localSheetId="8">#REF!</definedName>
    <definedName name="явцыв" localSheetId="9">#REF!</definedName>
    <definedName name="явцыв" localSheetId="10">#REF!</definedName>
    <definedName name="явцыв">#REF!</definedName>
    <definedName name="янв" localSheetId="15">#REF!</definedName>
    <definedName name="янв" localSheetId="11">#REF!</definedName>
    <definedName name="янв" localSheetId="8">#REF!</definedName>
    <definedName name="янв" localSheetId="9">#REF!</definedName>
    <definedName name="янв" localSheetId="10">#REF!</definedName>
    <definedName name="янв">#REF!</definedName>
    <definedName name="янв2" localSheetId="15">#REF!</definedName>
    <definedName name="янв2" localSheetId="11">#REF!</definedName>
    <definedName name="янв2" localSheetId="10">#REF!</definedName>
    <definedName name="янв2">#REF!</definedName>
    <definedName name="яя" localSheetId="15">#REF!</definedName>
    <definedName name="яя" localSheetId="11">#REF!</definedName>
    <definedName name="яя" localSheetId="10">#REF!</definedName>
    <definedName name="яя">#REF!</definedName>
    <definedName name="яяя" localSheetId="15">[7]!яяя</definedName>
    <definedName name="яяя" localSheetId="11">#N/A</definedName>
    <definedName name="яяя" localSheetId="8">#N/A</definedName>
    <definedName name="яяя" localSheetId="9">#N/A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E8" i="88" l="1"/>
  <c r="D8" i="88"/>
  <c r="F118" i="87" l="1"/>
  <c r="G117" i="87"/>
  <c r="F116" i="87"/>
  <c r="E116" i="87"/>
  <c r="G115" i="87"/>
  <c r="G118" i="87" s="1"/>
  <c r="F114" i="87"/>
  <c r="G113" i="87"/>
  <c r="G112" i="87"/>
  <c r="L112" i="87" s="1"/>
  <c r="Q112" i="87" s="1"/>
  <c r="V112" i="87" s="1"/>
  <c r="AA112" i="87" s="1"/>
  <c r="F111" i="87"/>
  <c r="E111" i="87" s="1"/>
  <c r="G109" i="87"/>
  <c r="E108" i="87"/>
  <c r="E113" i="87" s="1"/>
  <c r="F113" i="87" s="1"/>
  <c r="F108" i="87" s="1"/>
  <c r="L93" i="87"/>
  <c r="P93" i="87" s="1"/>
  <c r="T93" i="87" s="1"/>
  <c r="X93" i="87" s="1"/>
  <c r="H93" i="87"/>
  <c r="G93" i="87"/>
  <c r="K93" i="87" s="1"/>
  <c r="X89" i="87"/>
  <c r="W89" i="87"/>
  <c r="T89" i="87"/>
  <c r="S89" i="87"/>
  <c r="P89" i="87"/>
  <c r="O89" i="87"/>
  <c r="L89" i="87"/>
  <c r="K89" i="87"/>
  <c r="H89" i="87"/>
  <c r="G89" i="87"/>
  <c r="E89" i="87"/>
  <c r="Z88" i="87"/>
  <c r="V88" i="87"/>
  <c r="R88" i="87"/>
  <c r="N88" i="87"/>
  <c r="J88" i="87"/>
  <c r="Z87" i="87"/>
  <c r="V87" i="87"/>
  <c r="R87" i="87"/>
  <c r="N87" i="87"/>
  <c r="J87" i="87"/>
  <c r="Z86" i="87"/>
  <c r="V86" i="87"/>
  <c r="R86" i="87"/>
  <c r="N86" i="87"/>
  <c r="J86" i="87"/>
  <c r="X83" i="87"/>
  <c r="W83" i="87"/>
  <c r="T83" i="87"/>
  <c r="S83" i="87"/>
  <c r="P83" i="87"/>
  <c r="O83" i="87"/>
  <c r="L83" i="87"/>
  <c r="K83" i="87"/>
  <c r="H83" i="87"/>
  <c r="G83" i="87"/>
  <c r="E83" i="87"/>
  <c r="Z82" i="87"/>
  <c r="V82" i="87"/>
  <c r="R82" i="87"/>
  <c r="N82" i="87"/>
  <c r="J82" i="87"/>
  <c r="Z81" i="87"/>
  <c r="V81" i="87"/>
  <c r="R81" i="87"/>
  <c r="N81" i="87"/>
  <c r="J81" i="87"/>
  <c r="Z80" i="87"/>
  <c r="V80" i="87"/>
  <c r="R80" i="87"/>
  <c r="N80" i="87"/>
  <c r="J80" i="87"/>
  <c r="X77" i="87"/>
  <c r="W77" i="87"/>
  <c r="T77" i="87"/>
  <c r="S77" i="87"/>
  <c r="P77" i="87"/>
  <c r="O77" i="87"/>
  <c r="L77" i="87"/>
  <c r="K77" i="87"/>
  <c r="H77" i="87"/>
  <c r="G77" i="87"/>
  <c r="E77" i="87"/>
  <c r="Z76" i="87"/>
  <c r="V76" i="87"/>
  <c r="R76" i="87"/>
  <c r="N76" i="87"/>
  <c r="J76" i="87"/>
  <c r="Z75" i="87"/>
  <c r="V75" i="87"/>
  <c r="R75" i="87"/>
  <c r="N75" i="87"/>
  <c r="J75" i="87"/>
  <c r="Z74" i="87"/>
  <c r="V74" i="87"/>
  <c r="R74" i="87"/>
  <c r="N74" i="87"/>
  <c r="J74" i="87"/>
  <c r="X71" i="87"/>
  <c r="W71" i="87"/>
  <c r="T71" i="87"/>
  <c r="S71" i="87"/>
  <c r="P71" i="87"/>
  <c r="O71" i="87"/>
  <c r="L71" i="87"/>
  <c r="K71" i="87"/>
  <c r="H71" i="87"/>
  <c r="G71" i="87"/>
  <c r="E71" i="87"/>
  <c r="Z70" i="87"/>
  <c r="V70" i="87"/>
  <c r="R70" i="87"/>
  <c r="N70" i="87"/>
  <c r="J70" i="87"/>
  <c r="Z69" i="87"/>
  <c r="V69" i="87"/>
  <c r="R69" i="87"/>
  <c r="N69" i="87"/>
  <c r="J69" i="87"/>
  <c r="Z68" i="87"/>
  <c r="V68" i="87"/>
  <c r="R68" i="87"/>
  <c r="N68" i="87"/>
  <c r="J68" i="87"/>
  <c r="X64" i="87"/>
  <c r="W64" i="87"/>
  <c r="T64" i="87"/>
  <c r="S64" i="87"/>
  <c r="P64" i="87"/>
  <c r="O64" i="87"/>
  <c r="L64" i="87"/>
  <c r="K64" i="87"/>
  <c r="H64" i="87"/>
  <c r="G64" i="87"/>
  <c r="E64" i="87"/>
  <c r="Z63" i="87"/>
  <c r="V63" i="87"/>
  <c r="R63" i="87"/>
  <c r="N63" i="87"/>
  <c r="J63" i="87"/>
  <c r="Z62" i="87"/>
  <c r="V62" i="87"/>
  <c r="R62" i="87"/>
  <c r="N62" i="87"/>
  <c r="J62" i="87"/>
  <c r="Z61" i="87"/>
  <c r="V61" i="87"/>
  <c r="R61" i="87"/>
  <c r="N61" i="87"/>
  <c r="J61" i="87"/>
  <c r="X58" i="87"/>
  <c r="W58" i="87"/>
  <c r="T58" i="87"/>
  <c r="S58" i="87"/>
  <c r="P58" i="87"/>
  <c r="O58" i="87"/>
  <c r="L58" i="87"/>
  <c r="K58" i="87"/>
  <c r="H58" i="87"/>
  <c r="G58" i="87"/>
  <c r="E58" i="87"/>
  <c r="Z57" i="87"/>
  <c r="V57" i="87"/>
  <c r="R57" i="87"/>
  <c r="N57" i="87"/>
  <c r="J57" i="87"/>
  <c r="Z56" i="87"/>
  <c r="V56" i="87"/>
  <c r="R56" i="87"/>
  <c r="N56" i="87"/>
  <c r="J56" i="87"/>
  <c r="Z55" i="87"/>
  <c r="V55" i="87"/>
  <c r="R55" i="87"/>
  <c r="N55" i="87"/>
  <c r="J55" i="87"/>
  <c r="X52" i="87"/>
  <c r="W52" i="87"/>
  <c r="T52" i="87"/>
  <c r="S52" i="87"/>
  <c r="P52" i="87"/>
  <c r="O52" i="87"/>
  <c r="L52" i="87"/>
  <c r="K52" i="87"/>
  <c r="H52" i="87"/>
  <c r="G52" i="87"/>
  <c r="E52" i="87"/>
  <c r="Z51" i="87"/>
  <c r="V51" i="87"/>
  <c r="R51" i="87"/>
  <c r="N51" i="87"/>
  <c r="J51" i="87"/>
  <c r="Z50" i="87"/>
  <c r="V50" i="87"/>
  <c r="R50" i="87"/>
  <c r="N50" i="87"/>
  <c r="J50" i="87"/>
  <c r="Z49" i="87"/>
  <c r="V49" i="87"/>
  <c r="R49" i="87"/>
  <c r="N49" i="87"/>
  <c r="J49" i="87"/>
  <c r="G46" i="87"/>
  <c r="E46" i="87"/>
  <c r="I44" i="87"/>
  <c r="J44" i="87" s="1"/>
  <c r="H44" i="87"/>
  <c r="L44" i="87" s="1"/>
  <c r="P44" i="87" s="1"/>
  <c r="T44" i="87" s="1"/>
  <c r="X44" i="87" s="1"/>
  <c r="G44" i="87"/>
  <c r="K44" i="87" s="1"/>
  <c r="G43" i="87"/>
  <c r="E40" i="87"/>
  <c r="G39" i="87"/>
  <c r="G40" i="87" s="1"/>
  <c r="H38" i="87"/>
  <c r="L38" i="87" s="1"/>
  <c r="G38" i="87"/>
  <c r="I38" i="87" s="1"/>
  <c r="J38" i="87" s="1"/>
  <c r="H37" i="87"/>
  <c r="H39" i="87" s="1"/>
  <c r="G37" i="87"/>
  <c r="I37" i="87" s="1"/>
  <c r="Y32" i="87"/>
  <c r="Z32" i="87" s="1"/>
  <c r="X32" i="87"/>
  <c r="W32" i="87"/>
  <c r="U32" i="87"/>
  <c r="V32" i="87" s="1"/>
  <c r="T32" i="87"/>
  <c r="S32" i="87"/>
  <c r="Q32" i="87"/>
  <c r="R32" i="87" s="1"/>
  <c r="M32" i="87"/>
  <c r="N32" i="87" s="1"/>
  <c r="L32" i="87"/>
  <c r="P32" i="87" s="1"/>
  <c r="K32" i="87"/>
  <c r="O32" i="87" s="1"/>
  <c r="I32" i="87"/>
  <c r="J32" i="87" s="1"/>
  <c r="H32" i="87"/>
  <c r="G32" i="87"/>
  <c r="E32" i="87"/>
  <c r="F32" i="87" s="1"/>
  <c r="D32" i="87"/>
  <c r="Y31" i="87"/>
  <c r="Y33" i="87" s="1"/>
  <c r="U31" i="87"/>
  <c r="Q31" i="87"/>
  <c r="M31" i="87"/>
  <c r="I31" i="87"/>
  <c r="G31" i="87"/>
  <c r="E31" i="87"/>
  <c r="E33" i="87" s="1"/>
  <c r="D31" i="87"/>
  <c r="K25" i="87"/>
  <c r="O25" i="87" s="1"/>
  <c r="H25" i="87"/>
  <c r="I25" i="87" s="1"/>
  <c r="G25" i="87"/>
  <c r="G24" i="87"/>
  <c r="G20" i="87"/>
  <c r="L19" i="87"/>
  <c r="P19" i="87" s="1"/>
  <c r="T19" i="87" s="1"/>
  <c r="X19" i="87" s="1"/>
  <c r="K19" i="87"/>
  <c r="M19" i="87" s="1"/>
  <c r="N19" i="87" s="1"/>
  <c r="H19" i="87"/>
  <c r="G19" i="87"/>
  <c r="I19" i="87" s="1"/>
  <c r="E15" i="87"/>
  <c r="Y13" i="87"/>
  <c r="Z13" i="87" s="1"/>
  <c r="X13" i="87"/>
  <c r="W13" i="87"/>
  <c r="U13" i="87"/>
  <c r="V13" i="87" s="1"/>
  <c r="T13" i="87"/>
  <c r="S13" i="87"/>
  <c r="Q13" i="87"/>
  <c r="R13" i="87" s="1"/>
  <c r="P13" i="87"/>
  <c r="O13" i="87"/>
  <c r="M13" i="87"/>
  <c r="N13" i="87" s="1"/>
  <c r="L13" i="87"/>
  <c r="K13" i="87"/>
  <c r="I13" i="87"/>
  <c r="J13" i="87" s="1"/>
  <c r="H13" i="87"/>
  <c r="G13" i="87"/>
  <c r="Y12" i="87"/>
  <c r="Z12" i="87" s="1"/>
  <c r="U12" i="87"/>
  <c r="V12" i="87" s="1"/>
  <c r="Q12" i="87"/>
  <c r="M12" i="87"/>
  <c r="I12" i="87"/>
  <c r="J12" i="87" s="1"/>
  <c r="E8" i="87"/>
  <c r="E9" i="87" s="1"/>
  <c r="D8" i="87"/>
  <c r="Y7" i="87"/>
  <c r="X7" i="87"/>
  <c r="W7" i="87"/>
  <c r="T7" i="87"/>
  <c r="S7" i="87"/>
  <c r="U7" i="87" s="1"/>
  <c r="P7" i="87"/>
  <c r="O7" i="87"/>
  <c r="Q7" i="87" s="1"/>
  <c r="R7" i="87" s="1"/>
  <c r="L7" i="87"/>
  <c r="K7" i="87"/>
  <c r="M7" i="87" s="1"/>
  <c r="H7" i="87"/>
  <c r="G7" i="87"/>
  <c r="I7" i="87" s="1"/>
  <c r="J7" i="87" s="1"/>
  <c r="F7" i="87"/>
  <c r="Y6" i="87"/>
  <c r="Z6" i="87" s="1"/>
  <c r="U6" i="87"/>
  <c r="V6" i="87" s="1"/>
  <c r="Q6" i="87"/>
  <c r="R6" i="87" s="1"/>
  <c r="M6" i="87"/>
  <c r="N6" i="87" s="1"/>
  <c r="I6" i="87"/>
  <c r="J6" i="87" s="1"/>
  <c r="F6" i="87"/>
  <c r="F8" i="87" s="1"/>
  <c r="BL126" i="86"/>
  <c r="BW126" i="86" s="1"/>
  <c r="BF126" i="86"/>
  <c r="AZ126" i="86"/>
  <c r="AT126" i="86"/>
  <c r="AH126" i="86"/>
  <c r="AB126" i="86"/>
  <c r="V126" i="86"/>
  <c r="P126" i="86"/>
  <c r="BR126" i="86" s="1"/>
  <c r="J126" i="86"/>
  <c r="D126" i="86"/>
  <c r="BW125" i="86"/>
  <c r="BV125" i="86"/>
  <c r="BU125" i="86"/>
  <c r="BT125" i="86"/>
  <c r="BS125" i="86"/>
  <c r="BR125" i="86"/>
  <c r="BQ125" i="86"/>
  <c r="BO125" i="86"/>
  <c r="BK125" i="86"/>
  <c r="BI125" i="86"/>
  <c r="BE125" i="86"/>
  <c r="BC125" i="86"/>
  <c r="AY125" i="86"/>
  <c r="AW125" i="86"/>
  <c r="AS125" i="86"/>
  <c r="AQ125" i="86"/>
  <c r="AM125" i="86"/>
  <c r="AK125" i="86"/>
  <c r="AG125" i="86"/>
  <c r="AE125" i="86"/>
  <c r="AA125" i="86"/>
  <c r="Y125" i="86"/>
  <c r="U125" i="86"/>
  <c r="S125" i="86"/>
  <c r="O125" i="86"/>
  <c r="M125" i="86"/>
  <c r="I125" i="86"/>
  <c r="G125" i="86"/>
  <c r="BW121" i="86"/>
  <c r="BV121" i="86"/>
  <c r="BU121" i="86"/>
  <c r="BT121" i="86"/>
  <c r="BS121" i="86"/>
  <c r="BR121" i="86"/>
  <c r="BP121" i="86"/>
  <c r="BD121" i="86"/>
  <c r="AX121" i="86"/>
  <c r="AR121" i="86"/>
  <c r="AF121" i="86" s="1"/>
  <c r="AL121" i="86"/>
  <c r="Z121" i="86"/>
  <c r="BT120" i="86"/>
  <c r="BS120" i="86"/>
  <c r="BR120" i="86"/>
  <c r="BF120" i="86"/>
  <c r="AN120" i="86"/>
  <c r="BU120" i="86" s="1"/>
  <c r="AH120" i="86"/>
  <c r="AB120" i="86"/>
  <c r="BW119" i="86"/>
  <c r="BT119" i="86"/>
  <c r="BS119" i="86"/>
  <c r="BR119" i="86"/>
  <c r="BL119" i="86"/>
  <c r="BF119" i="86"/>
  <c r="AZ119" i="86"/>
  <c r="AN119" i="86"/>
  <c r="BU119" i="86" s="1"/>
  <c r="AH119" i="86"/>
  <c r="AB119" i="86"/>
  <c r="P119" i="86"/>
  <c r="BW118" i="86"/>
  <c r="BT118" i="86"/>
  <c r="BS118" i="86"/>
  <c r="BR118" i="86"/>
  <c r="BL118" i="86"/>
  <c r="AZ118" i="86"/>
  <c r="AN118" i="86"/>
  <c r="BV118" i="86" s="1"/>
  <c r="AB118" i="86"/>
  <c r="P118" i="86"/>
  <c r="BT117" i="86"/>
  <c r="BR117" i="86"/>
  <c r="BL117" i="86"/>
  <c r="BF117" i="86"/>
  <c r="AZ117" i="86"/>
  <c r="AT117" i="86"/>
  <c r="AH117" i="86"/>
  <c r="AB117" i="86"/>
  <c r="V117" i="86"/>
  <c r="P117" i="86"/>
  <c r="J117" i="86"/>
  <c r="D117" i="86"/>
  <c r="A116" i="86"/>
  <c r="BS113" i="86"/>
  <c r="BR113" i="86"/>
  <c r="BQ111" i="86"/>
  <c r="BP111" i="86"/>
  <c r="BO111" i="86"/>
  <c r="BN111" i="86"/>
  <c r="BK111" i="86"/>
  <c r="BJ111" i="86"/>
  <c r="BI111" i="86"/>
  <c r="BH111" i="86"/>
  <c r="BF111" i="86" s="1"/>
  <c r="BG111" i="86"/>
  <c r="BE111" i="86"/>
  <c r="BD111" i="86"/>
  <c r="BC111" i="86"/>
  <c r="BB111" i="86"/>
  <c r="AY111" i="86"/>
  <c r="AX111" i="86"/>
  <c r="AW111" i="86"/>
  <c r="AV111" i="86"/>
  <c r="AT111" i="86" s="1"/>
  <c r="AU111" i="86"/>
  <c r="AS111" i="86"/>
  <c r="AR111" i="86"/>
  <c r="AQ111" i="86"/>
  <c r="AP111" i="86"/>
  <c r="AM111" i="86"/>
  <c r="AL111" i="86"/>
  <c r="AK111" i="86"/>
  <c r="AJ111" i="86"/>
  <c r="AH111" i="86" s="1"/>
  <c r="AI111" i="86"/>
  <c r="AG111" i="86"/>
  <c r="AF111" i="86"/>
  <c r="AE111" i="86"/>
  <c r="AD111" i="86"/>
  <c r="AA111" i="86"/>
  <c r="Z111" i="86"/>
  <c r="Y111" i="86"/>
  <c r="X111" i="86"/>
  <c r="V111" i="86" s="1"/>
  <c r="W111" i="86"/>
  <c r="U111" i="86"/>
  <c r="T111" i="86"/>
  <c r="S111" i="86"/>
  <c r="R111" i="86"/>
  <c r="Q111" i="86"/>
  <c r="P111" i="86"/>
  <c r="O111" i="86"/>
  <c r="N111" i="86"/>
  <c r="M111" i="86"/>
  <c r="L111" i="86"/>
  <c r="J111" i="86" s="1"/>
  <c r="K111" i="86"/>
  <c r="I111" i="86"/>
  <c r="H111" i="86"/>
  <c r="G111" i="86"/>
  <c r="F111" i="86"/>
  <c r="E111" i="86"/>
  <c r="D111" i="86"/>
  <c r="L110" i="86"/>
  <c r="K110" i="86"/>
  <c r="BQ106" i="86"/>
  <c r="BP106" i="86"/>
  <c r="BO106" i="86"/>
  <c r="BN106" i="86"/>
  <c r="BM106" i="86"/>
  <c r="BL106" i="86"/>
  <c r="BW106" i="86" s="1"/>
  <c r="BK106" i="86"/>
  <c r="BJ106" i="86"/>
  <c r="BI106" i="86"/>
  <c r="BH106" i="86"/>
  <c r="BF106" i="86" s="1"/>
  <c r="BG106" i="86"/>
  <c r="BE106" i="86"/>
  <c r="BD106" i="86"/>
  <c r="BC106" i="86"/>
  <c r="BB106" i="86"/>
  <c r="BA106" i="86"/>
  <c r="AZ106" i="86"/>
  <c r="BV106" i="86" s="1"/>
  <c r="AY106" i="86"/>
  <c r="AX106" i="86"/>
  <c r="AW106" i="86"/>
  <c r="AV106" i="86"/>
  <c r="AT106" i="86" s="1"/>
  <c r="AU106" i="86"/>
  <c r="AS106" i="86"/>
  <c r="AR106" i="86"/>
  <c r="AQ106" i="86"/>
  <c r="AP106" i="86"/>
  <c r="AO106" i="86"/>
  <c r="AN106" i="86"/>
  <c r="BU106" i="86" s="1"/>
  <c r="AM106" i="86"/>
  <c r="AL106" i="86"/>
  <c r="AK106" i="86"/>
  <c r="AJ106" i="86"/>
  <c r="AH106" i="86" s="1"/>
  <c r="AI106" i="86"/>
  <c r="AG106" i="86"/>
  <c r="AF106" i="86"/>
  <c r="AE106" i="86"/>
  <c r="AD106" i="86"/>
  <c r="AC106" i="86"/>
  <c r="AB106" i="86"/>
  <c r="BT106" i="86" s="1"/>
  <c r="AA106" i="86"/>
  <c r="Z106" i="86"/>
  <c r="Y106" i="86"/>
  <c r="X106" i="86"/>
  <c r="V106" i="86" s="1"/>
  <c r="W106" i="86"/>
  <c r="U106" i="86"/>
  <c r="T106" i="86"/>
  <c r="S106" i="86"/>
  <c r="R106" i="86"/>
  <c r="Q106" i="86"/>
  <c r="P106" i="86"/>
  <c r="O106" i="86"/>
  <c r="N106" i="86"/>
  <c r="M106" i="86"/>
  <c r="L106" i="86"/>
  <c r="J106" i="86" s="1"/>
  <c r="K106" i="86"/>
  <c r="I106" i="86"/>
  <c r="H106" i="86"/>
  <c r="G106" i="86"/>
  <c r="F106" i="86"/>
  <c r="E106" i="86"/>
  <c r="D106" i="86"/>
  <c r="BK105" i="86"/>
  <c r="BJ105" i="86"/>
  <c r="BI105" i="86"/>
  <c r="BH105" i="86"/>
  <c r="BF105" i="86" s="1"/>
  <c r="BG105" i="86"/>
  <c r="AY105" i="86"/>
  <c r="AX105" i="86"/>
  <c r="AW105" i="86"/>
  <c r="AV105" i="86"/>
  <c r="AT105" i="86" s="1"/>
  <c r="AU105" i="86"/>
  <c r="AM105" i="86"/>
  <c r="AL105" i="86"/>
  <c r="AK105" i="86"/>
  <c r="AJ105" i="86"/>
  <c r="AH105" i="86" s="1"/>
  <c r="AI105" i="86"/>
  <c r="AA105" i="86"/>
  <c r="Z105" i="86"/>
  <c r="Y105" i="86"/>
  <c r="X105" i="86"/>
  <c r="V105" i="86" s="1"/>
  <c r="W105" i="86"/>
  <c r="U105" i="86"/>
  <c r="T105" i="86"/>
  <c r="R105" i="86"/>
  <c r="O105" i="86"/>
  <c r="N105" i="86"/>
  <c r="M105" i="86"/>
  <c r="L105" i="86"/>
  <c r="J105" i="86" s="1"/>
  <c r="K105" i="86"/>
  <c r="I105" i="86"/>
  <c r="H105" i="86"/>
  <c r="G105" i="86"/>
  <c r="F105" i="86"/>
  <c r="E105" i="86"/>
  <c r="D105" i="86"/>
  <c r="L104" i="86"/>
  <c r="K104" i="86"/>
  <c r="BL100" i="86"/>
  <c r="BF100" i="86"/>
  <c r="AZ100" i="86"/>
  <c r="BW100" i="86" s="1"/>
  <c r="AT100" i="86"/>
  <c r="AN100" i="86"/>
  <c r="BU100" i="86" s="1"/>
  <c r="AH100" i="86"/>
  <c r="AB100" i="86"/>
  <c r="BT100" i="86" s="1"/>
  <c r="V100" i="86"/>
  <c r="P100" i="86"/>
  <c r="BR100" i="86" s="1"/>
  <c r="J100" i="86"/>
  <c r="D100" i="86"/>
  <c r="BS100" i="86" s="1"/>
  <c r="BL98" i="86"/>
  <c r="BW98" i="86" s="1"/>
  <c r="BF98" i="86"/>
  <c r="AZ98" i="86"/>
  <c r="AT98" i="86"/>
  <c r="AN98" i="86"/>
  <c r="BV98" i="86" s="1"/>
  <c r="AH98" i="86"/>
  <c r="AB98" i="86"/>
  <c r="V98" i="86"/>
  <c r="P98" i="86"/>
  <c r="BR98" i="86" s="1"/>
  <c r="J98" i="86"/>
  <c r="D98" i="86"/>
  <c r="BL97" i="86"/>
  <c r="BW97" i="86" s="1"/>
  <c r="BF97" i="86"/>
  <c r="AZ97" i="86"/>
  <c r="AT97" i="86"/>
  <c r="AN97" i="86"/>
  <c r="BV97" i="86" s="1"/>
  <c r="AH97" i="86"/>
  <c r="AB97" i="86"/>
  <c r="BT97" i="86" s="1"/>
  <c r="V97" i="86"/>
  <c r="P97" i="86"/>
  <c r="BS97" i="86" s="1"/>
  <c r="J97" i="86"/>
  <c r="D97" i="86"/>
  <c r="BR96" i="86"/>
  <c r="BL96" i="86"/>
  <c r="BF96" i="86"/>
  <c r="AZ96" i="86"/>
  <c r="BW96" i="86" s="1"/>
  <c r="AT96" i="86"/>
  <c r="AN96" i="86"/>
  <c r="BU96" i="86" s="1"/>
  <c r="AH96" i="86"/>
  <c r="AB96" i="86"/>
  <c r="BT96" i="86" s="1"/>
  <c r="V96" i="86"/>
  <c r="P96" i="86"/>
  <c r="J96" i="86"/>
  <c r="D96" i="86"/>
  <c r="BS96" i="86" s="1"/>
  <c r="BL95" i="86"/>
  <c r="BF95" i="86"/>
  <c r="AZ95" i="86"/>
  <c r="AT95" i="86"/>
  <c r="AO95" i="86"/>
  <c r="AO94" i="86" s="1"/>
  <c r="AO107" i="86" s="1"/>
  <c r="AN95" i="86"/>
  <c r="BU95" i="86" s="1"/>
  <c r="AH95" i="86"/>
  <c r="AB95" i="86"/>
  <c r="V95" i="86"/>
  <c r="Q95" i="86"/>
  <c r="Q94" i="86" s="1"/>
  <c r="Q107" i="86" s="1"/>
  <c r="P95" i="86"/>
  <c r="BS95" i="86" s="1"/>
  <c r="J95" i="86"/>
  <c r="D95" i="86"/>
  <c r="BQ94" i="86"/>
  <c r="BQ107" i="86" s="1"/>
  <c r="BP94" i="86"/>
  <c r="BP107" i="86" s="1"/>
  <c r="BO94" i="86"/>
  <c r="BO107" i="86" s="1"/>
  <c r="BN94" i="86"/>
  <c r="BM94" i="86"/>
  <c r="BM107" i="86" s="1"/>
  <c r="BK94" i="86"/>
  <c r="BK107" i="86" s="1"/>
  <c r="BJ94" i="86"/>
  <c r="BJ107" i="86" s="1"/>
  <c r="BI94" i="86"/>
  <c r="BI107" i="86" s="1"/>
  <c r="BH94" i="86"/>
  <c r="BH107" i="86" s="1"/>
  <c r="BG94" i="86"/>
  <c r="BG107" i="86" s="1"/>
  <c r="BF107" i="86" s="1"/>
  <c r="BE94" i="86"/>
  <c r="BE107" i="86" s="1"/>
  <c r="BD94" i="86"/>
  <c r="BD107" i="86" s="1"/>
  <c r="BC94" i="86"/>
  <c r="BC107" i="86" s="1"/>
  <c r="BB94" i="86"/>
  <c r="BA94" i="86"/>
  <c r="BA107" i="86" s="1"/>
  <c r="AY94" i="86"/>
  <c r="AY107" i="86" s="1"/>
  <c r="AX94" i="86"/>
  <c r="AX107" i="86" s="1"/>
  <c r="AW94" i="86"/>
  <c r="AW107" i="86" s="1"/>
  <c r="AV94" i="86"/>
  <c r="AV107" i="86" s="1"/>
  <c r="AU94" i="86"/>
  <c r="AU107" i="86" s="1"/>
  <c r="AT94" i="86"/>
  <c r="AS94" i="86"/>
  <c r="AS107" i="86" s="1"/>
  <c r="AR94" i="86"/>
  <c r="AR107" i="86" s="1"/>
  <c r="AQ94" i="86"/>
  <c r="AQ107" i="86" s="1"/>
  <c r="AP94" i="86"/>
  <c r="AP107" i="86" s="1"/>
  <c r="AM94" i="86"/>
  <c r="AM107" i="86" s="1"/>
  <c r="AL94" i="86"/>
  <c r="AL107" i="86" s="1"/>
  <c r="AK94" i="86"/>
  <c r="AK107" i="86" s="1"/>
  <c r="AJ94" i="86"/>
  <c r="AJ107" i="86" s="1"/>
  <c r="AI94" i="86"/>
  <c r="AI107" i="86" s="1"/>
  <c r="AH107" i="86" s="1"/>
  <c r="AG94" i="86"/>
  <c r="AG107" i="86" s="1"/>
  <c r="AF94" i="86"/>
  <c r="AF107" i="86" s="1"/>
  <c r="AE94" i="86"/>
  <c r="AE107" i="86" s="1"/>
  <c r="AD94" i="86"/>
  <c r="AD107" i="86" s="1"/>
  <c r="AC94" i="86"/>
  <c r="AC107" i="86" s="1"/>
  <c r="AA94" i="86"/>
  <c r="AA107" i="86" s="1"/>
  <c r="Z94" i="86"/>
  <c r="Z107" i="86" s="1"/>
  <c r="Y94" i="86"/>
  <c r="Y107" i="86" s="1"/>
  <c r="X94" i="86"/>
  <c r="X107" i="86" s="1"/>
  <c r="W94" i="86"/>
  <c r="W107" i="86" s="1"/>
  <c r="V107" i="86" s="1"/>
  <c r="U94" i="86"/>
  <c r="U107" i="86" s="1"/>
  <c r="T94" i="86"/>
  <c r="T107" i="86" s="1"/>
  <c r="S94" i="86"/>
  <c r="S107" i="86" s="1"/>
  <c r="R94" i="86"/>
  <c r="R107" i="86" s="1"/>
  <c r="O94" i="86"/>
  <c r="O107" i="86" s="1"/>
  <c r="N94" i="86"/>
  <c r="N107" i="86" s="1"/>
  <c r="M94" i="86"/>
  <c r="M107" i="86" s="1"/>
  <c r="L94" i="86"/>
  <c r="L107" i="86" s="1"/>
  <c r="K94" i="86"/>
  <c r="K107" i="86" s="1"/>
  <c r="J94" i="86"/>
  <c r="I94" i="86"/>
  <c r="I107" i="86" s="1"/>
  <c r="H94" i="86"/>
  <c r="H107" i="86" s="1"/>
  <c r="G94" i="86"/>
  <c r="G107" i="86" s="1"/>
  <c r="F94" i="86"/>
  <c r="F107" i="86" s="1"/>
  <c r="E94" i="86"/>
  <c r="E107" i="86" s="1"/>
  <c r="BV93" i="86"/>
  <c r="BR93" i="86"/>
  <c r="BL93" i="86"/>
  <c r="BF93" i="86"/>
  <c r="AZ93" i="86"/>
  <c r="BW93" i="86" s="1"/>
  <c r="AT93" i="86"/>
  <c r="AN93" i="86"/>
  <c r="BU93" i="86" s="1"/>
  <c r="AH93" i="86"/>
  <c r="AB93" i="86"/>
  <c r="BT93" i="86" s="1"/>
  <c r="V93" i="86"/>
  <c r="P93" i="86"/>
  <c r="J93" i="86"/>
  <c r="D93" i="86"/>
  <c r="BS93" i="86" s="1"/>
  <c r="BF92" i="86"/>
  <c r="AT92" i="86"/>
  <c r="AS92" i="86"/>
  <c r="AP92" i="86"/>
  <c r="AP105" i="86" s="1"/>
  <c r="AH92" i="86"/>
  <c r="AG92" i="86"/>
  <c r="AG105" i="86" s="1"/>
  <c r="AF92" i="86"/>
  <c r="AD92" i="86"/>
  <c r="AD105" i="86" s="1"/>
  <c r="V92" i="86"/>
  <c r="J92" i="86"/>
  <c r="D92" i="86"/>
  <c r="BF90" i="86"/>
  <c r="AT90" i="86"/>
  <c r="AH90" i="86"/>
  <c r="AC90" i="86"/>
  <c r="AO90" i="86" s="1"/>
  <c r="V90" i="86"/>
  <c r="P90" i="86"/>
  <c r="J90" i="86"/>
  <c r="BR90" i="86" s="1"/>
  <c r="D90" i="86"/>
  <c r="BS90" i="86" s="1"/>
  <c r="BW89" i="86"/>
  <c r="BT89" i="86"/>
  <c r="BR89" i="86"/>
  <c r="BL89" i="86"/>
  <c r="BF89" i="86"/>
  <c r="AZ89" i="86"/>
  <c r="BV89" i="86" s="1"/>
  <c r="AT89" i="86"/>
  <c r="AN89" i="86"/>
  <c r="BU89" i="86" s="1"/>
  <c r="AH89" i="86"/>
  <c r="AB89" i="86"/>
  <c r="V89" i="86"/>
  <c r="P89" i="86"/>
  <c r="J89" i="86"/>
  <c r="D89" i="86"/>
  <c r="BS89" i="86" s="1"/>
  <c r="BL88" i="86"/>
  <c r="BF88" i="86"/>
  <c r="AZ88" i="86"/>
  <c r="BW88" i="86" s="1"/>
  <c r="AT88" i="86"/>
  <c r="AN88" i="86"/>
  <c r="BU88" i="86" s="1"/>
  <c r="AH88" i="86"/>
  <c r="AB88" i="86"/>
  <c r="BT88" i="86" s="1"/>
  <c r="V88" i="86"/>
  <c r="P88" i="86"/>
  <c r="BR88" i="86" s="1"/>
  <c r="J88" i="86"/>
  <c r="D88" i="86"/>
  <c r="BS88" i="86" s="1"/>
  <c r="BQ87" i="86"/>
  <c r="BP87" i="86"/>
  <c r="BP85" i="86" s="1"/>
  <c r="BO87" i="86"/>
  <c r="BN87" i="86"/>
  <c r="BK87" i="86"/>
  <c r="BJ87" i="86"/>
  <c r="BI87" i="86"/>
  <c r="BH87" i="86"/>
  <c r="BF87" i="86" s="1"/>
  <c r="BG87" i="86"/>
  <c r="BE87" i="86"/>
  <c r="BD87" i="86"/>
  <c r="BD85" i="86" s="1"/>
  <c r="BC87" i="86"/>
  <c r="BB87" i="86"/>
  <c r="AY87" i="86"/>
  <c r="AX87" i="86"/>
  <c r="AW87" i="86"/>
  <c r="AV87" i="86"/>
  <c r="AT87" i="86" s="1"/>
  <c r="AU87" i="86"/>
  <c r="AS87" i="86"/>
  <c r="AR87" i="86"/>
  <c r="AR85" i="86" s="1"/>
  <c r="AQ87" i="86"/>
  <c r="AP87" i="86"/>
  <c r="AM87" i="86"/>
  <c r="AL87" i="86"/>
  <c r="AK87" i="86"/>
  <c r="AJ87" i="86"/>
  <c r="AH87" i="86" s="1"/>
  <c r="AI87" i="86"/>
  <c r="AG87" i="86"/>
  <c r="AF87" i="86"/>
  <c r="AF85" i="86" s="1"/>
  <c r="AE87" i="86"/>
  <c r="AD87" i="86"/>
  <c r="AC87" i="86"/>
  <c r="AB87" i="86"/>
  <c r="BT87" i="86" s="1"/>
  <c r="AA87" i="86"/>
  <c r="Z87" i="86"/>
  <c r="Y87" i="86"/>
  <c r="X87" i="86"/>
  <c r="V87" i="86" s="1"/>
  <c r="W87" i="86"/>
  <c r="U87" i="86"/>
  <c r="T87" i="86"/>
  <c r="T85" i="86" s="1"/>
  <c r="S87" i="86"/>
  <c r="R87" i="86"/>
  <c r="Q87" i="86"/>
  <c r="P87" i="86"/>
  <c r="O87" i="86"/>
  <c r="N87" i="86"/>
  <c r="M87" i="86"/>
  <c r="L87" i="86"/>
  <c r="J87" i="86" s="1"/>
  <c r="K87" i="86"/>
  <c r="I87" i="86"/>
  <c r="H87" i="86"/>
  <c r="G87" i="86"/>
  <c r="F87" i="86"/>
  <c r="F85" i="86" s="1"/>
  <c r="E87" i="86"/>
  <c r="D87" i="86"/>
  <c r="BV86" i="86"/>
  <c r="BT86" i="86"/>
  <c r="BL86" i="86"/>
  <c r="BW86" i="86" s="1"/>
  <c r="BF86" i="86"/>
  <c r="AZ86" i="86"/>
  <c r="AT86" i="86"/>
  <c r="AN86" i="86"/>
  <c r="BU86" i="86" s="1"/>
  <c r="AH86" i="86"/>
  <c r="AB86" i="86"/>
  <c r="V86" i="86"/>
  <c r="P86" i="86"/>
  <c r="BS86" i="86" s="1"/>
  <c r="J86" i="86"/>
  <c r="BR86" i="86" s="1"/>
  <c r="D86" i="86"/>
  <c r="BQ85" i="86"/>
  <c r="BO85" i="86"/>
  <c r="BN85" i="86"/>
  <c r="BK85" i="86"/>
  <c r="BJ85" i="86"/>
  <c r="BI85" i="86"/>
  <c r="BG85" i="86"/>
  <c r="BE85" i="86"/>
  <c r="BC85" i="86"/>
  <c r="BB85" i="86"/>
  <c r="AY85" i="86"/>
  <c r="AX85" i="86"/>
  <c r="AW85" i="86"/>
  <c r="AU85" i="86"/>
  <c r="AS85" i="86"/>
  <c r="AQ85" i="86"/>
  <c r="AP85" i="86"/>
  <c r="AM85" i="86"/>
  <c r="AL85" i="86"/>
  <c r="AK85" i="86"/>
  <c r="AI85" i="86"/>
  <c r="AG85" i="86"/>
  <c r="AE85" i="86"/>
  <c r="AD85" i="86"/>
  <c r="AC85" i="86"/>
  <c r="AB85" i="86" s="1"/>
  <c r="AA85" i="86"/>
  <c r="Z85" i="86"/>
  <c r="Y85" i="86"/>
  <c r="W85" i="86"/>
  <c r="U85" i="86"/>
  <c r="S85" i="86"/>
  <c r="R85" i="86"/>
  <c r="Q85" i="86"/>
  <c r="P85" i="86" s="1"/>
  <c r="O85" i="86"/>
  <c r="N85" i="86"/>
  <c r="M85" i="86"/>
  <c r="J85" i="86" s="1"/>
  <c r="I85" i="86"/>
  <c r="H85" i="86"/>
  <c r="G85" i="86"/>
  <c r="E85" i="86"/>
  <c r="D85" i="86" s="1"/>
  <c r="BL84" i="86"/>
  <c r="BF84" i="86"/>
  <c r="AZ84" i="86"/>
  <c r="BW84" i="86" s="1"/>
  <c r="AT84" i="86"/>
  <c r="AN84" i="86"/>
  <c r="BU84" i="86" s="1"/>
  <c r="AH84" i="86"/>
  <c r="AB84" i="86"/>
  <c r="BT84" i="86" s="1"/>
  <c r="V84" i="86"/>
  <c r="P84" i="86"/>
  <c r="BR84" i="86" s="1"/>
  <c r="J84" i="86"/>
  <c r="D84" i="86"/>
  <c r="BS84" i="86" s="1"/>
  <c r="BV83" i="86"/>
  <c r="BT83" i="86"/>
  <c r="BL83" i="86"/>
  <c r="BW83" i="86" s="1"/>
  <c r="BF83" i="86"/>
  <c r="AZ83" i="86"/>
  <c r="AT83" i="86"/>
  <c r="AN83" i="86"/>
  <c r="BU83" i="86" s="1"/>
  <c r="AH83" i="86"/>
  <c r="AB83" i="86"/>
  <c r="V83" i="86"/>
  <c r="P83" i="86"/>
  <c r="BS83" i="86" s="1"/>
  <c r="J83" i="86"/>
  <c r="BR83" i="86" s="1"/>
  <c r="D83" i="86"/>
  <c r="BL82" i="86"/>
  <c r="BW82" i="86" s="1"/>
  <c r="BF82" i="86"/>
  <c r="AZ82" i="86"/>
  <c r="BV82" i="86" s="1"/>
  <c r="AT82" i="86"/>
  <c r="AN82" i="86"/>
  <c r="BU82" i="86" s="1"/>
  <c r="AH82" i="86"/>
  <c r="AB82" i="86"/>
  <c r="BT82" i="86" s="1"/>
  <c r="V82" i="86"/>
  <c r="P82" i="86"/>
  <c r="BS82" i="86" s="1"/>
  <c r="J82" i="86"/>
  <c r="D82" i="86"/>
  <c r="D81" i="86"/>
  <c r="P80" i="86"/>
  <c r="J80" i="86"/>
  <c r="D80" i="86"/>
  <c r="BV79" i="86"/>
  <c r="BL79" i="86"/>
  <c r="BF79" i="86"/>
  <c r="AZ79" i="86"/>
  <c r="BW79" i="86" s="1"/>
  <c r="AT79" i="86"/>
  <c r="AN79" i="86"/>
  <c r="BU79" i="86" s="1"/>
  <c r="AH79" i="86"/>
  <c r="AC79" i="86"/>
  <c r="AB79" i="86"/>
  <c r="BT79" i="86" s="1"/>
  <c r="V79" i="86"/>
  <c r="Q79" i="86"/>
  <c r="P79" i="86" s="1"/>
  <c r="J79" i="86"/>
  <c r="D79" i="86"/>
  <c r="BF78" i="86"/>
  <c r="AT78" i="86"/>
  <c r="AH78" i="86"/>
  <c r="V78" i="86"/>
  <c r="J78" i="86"/>
  <c r="D78" i="86"/>
  <c r="BT77" i="86"/>
  <c r="BL77" i="86"/>
  <c r="BW77" i="86" s="1"/>
  <c r="BF77" i="86"/>
  <c r="AZ77" i="86"/>
  <c r="AT77" i="86"/>
  <c r="AN77" i="86"/>
  <c r="BV77" i="86" s="1"/>
  <c r="AH77" i="86"/>
  <c r="AB77" i="86"/>
  <c r="V77" i="86"/>
  <c r="P77" i="86"/>
  <c r="BR77" i="86" s="1"/>
  <c r="J77" i="86"/>
  <c r="D77" i="86"/>
  <c r="BF76" i="86"/>
  <c r="AT76" i="86"/>
  <c r="AH76" i="86"/>
  <c r="V76" i="86"/>
  <c r="R76" i="86"/>
  <c r="P76" i="86" s="1"/>
  <c r="Q76" i="86"/>
  <c r="J76" i="86"/>
  <c r="D76" i="86"/>
  <c r="BQ75" i="86"/>
  <c r="BP75" i="86"/>
  <c r="BO75" i="86"/>
  <c r="BK75" i="86"/>
  <c r="BJ75" i="86"/>
  <c r="BI75" i="86"/>
  <c r="BH75" i="86"/>
  <c r="BF75" i="86" s="1"/>
  <c r="BG75" i="86"/>
  <c r="BE75" i="86"/>
  <c r="BD75" i="86"/>
  <c r="BC75" i="86"/>
  <c r="AY75" i="86"/>
  <c r="AX75" i="86"/>
  <c r="AW75" i="86"/>
  <c r="AV75" i="86"/>
  <c r="AT75" i="86" s="1"/>
  <c r="AU75" i="86"/>
  <c r="AS75" i="86"/>
  <c r="AR75" i="86"/>
  <c r="AQ75" i="86"/>
  <c r="AM75" i="86"/>
  <c r="AL75" i="86"/>
  <c r="AK75" i="86"/>
  <c r="AJ75" i="86"/>
  <c r="AH75" i="86" s="1"/>
  <c r="AI75" i="86"/>
  <c r="AG75" i="86"/>
  <c r="AF75" i="86"/>
  <c r="AE75" i="86"/>
  <c r="AA75" i="86"/>
  <c r="Z75" i="86"/>
  <c r="Y75" i="86"/>
  <c r="X75" i="86"/>
  <c r="V75" i="86" s="1"/>
  <c r="W75" i="86"/>
  <c r="U75" i="86"/>
  <c r="T75" i="86"/>
  <c r="S75" i="86"/>
  <c r="O75" i="86"/>
  <c r="N75" i="86"/>
  <c r="M75" i="86"/>
  <c r="L75" i="86"/>
  <c r="J75" i="86" s="1"/>
  <c r="K75" i="86"/>
  <c r="I75" i="86"/>
  <c r="H75" i="86"/>
  <c r="G75" i="86"/>
  <c r="F75" i="86"/>
  <c r="E75" i="86"/>
  <c r="D75" i="86"/>
  <c r="BT74" i="86"/>
  <c r="BL74" i="86"/>
  <c r="BW74" i="86" s="1"/>
  <c r="BF74" i="86"/>
  <c r="AZ74" i="86"/>
  <c r="AT74" i="86"/>
  <c r="AN74" i="86"/>
  <c r="BV74" i="86" s="1"/>
  <c r="AH74" i="86"/>
  <c r="AB74" i="86"/>
  <c r="V74" i="86"/>
  <c r="P74" i="86"/>
  <c r="BR74" i="86" s="1"/>
  <c r="J74" i="86"/>
  <c r="D74" i="86"/>
  <c r="BF73" i="86"/>
  <c r="AT73" i="86"/>
  <c r="AI73" i="86"/>
  <c r="AH73" i="86" s="1"/>
  <c r="W73" i="86"/>
  <c r="V73" i="86" s="1"/>
  <c r="Q73" i="86"/>
  <c r="AC73" i="86" s="1"/>
  <c r="P73" i="86"/>
  <c r="BS73" i="86" s="1"/>
  <c r="J73" i="86"/>
  <c r="D73" i="86"/>
  <c r="BL72" i="86"/>
  <c r="BW72" i="86" s="1"/>
  <c r="BF72" i="86"/>
  <c r="AZ72" i="86"/>
  <c r="AT72" i="86"/>
  <c r="AN72" i="86"/>
  <c r="BV72" i="86" s="1"/>
  <c r="AH72" i="86"/>
  <c r="AB72" i="86"/>
  <c r="BT72" i="86" s="1"/>
  <c r="V72" i="86"/>
  <c r="P72" i="86"/>
  <c r="BS72" i="86" s="1"/>
  <c r="J72" i="86"/>
  <c r="D72" i="86"/>
  <c r="BL71" i="86"/>
  <c r="BG71" i="86"/>
  <c r="BF71" i="86"/>
  <c r="AZ71" i="86"/>
  <c r="BW71" i="86" s="1"/>
  <c r="AU71" i="86"/>
  <c r="AT71" i="86"/>
  <c r="AN71" i="86"/>
  <c r="BU71" i="86" s="1"/>
  <c r="AL71" i="86"/>
  <c r="AL63" i="86" s="1"/>
  <c r="AL59" i="86" s="1"/>
  <c r="AL102" i="86" s="1"/>
  <c r="AB71" i="86"/>
  <c r="BT71" i="86" s="1"/>
  <c r="Z71" i="86"/>
  <c r="Z63" i="86" s="1"/>
  <c r="Z59" i="86" s="1"/>
  <c r="Z102" i="86" s="1"/>
  <c r="P71" i="86"/>
  <c r="BS71" i="86" s="1"/>
  <c r="J71" i="86"/>
  <c r="BR71" i="86" s="1"/>
  <c r="D71" i="86"/>
  <c r="BF70" i="86"/>
  <c r="AT70" i="86"/>
  <c r="AH70" i="86"/>
  <c r="AC70" i="86"/>
  <c r="AC111" i="86" s="1"/>
  <c r="AB111" i="86" s="1"/>
  <c r="BT111" i="86" s="1"/>
  <c r="AB70" i="86"/>
  <c r="BT70" i="86" s="1"/>
  <c r="V70" i="86"/>
  <c r="P70" i="86"/>
  <c r="BS70" i="86" s="1"/>
  <c r="J70" i="86"/>
  <c r="D70" i="86"/>
  <c r="BV69" i="86"/>
  <c r="BR69" i="86"/>
  <c r="BL69" i="86"/>
  <c r="BF69" i="86"/>
  <c r="AZ69" i="86"/>
  <c r="BW69" i="86" s="1"/>
  <c r="AT69" i="86"/>
  <c r="AN69" i="86"/>
  <c r="BU69" i="86" s="1"/>
  <c r="AH69" i="86"/>
  <c r="AB69" i="86"/>
  <c r="BT69" i="86" s="1"/>
  <c r="V69" i="86"/>
  <c r="P69" i="86"/>
  <c r="J69" i="86"/>
  <c r="D69" i="86"/>
  <c r="BS69" i="86" s="1"/>
  <c r="BL68" i="86"/>
  <c r="BF68" i="86"/>
  <c r="AZ68" i="86"/>
  <c r="BW68" i="86" s="1"/>
  <c r="AT68" i="86"/>
  <c r="AN68" i="86"/>
  <c r="BU68" i="86" s="1"/>
  <c r="AH68" i="86"/>
  <c r="AB68" i="86"/>
  <c r="BT68" i="86" s="1"/>
  <c r="V68" i="86"/>
  <c r="P68" i="86"/>
  <c r="BR68" i="86" s="1"/>
  <c r="J68" i="86"/>
  <c r="D68" i="86"/>
  <c r="BS68" i="86" s="1"/>
  <c r="BT67" i="86"/>
  <c r="BL67" i="86"/>
  <c r="BW67" i="86" s="1"/>
  <c r="BF67" i="86"/>
  <c r="AZ67" i="86"/>
  <c r="AT67" i="86"/>
  <c r="AN67" i="86"/>
  <c r="BV67" i="86" s="1"/>
  <c r="AH67" i="86"/>
  <c r="AB67" i="86"/>
  <c r="V67" i="86"/>
  <c r="P67" i="86"/>
  <c r="BR67" i="86" s="1"/>
  <c r="J67" i="86"/>
  <c r="D67" i="86"/>
  <c r="BM66" i="86"/>
  <c r="BL66" i="86" s="1"/>
  <c r="BW66" i="86" s="1"/>
  <c r="BF66" i="86"/>
  <c r="AZ66" i="86"/>
  <c r="BV66" i="86" s="1"/>
  <c r="AT66" i="86"/>
  <c r="AN66" i="86"/>
  <c r="AH66" i="86"/>
  <c r="AC66" i="86"/>
  <c r="AB66" i="86"/>
  <c r="BU66" i="86" s="1"/>
  <c r="V66" i="86"/>
  <c r="J66" i="86"/>
  <c r="Q66" i="86" s="1"/>
  <c r="D66" i="86"/>
  <c r="BU65" i="86"/>
  <c r="BM65" i="86"/>
  <c r="BL65" i="86" s="1"/>
  <c r="BW65" i="86" s="1"/>
  <c r="BF65" i="86"/>
  <c r="BA65" i="86"/>
  <c r="AZ65" i="86"/>
  <c r="BV65" i="86" s="1"/>
  <c r="AT65" i="86"/>
  <c r="AO65" i="86"/>
  <c r="AN65" i="86"/>
  <c r="AH65" i="86"/>
  <c r="AC65" i="86"/>
  <c r="AB65" i="86"/>
  <c r="BT65" i="86" s="1"/>
  <c r="V65" i="86"/>
  <c r="P65" i="86"/>
  <c r="BS65" i="86" s="1"/>
  <c r="J65" i="86"/>
  <c r="D65" i="86"/>
  <c r="BR64" i="86"/>
  <c r="BF64" i="86"/>
  <c r="BA64" i="86"/>
  <c r="AT64" i="86"/>
  <c r="AO64" i="86"/>
  <c r="AN64" i="86"/>
  <c r="BU64" i="86" s="1"/>
  <c r="AH64" i="86"/>
  <c r="AC64" i="86"/>
  <c r="AB64" i="86"/>
  <c r="BT64" i="86" s="1"/>
  <c r="V64" i="86"/>
  <c r="P64" i="86"/>
  <c r="J64" i="86"/>
  <c r="D64" i="86"/>
  <c r="BS64" i="86" s="1"/>
  <c r="BQ63" i="86"/>
  <c r="BP63" i="86"/>
  <c r="BO63" i="86"/>
  <c r="BN63" i="86"/>
  <c r="BK63" i="86"/>
  <c r="BK59" i="86" s="1"/>
  <c r="BK102" i="86" s="1"/>
  <c r="BJ63" i="86"/>
  <c r="BI63" i="86"/>
  <c r="BH63" i="86"/>
  <c r="BG63" i="86"/>
  <c r="BF63" i="86" s="1"/>
  <c r="BE63" i="86"/>
  <c r="BD63" i="86"/>
  <c r="BC63" i="86"/>
  <c r="BC59" i="86" s="1"/>
  <c r="BC102" i="86" s="1"/>
  <c r="BB63" i="86"/>
  <c r="AY63" i="86"/>
  <c r="AY59" i="86" s="1"/>
  <c r="AY102" i="86" s="1"/>
  <c r="AX63" i="86"/>
  <c r="AW63" i="86"/>
  <c r="AV63" i="86"/>
  <c r="AU63" i="86"/>
  <c r="AT63" i="86" s="1"/>
  <c r="AS63" i="86"/>
  <c r="AR63" i="86"/>
  <c r="AQ63" i="86"/>
  <c r="AP63" i="86"/>
  <c r="AM63" i="86"/>
  <c r="AM59" i="86" s="1"/>
  <c r="AM102" i="86" s="1"/>
  <c r="AK63" i="86"/>
  <c r="AJ63" i="86"/>
  <c r="AG63" i="86"/>
  <c r="AF63" i="86"/>
  <c r="AE63" i="86"/>
  <c r="AB63" i="86" s="1"/>
  <c r="AD63" i="86"/>
  <c r="AC63" i="86"/>
  <c r="AA63" i="86"/>
  <c r="AA59" i="86" s="1"/>
  <c r="AA102" i="86" s="1"/>
  <c r="Y63" i="86"/>
  <c r="X63" i="86"/>
  <c r="U63" i="86"/>
  <c r="T63" i="86"/>
  <c r="S63" i="86"/>
  <c r="R63" i="86"/>
  <c r="O63" i="86"/>
  <c r="O59" i="86" s="1"/>
  <c r="O102" i="86" s="1"/>
  <c r="N63" i="86"/>
  <c r="M63" i="86"/>
  <c r="L63" i="86"/>
  <c r="K63" i="86"/>
  <c r="J63" i="86" s="1"/>
  <c r="I63" i="86"/>
  <c r="H63" i="86"/>
  <c r="G63" i="86"/>
  <c r="D63" i="86" s="1"/>
  <c r="F63" i="86"/>
  <c r="E63" i="86"/>
  <c r="BL62" i="86"/>
  <c r="BF62" i="86"/>
  <c r="AZ62" i="86"/>
  <c r="BW62" i="86" s="1"/>
  <c r="AT62" i="86"/>
  <c r="AN62" i="86"/>
  <c r="BU62" i="86" s="1"/>
  <c r="AH62" i="86"/>
  <c r="AB62" i="86"/>
  <c r="BT62" i="86" s="1"/>
  <c r="V62" i="86"/>
  <c r="P62" i="86"/>
  <c r="BR62" i="86" s="1"/>
  <c r="J62" i="86"/>
  <c r="D62" i="86"/>
  <c r="BS62" i="86" s="1"/>
  <c r="BM61" i="86"/>
  <c r="BM60" i="86" s="1"/>
  <c r="BL61" i="86"/>
  <c r="BW61" i="86" s="1"/>
  <c r="BF61" i="86"/>
  <c r="BA61" i="86"/>
  <c r="AZ61" i="86"/>
  <c r="BV61" i="86" s="1"/>
  <c r="AT61" i="86"/>
  <c r="AO61" i="86"/>
  <c r="AN61" i="86"/>
  <c r="AH61" i="86"/>
  <c r="AC61" i="86"/>
  <c r="AC60" i="86" s="1"/>
  <c r="V61" i="86"/>
  <c r="Q61" i="86"/>
  <c r="Q60" i="86" s="1"/>
  <c r="P61" i="86"/>
  <c r="J61" i="86"/>
  <c r="D61" i="86"/>
  <c r="BQ60" i="86"/>
  <c r="BP60" i="86"/>
  <c r="BO60" i="86"/>
  <c r="BO59" i="86" s="1"/>
  <c r="BO102" i="86" s="1"/>
  <c r="BN60" i="86"/>
  <c r="BI60" i="86"/>
  <c r="BH60" i="86"/>
  <c r="BF60" i="86" s="1"/>
  <c r="BG60" i="86"/>
  <c r="BE60" i="86"/>
  <c r="BD60" i="86"/>
  <c r="BC60" i="86"/>
  <c r="BB60" i="86"/>
  <c r="BA60" i="86"/>
  <c r="AZ60" i="86"/>
  <c r="AW60" i="86"/>
  <c r="AV60" i="86"/>
  <c r="AU60" i="86"/>
  <c r="AU59" i="86" s="1"/>
  <c r="AT60" i="86"/>
  <c r="AS60" i="86"/>
  <c r="AR60" i="86"/>
  <c r="AQ60" i="86"/>
  <c r="AQ59" i="86" s="1"/>
  <c r="AQ102" i="86" s="1"/>
  <c r="AP60" i="86"/>
  <c r="AO60" i="86"/>
  <c r="AK60" i="86"/>
  <c r="AJ60" i="86"/>
  <c r="AH60" i="86" s="1"/>
  <c r="AI60" i="86"/>
  <c r="AG60" i="86"/>
  <c r="AF60" i="86"/>
  <c r="AE60" i="86"/>
  <c r="AD60" i="86"/>
  <c r="AB60" i="86"/>
  <c r="Y60" i="86"/>
  <c r="X60" i="86"/>
  <c r="W60" i="86"/>
  <c r="V60" i="86"/>
  <c r="U60" i="86"/>
  <c r="T60" i="86"/>
  <c r="S60" i="86"/>
  <c r="S59" i="86" s="1"/>
  <c r="S102" i="86" s="1"/>
  <c r="R60" i="86"/>
  <c r="M60" i="86"/>
  <c r="L60" i="86"/>
  <c r="J60" i="86" s="1"/>
  <c r="K60" i="86"/>
  <c r="I60" i="86"/>
  <c r="H60" i="86"/>
  <c r="G60" i="86"/>
  <c r="F60" i="86"/>
  <c r="E60" i="86"/>
  <c r="D60" i="86"/>
  <c r="BQ59" i="86"/>
  <c r="BQ102" i="86" s="1"/>
  <c r="BP59" i="86"/>
  <c r="BP102" i="86" s="1"/>
  <c r="BJ59" i="86"/>
  <c r="BJ102" i="86" s="1"/>
  <c r="BI59" i="86"/>
  <c r="BI102" i="86" s="1"/>
  <c r="BH59" i="86"/>
  <c r="BH102" i="86" s="1"/>
  <c r="BE59" i="86"/>
  <c r="BE102" i="86" s="1"/>
  <c r="BD59" i="86"/>
  <c r="BD102" i="86" s="1"/>
  <c r="AX59" i="86"/>
  <c r="AX102" i="86" s="1"/>
  <c r="AW59" i="86"/>
  <c r="AW102" i="86" s="1"/>
  <c r="AV59" i="86"/>
  <c r="AV102" i="86" s="1"/>
  <c r="AS59" i="86"/>
  <c r="AS102" i="86" s="1"/>
  <c r="AR59" i="86"/>
  <c r="AR102" i="86" s="1"/>
  <c r="AK59" i="86"/>
  <c r="AK102" i="86" s="1"/>
  <c r="AJ59" i="86"/>
  <c r="AJ102" i="86" s="1"/>
  <c r="AG59" i="86"/>
  <c r="AG102" i="86" s="1"/>
  <c r="AF59" i="86"/>
  <c r="AF102" i="86" s="1"/>
  <c r="Y59" i="86"/>
  <c r="Y102" i="86" s="1"/>
  <c r="X59" i="86"/>
  <c r="X102" i="86" s="1"/>
  <c r="U59" i="86"/>
  <c r="U102" i="86" s="1"/>
  <c r="T59" i="86"/>
  <c r="T102" i="86" s="1"/>
  <c r="N59" i="86"/>
  <c r="N102" i="86" s="1"/>
  <c r="M59" i="86"/>
  <c r="M102" i="86" s="1"/>
  <c r="I59" i="86"/>
  <c r="I102" i="86" s="1"/>
  <c r="H59" i="86"/>
  <c r="H102" i="86" s="1"/>
  <c r="F59" i="86"/>
  <c r="F102" i="86" s="1"/>
  <c r="E59" i="86"/>
  <c r="E102" i="86" s="1"/>
  <c r="BF58" i="86"/>
  <c r="AT58" i="86"/>
  <c r="AH58" i="86"/>
  <c r="V58" i="86"/>
  <c r="P58" i="86"/>
  <c r="J58" i="86"/>
  <c r="D58" i="86"/>
  <c r="BF57" i="86"/>
  <c r="AT57" i="86"/>
  <c r="AH57" i="86"/>
  <c r="V57" i="86"/>
  <c r="Q57" i="86"/>
  <c r="P57" i="86" s="1"/>
  <c r="BS57" i="86" s="1"/>
  <c r="J57" i="86"/>
  <c r="D57" i="86"/>
  <c r="BF56" i="86"/>
  <c r="AT56" i="86"/>
  <c r="AH56" i="86"/>
  <c r="V56" i="86"/>
  <c r="Q56" i="86"/>
  <c r="P56" i="86"/>
  <c r="BR56" i="86" s="1"/>
  <c r="J56" i="86"/>
  <c r="D56" i="86"/>
  <c r="BK55" i="86"/>
  <c r="BJ55" i="86"/>
  <c r="BI55" i="86"/>
  <c r="BH55" i="86"/>
  <c r="BG55" i="86"/>
  <c r="BF55" i="86" s="1"/>
  <c r="AY55" i="86"/>
  <c r="AX55" i="86"/>
  <c r="AW55" i="86"/>
  <c r="AV55" i="86"/>
  <c r="AU55" i="86"/>
  <c r="AT55" i="86" s="1"/>
  <c r="AM55" i="86"/>
  <c r="AL55" i="86"/>
  <c r="AK55" i="86"/>
  <c r="AJ55" i="86"/>
  <c r="AI55" i="86"/>
  <c r="AH55" i="86" s="1"/>
  <c r="AA55" i="86"/>
  <c r="Z55" i="86"/>
  <c r="Y55" i="86"/>
  <c r="X55" i="86"/>
  <c r="W55" i="86"/>
  <c r="V55" i="86" s="1"/>
  <c r="U55" i="86"/>
  <c r="T55" i="86"/>
  <c r="S55" i="86"/>
  <c r="R55" i="86"/>
  <c r="Q55" i="86"/>
  <c r="O55" i="86"/>
  <c r="N55" i="86"/>
  <c r="M55" i="86"/>
  <c r="L55" i="86"/>
  <c r="K55" i="86"/>
  <c r="J55" i="86"/>
  <c r="I55" i="86"/>
  <c r="H55" i="86"/>
  <c r="G55" i="86"/>
  <c r="F55" i="86"/>
  <c r="E55" i="86"/>
  <c r="BF54" i="86"/>
  <c r="AT54" i="86"/>
  <c r="AH54" i="86"/>
  <c r="V54" i="86"/>
  <c r="Q54" i="86"/>
  <c r="P54" i="86" s="1"/>
  <c r="BS54" i="86" s="1"/>
  <c r="J54" i="86"/>
  <c r="BR54" i="86" s="1"/>
  <c r="D54" i="86"/>
  <c r="BF53" i="86"/>
  <c r="AT53" i="86"/>
  <c r="AH53" i="86"/>
  <c r="V53" i="86"/>
  <c r="P53" i="86"/>
  <c r="BR53" i="86" s="1"/>
  <c r="J53" i="86"/>
  <c r="D53" i="86"/>
  <c r="BF52" i="86"/>
  <c r="AT52" i="86"/>
  <c r="AH52" i="86"/>
  <c r="V52" i="86"/>
  <c r="R52" i="86"/>
  <c r="Q52" i="86"/>
  <c r="P52" i="86" s="1"/>
  <c r="J52" i="86"/>
  <c r="D52" i="86"/>
  <c r="BF51" i="86"/>
  <c r="AT51" i="86"/>
  <c r="AH51" i="86"/>
  <c r="V51" i="86"/>
  <c r="Q51" i="86"/>
  <c r="P51" i="86" s="1"/>
  <c r="J51" i="86"/>
  <c r="D51" i="86"/>
  <c r="BF50" i="86"/>
  <c r="AT50" i="86"/>
  <c r="AH50" i="86"/>
  <c r="V50" i="86"/>
  <c r="N50" i="86"/>
  <c r="L50" i="86"/>
  <c r="R50" i="86" s="1"/>
  <c r="R42" i="86" s="1"/>
  <c r="K50" i="86"/>
  <c r="Q50" i="86" s="1"/>
  <c r="J50" i="86"/>
  <c r="D50" i="86"/>
  <c r="BF49" i="86"/>
  <c r="AT49" i="86"/>
  <c r="AH49" i="86"/>
  <c r="V49" i="86"/>
  <c r="Q49" i="86"/>
  <c r="P49" i="86" s="1"/>
  <c r="J49" i="86"/>
  <c r="D49" i="86"/>
  <c r="BF48" i="86"/>
  <c r="AT48" i="86"/>
  <c r="AH48" i="86"/>
  <c r="V48" i="86"/>
  <c r="R48" i="86"/>
  <c r="Q48" i="86"/>
  <c r="P48" i="86"/>
  <c r="BS48" i="86" s="1"/>
  <c r="J48" i="86"/>
  <c r="D48" i="86"/>
  <c r="BR47" i="86"/>
  <c r="BF47" i="86"/>
  <c r="AT47" i="86"/>
  <c r="AH47" i="86"/>
  <c r="V47" i="86"/>
  <c r="P47" i="86"/>
  <c r="J47" i="86"/>
  <c r="D47" i="86"/>
  <c r="BS47" i="86" s="1"/>
  <c r="BF46" i="86"/>
  <c r="AT46" i="86"/>
  <c r="AH46" i="86"/>
  <c r="V46" i="86"/>
  <c r="R46" i="86"/>
  <c r="Q46" i="86"/>
  <c r="P46" i="86"/>
  <c r="BS46" i="86" s="1"/>
  <c r="N46" i="86"/>
  <c r="L46" i="86"/>
  <c r="K46" i="86"/>
  <c r="J46" i="86"/>
  <c r="D46" i="86"/>
  <c r="BF45" i="86"/>
  <c r="AT45" i="86"/>
  <c r="AH45" i="86"/>
  <c r="V45" i="86"/>
  <c r="Q45" i="86"/>
  <c r="P45" i="86" s="1"/>
  <c r="J45" i="86"/>
  <c r="D45" i="86"/>
  <c r="BF44" i="86"/>
  <c r="AT44" i="86"/>
  <c r="AH44" i="86"/>
  <c r="V44" i="86"/>
  <c r="P44" i="86"/>
  <c r="BR44" i="86" s="1"/>
  <c r="J44" i="86"/>
  <c r="D44" i="86"/>
  <c r="BS44" i="86" s="1"/>
  <c r="BF43" i="86"/>
  <c r="AT43" i="86"/>
  <c r="AH43" i="86"/>
  <c r="V43" i="86"/>
  <c r="Q43" i="86"/>
  <c r="Q42" i="86" s="1"/>
  <c r="P43" i="86"/>
  <c r="BR43" i="86" s="1"/>
  <c r="J43" i="86"/>
  <c r="D43" i="86"/>
  <c r="BK42" i="86"/>
  <c r="BJ42" i="86"/>
  <c r="BI42" i="86"/>
  <c r="BH42" i="86"/>
  <c r="BG42" i="86"/>
  <c r="BF42" i="86"/>
  <c r="AY42" i="86"/>
  <c r="AX42" i="86"/>
  <c r="AW42" i="86"/>
  <c r="AV42" i="86"/>
  <c r="AU42" i="86"/>
  <c r="AT42" i="86"/>
  <c r="AM42" i="86"/>
  <c r="AL42" i="86"/>
  <c r="AK42" i="86"/>
  <c r="AJ42" i="86"/>
  <c r="AI42" i="86"/>
  <c r="AH42" i="86"/>
  <c r="AA42" i="86"/>
  <c r="Z42" i="86"/>
  <c r="Y42" i="86"/>
  <c r="X42" i="86"/>
  <c r="W42" i="86"/>
  <c r="V42" i="86"/>
  <c r="U42" i="86"/>
  <c r="T42" i="86"/>
  <c r="S42" i="86"/>
  <c r="O42" i="86"/>
  <c r="N42" i="86"/>
  <c r="M42" i="86"/>
  <c r="L42" i="86"/>
  <c r="K42" i="86"/>
  <c r="J42" i="86"/>
  <c r="I42" i="86"/>
  <c r="H42" i="86"/>
  <c r="G42" i="86"/>
  <c r="F42" i="86"/>
  <c r="D42" i="86" s="1"/>
  <c r="E42" i="86"/>
  <c r="BR41" i="86"/>
  <c r="BF41" i="86"/>
  <c r="AT41" i="86"/>
  <c r="AH41" i="86"/>
  <c r="V41" i="86"/>
  <c r="P41" i="86"/>
  <c r="J41" i="86"/>
  <c r="D41" i="86"/>
  <c r="BS41" i="86" s="1"/>
  <c r="BF40" i="86"/>
  <c r="AT40" i="86"/>
  <c r="AH40" i="86"/>
  <c r="V40" i="86"/>
  <c r="R40" i="86"/>
  <c r="Q40" i="86"/>
  <c r="Q39" i="86" s="1"/>
  <c r="P40" i="86"/>
  <c r="BR40" i="86" s="1"/>
  <c r="J40" i="86"/>
  <c r="D40" i="86"/>
  <c r="BK39" i="86"/>
  <c r="BJ39" i="86"/>
  <c r="BI39" i="86"/>
  <c r="BH39" i="86"/>
  <c r="BG39" i="86"/>
  <c r="BF39" i="86"/>
  <c r="AY39" i="86"/>
  <c r="AX39" i="86"/>
  <c r="AW39" i="86"/>
  <c r="AV39" i="86"/>
  <c r="AU39" i="86"/>
  <c r="AT39" i="86"/>
  <c r="AM39" i="86"/>
  <c r="AL39" i="86"/>
  <c r="AK39" i="86"/>
  <c r="AJ39" i="86"/>
  <c r="AI39" i="86"/>
  <c r="AH39" i="86"/>
  <c r="AA39" i="86"/>
  <c r="Z39" i="86"/>
  <c r="Y39" i="86"/>
  <c r="X39" i="86"/>
  <c r="W39" i="86"/>
  <c r="V39" i="86"/>
  <c r="U39" i="86"/>
  <c r="T39" i="86"/>
  <c r="S39" i="86"/>
  <c r="R39" i="86"/>
  <c r="O39" i="86"/>
  <c r="N39" i="86"/>
  <c r="M39" i="86"/>
  <c r="L39" i="86"/>
  <c r="K39" i="86"/>
  <c r="J39" i="86" s="1"/>
  <c r="I39" i="86"/>
  <c r="H39" i="86"/>
  <c r="G39" i="86"/>
  <c r="F39" i="86"/>
  <c r="E39" i="86"/>
  <c r="BJ38" i="86"/>
  <c r="AY38" i="86"/>
  <c r="AX38" i="86"/>
  <c r="AU38" i="86"/>
  <c r="AL38" i="86"/>
  <c r="AA38" i="86"/>
  <c r="Z38" i="86"/>
  <c r="W38" i="86"/>
  <c r="BF37" i="86"/>
  <c r="AT37" i="86"/>
  <c r="AS37" i="86"/>
  <c r="BE37" i="86" s="1"/>
  <c r="BQ37" i="86" s="1"/>
  <c r="AR37" i="86"/>
  <c r="BD37" i="86" s="1"/>
  <c r="BP37" i="86" s="1"/>
  <c r="AH37" i="86"/>
  <c r="AG37" i="86"/>
  <c r="AF37" i="86"/>
  <c r="AE37" i="86"/>
  <c r="AQ37" i="86" s="1"/>
  <c r="BC37" i="86" s="1"/>
  <c r="BO37" i="86" s="1"/>
  <c r="V37" i="86"/>
  <c r="R37" i="86"/>
  <c r="AD37" i="86" s="1"/>
  <c r="AP37" i="86" s="1"/>
  <c r="BB37" i="86" s="1"/>
  <c r="BN37" i="86" s="1"/>
  <c r="Q37" i="86"/>
  <c r="AC37" i="86" s="1"/>
  <c r="P37" i="86"/>
  <c r="BS37" i="86" s="1"/>
  <c r="J37" i="86"/>
  <c r="D37" i="86"/>
  <c r="BF36" i="86"/>
  <c r="AT36" i="86"/>
  <c r="AS36" i="86"/>
  <c r="BE36" i="86" s="1"/>
  <c r="BQ36" i="86" s="1"/>
  <c r="AO36" i="86"/>
  <c r="AH36" i="86"/>
  <c r="AG36" i="86"/>
  <c r="AF36" i="86"/>
  <c r="AR36" i="86" s="1"/>
  <c r="AE36" i="86"/>
  <c r="AQ36" i="86" s="1"/>
  <c r="AD36" i="86"/>
  <c r="AC36" i="86"/>
  <c r="V36" i="86"/>
  <c r="P36" i="86"/>
  <c r="BS36" i="86" s="1"/>
  <c r="J36" i="86"/>
  <c r="D36" i="86"/>
  <c r="BS35" i="86"/>
  <c r="BF35" i="86"/>
  <c r="AT35" i="86"/>
  <c r="AR35" i="86"/>
  <c r="BD35" i="86" s="1"/>
  <c r="BP35" i="86" s="1"/>
  <c r="AP35" i="86"/>
  <c r="AH35" i="86"/>
  <c r="AG35" i="86"/>
  <c r="AS35" i="86" s="1"/>
  <c r="AF35" i="86"/>
  <c r="AE35" i="86"/>
  <c r="AQ35" i="86" s="1"/>
  <c r="BC35" i="86" s="1"/>
  <c r="AD35" i="86"/>
  <c r="AC35" i="86"/>
  <c r="AO35" i="86" s="1"/>
  <c r="V35" i="86"/>
  <c r="P35" i="86"/>
  <c r="J35" i="86"/>
  <c r="BR35" i="86" s="1"/>
  <c r="D35" i="86"/>
  <c r="BK34" i="86"/>
  <c r="BK38" i="86" s="1"/>
  <c r="BJ34" i="86"/>
  <c r="BI34" i="86"/>
  <c r="BI38" i="86" s="1"/>
  <c r="BH34" i="86"/>
  <c r="BH38" i="86" s="1"/>
  <c r="BG34" i="86"/>
  <c r="AY34" i="86"/>
  <c r="AX34" i="86"/>
  <c r="AW34" i="86"/>
  <c r="AW38" i="86" s="1"/>
  <c r="AV34" i="86"/>
  <c r="AV38" i="86" s="1"/>
  <c r="AU34" i="86"/>
  <c r="AM34" i="86"/>
  <c r="AM38" i="86" s="1"/>
  <c r="AL34" i="86"/>
  <c r="AK34" i="86"/>
  <c r="AK38" i="86" s="1"/>
  <c r="AJ34" i="86"/>
  <c r="AJ38" i="86" s="1"/>
  <c r="AI34" i="86"/>
  <c r="AG34" i="86"/>
  <c r="AG38" i="86" s="1"/>
  <c r="AE34" i="86"/>
  <c r="AE38" i="86" s="1"/>
  <c r="AA34" i="86"/>
  <c r="Z34" i="86"/>
  <c r="Y34" i="86"/>
  <c r="Y38" i="86" s="1"/>
  <c r="X34" i="86"/>
  <c r="X38" i="86" s="1"/>
  <c r="W34" i="86"/>
  <c r="U34" i="86"/>
  <c r="U38" i="86" s="1"/>
  <c r="T34" i="86"/>
  <c r="T38" i="86" s="1"/>
  <c r="S34" i="86"/>
  <c r="S38" i="86" s="1"/>
  <c r="R34" i="86"/>
  <c r="Q34" i="86"/>
  <c r="P34" i="86" s="1"/>
  <c r="O34" i="86"/>
  <c r="O38" i="86" s="1"/>
  <c r="N34" i="86"/>
  <c r="M34" i="86"/>
  <c r="M38" i="86" s="1"/>
  <c r="L34" i="86"/>
  <c r="K34" i="86"/>
  <c r="J34" i="86" s="1"/>
  <c r="I34" i="86"/>
  <c r="I38" i="86" s="1"/>
  <c r="H34" i="86"/>
  <c r="H38" i="86" s="1"/>
  <c r="G34" i="86"/>
  <c r="G38" i="86" s="1"/>
  <c r="F34" i="86"/>
  <c r="E34" i="86"/>
  <c r="D34" i="86"/>
  <c r="BF33" i="86"/>
  <c r="AT33" i="86"/>
  <c r="AH33" i="86"/>
  <c r="V33" i="86"/>
  <c r="J33" i="86"/>
  <c r="D33" i="86"/>
  <c r="BF32" i="86"/>
  <c r="AT32" i="86"/>
  <c r="AH32" i="86"/>
  <c r="V32" i="86"/>
  <c r="P32" i="86"/>
  <c r="J32" i="86"/>
  <c r="BR32" i="86" s="1"/>
  <c r="D32" i="86"/>
  <c r="BS32" i="86" s="1"/>
  <c r="BF31" i="86"/>
  <c r="AT31" i="86"/>
  <c r="AH31" i="86"/>
  <c r="V31" i="86"/>
  <c r="P31" i="86"/>
  <c r="BR31" i="86" s="1"/>
  <c r="J31" i="86"/>
  <c r="D31" i="86"/>
  <c r="BW30" i="86"/>
  <c r="BV30" i="86"/>
  <c r="BU30" i="86"/>
  <c r="BT30" i="86"/>
  <c r="BS30" i="86"/>
  <c r="BR30" i="86"/>
  <c r="BK29" i="86"/>
  <c r="BJ29" i="86"/>
  <c r="BI29" i="86"/>
  <c r="BH29" i="86"/>
  <c r="BG29" i="86"/>
  <c r="BF29" i="86" s="1"/>
  <c r="AY29" i="86"/>
  <c r="AX29" i="86"/>
  <c r="AW29" i="86"/>
  <c r="AV29" i="86"/>
  <c r="AU29" i="86"/>
  <c r="AT29" i="86" s="1"/>
  <c r="AM29" i="86"/>
  <c r="AL29" i="86"/>
  <c r="AK29" i="86"/>
  <c r="AJ29" i="86"/>
  <c r="AI29" i="86"/>
  <c r="AH29" i="86" s="1"/>
  <c r="AA29" i="86"/>
  <c r="Z29" i="86"/>
  <c r="Y29" i="86"/>
  <c r="X29" i="86"/>
  <c r="W29" i="86"/>
  <c r="V29" i="86" s="1"/>
  <c r="U29" i="86"/>
  <c r="T29" i="86"/>
  <c r="S29" i="86"/>
  <c r="O29" i="86"/>
  <c r="N29" i="86"/>
  <c r="N38" i="86" s="1"/>
  <c r="M29" i="86"/>
  <c r="L29" i="86"/>
  <c r="K29" i="86"/>
  <c r="J29" i="86" s="1"/>
  <c r="I29" i="86"/>
  <c r="H29" i="86"/>
  <c r="G29" i="86"/>
  <c r="D29" i="86" s="1"/>
  <c r="F29" i="86"/>
  <c r="F38" i="86" s="1"/>
  <c r="E29" i="86"/>
  <c r="BF28" i="86"/>
  <c r="AT28" i="86"/>
  <c r="AH28" i="86"/>
  <c r="V28" i="86"/>
  <c r="R28" i="86"/>
  <c r="R26" i="86" s="1"/>
  <c r="Q28" i="86"/>
  <c r="P28" i="86"/>
  <c r="BS28" i="86" s="1"/>
  <c r="J28" i="86"/>
  <c r="D28" i="86"/>
  <c r="BF27" i="86"/>
  <c r="AT27" i="86"/>
  <c r="AH27" i="86"/>
  <c r="V27" i="86"/>
  <c r="P27" i="86"/>
  <c r="J27" i="86"/>
  <c r="BR27" i="86" s="1"/>
  <c r="D27" i="86"/>
  <c r="BS27" i="86" s="1"/>
  <c r="BK26" i="86"/>
  <c r="BJ26" i="86"/>
  <c r="BI26" i="86"/>
  <c r="BH26" i="86"/>
  <c r="BH21" i="86" s="1"/>
  <c r="BG26" i="86"/>
  <c r="BF26" i="86" s="1"/>
  <c r="AY26" i="86"/>
  <c r="AX26" i="86"/>
  <c r="AW26" i="86"/>
  <c r="AV26" i="86"/>
  <c r="AV21" i="86" s="1"/>
  <c r="AU26" i="86"/>
  <c r="AT26" i="86" s="1"/>
  <c r="AM26" i="86"/>
  <c r="AL26" i="86"/>
  <c r="AK26" i="86"/>
  <c r="AJ26" i="86"/>
  <c r="AJ21" i="86" s="1"/>
  <c r="AJ101" i="86" s="1"/>
  <c r="AI26" i="86"/>
  <c r="AH26" i="86" s="1"/>
  <c r="AA26" i="86"/>
  <c r="Z26" i="86"/>
  <c r="Y26" i="86"/>
  <c r="X26" i="86"/>
  <c r="X21" i="86" s="1"/>
  <c r="X101" i="86" s="1"/>
  <c r="W26" i="86"/>
  <c r="V26" i="86" s="1"/>
  <c r="U26" i="86"/>
  <c r="T26" i="86"/>
  <c r="T21" i="86" s="1"/>
  <c r="S26" i="86"/>
  <c r="Q26" i="86"/>
  <c r="O26" i="86"/>
  <c r="N26" i="86"/>
  <c r="M26" i="86"/>
  <c r="L26" i="86"/>
  <c r="L21" i="86" s="1"/>
  <c r="L101" i="86" s="1"/>
  <c r="K26" i="86"/>
  <c r="J26" i="86" s="1"/>
  <c r="I26" i="86"/>
  <c r="H26" i="86"/>
  <c r="H21" i="86" s="1"/>
  <c r="H101" i="86" s="1"/>
  <c r="G26" i="86"/>
  <c r="D26" i="86" s="1"/>
  <c r="BF25" i="86"/>
  <c r="AT25" i="86"/>
  <c r="AH25" i="86"/>
  <c r="V25" i="86"/>
  <c r="Q25" i="86"/>
  <c r="P25" i="86" s="1"/>
  <c r="J25" i="86"/>
  <c r="D25" i="86"/>
  <c r="BF24" i="86"/>
  <c r="AT24" i="86"/>
  <c r="AH24" i="86"/>
  <c r="V24" i="86"/>
  <c r="P24" i="86"/>
  <c r="BR24" i="86" s="1"/>
  <c r="J24" i="86"/>
  <c r="D24" i="86"/>
  <c r="BS24" i="86" s="1"/>
  <c r="BF23" i="86"/>
  <c r="AT23" i="86"/>
  <c r="AH23" i="86"/>
  <c r="V23" i="86"/>
  <c r="P23" i="86"/>
  <c r="BR23" i="86" s="1"/>
  <c r="J23" i="86"/>
  <c r="D23" i="86"/>
  <c r="BK22" i="86"/>
  <c r="BJ22" i="86"/>
  <c r="BI22" i="86"/>
  <c r="BF22" i="86" s="1"/>
  <c r="BH22" i="86"/>
  <c r="BG22" i="86"/>
  <c r="AY22" i="86"/>
  <c r="AX22" i="86"/>
  <c r="AW22" i="86"/>
  <c r="AT22" i="86" s="1"/>
  <c r="AV22" i="86"/>
  <c r="AU22" i="86"/>
  <c r="AM22" i="86"/>
  <c r="AL22" i="86"/>
  <c r="AK22" i="86"/>
  <c r="AH22" i="86" s="1"/>
  <c r="AJ22" i="86"/>
  <c r="AI22" i="86"/>
  <c r="AA22" i="86"/>
  <c r="Z22" i="86"/>
  <c r="Y22" i="86"/>
  <c r="V22" i="86" s="1"/>
  <c r="X22" i="86"/>
  <c r="W22" i="86"/>
  <c r="U22" i="86"/>
  <c r="T22" i="86"/>
  <c r="S22" i="86"/>
  <c r="R22" i="86"/>
  <c r="Q22" i="86"/>
  <c r="P22" i="86" s="1"/>
  <c r="O22" i="86"/>
  <c r="N22" i="86"/>
  <c r="M22" i="86"/>
  <c r="J22" i="86" s="1"/>
  <c r="L22" i="86"/>
  <c r="K22" i="86"/>
  <c r="I22" i="86"/>
  <c r="H22" i="86"/>
  <c r="G22" i="86"/>
  <c r="F22" i="86"/>
  <c r="E22" i="86"/>
  <c r="D22" i="86" s="1"/>
  <c r="BK21" i="86"/>
  <c r="BK101" i="86" s="1"/>
  <c r="BJ21" i="86"/>
  <c r="BJ101" i="86" s="1"/>
  <c r="BI21" i="86"/>
  <c r="BI101" i="86" s="1"/>
  <c r="BG21" i="86"/>
  <c r="BG101" i="86" s="1"/>
  <c r="AY21" i="86"/>
  <c r="AY101" i="86" s="1"/>
  <c r="AX21" i="86"/>
  <c r="AX101" i="86" s="1"/>
  <c r="AW21" i="86"/>
  <c r="AW101" i="86" s="1"/>
  <c r="AU21" i="86"/>
  <c r="AU101" i="86" s="1"/>
  <c r="AM21" i="86"/>
  <c r="AM101" i="86" s="1"/>
  <c r="AL21" i="86"/>
  <c r="AL101" i="86" s="1"/>
  <c r="AK21" i="86"/>
  <c r="AK101" i="86" s="1"/>
  <c r="AI21" i="86"/>
  <c r="AI101" i="86" s="1"/>
  <c r="AA21" i="86"/>
  <c r="AA101" i="86" s="1"/>
  <c r="Z21" i="86"/>
  <c r="Z101" i="86" s="1"/>
  <c r="Y21" i="86"/>
  <c r="Y101" i="86" s="1"/>
  <c r="W21" i="86"/>
  <c r="W101" i="86" s="1"/>
  <c r="U21" i="86"/>
  <c r="U101" i="86" s="1"/>
  <c r="S21" i="86"/>
  <c r="S101" i="86" s="1"/>
  <c r="O21" i="86"/>
  <c r="O101" i="86" s="1"/>
  <c r="N21" i="86"/>
  <c r="N101" i="86" s="1"/>
  <c r="M21" i="86"/>
  <c r="M101" i="86" s="1"/>
  <c r="K21" i="86"/>
  <c r="K101" i="86" s="1"/>
  <c r="I21" i="86"/>
  <c r="I101" i="86" s="1"/>
  <c r="G21" i="86"/>
  <c r="G101" i="86" s="1"/>
  <c r="F21" i="86"/>
  <c r="F101" i="86" s="1"/>
  <c r="E21" i="86"/>
  <c r="E101" i="86" s="1"/>
  <c r="BL20" i="86"/>
  <c r="BW20" i="86" s="1"/>
  <c r="BF20" i="86"/>
  <c r="AZ20" i="86"/>
  <c r="BV20" i="86" s="1"/>
  <c r="AT20" i="86"/>
  <c r="AN20" i="86"/>
  <c r="BU20" i="86" s="1"/>
  <c r="AH20" i="86"/>
  <c r="AB20" i="86"/>
  <c r="BT20" i="86" s="1"/>
  <c r="V20" i="86"/>
  <c r="P20" i="86"/>
  <c r="BR20" i="86" s="1"/>
  <c r="J20" i="86"/>
  <c r="D20" i="86"/>
  <c r="BP19" i="86"/>
  <c r="BM19" i="86"/>
  <c r="BL19" i="86" s="1"/>
  <c r="BW19" i="86" s="1"/>
  <c r="BF19" i="86"/>
  <c r="BD19" i="86"/>
  <c r="BA19" i="86"/>
  <c r="AZ19" i="86" s="1"/>
  <c r="BV19" i="86" s="1"/>
  <c r="AT19" i="86"/>
  <c r="AR19" i="86"/>
  <c r="AO19" i="86"/>
  <c r="AN19" i="86" s="1"/>
  <c r="AH19" i="86"/>
  <c r="AF19" i="86"/>
  <c r="AC19" i="86"/>
  <c r="AB19" i="86" s="1"/>
  <c r="V19" i="86"/>
  <c r="T19" i="86"/>
  <c r="Q19" i="86"/>
  <c r="P19" i="86" s="1"/>
  <c r="J19" i="86"/>
  <c r="D19" i="86"/>
  <c r="BL18" i="86"/>
  <c r="BW18" i="86" s="1"/>
  <c r="BF18" i="86"/>
  <c r="AZ18" i="86"/>
  <c r="BV18" i="86" s="1"/>
  <c r="AT18" i="86"/>
  <c r="AN18" i="86"/>
  <c r="BU18" i="86" s="1"/>
  <c r="AH18" i="86"/>
  <c r="AB18" i="86"/>
  <c r="BT18" i="86" s="1"/>
  <c r="V18" i="86"/>
  <c r="P18" i="86"/>
  <c r="BS18" i="86" s="1"/>
  <c r="J18" i="86"/>
  <c r="D18" i="86"/>
  <c r="BR17" i="86"/>
  <c r="BM17" i="86"/>
  <c r="BL17" i="86"/>
  <c r="BW17" i="86" s="1"/>
  <c r="BF17" i="86"/>
  <c r="BA17" i="86"/>
  <c r="AZ17" i="86" s="1"/>
  <c r="BV17" i="86" s="1"/>
  <c r="AT17" i="86"/>
  <c r="AO17" i="86"/>
  <c r="AO15" i="86" s="1"/>
  <c r="AN17" i="86"/>
  <c r="BU17" i="86" s="1"/>
  <c r="AH17" i="86"/>
  <c r="AC17" i="86"/>
  <c r="AB17" i="86"/>
  <c r="BT17" i="86" s="1"/>
  <c r="V17" i="86"/>
  <c r="Q17" i="86"/>
  <c r="P17" i="86"/>
  <c r="BS17" i="86" s="1"/>
  <c r="J17" i="86"/>
  <c r="D17" i="86"/>
  <c r="BM16" i="86"/>
  <c r="BM15" i="86" s="1"/>
  <c r="BL16" i="86"/>
  <c r="BW16" i="86" s="1"/>
  <c r="BF16" i="86"/>
  <c r="BA16" i="86"/>
  <c r="BA15" i="86" s="1"/>
  <c r="AZ16" i="86"/>
  <c r="BV16" i="86" s="1"/>
  <c r="AT16" i="86"/>
  <c r="AO16" i="86"/>
  <c r="AN16" i="86"/>
  <c r="AH16" i="86"/>
  <c r="AC16" i="86"/>
  <c r="AB16" i="86" s="1"/>
  <c r="V16" i="86"/>
  <c r="Q16" i="86"/>
  <c r="Q15" i="86" s="1"/>
  <c r="P16" i="86"/>
  <c r="BR16" i="86" s="1"/>
  <c r="J16" i="86"/>
  <c r="D16" i="86"/>
  <c r="BQ15" i="86"/>
  <c r="BQ103" i="86" s="1"/>
  <c r="BP15" i="86"/>
  <c r="BP103" i="86" s="1"/>
  <c r="BO15" i="86"/>
  <c r="BO103" i="86" s="1"/>
  <c r="BN15" i="86"/>
  <c r="BN103" i="86" s="1"/>
  <c r="BK15" i="86"/>
  <c r="BK103" i="86" s="1"/>
  <c r="BJ15" i="86"/>
  <c r="BJ103" i="86" s="1"/>
  <c r="BI15" i="86"/>
  <c r="BI103" i="86" s="1"/>
  <c r="BH15" i="86"/>
  <c r="BH103" i="86" s="1"/>
  <c r="BG15" i="86"/>
  <c r="BG103" i="86" s="1"/>
  <c r="BF15" i="86"/>
  <c r="BE15" i="86"/>
  <c r="BE103" i="86" s="1"/>
  <c r="BD15" i="86"/>
  <c r="BD103" i="86" s="1"/>
  <c r="BC15" i="86"/>
  <c r="BC103" i="86" s="1"/>
  <c r="BB15" i="86"/>
  <c r="BB103" i="86" s="1"/>
  <c r="AY15" i="86"/>
  <c r="AY103" i="86" s="1"/>
  <c r="AX15" i="86"/>
  <c r="AX103" i="86" s="1"/>
  <c r="AW15" i="86"/>
  <c r="AW103" i="86" s="1"/>
  <c r="AV15" i="86"/>
  <c r="AV103" i="86" s="1"/>
  <c r="AU15" i="86"/>
  <c r="AU103" i="86" s="1"/>
  <c r="AT15" i="86"/>
  <c r="AS15" i="86"/>
  <c r="AS103" i="86" s="1"/>
  <c r="AR15" i="86"/>
  <c r="AR103" i="86" s="1"/>
  <c r="AQ15" i="86"/>
  <c r="AQ103" i="86" s="1"/>
  <c r="AP15" i="86"/>
  <c r="AP103" i="86" s="1"/>
  <c r="AM15" i="86"/>
  <c r="AM103" i="86" s="1"/>
  <c r="AL15" i="86"/>
  <c r="AL103" i="86" s="1"/>
  <c r="AK15" i="86"/>
  <c r="AK103" i="86" s="1"/>
  <c r="AJ15" i="86"/>
  <c r="AJ103" i="86" s="1"/>
  <c r="AI15" i="86"/>
  <c r="AI103" i="86" s="1"/>
  <c r="AH15" i="86"/>
  <c r="AG15" i="86"/>
  <c r="AG103" i="86" s="1"/>
  <c r="AF15" i="86"/>
  <c r="AF103" i="86" s="1"/>
  <c r="AE15" i="86"/>
  <c r="AE103" i="86" s="1"/>
  <c r="AD15" i="86"/>
  <c r="AD103" i="86" s="1"/>
  <c r="AA15" i="86"/>
  <c r="AA103" i="86" s="1"/>
  <c r="Z15" i="86"/>
  <c r="Z103" i="86" s="1"/>
  <c r="Y15" i="86"/>
  <c r="Y103" i="86" s="1"/>
  <c r="X15" i="86"/>
  <c r="X103" i="86" s="1"/>
  <c r="W15" i="86"/>
  <c r="W103" i="86" s="1"/>
  <c r="U15" i="86"/>
  <c r="U103" i="86" s="1"/>
  <c r="T15" i="86"/>
  <c r="T103" i="86" s="1"/>
  <c r="S15" i="86"/>
  <c r="R15" i="86"/>
  <c r="R103" i="86" s="1"/>
  <c r="O15" i="86"/>
  <c r="O103" i="86" s="1"/>
  <c r="N15" i="86"/>
  <c r="N103" i="86" s="1"/>
  <c r="M15" i="86"/>
  <c r="M103" i="86" s="1"/>
  <c r="L15" i="86"/>
  <c r="L103" i="86" s="1"/>
  <c r="K15" i="86"/>
  <c r="K103" i="86" s="1"/>
  <c r="J15" i="86"/>
  <c r="I15" i="86"/>
  <c r="I103" i="86" s="1"/>
  <c r="H15" i="86"/>
  <c r="H103" i="86" s="1"/>
  <c r="G15" i="86"/>
  <c r="G103" i="86" s="1"/>
  <c r="F15" i="86"/>
  <c r="F103" i="86" s="1"/>
  <c r="E15" i="86"/>
  <c r="E103" i="86" s="1"/>
  <c r="BW14" i="86"/>
  <c r="BV14" i="86"/>
  <c r="BU14" i="86"/>
  <c r="BT14" i="86"/>
  <c r="BS14" i="86"/>
  <c r="BR14" i="86"/>
  <c r="BT13" i="86"/>
  <c r="BS13" i="86"/>
  <c r="BR13" i="86"/>
  <c r="AN13" i="86"/>
  <c r="AZ13" i="86" s="1"/>
  <c r="AH13" i="86"/>
  <c r="AT13" i="86" s="1"/>
  <c r="BF13" i="86" s="1"/>
  <c r="AB13" i="86"/>
  <c r="V13" i="86"/>
  <c r="BS12" i="86"/>
  <c r="BR12" i="86"/>
  <c r="AT12" i="86"/>
  <c r="BF12" i="86" s="1"/>
  <c r="AH12" i="86"/>
  <c r="AB12" i="86"/>
  <c r="BT12" i="86" s="1"/>
  <c r="BS11" i="86"/>
  <c r="BR11" i="86"/>
  <c r="BB11" i="86"/>
  <c r="AP11" i="86"/>
  <c r="AD11" i="86"/>
  <c r="AD8" i="86" s="1"/>
  <c r="AC11" i="86"/>
  <c r="BW10" i="86"/>
  <c r="BV10" i="86"/>
  <c r="BU10" i="86"/>
  <c r="BT10" i="86"/>
  <c r="BS10" i="86"/>
  <c r="BR10" i="86"/>
  <c r="BW9" i="86"/>
  <c r="BT9" i="86"/>
  <c r="BS9" i="86"/>
  <c r="BL9" i="86"/>
  <c r="AZ9" i="86"/>
  <c r="AN9" i="86"/>
  <c r="AB9" i="86"/>
  <c r="P9" i="86"/>
  <c r="BR9" i="86" s="1"/>
  <c r="BS8" i="86"/>
  <c r="BR8" i="86"/>
  <c r="AP8" i="86"/>
  <c r="N7" i="87" l="1"/>
  <c r="V7" i="87"/>
  <c r="Z7" i="87"/>
  <c r="S25" i="87"/>
  <c r="H12" i="87"/>
  <c r="L25" i="87"/>
  <c r="D33" i="87"/>
  <c r="F31" i="87"/>
  <c r="F33" i="87" s="1"/>
  <c r="I33" i="87"/>
  <c r="J31" i="87"/>
  <c r="I92" i="87"/>
  <c r="I43" i="87"/>
  <c r="Q33" i="87"/>
  <c r="R31" i="87"/>
  <c r="Q92" i="87"/>
  <c r="J37" i="87"/>
  <c r="I39" i="87"/>
  <c r="J39" i="87" s="1"/>
  <c r="I14" i="87"/>
  <c r="J14" i="87" s="1"/>
  <c r="M14" i="87"/>
  <c r="Q14" i="87"/>
  <c r="R14" i="87" s="1"/>
  <c r="U14" i="87"/>
  <c r="V14" i="87" s="1"/>
  <c r="Y14" i="87"/>
  <c r="O19" i="87"/>
  <c r="E34" i="87"/>
  <c r="H40" i="87"/>
  <c r="K39" i="87"/>
  <c r="I8" i="87"/>
  <c r="J8" i="87" s="1"/>
  <c r="M8" i="87"/>
  <c r="Q8" i="87"/>
  <c r="U8" i="87"/>
  <c r="V8" i="87" s="1"/>
  <c r="Y8" i="87"/>
  <c r="Z8" i="87" s="1"/>
  <c r="N12" i="87"/>
  <c r="R12" i="87"/>
  <c r="G92" i="87"/>
  <c r="G94" i="87" s="1"/>
  <c r="M33" i="87"/>
  <c r="N33" i="87" s="1"/>
  <c r="N31" i="87"/>
  <c r="M92" i="87"/>
  <c r="U33" i="87"/>
  <c r="V33" i="87" s="1"/>
  <c r="V31" i="87"/>
  <c r="U92" i="87"/>
  <c r="M93" i="87"/>
  <c r="O93" i="87"/>
  <c r="G12" i="87"/>
  <c r="P38" i="87"/>
  <c r="O44" i="87"/>
  <c r="M44" i="87"/>
  <c r="N44" i="87" s="1"/>
  <c r="E118" i="87"/>
  <c r="E114" i="87" s="1"/>
  <c r="K38" i="87"/>
  <c r="Y92" i="87"/>
  <c r="I93" i="87"/>
  <c r="E110" i="87"/>
  <c r="K111" i="87"/>
  <c r="G33" i="87"/>
  <c r="G34" i="87" s="1"/>
  <c r="Z31" i="87"/>
  <c r="AE11" i="86"/>
  <c r="AE8" i="86" s="1"/>
  <c r="AC8" i="86"/>
  <c r="AB8" i="86" s="1"/>
  <c r="BT8" i="86" s="1"/>
  <c r="AF11" i="86"/>
  <c r="AB11" i="86"/>
  <c r="BT11" i="86" s="1"/>
  <c r="BN11" i="86"/>
  <c r="BN8" i="86" s="1"/>
  <c r="BV13" i="86"/>
  <c r="BL13" i="86"/>
  <c r="BW13" i="86" s="1"/>
  <c r="AO103" i="86"/>
  <c r="AN103" i="86" s="1"/>
  <c r="AN15" i="86"/>
  <c r="BS19" i="86"/>
  <c r="BR19" i="86"/>
  <c r="BV9" i="86"/>
  <c r="BU16" i="86"/>
  <c r="BT16" i="86"/>
  <c r="BS22" i="86"/>
  <c r="BR22" i="86"/>
  <c r="T101" i="86"/>
  <c r="BR34" i="86"/>
  <c r="BS34" i="86"/>
  <c r="BM103" i="86"/>
  <c r="BL103" i="86" s="1"/>
  <c r="BL15" i="86"/>
  <c r="BU19" i="86"/>
  <c r="BS25" i="86"/>
  <c r="BR25" i="86"/>
  <c r="AV101" i="86"/>
  <c r="AT21" i="86"/>
  <c r="P26" i="86"/>
  <c r="D38" i="86"/>
  <c r="BO35" i="86"/>
  <c r="BD36" i="86"/>
  <c r="BP36" i="86" s="1"/>
  <c r="BP34" i="86" s="1"/>
  <c r="BP38" i="86" s="1"/>
  <c r="AR34" i="86"/>
  <c r="AR38" i="86" s="1"/>
  <c r="Q103" i="86"/>
  <c r="P15" i="86"/>
  <c r="BA103" i="86"/>
  <c r="AZ103" i="86" s="1"/>
  <c r="BV103" i="86" s="1"/>
  <c r="AZ15" i="86"/>
  <c r="BT19" i="86"/>
  <c r="BH101" i="86"/>
  <c r="BF21" i="86"/>
  <c r="J38" i="86"/>
  <c r="AN35" i="86"/>
  <c r="BA35" i="86"/>
  <c r="AO34" i="86"/>
  <c r="AS34" i="86"/>
  <c r="AS38" i="86" s="1"/>
  <c r="BE35" i="86"/>
  <c r="AC34" i="86"/>
  <c r="AB37" i="86"/>
  <c r="BT37" i="86" s="1"/>
  <c r="AO37" i="86"/>
  <c r="BU9" i="86"/>
  <c r="BC36" i="86"/>
  <c r="BO36" i="86" s="1"/>
  <c r="AQ34" i="86"/>
  <c r="AQ38" i="86" s="1"/>
  <c r="BU13" i="86"/>
  <c r="S103" i="86"/>
  <c r="S92" i="86"/>
  <c r="BB8" i="86"/>
  <c r="D15" i="86"/>
  <c r="BS20" i="86"/>
  <c r="AN12" i="86"/>
  <c r="D103" i="86"/>
  <c r="AC15" i="86"/>
  <c r="BS16" i="86"/>
  <c r="D21" i="86"/>
  <c r="BS23" i="86"/>
  <c r="BR28" i="86"/>
  <c r="E38" i="86"/>
  <c r="V34" i="86"/>
  <c r="V38" i="86" s="1"/>
  <c r="AF34" i="86"/>
  <c r="AF38" i="86" s="1"/>
  <c r="AT34" i="86"/>
  <c r="AT38" i="86" s="1"/>
  <c r="BD34" i="86"/>
  <c r="BD38" i="86" s="1"/>
  <c r="AB35" i="86"/>
  <c r="BT35" i="86" s="1"/>
  <c r="P39" i="86"/>
  <c r="BS40" i="86"/>
  <c r="D101" i="86"/>
  <c r="AP36" i="86"/>
  <c r="BB36" i="86" s="1"/>
  <c r="BN36" i="86" s="1"/>
  <c r="AD34" i="86"/>
  <c r="BA36" i="86"/>
  <c r="D39" i="86"/>
  <c r="P42" i="86"/>
  <c r="V103" i="86"/>
  <c r="AH103" i="86"/>
  <c r="AT103" i="86"/>
  <c r="BF103" i="86"/>
  <c r="BR18" i="86"/>
  <c r="F99" i="86"/>
  <c r="J21" i="86"/>
  <c r="V21" i="86"/>
  <c r="AH21" i="86"/>
  <c r="BS31" i="86"/>
  <c r="L38" i="86"/>
  <c r="R38" i="86" s="1"/>
  <c r="R33" i="86" s="1"/>
  <c r="AH34" i="86"/>
  <c r="AH38" i="86" s="1"/>
  <c r="BF34" i="86"/>
  <c r="BF38" i="86" s="1"/>
  <c r="BB35" i="86"/>
  <c r="BR36" i="86"/>
  <c r="BR37" i="86"/>
  <c r="P50" i="86"/>
  <c r="BS52" i="86"/>
  <c r="BR52" i="86"/>
  <c r="V15" i="86"/>
  <c r="J103" i="86"/>
  <c r="J101" i="86"/>
  <c r="V101" i="86"/>
  <c r="AE21" i="86"/>
  <c r="AH101" i="86"/>
  <c r="AT101" i="86"/>
  <c r="BF101" i="86"/>
  <c r="AB36" i="86"/>
  <c r="BT36" i="86" s="1"/>
  <c r="K38" i="86"/>
  <c r="Q38" i="86" s="1"/>
  <c r="Q33" i="86" s="1"/>
  <c r="AI38" i="86"/>
  <c r="BG38" i="86"/>
  <c r="BS45" i="86"/>
  <c r="BR45" i="86"/>
  <c r="BS49" i="86"/>
  <c r="BR49" i="86"/>
  <c r="BS51" i="86"/>
  <c r="BR51" i="86"/>
  <c r="BS43" i="86"/>
  <c r="BR46" i="86"/>
  <c r="BR48" i="86"/>
  <c r="D55" i="86"/>
  <c r="BR57" i="86"/>
  <c r="L59" i="86"/>
  <c r="L102" i="86" s="1"/>
  <c r="L99" i="86" s="1"/>
  <c r="P60" i="86"/>
  <c r="BS79" i="86"/>
  <c r="BR79" i="86"/>
  <c r="BP110" i="86"/>
  <c r="BP104" i="86"/>
  <c r="BT60" i="86"/>
  <c r="AO73" i="86"/>
  <c r="AB73" i="86"/>
  <c r="BT73" i="86" s="1"/>
  <c r="BS85" i="86"/>
  <c r="BR85" i="86"/>
  <c r="BT85" i="86"/>
  <c r="AH85" i="86"/>
  <c r="F110" i="86"/>
  <c r="F104" i="86"/>
  <c r="AF110" i="86"/>
  <c r="AF104" i="86"/>
  <c r="BS53" i="86"/>
  <c r="AN60" i="86"/>
  <c r="BU60" i="86" s="1"/>
  <c r="BR87" i="86"/>
  <c r="T110" i="86"/>
  <c r="T104" i="86"/>
  <c r="AR110" i="86"/>
  <c r="AR104" i="86"/>
  <c r="P55" i="86"/>
  <c r="BS56" i="86"/>
  <c r="BR58" i="86"/>
  <c r="BS58" i="86"/>
  <c r="AU102" i="86"/>
  <c r="AT102" i="86" s="1"/>
  <c r="AT59" i="86"/>
  <c r="AT115" i="86" s="1"/>
  <c r="BR61" i="86"/>
  <c r="BS61" i="86"/>
  <c r="BL60" i="86"/>
  <c r="BW60" i="86" s="1"/>
  <c r="Q63" i="86"/>
  <c r="P66" i="86"/>
  <c r="BT66" i="86" s="1"/>
  <c r="BS76" i="86"/>
  <c r="BR76" i="86"/>
  <c r="BD110" i="86"/>
  <c r="BD104" i="86"/>
  <c r="AO70" i="86"/>
  <c r="AO87" i="86"/>
  <c r="AN90" i="86"/>
  <c r="BA90" i="86"/>
  <c r="G59" i="86"/>
  <c r="K59" i="86"/>
  <c r="AE59" i="86"/>
  <c r="AE102" i="86" s="1"/>
  <c r="BG59" i="86"/>
  <c r="AB61" i="86"/>
  <c r="BV62" i="86"/>
  <c r="AZ64" i="86"/>
  <c r="BV64" i="86" s="1"/>
  <c r="BM64" i="86"/>
  <c r="BS67" i="86"/>
  <c r="BV68" i="86"/>
  <c r="W71" i="86"/>
  <c r="AI71" i="86"/>
  <c r="BS74" i="86"/>
  <c r="BS77" i="86"/>
  <c r="BV84" i="86"/>
  <c r="X85" i="86"/>
  <c r="AJ85" i="86"/>
  <c r="AV85" i="86"/>
  <c r="AT85" i="86" s="1"/>
  <c r="BH85" i="86"/>
  <c r="BS87" i="86"/>
  <c r="BV88" i="86"/>
  <c r="V94" i="86"/>
  <c r="AH94" i="86"/>
  <c r="AT107" i="86"/>
  <c r="P107" i="86"/>
  <c r="BV71" i="86"/>
  <c r="BU72" i="86"/>
  <c r="G110" i="86"/>
  <c r="G104" i="86"/>
  <c r="M110" i="86"/>
  <c r="M104" i="86"/>
  <c r="M99" i="86" s="1"/>
  <c r="M109" i="86" s="1"/>
  <c r="M112" i="86" s="1"/>
  <c r="Q110" i="86"/>
  <c r="Q104" i="86"/>
  <c r="U110" i="86"/>
  <c r="U104" i="86"/>
  <c r="U99" i="86" s="1"/>
  <c r="U109" i="86" s="1"/>
  <c r="U112" i="86" s="1"/>
  <c r="Y110" i="86"/>
  <c r="Y104" i="86"/>
  <c r="Y99" i="86" s="1"/>
  <c r="Y109" i="86" s="1"/>
  <c r="Y112" i="86" s="1"/>
  <c r="AC110" i="86"/>
  <c r="AC104" i="86"/>
  <c r="AB104" i="86" s="1"/>
  <c r="AG110" i="86"/>
  <c r="AG104" i="86"/>
  <c r="AK110" i="86"/>
  <c r="AK104" i="86"/>
  <c r="AK99" i="86" s="1"/>
  <c r="AK109" i="86" s="1"/>
  <c r="AK112" i="86" s="1"/>
  <c r="AS110" i="86"/>
  <c r="AS104" i="86"/>
  <c r="AW110" i="86"/>
  <c r="AW104" i="86"/>
  <c r="AW99" i="86" s="1"/>
  <c r="AW109" i="86" s="1"/>
  <c r="AW112" i="86" s="1"/>
  <c r="BE110" i="86"/>
  <c r="BE104" i="86"/>
  <c r="BI110" i="86"/>
  <c r="BI104" i="86"/>
  <c r="BI99" i="86" s="1"/>
  <c r="BI109" i="86" s="1"/>
  <c r="BI112" i="86" s="1"/>
  <c r="BQ110" i="86"/>
  <c r="BQ104" i="86"/>
  <c r="AF105" i="86"/>
  <c r="AR92" i="86"/>
  <c r="BN107" i="86"/>
  <c r="BL94" i="86"/>
  <c r="BW94" i="86" s="1"/>
  <c r="AN107" i="86"/>
  <c r="BU107" i="86" s="1"/>
  <c r="BR65" i="86"/>
  <c r="BU67" i="86"/>
  <c r="BR70" i="86"/>
  <c r="BR72" i="86"/>
  <c r="BR73" i="86"/>
  <c r="BU74" i="86"/>
  <c r="BU77" i="86"/>
  <c r="BR82" i="86"/>
  <c r="H110" i="86"/>
  <c r="H104" i="86"/>
  <c r="H99" i="86" s="1"/>
  <c r="N110" i="86"/>
  <c r="N104" i="86"/>
  <c r="N99" i="86" s="1"/>
  <c r="R110" i="86"/>
  <c r="R104" i="86"/>
  <c r="Z110" i="86"/>
  <c r="Z104" i="86"/>
  <c r="Z99" i="86" s="1"/>
  <c r="AD110" i="86"/>
  <c r="AD104" i="86"/>
  <c r="AL110" i="86"/>
  <c r="AL104" i="86"/>
  <c r="AL99" i="86" s="1"/>
  <c r="AP110" i="86"/>
  <c r="AP104" i="86"/>
  <c r="AX110" i="86"/>
  <c r="AX104" i="86"/>
  <c r="AX99" i="86" s="1"/>
  <c r="BB110" i="86"/>
  <c r="BB104" i="86"/>
  <c r="BJ110" i="86"/>
  <c r="BJ104" i="86"/>
  <c r="BJ99" i="86" s="1"/>
  <c r="BJ109" i="86" s="1"/>
  <c r="BJ112" i="86" s="1"/>
  <c r="BN110" i="86"/>
  <c r="BN104" i="86"/>
  <c r="AB90" i="86"/>
  <c r="BT90" i="86" s="1"/>
  <c r="BB92" i="86"/>
  <c r="J107" i="86"/>
  <c r="AB94" i="86"/>
  <c r="AN94" i="86"/>
  <c r="BU94" i="86" s="1"/>
  <c r="BB107" i="86"/>
  <c r="AZ107" i="86" s="1"/>
  <c r="BV107" i="86" s="1"/>
  <c r="AZ94" i="86"/>
  <c r="BF94" i="86"/>
  <c r="E110" i="86"/>
  <c r="D110" i="86" s="1"/>
  <c r="E104" i="86"/>
  <c r="I110" i="86"/>
  <c r="I104" i="86"/>
  <c r="I99" i="86" s="1"/>
  <c r="I109" i="86" s="1"/>
  <c r="I112" i="86" s="1"/>
  <c r="O110" i="86"/>
  <c r="O104" i="86"/>
  <c r="O99" i="86" s="1"/>
  <c r="O109" i="86" s="1"/>
  <c r="O112" i="86" s="1"/>
  <c r="S110" i="86"/>
  <c r="S104" i="86"/>
  <c r="W110" i="86"/>
  <c r="W104" i="86"/>
  <c r="AA110" i="86"/>
  <c r="AA104" i="86"/>
  <c r="AA99" i="86" s="1"/>
  <c r="AA109" i="86" s="1"/>
  <c r="AA112" i="86" s="1"/>
  <c r="AE110" i="86"/>
  <c r="AE104" i="86"/>
  <c r="AI110" i="86"/>
  <c r="AI104" i="86"/>
  <c r="AM110" i="86"/>
  <c r="AM104" i="86"/>
  <c r="AM99" i="86" s="1"/>
  <c r="AM109" i="86" s="1"/>
  <c r="AM112" i="86" s="1"/>
  <c r="AQ110" i="86"/>
  <c r="AQ104" i="86"/>
  <c r="AU110" i="86"/>
  <c r="AU104" i="86"/>
  <c r="AY110" i="86"/>
  <c r="AY104" i="86"/>
  <c r="AY99" i="86" s="1"/>
  <c r="AY109" i="86" s="1"/>
  <c r="AY112" i="86" s="1"/>
  <c r="BC110" i="86"/>
  <c r="BC104" i="86"/>
  <c r="BG110" i="86"/>
  <c r="BG104" i="86"/>
  <c r="BK110" i="86"/>
  <c r="BK104" i="86"/>
  <c r="BK99" i="86" s="1"/>
  <c r="BK109" i="86" s="1"/>
  <c r="BK112" i="86" s="1"/>
  <c r="BO110" i="86"/>
  <c r="BO104" i="86"/>
  <c r="AS105" i="86"/>
  <c r="BE92" i="86"/>
  <c r="D94" i="86"/>
  <c r="P94" i="86"/>
  <c r="BT95" i="86"/>
  <c r="BR95" i="86"/>
  <c r="BW95" i="86"/>
  <c r="BV95" i="86"/>
  <c r="D107" i="86"/>
  <c r="AB107" i="86"/>
  <c r="BT107" i="86" s="1"/>
  <c r="BL107" i="86"/>
  <c r="BS98" i="86"/>
  <c r="BV100" i="86"/>
  <c r="BV96" i="86"/>
  <c r="BU97" i="86"/>
  <c r="BT98" i="86"/>
  <c r="BR97" i="86"/>
  <c r="BU98" i="86"/>
  <c r="BR106" i="86"/>
  <c r="BS106" i="86"/>
  <c r="BS111" i="86"/>
  <c r="BR111" i="86"/>
  <c r="BV119" i="86"/>
  <c r="BJ121" i="86"/>
  <c r="BS126" i="86"/>
  <c r="BS117" i="86"/>
  <c r="BW117" i="86"/>
  <c r="AZ120" i="86"/>
  <c r="BT126" i="86"/>
  <c r="BU118" i="86"/>
  <c r="AN126" i="86"/>
  <c r="AN117" i="86"/>
  <c r="F118" i="85"/>
  <c r="G117" i="85"/>
  <c r="F116" i="85"/>
  <c r="E116" i="85"/>
  <c r="G115" i="85"/>
  <c r="G118" i="85" s="1"/>
  <c r="F114" i="85"/>
  <c r="G113" i="85"/>
  <c r="G112" i="85"/>
  <c r="L112" i="85" s="1"/>
  <c r="Q112" i="85" s="1"/>
  <c r="V112" i="85" s="1"/>
  <c r="AA112" i="85" s="1"/>
  <c r="F111" i="85"/>
  <c r="E111" i="85" s="1"/>
  <c r="G109" i="85"/>
  <c r="E108" i="85"/>
  <c r="L93" i="85"/>
  <c r="P93" i="85" s="1"/>
  <c r="T93" i="85" s="1"/>
  <c r="X93" i="85" s="1"/>
  <c r="H93" i="85"/>
  <c r="G93" i="85"/>
  <c r="K93" i="85" s="1"/>
  <c r="X89" i="85"/>
  <c r="W89" i="85"/>
  <c r="T89" i="85"/>
  <c r="S89" i="85"/>
  <c r="P89" i="85"/>
  <c r="O89" i="85"/>
  <c r="L89" i="85"/>
  <c r="K89" i="85"/>
  <c r="H89" i="85"/>
  <c r="G89" i="85"/>
  <c r="E89" i="85"/>
  <c r="Z88" i="85"/>
  <c r="V88" i="85"/>
  <c r="R88" i="85"/>
  <c r="N88" i="85"/>
  <c r="J88" i="85"/>
  <c r="Z87" i="85"/>
  <c r="V87" i="85"/>
  <c r="R87" i="85"/>
  <c r="N87" i="85"/>
  <c r="J87" i="85"/>
  <c r="Z86" i="85"/>
  <c r="V86" i="85"/>
  <c r="R86" i="85"/>
  <c r="N86" i="85"/>
  <c r="J86" i="85"/>
  <c r="X83" i="85"/>
  <c r="W83" i="85"/>
  <c r="T83" i="85"/>
  <c r="S83" i="85"/>
  <c r="P83" i="85"/>
  <c r="O83" i="85"/>
  <c r="L83" i="85"/>
  <c r="K83" i="85"/>
  <c r="H83" i="85"/>
  <c r="G83" i="85"/>
  <c r="E83" i="85"/>
  <c r="Z82" i="85"/>
  <c r="V82" i="85"/>
  <c r="R82" i="85"/>
  <c r="N82" i="85"/>
  <c r="J82" i="85"/>
  <c r="Z81" i="85"/>
  <c r="V81" i="85"/>
  <c r="R81" i="85"/>
  <c r="N81" i="85"/>
  <c r="J81" i="85"/>
  <c r="Z80" i="85"/>
  <c r="V80" i="85"/>
  <c r="R80" i="85"/>
  <c r="N80" i="85"/>
  <c r="J80" i="85"/>
  <c r="X77" i="85"/>
  <c r="W77" i="85"/>
  <c r="T77" i="85"/>
  <c r="S77" i="85"/>
  <c r="P77" i="85"/>
  <c r="O77" i="85"/>
  <c r="L77" i="85"/>
  <c r="K77" i="85"/>
  <c r="H77" i="85"/>
  <c r="G77" i="85"/>
  <c r="E77" i="85"/>
  <c r="Z76" i="85"/>
  <c r="V76" i="85"/>
  <c r="R76" i="85"/>
  <c r="N76" i="85"/>
  <c r="J76" i="85"/>
  <c r="Z75" i="85"/>
  <c r="V75" i="85"/>
  <c r="R75" i="85"/>
  <c r="N75" i="85"/>
  <c r="J75" i="85"/>
  <c r="Z74" i="85"/>
  <c r="V74" i="85"/>
  <c r="R74" i="85"/>
  <c r="N74" i="85"/>
  <c r="J74" i="85"/>
  <c r="X71" i="85"/>
  <c r="W71" i="85"/>
  <c r="T71" i="85"/>
  <c r="S71" i="85"/>
  <c r="P71" i="85"/>
  <c r="O71" i="85"/>
  <c r="L71" i="85"/>
  <c r="K71" i="85"/>
  <c r="H71" i="85"/>
  <c r="G71" i="85"/>
  <c r="E71" i="85"/>
  <c r="Z70" i="85"/>
  <c r="V70" i="85"/>
  <c r="R70" i="85"/>
  <c r="N70" i="85"/>
  <c r="J70" i="85"/>
  <c r="Z69" i="85"/>
  <c r="V69" i="85"/>
  <c r="R69" i="85"/>
  <c r="N69" i="85"/>
  <c r="J69" i="85"/>
  <c r="Z68" i="85"/>
  <c r="V68" i="85"/>
  <c r="R68" i="85"/>
  <c r="N68" i="85"/>
  <c r="J68" i="85"/>
  <c r="X64" i="85"/>
  <c r="W64" i="85"/>
  <c r="T64" i="85"/>
  <c r="S64" i="85"/>
  <c r="P64" i="85"/>
  <c r="O64" i="85"/>
  <c r="L64" i="85"/>
  <c r="K64" i="85"/>
  <c r="H64" i="85"/>
  <c r="G64" i="85"/>
  <c r="E64" i="85"/>
  <c r="Z63" i="85"/>
  <c r="V63" i="85"/>
  <c r="R63" i="85"/>
  <c r="N63" i="85"/>
  <c r="J63" i="85"/>
  <c r="Z62" i="85"/>
  <c r="V62" i="85"/>
  <c r="R62" i="85"/>
  <c r="N62" i="85"/>
  <c r="J62" i="85"/>
  <c r="Z61" i="85"/>
  <c r="V61" i="85"/>
  <c r="R61" i="85"/>
  <c r="N61" i="85"/>
  <c r="J61" i="85"/>
  <c r="X58" i="85"/>
  <c r="W58" i="85"/>
  <c r="T58" i="85"/>
  <c r="S58" i="85"/>
  <c r="P58" i="85"/>
  <c r="O58" i="85"/>
  <c r="L58" i="85"/>
  <c r="K58" i="85"/>
  <c r="H58" i="85"/>
  <c r="G58" i="85"/>
  <c r="E58" i="85"/>
  <c r="Z57" i="85"/>
  <c r="V57" i="85"/>
  <c r="R57" i="85"/>
  <c r="N57" i="85"/>
  <c r="J57" i="85"/>
  <c r="Z56" i="85"/>
  <c r="V56" i="85"/>
  <c r="R56" i="85"/>
  <c r="N56" i="85"/>
  <c r="J56" i="85"/>
  <c r="Z55" i="85"/>
  <c r="V55" i="85"/>
  <c r="R55" i="85"/>
  <c r="N55" i="85"/>
  <c r="J55" i="85"/>
  <c r="X52" i="85"/>
  <c r="W52" i="85"/>
  <c r="T52" i="85"/>
  <c r="S52" i="85"/>
  <c r="P52" i="85"/>
  <c r="O52" i="85"/>
  <c r="L52" i="85"/>
  <c r="K52" i="85"/>
  <c r="H52" i="85"/>
  <c r="G52" i="85"/>
  <c r="E52" i="85"/>
  <c r="Z51" i="85"/>
  <c r="V51" i="85"/>
  <c r="R51" i="85"/>
  <c r="N51" i="85"/>
  <c r="J51" i="85"/>
  <c r="Z50" i="85"/>
  <c r="V50" i="85"/>
  <c r="R50" i="85"/>
  <c r="N50" i="85"/>
  <c r="J50" i="85"/>
  <c r="Z49" i="85"/>
  <c r="V49" i="85"/>
  <c r="R49" i="85"/>
  <c r="N49" i="85"/>
  <c r="J49" i="85"/>
  <c r="G46" i="85"/>
  <c r="E46" i="85"/>
  <c r="I44" i="85"/>
  <c r="J44" i="85" s="1"/>
  <c r="H44" i="85"/>
  <c r="L44" i="85" s="1"/>
  <c r="P44" i="85" s="1"/>
  <c r="T44" i="85" s="1"/>
  <c r="X44" i="85" s="1"/>
  <c r="G44" i="85"/>
  <c r="K44" i="85" s="1"/>
  <c r="G43" i="85"/>
  <c r="E40" i="85"/>
  <c r="G39" i="85"/>
  <c r="G40" i="85" s="1"/>
  <c r="H38" i="85"/>
  <c r="L38" i="85" s="1"/>
  <c r="G38" i="85"/>
  <c r="I38" i="85" s="1"/>
  <c r="J38" i="85" s="1"/>
  <c r="H37" i="85"/>
  <c r="H39" i="85" s="1"/>
  <c r="G37" i="85"/>
  <c r="I37" i="85" s="1"/>
  <c r="Y32" i="85"/>
  <c r="Z32" i="85" s="1"/>
  <c r="X32" i="85"/>
  <c r="W32" i="85"/>
  <c r="U32" i="85"/>
  <c r="V32" i="85" s="1"/>
  <c r="T32" i="85"/>
  <c r="S32" i="85"/>
  <c r="Q32" i="85"/>
  <c r="R32" i="85" s="1"/>
  <c r="M32" i="85"/>
  <c r="N32" i="85" s="1"/>
  <c r="L32" i="85"/>
  <c r="P32" i="85" s="1"/>
  <c r="K32" i="85"/>
  <c r="O32" i="85" s="1"/>
  <c r="I32" i="85"/>
  <c r="H32" i="85"/>
  <c r="G32" i="85"/>
  <c r="E32" i="85"/>
  <c r="F32" i="85" s="1"/>
  <c r="D32" i="85"/>
  <c r="Y31" i="85"/>
  <c r="Y33" i="85" s="1"/>
  <c r="U31" i="85"/>
  <c r="Q31" i="85"/>
  <c r="M31" i="85"/>
  <c r="I31" i="85"/>
  <c r="G31" i="85"/>
  <c r="E31" i="85"/>
  <c r="E33" i="85" s="1"/>
  <c r="D31" i="85"/>
  <c r="L25" i="85"/>
  <c r="H25" i="85"/>
  <c r="G25" i="85"/>
  <c r="G24" i="85" s="1"/>
  <c r="G20" i="85"/>
  <c r="L19" i="85"/>
  <c r="P19" i="85" s="1"/>
  <c r="T19" i="85" s="1"/>
  <c r="X19" i="85" s="1"/>
  <c r="K19" i="85"/>
  <c r="O19" i="85" s="1"/>
  <c r="I19" i="85"/>
  <c r="H19" i="85"/>
  <c r="G19" i="85"/>
  <c r="E15" i="85"/>
  <c r="X13" i="85"/>
  <c r="Y13" i="85" s="1"/>
  <c r="Z13" i="85" s="1"/>
  <c r="W13" i="85"/>
  <c r="T13" i="85"/>
  <c r="U13" i="85" s="1"/>
  <c r="S13" i="85"/>
  <c r="P13" i="85"/>
  <c r="Q13" i="85" s="1"/>
  <c r="R13" i="85" s="1"/>
  <c r="O13" i="85"/>
  <c r="L13" i="85"/>
  <c r="M13" i="85" s="1"/>
  <c r="K13" i="85"/>
  <c r="H13" i="85"/>
  <c r="I13" i="85" s="1"/>
  <c r="J13" i="85" s="1"/>
  <c r="G13" i="85"/>
  <c r="Y12" i="85"/>
  <c r="U12" i="85"/>
  <c r="Q12" i="85"/>
  <c r="Q14" i="85" s="1"/>
  <c r="R14" i="85" s="1"/>
  <c r="M12" i="85"/>
  <c r="M14" i="85" s="1"/>
  <c r="I12" i="85"/>
  <c r="E9" i="85"/>
  <c r="E8" i="85"/>
  <c r="D8" i="85"/>
  <c r="Y7" i="85"/>
  <c r="X7" i="85"/>
  <c r="W7" i="85"/>
  <c r="S7" i="85"/>
  <c r="O7" i="85"/>
  <c r="K7" i="85"/>
  <c r="G7" i="85"/>
  <c r="F7" i="85"/>
  <c r="Y6" i="85"/>
  <c r="Z6" i="85" s="1"/>
  <c r="U6" i="85"/>
  <c r="V6" i="85" s="1"/>
  <c r="Q6" i="85"/>
  <c r="R6" i="85" s="1"/>
  <c r="M6" i="85"/>
  <c r="N6" i="85" s="1"/>
  <c r="I6" i="85"/>
  <c r="J6" i="85" s="1"/>
  <c r="F6" i="85"/>
  <c r="F8" i="85" s="1"/>
  <c r="BL126" i="84"/>
  <c r="BW126" i="84" s="1"/>
  <c r="BF126" i="84"/>
  <c r="AZ126" i="84"/>
  <c r="AT126" i="84"/>
  <c r="AN126" i="84"/>
  <c r="BV126" i="84" s="1"/>
  <c r="AH126" i="84"/>
  <c r="AB126" i="84"/>
  <c r="V126" i="84"/>
  <c r="P126" i="84"/>
  <c r="BR126" i="84" s="1"/>
  <c r="J126" i="84"/>
  <c r="D126" i="84"/>
  <c r="BW125" i="84"/>
  <c r="BV125" i="84"/>
  <c r="BU125" i="84"/>
  <c r="BT125" i="84"/>
  <c r="BS125" i="84"/>
  <c r="BR125" i="84"/>
  <c r="BQ125" i="84"/>
  <c r="BO125" i="84"/>
  <c r="BK125" i="84"/>
  <c r="BI125" i="84"/>
  <c r="BE125" i="84"/>
  <c r="BC125" i="84"/>
  <c r="AY125" i="84"/>
  <c r="AW125" i="84"/>
  <c r="AS125" i="84"/>
  <c r="AQ125" i="84"/>
  <c r="AM125" i="84"/>
  <c r="AK125" i="84"/>
  <c r="AG125" i="84"/>
  <c r="AE125" i="84"/>
  <c r="AA125" i="84"/>
  <c r="Y125" i="84"/>
  <c r="U125" i="84"/>
  <c r="S125" i="84"/>
  <c r="O125" i="84"/>
  <c r="M125" i="84"/>
  <c r="I125" i="84"/>
  <c r="G125" i="84"/>
  <c r="BW121" i="84"/>
  <c r="BV121" i="84"/>
  <c r="BU121" i="84"/>
  <c r="BT121" i="84"/>
  <c r="BS121" i="84"/>
  <c r="BR121" i="84"/>
  <c r="BP121" i="84"/>
  <c r="BD121" i="84"/>
  <c r="AX121" i="84"/>
  <c r="AR121" i="84"/>
  <c r="AF121" i="84" s="1"/>
  <c r="AL121" i="84"/>
  <c r="Z121" i="84"/>
  <c r="BU120" i="84"/>
  <c r="BT120" i="84"/>
  <c r="BS120" i="84"/>
  <c r="BR120" i="84"/>
  <c r="BF120" i="84"/>
  <c r="AZ120" i="84"/>
  <c r="AN120" i="84"/>
  <c r="AH120" i="84"/>
  <c r="AB120" i="84"/>
  <c r="BW119" i="84"/>
  <c r="BV119" i="84"/>
  <c r="BU119" i="84"/>
  <c r="BT119" i="84"/>
  <c r="BS119" i="84"/>
  <c r="BR119" i="84"/>
  <c r="BL119" i="84"/>
  <c r="BF119" i="84"/>
  <c r="AZ119" i="84"/>
  <c r="AN119" i="84"/>
  <c r="AH119" i="84"/>
  <c r="AB119" i="84"/>
  <c r="P119" i="84"/>
  <c r="BW118" i="84"/>
  <c r="BV118" i="84"/>
  <c r="BU118" i="84"/>
  <c r="BT118" i="84"/>
  <c r="BS118" i="84"/>
  <c r="BR118" i="84"/>
  <c r="BL118" i="84"/>
  <c r="AZ118" i="84"/>
  <c r="AN118" i="84"/>
  <c r="AB118" i="84"/>
  <c r="P118" i="84"/>
  <c r="BW117" i="84"/>
  <c r="BV117" i="84"/>
  <c r="BU117" i="84"/>
  <c r="BT117" i="84"/>
  <c r="BS117" i="84"/>
  <c r="BL117" i="84"/>
  <c r="BF117" i="84"/>
  <c r="AZ117" i="84"/>
  <c r="AT117" i="84"/>
  <c r="AN117" i="84"/>
  <c r="AH117" i="84"/>
  <c r="AB117" i="84"/>
  <c r="V117" i="84"/>
  <c r="P117" i="84"/>
  <c r="J117" i="84"/>
  <c r="D117" i="84"/>
  <c r="A116" i="84"/>
  <c r="BS113" i="84"/>
  <c r="BR113" i="84"/>
  <c r="BQ111" i="84"/>
  <c r="BP111" i="84"/>
  <c r="BO111" i="84"/>
  <c r="BN111" i="84"/>
  <c r="BK111" i="84"/>
  <c r="BJ111" i="84"/>
  <c r="BI111" i="84"/>
  <c r="BH111" i="84"/>
  <c r="BG111" i="84"/>
  <c r="BF111" i="84"/>
  <c r="BE111" i="84"/>
  <c r="BD111" i="84"/>
  <c r="BC111" i="84"/>
  <c r="BB111" i="84"/>
  <c r="AY111" i="84"/>
  <c r="AX111" i="84"/>
  <c r="AW111" i="84"/>
  <c r="AV111" i="84"/>
  <c r="AU111" i="84"/>
  <c r="AT111" i="84"/>
  <c r="AS111" i="84"/>
  <c r="AR111" i="84"/>
  <c r="AQ111" i="84"/>
  <c r="AP111" i="84"/>
  <c r="AM111" i="84"/>
  <c r="AL111" i="84"/>
  <c r="AK111" i="84"/>
  <c r="AJ111" i="84"/>
  <c r="AI111" i="84"/>
  <c r="AH111" i="84"/>
  <c r="AG111" i="84"/>
  <c r="AF111" i="84"/>
  <c r="AE111" i="84"/>
  <c r="AD111" i="84"/>
  <c r="AA111" i="84"/>
  <c r="Z111" i="84"/>
  <c r="Y111" i="84"/>
  <c r="X111" i="84"/>
  <c r="W111" i="84"/>
  <c r="V111" i="84"/>
  <c r="U111" i="84"/>
  <c r="T111" i="84"/>
  <c r="S111" i="84"/>
  <c r="R111" i="84"/>
  <c r="Q111" i="84"/>
  <c r="P111" i="84"/>
  <c r="BS111" i="84" s="1"/>
  <c r="O111" i="84"/>
  <c r="N111" i="84"/>
  <c r="M111" i="84"/>
  <c r="L111" i="84"/>
  <c r="K111" i="84"/>
  <c r="J111" i="84"/>
  <c r="BR111" i="84" s="1"/>
  <c r="I111" i="84"/>
  <c r="H111" i="84"/>
  <c r="G111" i="84"/>
  <c r="F111" i="84"/>
  <c r="E111" i="84"/>
  <c r="D111" i="84" s="1"/>
  <c r="L110" i="84"/>
  <c r="K110" i="84"/>
  <c r="BQ106" i="84"/>
  <c r="BP106" i="84"/>
  <c r="BO106" i="84"/>
  <c r="BN106" i="84"/>
  <c r="BL106" i="84" s="1"/>
  <c r="BW106" i="84" s="1"/>
  <c r="BM106" i="84"/>
  <c r="BK106" i="84"/>
  <c r="BJ106" i="84"/>
  <c r="BI106" i="84"/>
  <c r="BH106" i="84"/>
  <c r="BG106" i="84"/>
  <c r="BF106" i="84"/>
  <c r="BE106" i="84"/>
  <c r="BD106" i="84"/>
  <c r="BC106" i="84"/>
  <c r="BB106" i="84"/>
  <c r="AZ106" i="84" s="1"/>
  <c r="BV106" i="84" s="1"/>
  <c r="BA106" i="84"/>
  <c r="AY106" i="84"/>
  <c r="AX106" i="84"/>
  <c r="AW106" i="84"/>
  <c r="AV106" i="84"/>
  <c r="AU106" i="84"/>
  <c r="AT106" i="84"/>
  <c r="AS106" i="84"/>
  <c r="AR106" i="84"/>
  <c r="AQ106" i="84"/>
  <c r="AP106" i="84"/>
  <c r="AN106" i="84" s="1"/>
  <c r="AO106" i="84"/>
  <c r="AM106" i="84"/>
  <c r="AL106" i="84"/>
  <c r="AK106" i="84"/>
  <c r="AJ106" i="84"/>
  <c r="AI106" i="84"/>
  <c r="AH106" i="84"/>
  <c r="AG106" i="84"/>
  <c r="AF106" i="84"/>
  <c r="AE106" i="84"/>
  <c r="AD106" i="84"/>
  <c r="AB106" i="84" s="1"/>
  <c r="AC106" i="84"/>
  <c r="AA106" i="84"/>
  <c r="Z106" i="84"/>
  <c r="Y106" i="84"/>
  <c r="X106" i="84"/>
  <c r="W106" i="84"/>
  <c r="V106" i="84"/>
  <c r="U106" i="84"/>
  <c r="T106" i="84"/>
  <c r="S106" i="84"/>
  <c r="R106" i="84"/>
  <c r="P106" i="84" s="1"/>
  <c r="Q106" i="84"/>
  <c r="O106" i="84"/>
  <c r="N106" i="84"/>
  <c r="M106" i="84"/>
  <c r="L106" i="84"/>
  <c r="K106" i="84"/>
  <c r="J106" i="84"/>
  <c r="I106" i="84"/>
  <c r="H106" i="84"/>
  <c r="G106" i="84"/>
  <c r="F106" i="84"/>
  <c r="D106" i="84" s="1"/>
  <c r="E106" i="84"/>
  <c r="BK105" i="84"/>
  <c r="BJ105" i="84"/>
  <c r="BI105" i="84"/>
  <c r="BH105" i="84"/>
  <c r="BG105" i="84"/>
  <c r="BF105" i="84"/>
  <c r="AY105" i="84"/>
  <c r="AX105" i="84"/>
  <c r="AW105" i="84"/>
  <c r="AV105" i="84"/>
  <c r="AU105" i="84"/>
  <c r="AT105" i="84"/>
  <c r="AM105" i="84"/>
  <c r="AL105" i="84"/>
  <c r="AK105" i="84"/>
  <c r="AJ105" i="84"/>
  <c r="AI105" i="84"/>
  <c r="AH105" i="84"/>
  <c r="AA105" i="84"/>
  <c r="Z105" i="84"/>
  <c r="Y105" i="84"/>
  <c r="X105" i="84"/>
  <c r="W105" i="84"/>
  <c r="V105" i="84"/>
  <c r="U105" i="84"/>
  <c r="T105" i="84"/>
  <c r="R105" i="84"/>
  <c r="O105" i="84"/>
  <c r="N105" i="84"/>
  <c r="M105" i="84"/>
  <c r="L105" i="84"/>
  <c r="K105" i="84"/>
  <c r="J105" i="84"/>
  <c r="I105" i="84"/>
  <c r="H105" i="84"/>
  <c r="G105" i="84"/>
  <c r="F105" i="84"/>
  <c r="D105" i="84" s="1"/>
  <c r="E105" i="84"/>
  <c r="L104" i="84"/>
  <c r="K104" i="84"/>
  <c r="BW100" i="84"/>
  <c r="BV100" i="84"/>
  <c r="BR100" i="84"/>
  <c r="BL100" i="84"/>
  <c r="BF100" i="84"/>
  <c r="AZ100" i="84"/>
  <c r="AT100" i="84"/>
  <c r="AN100" i="84"/>
  <c r="BU100" i="84" s="1"/>
  <c r="AH100" i="84"/>
  <c r="AB100" i="84"/>
  <c r="BT100" i="84" s="1"/>
  <c r="V100" i="84"/>
  <c r="P100" i="84"/>
  <c r="J100" i="84"/>
  <c r="D100" i="84"/>
  <c r="BS100" i="84" s="1"/>
  <c r="BL98" i="84"/>
  <c r="BW98" i="84" s="1"/>
  <c r="BF98" i="84"/>
  <c r="AZ98" i="84"/>
  <c r="BV98" i="84" s="1"/>
  <c r="AT98" i="84"/>
  <c r="AN98" i="84"/>
  <c r="AH98" i="84"/>
  <c r="AB98" i="84"/>
  <c r="BU98" i="84" s="1"/>
  <c r="V98" i="84"/>
  <c r="P98" i="84"/>
  <c r="J98" i="84"/>
  <c r="D98" i="84"/>
  <c r="BS98" i="84" s="1"/>
  <c r="BR97" i="84"/>
  <c r="BL97" i="84"/>
  <c r="BW97" i="84" s="1"/>
  <c r="BF97" i="84"/>
  <c r="AZ97" i="84"/>
  <c r="AT97" i="84"/>
  <c r="AN97" i="84"/>
  <c r="BV97" i="84" s="1"/>
  <c r="AH97" i="84"/>
  <c r="AB97" i="84"/>
  <c r="V97" i="84"/>
  <c r="P97" i="84"/>
  <c r="BS97" i="84" s="1"/>
  <c r="J97" i="84"/>
  <c r="D97" i="84"/>
  <c r="BW96" i="84"/>
  <c r="BL96" i="84"/>
  <c r="BF96" i="84"/>
  <c r="AZ96" i="84"/>
  <c r="AT96" i="84"/>
  <c r="AN96" i="84"/>
  <c r="BV96" i="84" s="1"/>
  <c r="AH96" i="84"/>
  <c r="AB96" i="84"/>
  <c r="V96" i="84"/>
  <c r="P96" i="84"/>
  <c r="BS96" i="84" s="1"/>
  <c r="J96" i="84"/>
  <c r="D96" i="84"/>
  <c r="BW95" i="84"/>
  <c r="BV95" i="84"/>
  <c r="BL95" i="84"/>
  <c r="BF95" i="84"/>
  <c r="AZ95" i="84"/>
  <c r="AT95" i="84"/>
  <c r="AO95" i="84"/>
  <c r="AN95" i="84"/>
  <c r="AH95" i="84"/>
  <c r="AB95" i="84"/>
  <c r="BT95" i="84" s="1"/>
  <c r="V95" i="84"/>
  <c r="Q95" i="84"/>
  <c r="P95" i="84"/>
  <c r="BS95" i="84" s="1"/>
  <c r="J95" i="84"/>
  <c r="BR95" i="84" s="1"/>
  <c r="D95" i="84"/>
  <c r="BQ94" i="84"/>
  <c r="BQ107" i="84" s="1"/>
  <c r="BP94" i="84"/>
  <c r="BP107" i="84" s="1"/>
  <c r="BO94" i="84"/>
  <c r="BO107" i="84" s="1"/>
  <c r="BN94" i="84"/>
  <c r="BN107" i="84" s="1"/>
  <c r="BM94" i="84"/>
  <c r="BK94" i="84"/>
  <c r="BK107" i="84" s="1"/>
  <c r="BJ94" i="84"/>
  <c r="BJ107" i="84" s="1"/>
  <c r="BI94" i="84"/>
  <c r="BI107" i="84" s="1"/>
  <c r="BH94" i="84"/>
  <c r="BH107" i="84" s="1"/>
  <c r="BG94" i="84"/>
  <c r="BG107" i="84" s="1"/>
  <c r="BF107" i="84" s="1"/>
  <c r="BE94" i="84"/>
  <c r="BE107" i="84" s="1"/>
  <c r="BD94" i="84"/>
  <c r="BD107" i="84" s="1"/>
  <c r="BC94" i="84"/>
  <c r="BC107" i="84" s="1"/>
  <c r="BB94" i="84"/>
  <c r="BB107" i="84" s="1"/>
  <c r="BA94" i="84"/>
  <c r="AY94" i="84"/>
  <c r="AY107" i="84" s="1"/>
  <c r="AX94" i="84"/>
  <c r="AX107" i="84" s="1"/>
  <c r="AW94" i="84"/>
  <c r="AW107" i="84" s="1"/>
  <c r="AV94" i="84"/>
  <c r="AV107" i="84" s="1"/>
  <c r="AU94" i="84"/>
  <c r="AU107" i="84" s="1"/>
  <c r="AT94" i="84"/>
  <c r="AS94" i="84"/>
  <c r="AS107" i="84" s="1"/>
  <c r="AR94" i="84"/>
  <c r="AR107" i="84" s="1"/>
  <c r="AQ94" i="84"/>
  <c r="AQ107" i="84" s="1"/>
  <c r="AP94" i="84"/>
  <c r="AP107" i="84" s="1"/>
  <c r="AO94" i="84"/>
  <c r="AM94" i="84"/>
  <c r="AM107" i="84" s="1"/>
  <c r="AL94" i="84"/>
  <c r="AL107" i="84" s="1"/>
  <c r="AK94" i="84"/>
  <c r="AK107" i="84" s="1"/>
  <c r="AJ94" i="84"/>
  <c r="AJ107" i="84" s="1"/>
  <c r="AI94" i="84"/>
  <c r="AI107" i="84" s="1"/>
  <c r="AG94" i="84"/>
  <c r="AG107" i="84" s="1"/>
  <c r="AF94" i="84"/>
  <c r="AF107" i="84" s="1"/>
  <c r="AE94" i="84"/>
  <c r="AE107" i="84" s="1"/>
  <c r="AD94" i="84"/>
  <c r="AD107" i="84" s="1"/>
  <c r="AC94" i="84"/>
  <c r="AA94" i="84"/>
  <c r="AA107" i="84" s="1"/>
  <c r="Z94" i="84"/>
  <c r="Z107" i="84" s="1"/>
  <c r="Y94" i="84"/>
  <c r="Y107" i="84" s="1"/>
  <c r="X94" i="84"/>
  <c r="X107" i="84" s="1"/>
  <c r="W94" i="84"/>
  <c r="W107" i="84" s="1"/>
  <c r="U94" i="84"/>
  <c r="U107" i="84" s="1"/>
  <c r="T94" i="84"/>
  <c r="T107" i="84" s="1"/>
  <c r="S94" i="84"/>
  <c r="S107" i="84" s="1"/>
  <c r="R94" i="84"/>
  <c r="R107" i="84" s="1"/>
  <c r="Q94" i="84"/>
  <c r="O94" i="84"/>
  <c r="O107" i="84" s="1"/>
  <c r="N94" i="84"/>
  <c r="N107" i="84" s="1"/>
  <c r="M94" i="84"/>
  <c r="M107" i="84" s="1"/>
  <c r="L94" i="84"/>
  <c r="L107" i="84" s="1"/>
  <c r="K94" i="84"/>
  <c r="K107" i="84" s="1"/>
  <c r="J107" i="84" s="1"/>
  <c r="I94" i="84"/>
  <c r="I107" i="84" s="1"/>
  <c r="H94" i="84"/>
  <c r="H107" i="84" s="1"/>
  <c r="G94" i="84"/>
  <c r="G107" i="84" s="1"/>
  <c r="F94" i="84"/>
  <c r="F107" i="84" s="1"/>
  <c r="E94" i="84"/>
  <c r="BL93" i="84"/>
  <c r="BW93" i="84" s="1"/>
  <c r="BF93" i="84"/>
  <c r="AZ93" i="84"/>
  <c r="AT93" i="84"/>
  <c r="AN93" i="84"/>
  <c r="BV93" i="84" s="1"/>
  <c r="AH93" i="84"/>
  <c r="AB93" i="84"/>
  <c r="V93" i="84"/>
  <c r="P93" i="84"/>
  <c r="BR93" i="84" s="1"/>
  <c r="J93" i="84"/>
  <c r="D93" i="84"/>
  <c r="BF92" i="84"/>
  <c r="AT92" i="84"/>
  <c r="AP92" i="84"/>
  <c r="AP105" i="84" s="1"/>
  <c r="AH92" i="84"/>
  <c r="AG92" i="84"/>
  <c r="AG105" i="84" s="1"/>
  <c r="AF92" i="84"/>
  <c r="AF105" i="84" s="1"/>
  <c r="AD92" i="84"/>
  <c r="AD105" i="84" s="1"/>
  <c r="V92" i="84"/>
  <c r="J92" i="84"/>
  <c r="D92" i="84"/>
  <c r="BF90" i="84"/>
  <c r="AT90" i="84"/>
  <c r="AH90" i="84"/>
  <c r="AC90" i="84"/>
  <c r="AO90" i="84" s="1"/>
  <c r="V90" i="84"/>
  <c r="P90" i="84"/>
  <c r="BR90" i="84" s="1"/>
  <c r="J90" i="84"/>
  <c r="D90" i="84"/>
  <c r="BL89" i="84"/>
  <c r="BW89" i="84" s="1"/>
  <c r="BF89" i="84"/>
  <c r="AZ89" i="84"/>
  <c r="AT89" i="84"/>
  <c r="AN89" i="84"/>
  <c r="BV89" i="84" s="1"/>
  <c r="AH89" i="84"/>
  <c r="AB89" i="84"/>
  <c r="V89" i="84"/>
  <c r="P89" i="84"/>
  <c r="BR89" i="84" s="1"/>
  <c r="J89" i="84"/>
  <c r="D89" i="84"/>
  <c r="BV88" i="84"/>
  <c r="BR88" i="84"/>
  <c r="BL88" i="84"/>
  <c r="BW88" i="84" s="1"/>
  <c r="BF88" i="84"/>
  <c r="AZ88" i="84"/>
  <c r="AT88" i="84"/>
  <c r="AN88" i="84"/>
  <c r="BU88" i="84" s="1"/>
  <c r="AH88" i="84"/>
  <c r="AB88" i="84"/>
  <c r="BT88" i="84" s="1"/>
  <c r="V88" i="84"/>
  <c r="P88" i="84"/>
  <c r="BS88" i="84" s="1"/>
  <c r="J88" i="84"/>
  <c r="D88" i="84"/>
  <c r="BQ87" i="84"/>
  <c r="BP87" i="84"/>
  <c r="BO87" i="84"/>
  <c r="BN87" i="84"/>
  <c r="BN85" i="84" s="1"/>
  <c r="BK87" i="84"/>
  <c r="BJ87" i="84"/>
  <c r="BJ85" i="84" s="1"/>
  <c r="BI87" i="84"/>
  <c r="BH87" i="84"/>
  <c r="BG87" i="84"/>
  <c r="BF87" i="84" s="1"/>
  <c r="BE87" i="84"/>
  <c r="BD87" i="84"/>
  <c r="BC87" i="84"/>
  <c r="BB87" i="84"/>
  <c r="BB85" i="84" s="1"/>
  <c r="AY87" i="84"/>
  <c r="AX87" i="84"/>
  <c r="AX85" i="84" s="1"/>
  <c r="AW87" i="84"/>
  <c r="AV87" i="84"/>
  <c r="AU87" i="84"/>
  <c r="AT87" i="84" s="1"/>
  <c r="AS87" i="84"/>
  <c r="AR87" i="84"/>
  <c r="AQ87" i="84"/>
  <c r="AP87" i="84"/>
  <c r="AP85" i="84" s="1"/>
  <c r="AM87" i="84"/>
  <c r="AL87" i="84"/>
  <c r="AL85" i="84" s="1"/>
  <c r="AK87" i="84"/>
  <c r="AJ87" i="84"/>
  <c r="AI87" i="84"/>
  <c r="AH87" i="84" s="1"/>
  <c r="AG87" i="84"/>
  <c r="AF87" i="84"/>
  <c r="AE87" i="84"/>
  <c r="AD87" i="84"/>
  <c r="AD85" i="84" s="1"/>
  <c r="AA87" i="84"/>
  <c r="Z87" i="84"/>
  <c r="Z85" i="84" s="1"/>
  <c r="Y87" i="84"/>
  <c r="X87" i="84"/>
  <c r="W87" i="84"/>
  <c r="V87" i="84" s="1"/>
  <c r="U87" i="84"/>
  <c r="T87" i="84"/>
  <c r="S87" i="84"/>
  <c r="R87" i="84"/>
  <c r="P87" i="84" s="1"/>
  <c r="Q87" i="84"/>
  <c r="O87" i="84"/>
  <c r="N87" i="84"/>
  <c r="N85" i="84" s="1"/>
  <c r="M87" i="84"/>
  <c r="L87" i="84"/>
  <c r="K87" i="84"/>
  <c r="J87" i="84" s="1"/>
  <c r="I87" i="84"/>
  <c r="H87" i="84"/>
  <c r="H85" i="84" s="1"/>
  <c r="G87" i="84"/>
  <c r="G85" i="84" s="1"/>
  <c r="F87" i="84"/>
  <c r="D87" i="84" s="1"/>
  <c r="E87" i="84"/>
  <c r="BR86" i="84"/>
  <c r="BL86" i="84"/>
  <c r="BF86" i="84"/>
  <c r="AZ86" i="84"/>
  <c r="BW86" i="84" s="1"/>
  <c r="AT86" i="84"/>
  <c r="AN86" i="84"/>
  <c r="BU86" i="84" s="1"/>
  <c r="AH86" i="84"/>
  <c r="AB86" i="84"/>
  <c r="BT86" i="84" s="1"/>
  <c r="V86" i="84"/>
  <c r="P86" i="84"/>
  <c r="J86" i="84"/>
  <c r="D86" i="84"/>
  <c r="BS86" i="84" s="1"/>
  <c r="BQ85" i="84"/>
  <c r="BP85" i="84"/>
  <c r="BO85" i="84"/>
  <c r="BK85" i="84"/>
  <c r="BI85" i="84"/>
  <c r="BH85" i="84"/>
  <c r="BG85" i="84"/>
  <c r="BF85" i="84" s="1"/>
  <c r="BE85" i="84"/>
  <c r="BD85" i="84"/>
  <c r="BC85" i="84"/>
  <c r="AY85" i="84"/>
  <c r="AW85" i="84"/>
  <c r="AV85" i="84"/>
  <c r="AU85" i="84"/>
  <c r="AS85" i="84"/>
  <c r="AR85" i="84"/>
  <c r="AQ85" i="84"/>
  <c r="AM85" i="84"/>
  <c r="AK85" i="84"/>
  <c r="AJ85" i="84"/>
  <c r="AI85" i="84"/>
  <c r="AH85" i="84" s="1"/>
  <c r="AG85" i="84"/>
  <c r="AF85" i="84"/>
  <c r="AE85" i="84"/>
  <c r="AA85" i="84"/>
  <c r="Y85" i="84"/>
  <c r="X85" i="84"/>
  <c r="W85" i="84"/>
  <c r="V85" i="84" s="1"/>
  <c r="U85" i="84"/>
  <c r="T85" i="84"/>
  <c r="S85" i="84"/>
  <c r="Q85" i="84"/>
  <c r="O85" i="84"/>
  <c r="M85" i="84"/>
  <c r="I85" i="84"/>
  <c r="F85" i="84"/>
  <c r="F110" i="84" s="1"/>
  <c r="E85" i="84"/>
  <c r="D85" i="84" s="1"/>
  <c r="BV84" i="84"/>
  <c r="BR84" i="84"/>
  <c r="BL84" i="84"/>
  <c r="BW84" i="84" s="1"/>
  <c r="BF84" i="84"/>
  <c r="AZ84" i="84"/>
  <c r="AT84" i="84"/>
  <c r="AN84" i="84"/>
  <c r="BU84" i="84" s="1"/>
  <c r="AH84" i="84"/>
  <c r="AB84" i="84"/>
  <c r="BT84" i="84" s="1"/>
  <c r="V84" i="84"/>
  <c r="P84" i="84"/>
  <c r="BS84" i="84" s="1"/>
  <c r="J84" i="84"/>
  <c r="D84" i="84"/>
  <c r="BR83" i="84"/>
  <c r="BL83" i="84"/>
  <c r="BF83" i="84"/>
  <c r="AZ83" i="84"/>
  <c r="BV83" i="84" s="1"/>
  <c r="AT83" i="84"/>
  <c r="AN83" i="84"/>
  <c r="AH83" i="84"/>
  <c r="AB83" i="84"/>
  <c r="BT83" i="84" s="1"/>
  <c r="V83" i="84"/>
  <c r="P83" i="84"/>
  <c r="J83" i="84"/>
  <c r="D83" i="84"/>
  <c r="BS83" i="84" s="1"/>
  <c r="BT82" i="84"/>
  <c r="BL82" i="84"/>
  <c r="BF82" i="84"/>
  <c r="AZ82" i="84"/>
  <c r="BW82" i="84" s="1"/>
  <c r="AT82" i="84"/>
  <c r="AN82" i="84"/>
  <c r="BU82" i="84" s="1"/>
  <c r="AH82" i="84"/>
  <c r="AB82" i="84"/>
  <c r="V82" i="84"/>
  <c r="P82" i="84"/>
  <c r="J82" i="84"/>
  <c r="D82" i="84"/>
  <c r="BS82" i="84" s="1"/>
  <c r="D81" i="84"/>
  <c r="P80" i="84"/>
  <c r="J80" i="84"/>
  <c r="D80" i="84"/>
  <c r="BU79" i="84"/>
  <c r="BL79" i="84"/>
  <c r="BW79" i="84" s="1"/>
  <c r="BF79" i="84"/>
  <c r="AZ79" i="84"/>
  <c r="AT79" i="84"/>
  <c r="AN79" i="84"/>
  <c r="BV79" i="84" s="1"/>
  <c r="AH79" i="84"/>
  <c r="AC79" i="84"/>
  <c r="AB79" i="84"/>
  <c r="V79" i="84"/>
  <c r="Q79" i="84"/>
  <c r="P79" i="84" s="1"/>
  <c r="J79" i="84"/>
  <c r="D79" i="84"/>
  <c r="BF78" i="84"/>
  <c r="AT78" i="84"/>
  <c r="AH78" i="84"/>
  <c r="V78" i="84"/>
  <c r="J78" i="84"/>
  <c r="D78" i="84"/>
  <c r="BW77" i="84"/>
  <c r="BR77" i="84"/>
  <c r="BL77" i="84"/>
  <c r="BF77" i="84"/>
  <c r="AZ77" i="84"/>
  <c r="BV77" i="84" s="1"/>
  <c r="AT77" i="84"/>
  <c r="AN77" i="84"/>
  <c r="BU77" i="84" s="1"/>
  <c r="AH77" i="84"/>
  <c r="AB77" i="84"/>
  <c r="BT77" i="84" s="1"/>
  <c r="V77" i="84"/>
  <c r="P77" i="84"/>
  <c r="J77" i="84"/>
  <c r="D77" i="84"/>
  <c r="BS77" i="84" s="1"/>
  <c r="BF76" i="84"/>
  <c r="AT76" i="84"/>
  <c r="AH76" i="84"/>
  <c r="V76" i="84"/>
  <c r="R76" i="84"/>
  <c r="Q76" i="84"/>
  <c r="P76" i="84"/>
  <c r="BR76" i="84" s="1"/>
  <c r="J76" i="84"/>
  <c r="D76" i="84"/>
  <c r="BQ75" i="84"/>
  <c r="BP75" i="84"/>
  <c r="BO75" i="84"/>
  <c r="BK75" i="84"/>
  <c r="BJ75" i="84"/>
  <c r="BI75" i="84"/>
  <c r="BH75" i="84"/>
  <c r="BG75" i="84"/>
  <c r="BF75" i="84"/>
  <c r="BE75" i="84"/>
  <c r="BD75" i="84"/>
  <c r="BC75" i="84"/>
  <c r="AY75" i="84"/>
  <c r="AX75" i="84"/>
  <c r="AW75" i="84"/>
  <c r="AV75" i="84"/>
  <c r="AU75" i="84"/>
  <c r="AT75" i="84"/>
  <c r="AS75" i="84"/>
  <c r="AR75" i="84"/>
  <c r="AQ75" i="84"/>
  <c r="AM75" i="84"/>
  <c r="AL75" i="84"/>
  <c r="AK75" i="84"/>
  <c r="AJ75" i="84"/>
  <c r="AI75" i="84"/>
  <c r="AH75" i="84"/>
  <c r="AG75" i="84"/>
  <c r="AF75" i="84"/>
  <c r="AE75" i="84"/>
  <c r="AA75" i="84"/>
  <c r="Z75" i="84"/>
  <c r="Y75" i="84"/>
  <c r="X75" i="84"/>
  <c r="W75" i="84"/>
  <c r="V75" i="84"/>
  <c r="U75" i="84"/>
  <c r="T75" i="84"/>
  <c r="S75" i="84"/>
  <c r="O75" i="84"/>
  <c r="N75" i="84"/>
  <c r="M75" i="84"/>
  <c r="L75" i="84"/>
  <c r="K75" i="84"/>
  <c r="J75" i="84"/>
  <c r="I75" i="84"/>
  <c r="H75" i="84"/>
  <c r="G75" i="84"/>
  <c r="F75" i="84"/>
  <c r="D75" i="84" s="1"/>
  <c r="E75" i="84"/>
  <c r="BR74" i="84"/>
  <c r="BL74" i="84"/>
  <c r="BF74" i="84"/>
  <c r="AZ74" i="84"/>
  <c r="BW74" i="84" s="1"/>
  <c r="AT74" i="84"/>
  <c r="AN74" i="84"/>
  <c r="AH74" i="84"/>
  <c r="AB74" i="84"/>
  <c r="BT74" i="84" s="1"/>
  <c r="V74" i="84"/>
  <c r="P74" i="84"/>
  <c r="J74" i="84"/>
  <c r="D74" i="84"/>
  <c r="BS74" i="84" s="1"/>
  <c r="BF73" i="84"/>
  <c r="AT73" i="84"/>
  <c r="AO73" i="84"/>
  <c r="AI73" i="84"/>
  <c r="AH73" i="84"/>
  <c r="AC73" i="84"/>
  <c r="AB73" i="84" s="1"/>
  <c r="BT73" i="84" s="1"/>
  <c r="W73" i="84"/>
  <c r="V73" i="84"/>
  <c r="Q73" i="84"/>
  <c r="P73" i="84" s="1"/>
  <c r="BR73" i="84" s="1"/>
  <c r="J73" i="84"/>
  <c r="D73" i="84"/>
  <c r="BS73" i="84" s="1"/>
  <c r="BW72" i="84"/>
  <c r="BS72" i="84"/>
  <c r="BL72" i="84"/>
  <c r="BF72" i="84"/>
  <c r="AZ72" i="84"/>
  <c r="BV72" i="84" s="1"/>
  <c r="AT72" i="84"/>
  <c r="AN72" i="84"/>
  <c r="BU72" i="84" s="1"/>
  <c r="AH72" i="84"/>
  <c r="AB72" i="84"/>
  <c r="BT72" i="84" s="1"/>
  <c r="V72" i="84"/>
  <c r="P72" i="84"/>
  <c r="J72" i="84"/>
  <c r="D72" i="84"/>
  <c r="BU71" i="84"/>
  <c r="BT71" i="84"/>
  <c r="BL71" i="84"/>
  <c r="BW71" i="84" s="1"/>
  <c r="BG71" i="84"/>
  <c r="BF71" i="84" s="1"/>
  <c r="AZ71" i="84"/>
  <c r="BV71" i="84" s="1"/>
  <c r="AU71" i="84"/>
  <c r="AT71" i="84"/>
  <c r="AN71" i="84"/>
  <c r="AL71" i="84"/>
  <c r="AI71" i="84"/>
  <c r="AH71" i="84"/>
  <c r="AB71" i="84"/>
  <c r="Z71" i="84"/>
  <c r="W71" i="84"/>
  <c r="V71" i="84"/>
  <c r="P71" i="84"/>
  <c r="J71" i="84"/>
  <c r="BR71" i="84" s="1"/>
  <c r="D71" i="84"/>
  <c r="BS70" i="84"/>
  <c r="BF70" i="84"/>
  <c r="AT70" i="84"/>
  <c r="AO70" i="84"/>
  <c r="AH70" i="84"/>
  <c r="AC70" i="84"/>
  <c r="AC111" i="84" s="1"/>
  <c r="AB111" i="84" s="1"/>
  <c r="BT111" i="84" s="1"/>
  <c r="V70" i="84"/>
  <c r="P70" i="84"/>
  <c r="J70" i="84"/>
  <c r="D70" i="84"/>
  <c r="BL69" i="84"/>
  <c r="BW69" i="84" s="1"/>
  <c r="BF69" i="84"/>
  <c r="AZ69" i="84"/>
  <c r="AT69" i="84"/>
  <c r="AN69" i="84"/>
  <c r="BV69" i="84" s="1"/>
  <c r="AH69" i="84"/>
  <c r="AB69" i="84"/>
  <c r="V69" i="84"/>
  <c r="P69" i="84"/>
  <c r="J69" i="84"/>
  <c r="D69" i="84"/>
  <c r="BL68" i="84"/>
  <c r="BW68" i="84" s="1"/>
  <c r="BF68" i="84"/>
  <c r="AZ68" i="84"/>
  <c r="AT68" i="84"/>
  <c r="AN68" i="84"/>
  <c r="BV68" i="84" s="1"/>
  <c r="AH68" i="84"/>
  <c r="AB68" i="84"/>
  <c r="V68" i="84"/>
  <c r="P68" i="84"/>
  <c r="BS68" i="84" s="1"/>
  <c r="J68" i="84"/>
  <c r="D68" i="84"/>
  <c r="BW67" i="84"/>
  <c r="BV67" i="84"/>
  <c r="BR67" i="84"/>
  <c r="BL67" i="84"/>
  <c r="BF67" i="84"/>
  <c r="AZ67" i="84"/>
  <c r="AT67" i="84"/>
  <c r="AN67" i="84"/>
  <c r="BU67" i="84" s="1"/>
  <c r="AH67" i="84"/>
  <c r="AB67" i="84"/>
  <c r="BT67" i="84" s="1"/>
  <c r="V67" i="84"/>
  <c r="P67" i="84"/>
  <c r="J67" i="84"/>
  <c r="D67" i="84"/>
  <c r="BS67" i="84" s="1"/>
  <c r="BM66" i="84"/>
  <c r="BL66" i="84"/>
  <c r="BW66" i="84" s="1"/>
  <c r="BF66" i="84"/>
  <c r="AZ66" i="84"/>
  <c r="AT66" i="84"/>
  <c r="AN66" i="84"/>
  <c r="BU66" i="84" s="1"/>
  <c r="AH66" i="84"/>
  <c r="AC66" i="84"/>
  <c r="AB66" i="84"/>
  <c r="V66" i="84"/>
  <c r="J66" i="84"/>
  <c r="Q66" i="84" s="1"/>
  <c r="D66" i="84"/>
  <c r="BF65" i="84"/>
  <c r="AT65" i="84"/>
  <c r="AH65" i="84"/>
  <c r="AC65" i="84"/>
  <c r="AO65" i="84" s="1"/>
  <c r="AB65" i="84"/>
  <c r="BT65" i="84" s="1"/>
  <c r="V65" i="84"/>
  <c r="P65" i="84"/>
  <c r="J65" i="84"/>
  <c r="D65" i="84"/>
  <c r="BS65" i="84" s="1"/>
  <c r="BF64" i="84"/>
  <c r="BA64" i="84"/>
  <c r="AT64" i="84"/>
  <c r="AO64" i="84"/>
  <c r="AN64" i="84"/>
  <c r="BU64" i="84" s="1"/>
  <c r="AH64" i="84"/>
  <c r="AC64" i="84"/>
  <c r="AB64" i="84" s="1"/>
  <c r="V64" i="84"/>
  <c r="P64" i="84"/>
  <c r="BS64" i="84" s="1"/>
  <c r="J64" i="84"/>
  <c r="D64" i="84"/>
  <c r="BQ63" i="84"/>
  <c r="BP63" i="84"/>
  <c r="BO63" i="84"/>
  <c r="BN63" i="84"/>
  <c r="BK63" i="84"/>
  <c r="BJ63" i="84"/>
  <c r="BI63" i="84"/>
  <c r="BF63" i="84" s="1"/>
  <c r="BH63" i="84"/>
  <c r="BG63" i="84"/>
  <c r="BE63" i="84"/>
  <c r="BE59" i="84" s="1"/>
  <c r="BE102" i="84" s="1"/>
  <c r="BD63" i="84"/>
  <c r="BC63" i="84"/>
  <c r="BB63" i="84"/>
  <c r="AY63" i="84"/>
  <c r="AX63" i="84"/>
  <c r="AW63" i="84"/>
  <c r="AV63" i="84"/>
  <c r="AU63" i="84"/>
  <c r="AT63" i="84" s="1"/>
  <c r="AS63" i="84"/>
  <c r="AR63" i="84"/>
  <c r="AQ63" i="84"/>
  <c r="AP63" i="84"/>
  <c r="AM63" i="84"/>
  <c r="AL63" i="84"/>
  <c r="AK63" i="84"/>
  <c r="AJ63" i="84"/>
  <c r="AI63" i="84"/>
  <c r="AH63" i="84"/>
  <c r="AG63" i="84"/>
  <c r="AF63" i="84"/>
  <c r="AE63" i="84"/>
  <c r="AD63" i="84"/>
  <c r="AA63" i="84"/>
  <c r="Z63" i="84"/>
  <c r="Y63" i="84"/>
  <c r="V63" i="84" s="1"/>
  <c r="X63" i="84"/>
  <c r="W63" i="84"/>
  <c r="U63" i="84"/>
  <c r="T63" i="84"/>
  <c r="S63" i="84"/>
  <c r="R63" i="84"/>
  <c r="O63" i="84"/>
  <c r="N63" i="84"/>
  <c r="M63" i="84"/>
  <c r="J63" i="84" s="1"/>
  <c r="L63" i="84"/>
  <c r="K63" i="84"/>
  <c r="I63" i="84"/>
  <c r="I59" i="84" s="1"/>
  <c r="I102" i="84" s="1"/>
  <c r="H63" i="84"/>
  <c r="G63" i="84"/>
  <c r="F63" i="84"/>
  <c r="E63" i="84"/>
  <c r="D63" i="84" s="1"/>
  <c r="BW62" i="84"/>
  <c r="BR62" i="84"/>
  <c r="BL62" i="84"/>
  <c r="BF62" i="84"/>
  <c r="AZ62" i="84"/>
  <c r="BV62" i="84" s="1"/>
  <c r="AT62" i="84"/>
  <c r="AN62" i="84"/>
  <c r="AH62" i="84"/>
  <c r="AB62" i="84"/>
  <c r="BT62" i="84" s="1"/>
  <c r="V62" i="84"/>
  <c r="P62" i="84"/>
  <c r="J62" i="84"/>
  <c r="D62" i="84"/>
  <c r="BS62" i="84" s="1"/>
  <c r="BR61" i="84"/>
  <c r="BM61" i="84"/>
  <c r="BL61" i="84"/>
  <c r="BF61" i="84"/>
  <c r="BA61" i="84"/>
  <c r="AT61" i="84"/>
  <c r="AO61" i="84"/>
  <c r="AN61" i="84"/>
  <c r="BU61" i="84" s="1"/>
  <c r="AH61" i="84"/>
  <c r="AC61" i="84"/>
  <c r="AB61" i="84"/>
  <c r="BT61" i="84" s="1"/>
  <c r="V61" i="84"/>
  <c r="Q61" i="84"/>
  <c r="P61" i="84"/>
  <c r="J61" i="84"/>
  <c r="D61" i="84"/>
  <c r="BS61" i="84" s="1"/>
  <c r="BQ60" i="84"/>
  <c r="BQ59" i="84" s="1"/>
  <c r="BQ102" i="84" s="1"/>
  <c r="BP60" i="84"/>
  <c r="BO60" i="84"/>
  <c r="BN60" i="84"/>
  <c r="BM60" i="84"/>
  <c r="BL60" i="84" s="1"/>
  <c r="BI60" i="84"/>
  <c r="BH60" i="84"/>
  <c r="BH59" i="84" s="1"/>
  <c r="BH102" i="84" s="1"/>
  <c r="BG60" i="84"/>
  <c r="BG59" i="84" s="1"/>
  <c r="BG102" i="84" s="1"/>
  <c r="BE60" i="84"/>
  <c r="BD60" i="84"/>
  <c r="BD59" i="84" s="1"/>
  <c r="BD102" i="84" s="1"/>
  <c r="BC60" i="84"/>
  <c r="BC59" i="84" s="1"/>
  <c r="BC102" i="84" s="1"/>
  <c r="BB60" i="84"/>
  <c r="AW60" i="84"/>
  <c r="AW59" i="84" s="1"/>
  <c r="AW102" i="84" s="1"/>
  <c r="AV60" i="84"/>
  <c r="AT60" i="84" s="1"/>
  <c r="AU60" i="84"/>
  <c r="AS60" i="84"/>
  <c r="AS59" i="84" s="1"/>
  <c r="AS102" i="84" s="1"/>
  <c r="AR60" i="84"/>
  <c r="AR59" i="84" s="1"/>
  <c r="AR102" i="84" s="1"/>
  <c r="AQ60" i="84"/>
  <c r="AP60" i="84"/>
  <c r="AO60" i="84"/>
  <c r="AN60" i="84"/>
  <c r="AK60" i="84"/>
  <c r="AJ60" i="84"/>
  <c r="AI60" i="84"/>
  <c r="AH60" i="84"/>
  <c r="AG60" i="84"/>
  <c r="AF60" i="84"/>
  <c r="AE60" i="84"/>
  <c r="AD60" i="84"/>
  <c r="AB60" i="84" s="1"/>
  <c r="BT60" i="84" s="1"/>
  <c r="AC60" i="84"/>
  <c r="Y60" i="84"/>
  <c r="Y59" i="84" s="1"/>
  <c r="Y102" i="84" s="1"/>
  <c r="X60" i="84"/>
  <c r="V60" i="84" s="1"/>
  <c r="W60" i="84"/>
  <c r="U60" i="84"/>
  <c r="U59" i="84" s="1"/>
  <c r="U102" i="84" s="1"/>
  <c r="T60" i="84"/>
  <c r="T59" i="84" s="1"/>
  <c r="T102" i="84" s="1"/>
  <c r="S60" i="84"/>
  <c r="R60" i="84"/>
  <c r="Q60" i="84"/>
  <c r="P60" i="84"/>
  <c r="M60" i="84"/>
  <c r="L60" i="84"/>
  <c r="K60" i="84"/>
  <c r="J60" i="84"/>
  <c r="I60" i="84"/>
  <c r="H60" i="84"/>
  <c r="G60" i="84"/>
  <c r="F60" i="84"/>
  <c r="D60" i="84" s="1"/>
  <c r="E60" i="84"/>
  <c r="BP59" i="84"/>
  <c r="BP102" i="84" s="1"/>
  <c r="BO59" i="84"/>
  <c r="BO102" i="84" s="1"/>
  <c r="BK59" i="84"/>
  <c r="BK102" i="84" s="1"/>
  <c r="BJ59" i="84"/>
  <c r="BJ102" i="84" s="1"/>
  <c r="AY59" i="84"/>
  <c r="AY102" i="84" s="1"/>
  <c r="AX59" i="84"/>
  <c r="AX102" i="84" s="1"/>
  <c r="AU59" i="84"/>
  <c r="AU102" i="84" s="1"/>
  <c r="AQ59" i="84"/>
  <c r="AQ102" i="84" s="1"/>
  <c r="AM59" i="84"/>
  <c r="AM102" i="84" s="1"/>
  <c r="AL59" i="84"/>
  <c r="AL102" i="84" s="1"/>
  <c r="AK59" i="84"/>
  <c r="AK102" i="84" s="1"/>
  <c r="AJ59" i="84"/>
  <c r="AJ102" i="84" s="1"/>
  <c r="AI59" i="84"/>
  <c r="AI102" i="84" s="1"/>
  <c r="AH59" i="84"/>
  <c r="AG59" i="84"/>
  <c r="AG102" i="84" s="1"/>
  <c r="AF59" i="84"/>
  <c r="AF102" i="84" s="1"/>
  <c r="AE59" i="84"/>
  <c r="AE102" i="84" s="1"/>
  <c r="AA59" i="84"/>
  <c r="AA102" i="84" s="1"/>
  <c r="Z59" i="84"/>
  <c r="Z102" i="84" s="1"/>
  <c r="W59" i="84"/>
  <c r="W102" i="84" s="1"/>
  <c r="S59" i="84"/>
  <c r="S102" i="84" s="1"/>
  <c r="O59" i="84"/>
  <c r="O102" i="84" s="1"/>
  <c r="N59" i="84"/>
  <c r="N102" i="84" s="1"/>
  <c r="L59" i="84"/>
  <c r="L102" i="84" s="1"/>
  <c r="K59" i="84"/>
  <c r="K102" i="84" s="1"/>
  <c r="H59" i="84"/>
  <c r="H102" i="84" s="1"/>
  <c r="G59" i="84"/>
  <c r="G102" i="84" s="1"/>
  <c r="F59" i="84"/>
  <c r="F102" i="84" s="1"/>
  <c r="BR58" i="84"/>
  <c r="BF58" i="84"/>
  <c r="AT58" i="84"/>
  <c r="AH58" i="84"/>
  <c r="V58" i="84"/>
  <c r="P58" i="84"/>
  <c r="J58" i="84"/>
  <c r="D58" i="84"/>
  <c r="BS58" i="84" s="1"/>
  <c r="BF57" i="84"/>
  <c r="AT57" i="84"/>
  <c r="AH57" i="84"/>
  <c r="V57" i="84"/>
  <c r="J57" i="84"/>
  <c r="Q57" i="84" s="1"/>
  <c r="P57" i="84" s="1"/>
  <c r="D57" i="84"/>
  <c r="BF56" i="84"/>
  <c r="AT56" i="84"/>
  <c r="AH56" i="84"/>
  <c r="V56" i="84"/>
  <c r="Q56" i="84"/>
  <c r="J56" i="84"/>
  <c r="D56" i="84"/>
  <c r="BK55" i="84"/>
  <c r="BJ55" i="84"/>
  <c r="BI55" i="84"/>
  <c r="BH55" i="84"/>
  <c r="BG55" i="84"/>
  <c r="BF55" i="84" s="1"/>
  <c r="AY55" i="84"/>
  <c r="AX55" i="84"/>
  <c r="AW55" i="84"/>
  <c r="AV55" i="84"/>
  <c r="AU55" i="84"/>
  <c r="AT55" i="84" s="1"/>
  <c r="AM55" i="84"/>
  <c r="AL55" i="84"/>
  <c r="AK55" i="84"/>
  <c r="AJ55" i="84"/>
  <c r="AI55" i="84"/>
  <c r="AH55" i="84" s="1"/>
  <c r="AA55" i="84"/>
  <c r="Z55" i="84"/>
  <c r="Y55" i="84"/>
  <c r="X55" i="84"/>
  <c r="W55" i="84"/>
  <c r="V55" i="84" s="1"/>
  <c r="U55" i="84"/>
  <c r="T55" i="84"/>
  <c r="S55" i="84"/>
  <c r="R55" i="84"/>
  <c r="O55" i="84"/>
  <c r="N55" i="84"/>
  <c r="M55" i="84"/>
  <c r="L55" i="84"/>
  <c r="K55" i="84"/>
  <c r="J55" i="84" s="1"/>
  <c r="I55" i="84"/>
  <c r="H55" i="84"/>
  <c r="G55" i="84"/>
  <c r="D55" i="84" s="1"/>
  <c r="F55" i="84"/>
  <c r="E55" i="84"/>
  <c r="BF54" i="84"/>
  <c r="AT54" i="84"/>
  <c r="AH54" i="84"/>
  <c r="V54" i="84"/>
  <c r="Q54" i="84"/>
  <c r="P54" i="84"/>
  <c r="J54" i="84"/>
  <c r="D54" i="84"/>
  <c r="BF53" i="84"/>
  <c r="AT53" i="84"/>
  <c r="AH53" i="84"/>
  <c r="V53" i="84"/>
  <c r="P53" i="84"/>
  <c r="BS53" i="84" s="1"/>
  <c r="J53" i="84"/>
  <c r="D53" i="84"/>
  <c r="BF52" i="84"/>
  <c r="AT52" i="84"/>
  <c r="AH52" i="84"/>
  <c r="V52" i="84"/>
  <c r="R52" i="84"/>
  <c r="Q52" i="84"/>
  <c r="P52" i="84"/>
  <c r="BS52" i="84" s="1"/>
  <c r="J52" i="84"/>
  <c r="D52" i="84"/>
  <c r="BF51" i="84"/>
  <c r="AT51" i="84"/>
  <c r="AH51" i="84"/>
  <c r="V51" i="84"/>
  <c r="Q51" i="84"/>
  <c r="P51" i="84" s="1"/>
  <c r="BS51" i="84" s="1"/>
  <c r="J51" i="84"/>
  <c r="BR51" i="84" s="1"/>
  <c r="D51" i="84"/>
  <c r="BF50" i="84"/>
  <c r="AT50" i="84"/>
  <c r="AH50" i="84"/>
  <c r="V50" i="84"/>
  <c r="N50" i="84"/>
  <c r="L50" i="84"/>
  <c r="R50" i="84" s="1"/>
  <c r="K50" i="84"/>
  <c r="K42" i="84" s="1"/>
  <c r="D50" i="84"/>
  <c r="BF49" i="84"/>
  <c r="AT49" i="84"/>
  <c r="AH49" i="84"/>
  <c r="V49" i="84"/>
  <c r="Q49" i="84"/>
  <c r="P49" i="84" s="1"/>
  <c r="BS49" i="84" s="1"/>
  <c r="J49" i="84"/>
  <c r="BR49" i="84" s="1"/>
  <c r="D49" i="84"/>
  <c r="BF48" i="84"/>
  <c r="AT48" i="84"/>
  <c r="AH48" i="84"/>
  <c r="V48" i="84"/>
  <c r="R48" i="84"/>
  <c r="Q48" i="84"/>
  <c r="P48" i="84" s="1"/>
  <c r="J48" i="84"/>
  <c r="D48" i="84"/>
  <c r="BS47" i="84"/>
  <c r="BF47" i="84"/>
  <c r="AT47" i="84"/>
  <c r="AH47" i="84"/>
  <c r="V47" i="84"/>
  <c r="P47" i="84"/>
  <c r="J47" i="84"/>
  <c r="BR47" i="84" s="1"/>
  <c r="D47" i="84"/>
  <c r="BF46" i="84"/>
  <c r="AT46" i="84"/>
  <c r="AH46" i="84"/>
  <c r="V46" i="84"/>
  <c r="R46" i="84"/>
  <c r="P46" i="84" s="1"/>
  <c r="Q46" i="84"/>
  <c r="N46" i="84"/>
  <c r="L46" i="84"/>
  <c r="J46" i="84" s="1"/>
  <c r="K46" i="84"/>
  <c r="D46" i="84"/>
  <c r="BF45" i="84"/>
  <c r="AT45" i="84"/>
  <c r="AH45" i="84"/>
  <c r="V45" i="84"/>
  <c r="Q45" i="84"/>
  <c r="P45" i="84" s="1"/>
  <c r="BS45" i="84" s="1"/>
  <c r="J45" i="84"/>
  <c r="BR45" i="84" s="1"/>
  <c r="D45" i="84"/>
  <c r="BF44" i="84"/>
  <c r="AT44" i="84"/>
  <c r="AH44" i="84"/>
  <c r="V44" i="84"/>
  <c r="P44" i="84"/>
  <c r="J44" i="84"/>
  <c r="D44" i="84"/>
  <c r="BS43" i="84"/>
  <c r="BF43" i="84"/>
  <c r="AT43" i="84"/>
  <c r="AH43" i="84"/>
  <c r="V43" i="84"/>
  <c r="Q43" i="84"/>
  <c r="P43" i="84"/>
  <c r="BR43" i="84" s="1"/>
  <c r="J43" i="84"/>
  <c r="D43" i="84"/>
  <c r="BK42" i="84"/>
  <c r="BJ42" i="84"/>
  <c r="BI42" i="84"/>
  <c r="BF42" i="84" s="1"/>
  <c r="BH42" i="84"/>
  <c r="BG42" i="84"/>
  <c r="AY42" i="84"/>
  <c r="AX42" i="84"/>
  <c r="AW42" i="84"/>
  <c r="AT42" i="84" s="1"/>
  <c r="AV42" i="84"/>
  <c r="AU42" i="84"/>
  <c r="AM42" i="84"/>
  <c r="AL42" i="84"/>
  <c r="AK42" i="84"/>
  <c r="AH42" i="84" s="1"/>
  <c r="AJ42" i="84"/>
  <c r="AI42" i="84"/>
  <c r="AA42" i="84"/>
  <c r="Z42" i="84"/>
  <c r="Y42" i="84"/>
  <c r="V42" i="84" s="1"/>
  <c r="X42" i="84"/>
  <c r="W42" i="84"/>
  <c r="U42" i="84"/>
  <c r="T42" i="84"/>
  <c r="S42" i="84"/>
  <c r="O42" i="84"/>
  <c r="N42" i="84"/>
  <c r="M42" i="84"/>
  <c r="I42" i="84"/>
  <c r="H42" i="84"/>
  <c r="G42" i="84"/>
  <c r="F42" i="84"/>
  <c r="E42" i="84"/>
  <c r="D42" i="84" s="1"/>
  <c r="BF41" i="84"/>
  <c r="AT41" i="84"/>
  <c r="AH41" i="84"/>
  <c r="V41" i="84"/>
  <c r="P41" i="84"/>
  <c r="J41" i="84"/>
  <c r="D41" i="84"/>
  <c r="BR40" i="84"/>
  <c r="BF40" i="84"/>
  <c r="AT40" i="84"/>
  <c r="AH40" i="84"/>
  <c r="V40" i="84"/>
  <c r="R40" i="84"/>
  <c r="Q40" i="84"/>
  <c r="P40" i="84"/>
  <c r="BS40" i="84" s="1"/>
  <c r="J40" i="84"/>
  <c r="D40" i="84"/>
  <c r="BK39" i="84"/>
  <c r="BJ39" i="84"/>
  <c r="BI39" i="84"/>
  <c r="BF39" i="84" s="1"/>
  <c r="BH39" i="84"/>
  <c r="BG39" i="84"/>
  <c r="AY39" i="84"/>
  <c r="AX39" i="84"/>
  <c r="AW39" i="84"/>
  <c r="AT39" i="84" s="1"/>
  <c r="AV39" i="84"/>
  <c r="AU39" i="84"/>
  <c r="AM39" i="84"/>
  <c r="AL39" i="84"/>
  <c r="AK39" i="84"/>
  <c r="AH39" i="84" s="1"/>
  <c r="AJ39" i="84"/>
  <c r="AI39" i="84"/>
  <c r="AA39" i="84"/>
  <c r="Z39" i="84"/>
  <c r="Y39" i="84"/>
  <c r="V39" i="84" s="1"/>
  <c r="X39" i="84"/>
  <c r="W39" i="84"/>
  <c r="U39" i="84"/>
  <c r="T39" i="84"/>
  <c r="S39" i="84"/>
  <c r="R39" i="84"/>
  <c r="Q39" i="84"/>
  <c r="P39" i="84" s="1"/>
  <c r="O39" i="84"/>
  <c r="N39" i="84"/>
  <c r="M39" i="84"/>
  <c r="J39" i="84" s="1"/>
  <c r="L39" i="84"/>
  <c r="K39" i="84"/>
  <c r="I39" i="84"/>
  <c r="H39" i="84"/>
  <c r="G39" i="84"/>
  <c r="F39" i="84"/>
  <c r="E39" i="84"/>
  <c r="D39" i="84" s="1"/>
  <c r="BI38" i="84"/>
  <c r="AW38" i="84"/>
  <c r="AK38" i="84"/>
  <c r="Y38" i="84"/>
  <c r="U38" i="84"/>
  <c r="M38" i="84"/>
  <c r="I38" i="84"/>
  <c r="BQ37" i="84"/>
  <c r="BF37" i="84"/>
  <c r="BE37" i="84"/>
  <c r="BD37" i="84"/>
  <c r="BP37" i="84" s="1"/>
  <c r="AT37" i="84"/>
  <c r="AS37" i="84"/>
  <c r="AR37" i="84"/>
  <c r="AQ37" i="84"/>
  <c r="BC37" i="84" s="1"/>
  <c r="BO37" i="84" s="1"/>
  <c r="AH37" i="84"/>
  <c r="AG37" i="84"/>
  <c r="AF37" i="84"/>
  <c r="AE37" i="84"/>
  <c r="V37" i="84"/>
  <c r="R37" i="84"/>
  <c r="AD37" i="84" s="1"/>
  <c r="Q37" i="84"/>
  <c r="AC37" i="84" s="1"/>
  <c r="J37" i="84"/>
  <c r="D37" i="84"/>
  <c r="BF36" i="84"/>
  <c r="BD36" i="84"/>
  <c r="BP36" i="84" s="1"/>
  <c r="AT36" i="84"/>
  <c r="AR36" i="84"/>
  <c r="AQ36" i="84"/>
  <c r="BC36" i="84" s="1"/>
  <c r="BO36" i="84" s="1"/>
  <c r="AP36" i="84"/>
  <c r="BB36" i="84" s="1"/>
  <c r="BN36" i="84" s="1"/>
  <c r="AH36" i="84"/>
  <c r="AG36" i="84"/>
  <c r="AF36" i="84"/>
  <c r="AE36" i="84"/>
  <c r="AD36" i="84"/>
  <c r="AC36" i="84"/>
  <c r="V36" i="84"/>
  <c r="P36" i="84"/>
  <c r="J36" i="84"/>
  <c r="D36" i="84"/>
  <c r="BF35" i="84"/>
  <c r="BE35" i="84"/>
  <c r="BA35" i="84"/>
  <c r="AT35" i="84"/>
  <c r="AS35" i="84"/>
  <c r="AR35" i="84"/>
  <c r="AR34" i="84" s="1"/>
  <c r="AR38" i="84" s="1"/>
  <c r="AO35" i="84"/>
  <c r="AH35" i="84"/>
  <c r="AG35" i="84"/>
  <c r="AF35" i="84"/>
  <c r="AE35" i="84"/>
  <c r="AQ35" i="84" s="1"/>
  <c r="AD35" i="84"/>
  <c r="AC35" i="84"/>
  <c r="V35" i="84"/>
  <c r="P35" i="84"/>
  <c r="BS35" i="84" s="1"/>
  <c r="J35" i="84"/>
  <c r="D35" i="84"/>
  <c r="BK34" i="84"/>
  <c r="BK38" i="84" s="1"/>
  <c r="BJ34" i="84"/>
  <c r="BJ38" i="84" s="1"/>
  <c r="BI34" i="84"/>
  <c r="BH34" i="84"/>
  <c r="BH38" i="84" s="1"/>
  <c r="BG34" i="84"/>
  <c r="BG38" i="84" s="1"/>
  <c r="AY34" i="84"/>
  <c r="AY38" i="84" s="1"/>
  <c r="AX34" i="84"/>
  <c r="AX38" i="84" s="1"/>
  <c r="AW34" i="84"/>
  <c r="AV34" i="84"/>
  <c r="AV38" i="84" s="1"/>
  <c r="AU34" i="84"/>
  <c r="AU38" i="84" s="1"/>
  <c r="AM34" i="84"/>
  <c r="AM38" i="84" s="1"/>
  <c r="AL34" i="84"/>
  <c r="AL38" i="84" s="1"/>
  <c r="AK34" i="84"/>
  <c r="AJ34" i="84"/>
  <c r="AJ38" i="84" s="1"/>
  <c r="AI34" i="84"/>
  <c r="AI38" i="84" s="1"/>
  <c r="AF34" i="84"/>
  <c r="AF38" i="84" s="1"/>
  <c r="AE34" i="84"/>
  <c r="AE38" i="84" s="1"/>
  <c r="AA34" i="84"/>
  <c r="AA38" i="84" s="1"/>
  <c r="Z34" i="84"/>
  <c r="Z38" i="84" s="1"/>
  <c r="Y34" i="84"/>
  <c r="X34" i="84"/>
  <c r="X38" i="84" s="1"/>
  <c r="W34" i="84"/>
  <c r="W38" i="84" s="1"/>
  <c r="V34" i="84"/>
  <c r="V38" i="84" s="1"/>
  <c r="U34" i="84"/>
  <c r="T34" i="84"/>
  <c r="T38" i="84" s="1"/>
  <c r="S34" i="84"/>
  <c r="S38" i="84" s="1"/>
  <c r="Q34" i="84"/>
  <c r="O34" i="84"/>
  <c r="O38" i="84" s="1"/>
  <c r="N34" i="84"/>
  <c r="M34" i="84"/>
  <c r="L34" i="84"/>
  <c r="L38" i="84" s="1"/>
  <c r="R38" i="84" s="1"/>
  <c r="K34" i="84"/>
  <c r="J34" i="84" s="1"/>
  <c r="J38" i="84" s="1"/>
  <c r="I34" i="84"/>
  <c r="H34" i="84"/>
  <c r="H38" i="84" s="1"/>
  <c r="G34" i="84"/>
  <c r="G38" i="84" s="1"/>
  <c r="F34" i="84"/>
  <c r="E34" i="84"/>
  <c r="BF33" i="84"/>
  <c r="AT33" i="84"/>
  <c r="AH33" i="84"/>
  <c r="V33" i="84"/>
  <c r="J33" i="84"/>
  <c r="D33" i="84"/>
  <c r="BF32" i="84"/>
  <c r="AT32" i="84"/>
  <c r="AH32" i="84"/>
  <c r="V32" i="84"/>
  <c r="P32" i="84"/>
  <c r="BS32" i="84" s="1"/>
  <c r="J32" i="84"/>
  <c r="D32" i="84"/>
  <c r="BF31" i="84"/>
  <c r="AT31" i="84"/>
  <c r="AH31" i="84"/>
  <c r="V31" i="84"/>
  <c r="P31" i="84"/>
  <c r="J31" i="84"/>
  <c r="BR31" i="84" s="1"/>
  <c r="D31" i="84"/>
  <c r="BS31" i="84" s="1"/>
  <c r="BW30" i="84"/>
  <c r="BV30" i="84"/>
  <c r="BU30" i="84"/>
  <c r="BT30" i="84"/>
  <c r="BS30" i="84"/>
  <c r="BR30" i="84"/>
  <c r="BK29" i="84"/>
  <c r="BJ29" i="84"/>
  <c r="BI29" i="84"/>
  <c r="BH29" i="84"/>
  <c r="BG29" i="84"/>
  <c r="BF29" i="84"/>
  <c r="AY29" i="84"/>
  <c r="AX29" i="84"/>
  <c r="AW29" i="84"/>
  <c r="AV29" i="84"/>
  <c r="AU29" i="84"/>
  <c r="AT29" i="84"/>
  <c r="AM29" i="84"/>
  <c r="AL29" i="84"/>
  <c r="AK29" i="84"/>
  <c r="AJ29" i="84"/>
  <c r="AI29" i="84"/>
  <c r="AH29" i="84"/>
  <c r="AA29" i="84"/>
  <c r="Z29" i="84"/>
  <c r="Y29" i="84"/>
  <c r="X29" i="84"/>
  <c r="W29" i="84"/>
  <c r="V29" i="84"/>
  <c r="U29" i="84"/>
  <c r="T29" i="84"/>
  <c r="S29" i="84"/>
  <c r="O29" i="84"/>
  <c r="N29" i="84"/>
  <c r="M29" i="84"/>
  <c r="L29" i="84"/>
  <c r="K29" i="84"/>
  <c r="J29" i="84"/>
  <c r="I29" i="84"/>
  <c r="H29" i="84"/>
  <c r="G29" i="84"/>
  <c r="F29" i="84"/>
  <c r="D29" i="84" s="1"/>
  <c r="E29" i="84"/>
  <c r="E38" i="84" s="1"/>
  <c r="BF28" i="84"/>
  <c r="AT28" i="84"/>
  <c r="AH28" i="84"/>
  <c r="V28" i="84"/>
  <c r="R28" i="84"/>
  <c r="Q28" i="84"/>
  <c r="Q26" i="84" s="1"/>
  <c r="P28" i="84"/>
  <c r="BS28" i="84" s="1"/>
  <c r="J28" i="84"/>
  <c r="BR28" i="84" s="1"/>
  <c r="D28" i="84"/>
  <c r="BF27" i="84"/>
  <c r="AT27" i="84"/>
  <c r="AH27" i="84"/>
  <c r="V27" i="84"/>
  <c r="P27" i="84"/>
  <c r="BS27" i="84" s="1"/>
  <c r="J27" i="84"/>
  <c r="D27" i="84"/>
  <c r="BK26" i="84"/>
  <c r="BK21" i="84" s="1"/>
  <c r="BK101" i="84" s="1"/>
  <c r="BJ26" i="84"/>
  <c r="BJ21" i="84" s="1"/>
  <c r="BJ101" i="84" s="1"/>
  <c r="BI26" i="84"/>
  <c r="BH26" i="84"/>
  <c r="BG26" i="84"/>
  <c r="BG21" i="84" s="1"/>
  <c r="BF26" i="84"/>
  <c r="AY26" i="84"/>
  <c r="AY21" i="84" s="1"/>
  <c r="AY101" i="84" s="1"/>
  <c r="AX26" i="84"/>
  <c r="AX21" i="84" s="1"/>
  <c r="AX101" i="84" s="1"/>
  <c r="AW26" i="84"/>
  <c r="AV26" i="84"/>
  <c r="AU26" i="84"/>
  <c r="AU21" i="84" s="1"/>
  <c r="AT26" i="84"/>
  <c r="AM26" i="84"/>
  <c r="AM21" i="84" s="1"/>
  <c r="AM101" i="84" s="1"/>
  <c r="AL26" i="84"/>
  <c r="AL21" i="84" s="1"/>
  <c r="AL101" i="84" s="1"/>
  <c r="AK26" i="84"/>
  <c r="AJ26" i="84"/>
  <c r="AI26" i="84"/>
  <c r="AI21" i="84" s="1"/>
  <c r="AH26" i="84"/>
  <c r="AA26" i="84"/>
  <c r="AA21" i="84" s="1"/>
  <c r="AA101" i="84" s="1"/>
  <c r="Z26" i="84"/>
  <c r="Z21" i="84" s="1"/>
  <c r="Z101" i="84" s="1"/>
  <c r="Y26" i="84"/>
  <c r="X26" i="84"/>
  <c r="W26" i="84"/>
  <c r="W21" i="84" s="1"/>
  <c r="V26" i="84"/>
  <c r="U26" i="84"/>
  <c r="T26" i="84"/>
  <c r="S26" i="84"/>
  <c r="S21" i="84" s="1"/>
  <c r="R26" i="84"/>
  <c r="O26" i="84"/>
  <c r="O21" i="84" s="1"/>
  <c r="O101" i="84" s="1"/>
  <c r="N26" i="84"/>
  <c r="N21" i="84" s="1"/>
  <c r="N101" i="84" s="1"/>
  <c r="M26" i="84"/>
  <c r="L26" i="84"/>
  <c r="K26" i="84"/>
  <c r="K21" i="84" s="1"/>
  <c r="J26" i="84"/>
  <c r="I26" i="84"/>
  <c r="H26" i="84"/>
  <c r="G26" i="84"/>
  <c r="G21" i="84" s="1"/>
  <c r="D26" i="84"/>
  <c r="BF25" i="84"/>
  <c r="AT25" i="84"/>
  <c r="AH25" i="84"/>
  <c r="V25" i="84"/>
  <c r="Q25" i="84"/>
  <c r="P25" i="84"/>
  <c r="BR25" i="84" s="1"/>
  <c r="J25" i="84"/>
  <c r="D25" i="84"/>
  <c r="BR24" i="84"/>
  <c r="BF24" i="84"/>
  <c r="AT24" i="84"/>
  <c r="AH24" i="84"/>
  <c r="V24" i="84"/>
  <c r="P24" i="84"/>
  <c r="J24" i="84"/>
  <c r="D24" i="84"/>
  <c r="BS24" i="84" s="1"/>
  <c r="BF23" i="84"/>
  <c r="AT23" i="84"/>
  <c r="AH23" i="84"/>
  <c r="V23" i="84"/>
  <c r="P23" i="84"/>
  <c r="BR23" i="84" s="1"/>
  <c r="J23" i="84"/>
  <c r="D23" i="84"/>
  <c r="BS23" i="84" s="1"/>
  <c r="BK22" i="84"/>
  <c r="BJ22" i="84"/>
  <c r="BI22" i="84"/>
  <c r="BH22" i="84"/>
  <c r="BF22" i="84" s="1"/>
  <c r="BG22" i="84"/>
  <c r="AY22" i="84"/>
  <c r="AX22" i="84"/>
  <c r="AW22" i="84"/>
  <c r="AV22" i="84"/>
  <c r="AT22" i="84" s="1"/>
  <c r="AU22" i="84"/>
  <c r="AM22" i="84"/>
  <c r="AL22" i="84"/>
  <c r="AK22" i="84"/>
  <c r="AJ22" i="84"/>
  <c r="AH22" i="84" s="1"/>
  <c r="AI22" i="84"/>
  <c r="AA22" i="84"/>
  <c r="Z22" i="84"/>
  <c r="Y22" i="84"/>
  <c r="X22" i="84"/>
  <c r="V22" i="84" s="1"/>
  <c r="W22" i="84"/>
  <c r="U22" i="84"/>
  <c r="T22" i="84"/>
  <c r="S22" i="84"/>
  <c r="R22" i="84"/>
  <c r="Q22" i="84"/>
  <c r="P22" i="84"/>
  <c r="O22" i="84"/>
  <c r="N22" i="84"/>
  <c r="M22" i="84"/>
  <c r="L22" i="84"/>
  <c r="J22" i="84" s="1"/>
  <c r="K22" i="84"/>
  <c r="I22" i="84"/>
  <c r="H22" i="84"/>
  <c r="G22" i="84"/>
  <c r="F22" i="84"/>
  <c r="E22" i="84"/>
  <c r="D22" i="84"/>
  <c r="BI21" i="84"/>
  <c r="BI101" i="84" s="1"/>
  <c r="BH21" i="84"/>
  <c r="BH101" i="84" s="1"/>
  <c r="AW21" i="84"/>
  <c r="AW101" i="84" s="1"/>
  <c r="AV21" i="84"/>
  <c r="AV101" i="84" s="1"/>
  <c r="AK21" i="84"/>
  <c r="AK101" i="84" s="1"/>
  <c r="AJ21" i="84"/>
  <c r="AJ101" i="84" s="1"/>
  <c r="Y21" i="84"/>
  <c r="Y101" i="84" s="1"/>
  <c r="X21" i="84"/>
  <c r="X101" i="84" s="1"/>
  <c r="U21" i="84"/>
  <c r="U101" i="84" s="1"/>
  <c r="T21" i="84"/>
  <c r="T101" i="84" s="1"/>
  <c r="M21" i="84"/>
  <c r="M101" i="84" s="1"/>
  <c r="I21" i="84"/>
  <c r="I101" i="84" s="1"/>
  <c r="H21" i="84"/>
  <c r="H101" i="84" s="1"/>
  <c r="F21" i="84"/>
  <c r="F101" i="84" s="1"/>
  <c r="E21" i="84"/>
  <c r="E101" i="84" s="1"/>
  <c r="BT20" i="84"/>
  <c r="BL20" i="84"/>
  <c r="BW20" i="84" s="1"/>
  <c r="BF20" i="84"/>
  <c r="AZ20" i="84"/>
  <c r="AT20" i="84"/>
  <c r="AN20" i="84"/>
  <c r="BV20" i="84" s="1"/>
  <c r="AH20" i="84"/>
  <c r="AB20" i="84"/>
  <c r="V20" i="84"/>
  <c r="P20" i="84"/>
  <c r="BR20" i="84" s="1"/>
  <c r="J20" i="84"/>
  <c r="D20" i="84"/>
  <c r="BP19" i="84"/>
  <c r="BL19" i="84" s="1"/>
  <c r="BM19" i="84"/>
  <c r="BF19" i="84"/>
  <c r="BD19" i="84"/>
  <c r="AZ19" i="84" s="1"/>
  <c r="BV19" i="84" s="1"/>
  <c r="BA19" i="84"/>
  <c r="AT19" i="84"/>
  <c r="AR19" i="84"/>
  <c r="AN19" i="84" s="1"/>
  <c r="BU19" i="84" s="1"/>
  <c r="AO19" i="84"/>
  <c r="AH19" i="84"/>
  <c r="AF19" i="84"/>
  <c r="AB19" i="84" s="1"/>
  <c r="BT19" i="84" s="1"/>
  <c r="AC19" i="84"/>
  <c r="V19" i="84"/>
  <c r="T19" i="84"/>
  <c r="P19" i="84" s="1"/>
  <c r="Q19" i="84"/>
  <c r="J19" i="84"/>
  <c r="D19" i="84"/>
  <c r="BU18" i="84"/>
  <c r="BT18" i="84"/>
  <c r="BL18" i="84"/>
  <c r="BW18" i="84" s="1"/>
  <c r="BF18" i="84"/>
  <c r="AZ18" i="84"/>
  <c r="AT18" i="84"/>
  <c r="AN18" i="84"/>
  <c r="BV18" i="84" s="1"/>
  <c r="AH18" i="84"/>
  <c r="AB18" i="84"/>
  <c r="V18" i="84"/>
  <c r="P18" i="84"/>
  <c r="BR18" i="84" s="1"/>
  <c r="J18" i="84"/>
  <c r="D18" i="84"/>
  <c r="BU17" i="84"/>
  <c r="BM17" i="84"/>
  <c r="BL17" i="84" s="1"/>
  <c r="BW17" i="84" s="1"/>
  <c r="BF17" i="84"/>
  <c r="BA17" i="84"/>
  <c r="AZ17" i="84"/>
  <c r="BV17" i="84" s="1"/>
  <c r="AT17" i="84"/>
  <c r="AO17" i="84"/>
  <c r="AN17" i="84"/>
  <c r="AH17" i="84"/>
  <c r="AC17" i="84"/>
  <c r="AB17" i="84"/>
  <c r="BT17" i="84" s="1"/>
  <c r="V17" i="84"/>
  <c r="Q17" i="84"/>
  <c r="P17" i="84" s="1"/>
  <c r="J17" i="84"/>
  <c r="D17" i="84"/>
  <c r="BW16" i="84"/>
  <c r="BS16" i="84"/>
  <c r="BM16" i="84"/>
  <c r="BL16" i="84"/>
  <c r="BF16" i="84"/>
  <c r="BA16" i="84"/>
  <c r="AZ16" i="84"/>
  <c r="BV16" i="84" s="1"/>
  <c r="AT16" i="84"/>
  <c r="AO16" i="84"/>
  <c r="AN16" i="84" s="1"/>
  <c r="BU16" i="84" s="1"/>
  <c r="AH16" i="84"/>
  <c r="AC16" i="84"/>
  <c r="AB16" i="84"/>
  <c r="BT16" i="84" s="1"/>
  <c r="V16" i="84"/>
  <c r="Q16" i="84"/>
  <c r="P16" i="84"/>
  <c r="BR16" i="84" s="1"/>
  <c r="J16" i="84"/>
  <c r="D16" i="84"/>
  <c r="BQ15" i="84"/>
  <c r="BQ103" i="84" s="1"/>
  <c r="BO15" i="84"/>
  <c r="BO103" i="84" s="1"/>
  <c r="BN15" i="84"/>
  <c r="BN103" i="84" s="1"/>
  <c r="BM15" i="84"/>
  <c r="BM103" i="84" s="1"/>
  <c r="BK15" i="84"/>
  <c r="BK103" i="84" s="1"/>
  <c r="BJ15" i="84"/>
  <c r="BJ103" i="84" s="1"/>
  <c r="BI15" i="84"/>
  <c r="BI103" i="84" s="1"/>
  <c r="BH15" i="84"/>
  <c r="BH103" i="84" s="1"/>
  <c r="BG15" i="84"/>
  <c r="BG103" i="84" s="1"/>
  <c r="BE15" i="84"/>
  <c r="BE103" i="84" s="1"/>
  <c r="BC15" i="84"/>
  <c r="BC103" i="84" s="1"/>
  <c r="BB15" i="84"/>
  <c r="BB103" i="84" s="1"/>
  <c r="BA15" i="84"/>
  <c r="BA103" i="84" s="1"/>
  <c r="AY15" i="84"/>
  <c r="AY103" i="84" s="1"/>
  <c r="AX15" i="84"/>
  <c r="AX103" i="84" s="1"/>
  <c r="AW15" i="84"/>
  <c r="AW103" i="84" s="1"/>
  <c r="AV15" i="84"/>
  <c r="AV103" i="84" s="1"/>
  <c r="AU15" i="84"/>
  <c r="AU103" i="84" s="1"/>
  <c r="AS15" i="84"/>
  <c r="AS103" i="84" s="1"/>
  <c r="AQ15" i="84"/>
  <c r="AQ103" i="84" s="1"/>
  <c r="AP15" i="84"/>
  <c r="AP103" i="84" s="1"/>
  <c r="AO15" i="84"/>
  <c r="AO103" i="84" s="1"/>
  <c r="AM15" i="84"/>
  <c r="AM103" i="84" s="1"/>
  <c r="AL15" i="84"/>
  <c r="AL103" i="84" s="1"/>
  <c r="AK15" i="84"/>
  <c r="AK103" i="84" s="1"/>
  <c r="AJ15" i="84"/>
  <c r="AJ103" i="84" s="1"/>
  <c r="AI15" i="84"/>
  <c r="AI103" i="84" s="1"/>
  <c r="AG15" i="84"/>
  <c r="AG103" i="84" s="1"/>
  <c r="AE15" i="84"/>
  <c r="AE103" i="84" s="1"/>
  <c r="AD15" i="84"/>
  <c r="AD103" i="84" s="1"/>
  <c r="AC15" i="84"/>
  <c r="AC103" i="84" s="1"/>
  <c r="AA15" i="84"/>
  <c r="AA103" i="84" s="1"/>
  <c r="Z15" i="84"/>
  <c r="Z103" i="84" s="1"/>
  <c r="Y15" i="84"/>
  <c r="Y103" i="84" s="1"/>
  <c r="X15" i="84"/>
  <c r="X103" i="84" s="1"/>
  <c r="W15" i="84"/>
  <c r="W103" i="84" s="1"/>
  <c r="U15" i="84"/>
  <c r="U103" i="84" s="1"/>
  <c r="S15" i="84"/>
  <c r="R15" i="84"/>
  <c r="R103" i="84" s="1"/>
  <c r="Q15" i="84"/>
  <c r="Q103" i="84" s="1"/>
  <c r="O15" i="84"/>
  <c r="O103" i="84" s="1"/>
  <c r="N15" i="84"/>
  <c r="N103" i="84" s="1"/>
  <c r="M15" i="84"/>
  <c r="M103" i="84" s="1"/>
  <c r="L15" i="84"/>
  <c r="L103" i="84" s="1"/>
  <c r="K15" i="84"/>
  <c r="K103" i="84" s="1"/>
  <c r="I15" i="84"/>
  <c r="I103" i="84" s="1"/>
  <c r="H15" i="84"/>
  <c r="H103" i="84" s="1"/>
  <c r="G15" i="84"/>
  <c r="G103" i="84" s="1"/>
  <c r="F15" i="84"/>
  <c r="F103" i="84" s="1"/>
  <c r="E15" i="84"/>
  <c r="E103" i="84" s="1"/>
  <c r="D103" i="84" s="1"/>
  <c r="BW14" i="84"/>
  <c r="BV14" i="84"/>
  <c r="BU14" i="84"/>
  <c r="BT14" i="84"/>
  <c r="BS14" i="84"/>
  <c r="BR14" i="84"/>
  <c r="BS13" i="84"/>
  <c r="BR13" i="84"/>
  <c r="AH13" i="84"/>
  <c r="AT13" i="84" s="1"/>
  <c r="BF13" i="84" s="1"/>
  <c r="AB13" i="84"/>
  <c r="BT13" i="84" s="1"/>
  <c r="V13" i="84"/>
  <c r="BS12" i="84"/>
  <c r="BR12" i="84"/>
  <c r="AT12" i="84"/>
  <c r="BF12" i="84" s="1"/>
  <c r="AN12" i="84"/>
  <c r="BU12" i="84" s="1"/>
  <c r="AH12" i="84"/>
  <c r="AB12" i="84"/>
  <c r="BT12" i="84" s="1"/>
  <c r="BS11" i="84"/>
  <c r="BR11" i="84"/>
  <c r="AP11" i="84"/>
  <c r="AP8" i="84" s="1"/>
  <c r="AF11" i="84"/>
  <c r="AG11" i="84" s="1"/>
  <c r="AD11" i="84"/>
  <c r="AC11" i="84"/>
  <c r="AE11" i="84" s="1"/>
  <c r="AE8" i="84" s="1"/>
  <c r="AB11" i="84"/>
  <c r="BT11" i="84" s="1"/>
  <c r="BW10" i="84"/>
  <c r="BV10" i="84"/>
  <c r="BU10" i="84"/>
  <c r="BT10" i="84"/>
  <c r="BS10" i="84"/>
  <c r="BR10" i="84"/>
  <c r="BW9" i="84"/>
  <c r="BV9" i="84"/>
  <c r="BS9" i="84"/>
  <c r="BR9" i="84"/>
  <c r="BL9" i="84"/>
  <c r="AZ9" i="84"/>
  <c r="AN9" i="84"/>
  <c r="AB9" i="84"/>
  <c r="BT9" i="84" s="1"/>
  <c r="P9" i="84"/>
  <c r="BS8" i="84"/>
  <c r="BR8" i="84"/>
  <c r="J111" i="87" l="1"/>
  <c r="P111" i="87"/>
  <c r="M38" i="87"/>
  <c r="N38" i="87" s="1"/>
  <c r="O38" i="87"/>
  <c r="K37" i="87"/>
  <c r="S44" i="87"/>
  <c r="Q44" i="87"/>
  <c r="R44" i="87" s="1"/>
  <c r="Q93" i="87"/>
  <c r="R93" i="87" s="1"/>
  <c r="S93" i="87"/>
  <c r="R8" i="87"/>
  <c r="Z14" i="87"/>
  <c r="Q94" i="87"/>
  <c r="R92" i="87"/>
  <c r="J43" i="87"/>
  <c r="I45" i="87"/>
  <c r="J45" i="87" s="1"/>
  <c r="H43" i="87"/>
  <c r="N93" i="87"/>
  <c r="N8" i="87"/>
  <c r="I94" i="87"/>
  <c r="T38" i="87"/>
  <c r="V92" i="87"/>
  <c r="M94" i="87"/>
  <c r="N92" i="87"/>
  <c r="Q19" i="87"/>
  <c r="R19" i="87" s="1"/>
  <c r="S19" i="87"/>
  <c r="M25" i="87"/>
  <c r="N25" i="87" s="1"/>
  <c r="P25" i="87"/>
  <c r="H14" i="87"/>
  <c r="Z92" i="87"/>
  <c r="G14" i="87"/>
  <c r="G15" i="87" s="1"/>
  <c r="G6" i="87"/>
  <c r="G8" i="87" s="1"/>
  <c r="G9" i="87" s="1"/>
  <c r="K40" i="87"/>
  <c r="L109" i="87"/>
  <c r="L39" i="87"/>
  <c r="K26" i="87"/>
  <c r="K14" i="87"/>
  <c r="N14" i="87"/>
  <c r="K20" i="87"/>
  <c r="Z33" i="87"/>
  <c r="R33" i="87"/>
  <c r="J33" i="87"/>
  <c r="W25" i="87"/>
  <c r="AX109" i="86"/>
  <c r="AX112" i="86" s="1"/>
  <c r="AX125" i="86"/>
  <c r="AL109" i="86"/>
  <c r="AL112" i="86" s="1"/>
  <c r="AL125" i="86"/>
  <c r="Z125" i="86"/>
  <c r="Z109" i="86"/>
  <c r="Z112" i="86" s="1"/>
  <c r="N125" i="86"/>
  <c r="N109" i="86"/>
  <c r="N112" i="86" s="1"/>
  <c r="L109" i="86"/>
  <c r="L112" i="86" s="1"/>
  <c r="S99" i="86"/>
  <c r="H125" i="86"/>
  <c r="H109" i="86"/>
  <c r="H112" i="86" s="1"/>
  <c r="BV126" i="86"/>
  <c r="BU126" i="86"/>
  <c r="BL120" i="86"/>
  <c r="BV120" i="86"/>
  <c r="BE105" i="86"/>
  <c r="BQ92" i="86"/>
  <c r="BQ105" i="86" s="1"/>
  <c r="D104" i="86"/>
  <c r="BV94" i="86"/>
  <c r="P110" i="86"/>
  <c r="X110" i="86"/>
  <c r="X104" i="86"/>
  <c r="X99" i="86" s="1"/>
  <c r="AH71" i="86"/>
  <c r="AI63" i="86"/>
  <c r="BU61" i="86"/>
  <c r="BT61" i="86"/>
  <c r="G102" i="86"/>
  <c r="D59" i="86"/>
  <c r="AO111" i="86"/>
  <c r="AN111" i="86" s="1"/>
  <c r="BU111" i="86" s="1"/>
  <c r="AN70" i="86"/>
  <c r="BU70" i="86" s="1"/>
  <c r="AO63" i="86"/>
  <c r="V85" i="86"/>
  <c r="BA73" i="86"/>
  <c r="AN73" i="86"/>
  <c r="BU73" i="86" s="1"/>
  <c r="AE101" i="86"/>
  <c r="AE56" i="86"/>
  <c r="AE53" i="86"/>
  <c r="AE58" i="86"/>
  <c r="AE43" i="86"/>
  <c r="AE51" i="86"/>
  <c r="AE49" i="86"/>
  <c r="AE45" i="86"/>
  <c r="AE57" i="86"/>
  <c r="AE52" i="86"/>
  <c r="AE47" i="86"/>
  <c r="AE54" i="86"/>
  <c r="AE50" i="86"/>
  <c r="AE48" i="86"/>
  <c r="AE46" i="86"/>
  <c r="AE44" i="86"/>
  <c r="AE40" i="86"/>
  <c r="AE33" i="86"/>
  <c r="AE31" i="86"/>
  <c r="AE29" i="86" s="1"/>
  <c r="AE23" i="86"/>
  <c r="AE22" i="86" s="1"/>
  <c r="AE41" i="86"/>
  <c r="AE25" i="86"/>
  <c r="AE27" i="86"/>
  <c r="AE26" i="86" s="1"/>
  <c r="AE32" i="86"/>
  <c r="AE28" i="86"/>
  <c r="AE24" i="86"/>
  <c r="BB34" i="86"/>
  <c r="BN35" i="86"/>
  <c r="BN34" i="86" s="1"/>
  <c r="AP34" i="86"/>
  <c r="BS39" i="86"/>
  <c r="BR39" i="86"/>
  <c r="S105" i="86"/>
  <c r="AE92" i="86"/>
  <c r="AN37" i="86"/>
  <c r="BU37" i="86" s="1"/>
  <c r="BA37" i="86"/>
  <c r="BA34" i="86" s="1"/>
  <c r="BV15" i="86"/>
  <c r="BW15" i="86"/>
  <c r="BU103" i="86"/>
  <c r="BJ125" i="86"/>
  <c r="V110" i="86"/>
  <c r="BB105" i="86"/>
  <c r="BN92" i="86"/>
  <c r="BN105" i="86" s="1"/>
  <c r="J104" i="86"/>
  <c r="AR105" i="86"/>
  <c r="BD92" i="86"/>
  <c r="BH110" i="86"/>
  <c r="BF110" i="86" s="1"/>
  <c r="BH104" i="86"/>
  <c r="V71" i="86"/>
  <c r="W63" i="86"/>
  <c r="BL64" i="86"/>
  <c r="BW64" i="86" s="1"/>
  <c r="BG102" i="86"/>
  <c r="BF59" i="86"/>
  <c r="BF115" i="86" s="1"/>
  <c r="BM90" i="86"/>
  <c r="AZ90" i="86"/>
  <c r="BV90" i="86" s="1"/>
  <c r="BA87" i="86"/>
  <c r="BA70" i="86"/>
  <c r="BS60" i="86"/>
  <c r="BR60" i="86"/>
  <c r="Q78" i="86"/>
  <c r="Q29" i="86"/>
  <c r="P33" i="86"/>
  <c r="BS50" i="86"/>
  <c r="BR50" i="86"/>
  <c r="F109" i="86"/>
  <c r="F112" i="86" s="1"/>
  <c r="BM36" i="86"/>
  <c r="BL36" i="86" s="1"/>
  <c r="BW36" i="86" s="1"/>
  <c r="AZ36" i="86"/>
  <c r="E99" i="86"/>
  <c r="AZ12" i="86"/>
  <c r="BU12" i="86"/>
  <c r="AO11" i="86"/>
  <c r="AN34" i="86"/>
  <c r="BH99" i="86"/>
  <c r="BW103" i="86"/>
  <c r="AG11" i="86"/>
  <c r="AG8" i="86" s="1"/>
  <c r="AG21" i="86" s="1"/>
  <c r="AF8" i="86"/>
  <c r="AF21" i="86" s="1"/>
  <c r="BW107" i="86"/>
  <c r="BS94" i="86"/>
  <c r="BR94" i="86"/>
  <c r="BF104" i="86"/>
  <c r="AB110" i="86"/>
  <c r="BT110" i="86" s="1"/>
  <c r="J110" i="86"/>
  <c r="AV110" i="86"/>
  <c r="AT110" i="86" s="1"/>
  <c r="AV104" i="86"/>
  <c r="AT104" i="86" s="1"/>
  <c r="BU90" i="86"/>
  <c r="BS66" i="86"/>
  <c r="BR66" i="86"/>
  <c r="BS55" i="86"/>
  <c r="BR55" i="86"/>
  <c r="BV60" i="86"/>
  <c r="D115" i="86"/>
  <c r="AB34" i="86"/>
  <c r="BM35" i="86"/>
  <c r="AZ35" i="86"/>
  <c r="BV35" i="86" s="1"/>
  <c r="BS15" i="86"/>
  <c r="BR15" i="86"/>
  <c r="BO34" i="86"/>
  <c r="BO38" i="86" s="1"/>
  <c r="BS26" i="86"/>
  <c r="BR26" i="86"/>
  <c r="BU117" i="86"/>
  <c r="BV117" i="86"/>
  <c r="BT94" i="86"/>
  <c r="P104" i="86"/>
  <c r="BT104" i="86" s="1"/>
  <c r="BR107" i="86"/>
  <c r="BS107" i="86"/>
  <c r="AJ110" i="86"/>
  <c r="AH110" i="86" s="1"/>
  <c r="AJ104" i="86"/>
  <c r="AJ99" i="86" s="1"/>
  <c r="K102" i="86"/>
  <c r="J59" i="86"/>
  <c r="J115" i="86" s="1"/>
  <c r="AN87" i="86"/>
  <c r="BU87" i="86" s="1"/>
  <c r="AO85" i="86"/>
  <c r="BF85" i="86"/>
  <c r="P63" i="86"/>
  <c r="AU99" i="86"/>
  <c r="R78" i="86"/>
  <c r="R75" i="86" s="1"/>
  <c r="R59" i="86" s="1"/>
  <c r="R102" i="86" s="1"/>
  <c r="R29" i="86"/>
  <c r="R21" i="86" s="1"/>
  <c r="BS42" i="86"/>
  <c r="BR42" i="86"/>
  <c r="AC103" i="86"/>
  <c r="AB103" i="86" s="1"/>
  <c r="AB15" i="86"/>
  <c r="AN36" i="86"/>
  <c r="BU36" i="86" s="1"/>
  <c r="BQ35" i="86"/>
  <c r="BQ34" i="86" s="1"/>
  <c r="BQ38" i="86" s="1"/>
  <c r="BE34" i="86"/>
  <c r="BE38" i="86" s="1"/>
  <c r="BU35" i="86"/>
  <c r="P103" i="86"/>
  <c r="BC34" i="86"/>
  <c r="BC38" i="86" s="1"/>
  <c r="T99" i="86"/>
  <c r="BU15" i="86"/>
  <c r="I14" i="85"/>
  <c r="J14" i="85" s="1"/>
  <c r="Y14" i="85"/>
  <c r="N13" i="85"/>
  <c r="V13" i="85"/>
  <c r="K26" i="85"/>
  <c r="K20" i="85"/>
  <c r="K14" i="85"/>
  <c r="I7" i="85"/>
  <c r="J7" i="85" s="1"/>
  <c r="G12" i="85"/>
  <c r="S19" i="85"/>
  <c r="Q19" i="85"/>
  <c r="H7" i="85"/>
  <c r="L7" i="85"/>
  <c r="M7" i="85" s="1"/>
  <c r="P7" i="85"/>
  <c r="Q7" i="85" s="1"/>
  <c r="T7" i="85"/>
  <c r="U7" i="85" s="1"/>
  <c r="Y8" i="85"/>
  <c r="J12" i="85"/>
  <c r="N12" i="85"/>
  <c r="R12" i="85"/>
  <c r="V12" i="85"/>
  <c r="Z12" i="85"/>
  <c r="I25" i="85"/>
  <c r="Z33" i="85"/>
  <c r="J37" i="85"/>
  <c r="I39" i="85"/>
  <c r="J39" i="85" s="1"/>
  <c r="M19" i="85"/>
  <c r="N19" i="85" s="1"/>
  <c r="K25" i="85"/>
  <c r="D33" i="85"/>
  <c r="F31" i="85"/>
  <c r="F33" i="85" s="1"/>
  <c r="I33" i="85"/>
  <c r="J31" i="85"/>
  <c r="I92" i="85"/>
  <c r="I43" i="85"/>
  <c r="Q33" i="85"/>
  <c r="R31" i="85"/>
  <c r="Q92" i="85"/>
  <c r="J32" i="85"/>
  <c r="H40" i="85"/>
  <c r="K39" i="85"/>
  <c r="E113" i="85"/>
  <c r="F113" i="85" s="1"/>
  <c r="F108" i="85" s="1"/>
  <c r="P25" i="85"/>
  <c r="E34" i="85"/>
  <c r="M93" i="85"/>
  <c r="O93" i="85"/>
  <c r="U14" i="85"/>
  <c r="V14" i="85" s="1"/>
  <c r="G92" i="85"/>
  <c r="G94" i="85" s="1"/>
  <c r="M33" i="85"/>
  <c r="N33" i="85" s="1"/>
  <c r="N31" i="85"/>
  <c r="M92" i="85"/>
  <c r="U33" i="85"/>
  <c r="V33" i="85" s="1"/>
  <c r="V31" i="85"/>
  <c r="U92" i="85"/>
  <c r="P38" i="85"/>
  <c r="O44" i="85"/>
  <c r="M44" i="85"/>
  <c r="N44" i="85" s="1"/>
  <c r="E118" i="85"/>
  <c r="E114" i="85" s="1"/>
  <c r="K38" i="85"/>
  <c r="Y92" i="85"/>
  <c r="I93" i="85"/>
  <c r="E110" i="85"/>
  <c r="K111" i="85"/>
  <c r="G33" i="85"/>
  <c r="G34" i="85" s="1"/>
  <c r="Z31" i="85"/>
  <c r="Z99" i="84"/>
  <c r="BS17" i="84"/>
  <c r="BR17" i="84"/>
  <c r="BR22" i="84"/>
  <c r="S101" i="84"/>
  <c r="AE21" i="84"/>
  <c r="W101" i="84"/>
  <c r="V21" i="84"/>
  <c r="AU101" i="84"/>
  <c r="AT21" i="84"/>
  <c r="BS19" i="84"/>
  <c r="BR19" i="84"/>
  <c r="BW19" i="84"/>
  <c r="BJ99" i="84"/>
  <c r="BJ109" i="84" s="1"/>
  <c r="P26" i="84"/>
  <c r="G101" i="84"/>
  <c r="D101" i="84" s="1"/>
  <c r="D21" i="84"/>
  <c r="K101" i="84"/>
  <c r="AI101" i="84"/>
  <c r="AH21" i="84"/>
  <c r="BG101" i="84"/>
  <c r="BF21" i="84"/>
  <c r="BC35" i="84"/>
  <c r="AQ34" i="84"/>
  <c r="AQ38" i="84" s="1"/>
  <c r="AP37" i="84"/>
  <c r="BB37" i="84" s="1"/>
  <c r="BN37" i="84" s="1"/>
  <c r="AD34" i="84"/>
  <c r="J15" i="84"/>
  <c r="V15" i="84"/>
  <c r="AH15" i="84"/>
  <c r="AH115" i="84" s="1"/>
  <c r="AT15" i="84"/>
  <c r="BF15" i="84"/>
  <c r="AZ12" i="84"/>
  <c r="AN13" i="84"/>
  <c r="AD8" i="84"/>
  <c r="BU9" i="84"/>
  <c r="AO11" i="84"/>
  <c r="D15" i="84"/>
  <c r="P15" i="84"/>
  <c r="T15" i="84"/>
  <c r="T103" i="84" s="1"/>
  <c r="AF15" i="84"/>
  <c r="AF103" i="84" s="1"/>
  <c r="AB103" i="84" s="1"/>
  <c r="AN15" i="84"/>
  <c r="AR15" i="84"/>
  <c r="AR103" i="84" s="1"/>
  <c r="BD15" i="84"/>
  <c r="BD103" i="84" s="1"/>
  <c r="AZ103" i="84" s="1"/>
  <c r="BV103" i="84" s="1"/>
  <c r="BL15" i="84"/>
  <c r="BP15" i="84"/>
  <c r="BP103" i="84" s="1"/>
  <c r="BS18" i="84"/>
  <c r="BS20" i="84"/>
  <c r="BS22" i="84"/>
  <c r="BS25" i="84"/>
  <c r="BR32" i="84"/>
  <c r="D34" i="84"/>
  <c r="D38" i="84" s="1"/>
  <c r="F38" i="84"/>
  <c r="N38" i="84"/>
  <c r="AH34" i="84"/>
  <c r="AH38" i="84" s="1"/>
  <c r="AT34" i="84"/>
  <c r="AT38" i="84" s="1"/>
  <c r="BF34" i="84"/>
  <c r="BF38" i="84" s="1"/>
  <c r="BR35" i="84"/>
  <c r="BS39" i="84"/>
  <c r="BR39" i="84"/>
  <c r="BR57" i="84"/>
  <c r="BS57" i="84"/>
  <c r="BL103" i="84"/>
  <c r="K38" i="84"/>
  <c r="Q38" i="84" s="1"/>
  <c r="Q33" i="84" s="1"/>
  <c r="AB35" i="84"/>
  <c r="BT35" i="84" s="1"/>
  <c r="AP35" i="84"/>
  <c r="BM35" i="84"/>
  <c r="BR36" i="84"/>
  <c r="BS36" i="84"/>
  <c r="AO37" i="84"/>
  <c r="AB37" i="84"/>
  <c r="BT37" i="84" s="1"/>
  <c r="BS41" i="84"/>
  <c r="BR41" i="84"/>
  <c r="AN103" i="84"/>
  <c r="BU20" i="84"/>
  <c r="AK99" i="84"/>
  <c r="AK109" i="84" s="1"/>
  <c r="BR27" i="84"/>
  <c r="BD35" i="84"/>
  <c r="P37" i="84"/>
  <c r="R33" i="84"/>
  <c r="BR48" i="84"/>
  <c r="BS48" i="84"/>
  <c r="AF8" i="84"/>
  <c r="AF21" i="84" s="1"/>
  <c r="AC8" i="84"/>
  <c r="AB8" i="84" s="1"/>
  <c r="BT8" i="84" s="1"/>
  <c r="AG8" i="84"/>
  <c r="AG21" i="84" s="1"/>
  <c r="J103" i="84"/>
  <c r="S103" i="84"/>
  <c r="P103" i="84" s="1"/>
  <c r="S92" i="84"/>
  <c r="V103" i="84"/>
  <c r="AH103" i="84"/>
  <c r="AT103" i="84"/>
  <c r="BF103" i="84"/>
  <c r="F99" i="84"/>
  <c r="R34" i="84"/>
  <c r="P34" i="84" s="1"/>
  <c r="AO34" i="84"/>
  <c r="BQ35" i="84"/>
  <c r="AO36" i="84"/>
  <c r="AB36" i="84"/>
  <c r="BT36" i="84" s="1"/>
  <c r="AC34" i="84"/>
  <c r="AS36" i="84"/>
  <c r="BE36" i="84" s="1"/>
  <c r="BQ36" i="84" s="1"/>
  <c r="AG34" i="84"/>
  <c r="AG38" i="84" s="1"/>
  <c r="BR46" i="84"/>
  <c r="BS46" i="84"/>
  <c r="L42" i="84"/>
  <c r="L21" i="84" s="1"/>
  <c r="L101" i="84" s="1"/>
  <c r="L99" i="84" s="1"/>
  <c r="BR44" i="84"/>
  <c r="BS44" i="84"/>
  <c r="J50" i="84"/>
  <c r="BR53" i="84"/>
  <c r="Q55" i="84"/>
  <c r="P55" i="84" s="1"/>
  <c r="P56" i="84"/>
  <c r="J59" i="84"/>
  <c r="BU60" i="84"/>
  <c r="BT66" i="84"/>
  <c r="Q50" i="84"/>
  <c r="J102" i="84"/>
  <c r="BF102" i="84"/>
  <c r="BA65" i="84"/>
  <c r="AN65" i="84"/>
  <c r="BU65" i="84" s="1"/>
  <c r="AO63" i="84"/>
  <c r="AN63" i="84" s="1"/>
  <c r="R42" i="84"/>
  <c r="BR52" i="84"/>
  <c r="P66" i="84"/>
  <c r="Q63" i="84"/>
  <c r="P63" i="84" s="1"/>
  <c r="BR54" i="84"/>
  <c r="BS54" i="84"/>
  <c r="E59" i="84"/>
  <c r="M59" i="84"/>
  <c r="M102" i="84" s="1"/>
  <c r="BI59" i="84"/>
  <c r="BI102" i="84" s="1"/>
  <c r="BI99" i="84" s="1"/>
  <c r="BI109" i="84" s="1"/>
  <c r="BI112" i="84" s="1"/>
  <c r="BF60" i="84"/>
  <c r="AC63" i="84"/>
  <c r="AZ64" i="84"/>
  <c r="BV64" i="84" s="1"/>
  <c r="BM64" i="84"/>
  <c r="BU68" i="84"/>
  <c r="AB70" i="84"/>
  <c r="BT70" i="84" s="1"/>
  <c r="BS71" i="84"/>
  <c r="BS76" i="84"/>
  <c r="BR82" i="84"/>
  <c r="BU83" i="84"/>
  <c r="AT85" i="84"/>
  <c r="G110" i="84"/>
  <c r="G104" i="84"/>
  <c r="Z104" i="84"/>
  <c r="Z110" i="84"/>
  <c r="BB110" i="84"/>
  <c r="BB104" i="84"/>
  <c r="BS60" i="84"/>
  <c r="AZ61" i="84"/>
  <c r="BA60" i="84"/>
  <c r="BR64" i="84"/>
  <c r="BR69" i="84"/>
  <c r="BS69" i="84"/>
  <c r="H110" i="84"/>
  <c r="H104" i="84"/>
  <c r="H99" i="84" s="1"/>
  <c r="BS87" i="84"/>
  <c r="BR87" i="84"/>
  <c r="AL110" i="84"/>
  <c r="AL104" i="84"/>
  <c r="AL99" i="84" s="1"/>
  <c r="BN110" i="84"/>
  <c r="BN104" i="84"/>
  <c r="BA90" i="84"/>
  <c r="AN90" i="84"/>
  <c r="BU90" i="84" s="1"/>
  <c r="AO87" i="84"/>
  <c r="AH102" i="84"/>
  <c r="BR60" i="84"/>
  <c r="BT64" i="84"/>
  <c r="BR68" i="84"/>
  <c r="BT69" i="84"/>
  <c r="BR70" i="84"/>
  <c r="BR72" i="84"/>
  <c r="BA73" i="84"/>
  <c r="AN73" i="84"/>
  <c r="BU73" i="84" s="1"/>
  <c r="BV74" i="84"/>
  <c r="N110" i="84"/>
  <c r="N104" i="84"/>
  <c r="N99" i="84" s="1"/>
  <c r="J85" i="84"/>
  <c r="AD110" i="84"/>
  <c r="AD104" i="84"/>
  <c r="AX104" i="84"/>
  <c r="AX99" i="84" s="1"/>
  <c r="AX110" i="84"/>
  <c r="X59" i="84"/>
  <c r="AV59" i="84"/>
  <c r="BU62" i="84"/>
  <c r="BR65" i="84"/>
  <c r="BV66" i="84"/>
  <c r="BT68" i="84"/>
  <c r="BU69" i="84"/>
  <c r="AO111" i="84"/>
  <c r="AN111" i="84" s="1"/>
  <c r="BU111" i="84" s="1"/>
  <c r="AN70" i="84"/>
  <c r="BU70" i="84" s="1"/>
  <c r="BU74" i="84"/>
  <c r="BR79" i="84"/>
  <c r="BT79" i="84"/>
  <c r="BS79" i="84"/>
  <c r="BW83" i="84"/>
  <c r="AP104" i="84"/>
  <c r="AP110" i="84"/>
  <c r="BJ104" i="84"/>
  <c r="BJ110" i="84"/>
  <c r="BV82" i="84"/>
  <c r="R85" i="84"/>
  <c r="AC87" i="84"/>
  <c r="BS89" i="84"/>
  <c r="BS90" i="84"/>
  <c r="AS92" i="84"/>
  <c r="BT93" i="84"/>
  <c r="BS93" i="84"/>
  <c r="E107" i="84"/>
  <c r="D107" i="84" s="1"/>
  <c r="D94" i="84"/>
  <c r="V94" i="84"/>
  <c r="AH107" i="84"/>
  <c r="BA107" i="84"/>
  <c r="AZ107" i="84" s="1"/>
  <c r="BV107" i="84" s="1"/>
  <c r="AZ94" i="84"/>
  <c r="BV94" i="84" s="1"/>
  <c r="BU95" i="84"/>
  <c r="BU96" i="84"/>
  <c r="BU97" i="84"/>
  <c r="BR98" i="84"/>
  <c r="F104" i="84"/>
  <c r="BU106" i="84"/>
  <c r="E110" i="84"/>
  <c r="D110" i="84" s="1"/>
  <c r="E104" i="84"/>
  <c r="D104" i="84" s="1"/>
  <c r="I110" i="84"/>
  <c r="I104" i="84"/>
  <c r="I99" i="84" s="1"/>
  <c r="I109" i="84" s="1"/>
  <c r="I112" i="84" s="1"/>
  <c r="O110" i="84"/>
  <c r="O104" i="84"/>
  <c r="O99" i="84" s="1"/>
  <c r="O109" i="84" s="1"/>
  <c r="O112" i="84" s="1"/>
  <c r="S110" i="84"/>
  <c r="S104" i="84"/>
  <c r="W110" i="84"/>
  <c r="W104" i="84"/>
  <c r="AA110" i="84"/>
  <c r="AA104" i="84"/>
  <c r="AA99" i="84" s="1"/>
  <c r="AA109" i="84" s="1"/>
  <c r="AA112" i="84" s="1"/>
  <c r="AE110" i="84"/>
  <c r="AE104" i="84"/>
  <c r="AI110" i="84"/>
  <c r="AI104" i="84"/>
  <c r="AM110" i="84"/>
  <c r="AM104" i="84"/>
  <c r="AM99" i="84" s="1"/>
  <c r="AM109" i="84" s="1"/>
  <c r="AM112" i="84" s="1"/>
  <c r="AQ110" i="84"/>
  <c r="AQ104" i="84"/>
  <c r="AU110" i="84"/>
  <c r="AU104" i="84"/>
  <c r="AY110" i="84"/>
  <c r="AY104" i="84"/>
  <c r="AY99" i="84" s="1"/>
  <c r="AY109" i="84" s="1"/>
  <c r="AY112" i="84" s="1"/>
  <c r="BC110" i="84"/>
  <c r="BC104" i="84"/>
  <c r="BG110" i="84"/>
  <c r="BG104" i="84"/>
  <c r="BK110" i="84"/>
  <c r="BK104" i="84"/>
  <c r="BK99" i="84" s="1"/>
  <c r="BK109" i="84" s="1"/>
  <c r="BK112" i="84" s="1"/>
  <c r="BO110" i="84"/>
  <c r="BO104" i="84"/>
  <c r="BV86" i="84"/>
  <c r="BT89" i="84"/>
  <c r="AB90" i="84"/>
  <c r="BT90" i="84" s="1"/>
  <c r="BU93" i="84"/>
  <c r="J94" i="84"/>
  <c r="V107" i="84"/>
  <c r="AO107" i="84"/>
  <c r="AN107" i="84" s="1"/>
  <c r="AN94" i="84"/>
  <c r="BU94" i="84" s="1"/>
  <c r="BF94" i="84"/>
  <c r="BT106" i="84"/>
  <c r="T110" i="84"/>
  <c r="T104" i="84"/>
  <c r="T99" i="84" s="1"/>
  <c r="X110" i="84"/>
  <c r="X104" i="84"/>
  <c r="AF110" i="84"/>
  <c r="AF104" i="84"/>
  <c r="AJ110" i="84"/>
  <c r="AJ104" i="84"/>
  <c r="AJ99" i="84" s="1"/>
  <c r="AR110" i="84"/>
  <c r="AR104" i="84"/>
  <c r="AV110" i="84"/>
  <c r="AV104" i="84"/>
  <c r="BD110" i="84"/>
  <c r="BD104" i="84"/>
  <c r="BH110" i="84"/>
  <c r="BH104" i="84"/>
  <c r="BH99" i="84" s="1"/>
  <c r="BP110" i="84"/>
  <c r="BP104" i="84"/>
  <c r="BU89" i="84"/>
  <c r="AC107" i="84"/>
  <c r="AB107" i="84" s="1"/>
  <c r="BT107" i="84" s="1"/>
  <c r="AB94" i="84"/>
  <c r="BR96" i="84"/>
  <c r="BT98" i="84"/>
  <c r="BS106" i="84"/>
  <c r="BR106" i="84"/>
  <c r="M110" i="84"/>
  <c r="J110" i="84" s="1"/>
  <c r="M104" i="84"/>
  <c r="J104" i="84" s="1"/>
  <c r="Q110" i="84"/>
  <c r="Q104" i="84"/>
  <c r="U110" i="84"/>
  <c r="U104" i="84"/>
  <c r="U99" i="84" s="1"/>
  <c r="U109" i="84" s="1"/>
  <c r="U112" i="84" s="1"/>
  <c r="Y110" i="84"/>
  <c r="Y104" i="84"/>
  <c r="Y99" i="84" s="1"/>
  <c r="Y109" i="84" s="1"/>
  <c r="Y112" i="84" s="1"/>
  <c r="AG110" i="84"/>
  <c r="AG104" i="84"/>
  <c r="AK110" i="84"/>
  <c r="AK104" i="84"/>
  <c r="AS110" i="84"/>
  <c r="AS104" i="84"/>
  <c r="AW110" i="84"/>
  <c r="AW104" i="84"/>
  <c r="AW99" i="84" s="1"/>
  <c r="AW109" i="84" s="1"/>
  <c r="AW112" i="84" s="1"/>
  <c r="BE110" i="84"/>
  <c r="BE104" i="84"/>
  <c r="BI110" i="84"/>
  <c r="BI104" i="84"/>
  <c r="BQ110" i="84"/>
  <c r="BQ104" i="84"/>
  <c r="AR92" i="84"/>
  <c r="BB92" i="84"/>
  <c r="Q107" i="84"/>
  <c r="P107" i="84" s="1"/>
  <c r="P94" i="84"/>
  <c r="AH94" i="84"/>
  <c r="AT107" i="84"/>
  <c r="BM107" i="84"/>
  <c r="BL107" i="84" s="1"/>
  <c r="BL94" i="84"/>
  <c r="BT96" i="84"/>
  <c r="BT97" i="84"/>
  <c r="BR117" i="84"/>
  <c r="BV120" i="84"/>
  <c r="BJ121" i="84"/>
  <c r="BJ125" i="84" s="1"/>
  <c r="BS126" i="84"/>
  <c r="BT126" i="84"/>
  <c r="BU126" i="84"/>
  <c r="BL120" i="84"/>
  <c r="BW120" i="84" s="1"/>
  <c r="J37" i="83"/>
  <c r="K12" i="87" l="1"/>
  <c r="K15" i="87"/>
  <c r="T25" i="87"/>
  <c r="Q25" i="87"/>
  <c r="R25" i="87" s="1"/>
  <c r="U19" i="87"/>
  <c r="V19" i="87" s="1"/>
  <c r="W19" i="87"/>
  <c r="S20" i="87"/>
  <c r="Q38" i="87"/>
  <c r="R38" i="87" s="1"/>
  <c r="S38" i="87"/>
  <c r="O37" i="87"/>
  <c r="K24" i="87"/>
  <c r="H26" i="87"/>
  <c r="H15" i="87"/>
  <c r="K18" i="87"/>
  <c r="L40" i="87"/>
  <c r="O39" i="87"/>
  <c r="L37" i="87"/>
  <c r="M37" i="87" s="1"/>
  <c r="U93" i="87"/>
  <c r="W93" i="87"/>
  <c r="Y93" i="87" s="1"/>
  <c r="W44" i="87"/>
  <c r="U44" i="87"/>
  <c r="V44" i="87" s="1"/>
  <c r="O111" i="87"/>
  <c r="U111" i="87"/>
  <c r="L113" i="87"/>
  <c r="I109" i="87"/>
  <c r="N94" i="87"/>
  <c r="X38" i="87"/>
  <c r="H45" i="87"/>
  <c r="H31" i="87"/>
  <c r="R94" i="87"/>
  <c r="AZ34" i="86"/>
  <c r="BS103" i="86"/>
  <c r="BR103" i="86"/>
  <c r="BT15" i="86"/>
  <c r="BS63" i="86"/>
  <c r="BR63" i="86"/>
  <c r="BT63" i="86"/>
  <c r="T125" i="86"/>
  <c r="T127" i="86" s="1"/>
  <c r="T109" i="86"/>
  <c r="T112" i="86" s="1"/>
  <c r="BT103" i="86"/>
  <c r="J102" i="86"/>
  <c r="K99" i="86"/>
  <c r="AR11" i="86"/>
  <c r="AN11" i="86"/>
  <c r="BU11" i="86" s="1"/>
  <c r="AQ11" i="86"/>
  <c r="AQ8" i="86" s="1"/>
  <c r="AQ21" i="86" s="1"/>
  <c r="AO8" i="86"/>
  <c r="AN8" i="86" s="1"/>
  <c r="BU8" i="86" s="1"/>
  <c r="BV36" i="86"/>
  <c r="P29" i="86"/>
  <c r="Q21" i="86"/>
  <c r="BA111" i="86"/>
  <c r="AZ111" i="86" s="1"/>
  <c r="BV111" i="86" s="1"/>
  <c r="AZ70" i="86"/>
  <c r="BV70" i="86" s="1"/>
  <c r="BA63" i="86"/>
  <c r="V63" i="86"/>
  <c r="W59" i="86"/>
  <c r="AE39" i="86"/>
  <c r="AE42" i="86"/>
  <c r="AN63" i="86"/>
  <c r="BU63" i="86" s="1"/>
  <c r="G99" i="86"/>
  <c r="G109" i="86" s="1"/>
  <c r="G112" i="86" s="1"/>
  <c r="D102" i="86"/>
  <c r="AU109" i="86"/>
  <c r="AU124" i="86"/>
  <c r="AO110" i="86"/>
  <c r="AN110" i="86" s="1"/>
  <c r="BU110" i="86" s="1"/>
  <c r="AO104" i="86"/>
  <c r="AN104" i="86" s="1"/>
  <c r="BU104" i="86" s="1"/>
  <c r="AN85" i="86"/>
  <c r="BU85" i="86" s="1"/>
  <c r="AJ109" i="86"/>
  <c r="AJ112" i="86" s="1"/>
  <c r="BR104" i="86"/>
  <c r="BS104" i="86"/>
  <c r="AH104" i="86"/>
  <c r="BH109" i="86"/>
  <c r="BH112" i="86" s="1"/>
  <c r="P78" i="86"/>
  <c r="Q75" i="86"/>
  <c r="AZ87" i="86"/>
  <c r="BV87" i="86" s="1"/>
  <c r="BA85" i="86"/>
  <c r="BF102" i="86"/>
  <c r="BG99" i="86"/>
  <c r="BD105" i="86"/>
  <c r="BP92" i="86"/>
  <c r="BP105" i="86" s="1"/>
  <c r="AV99" i="86"/>
  <c r="BM37" i="86"/>
  <c r="BL37" i="86" s="1"/>
  <c r="BW37" i="86" s="1"/>
  <c r="AZ37" i="86"/>
  <c r="BV37" i="86" s="1"/>
  <c r="X109" i="86"/>
  <c r="X112" i="86" s="1"/>
  <c r="S109" i="86"/>
  <c r="S112" i="86" s="1"/>
  <c r="S1" i="86"/>
  <c r="BL35" i="86"/>
  <c r="BW35" i="86" s="1"/>
  <c r="BM34" i="86"/>
  <c r="AF101" i="86"/>
  <c r="AF99" i="86" s="1"/>
  <c r="AF58" i="86"/>
  <c r="AF51" i="86"/>
  <c r="AF49" i="86"/>
  <c r="AF45" i="86"/>
  <c r="AF57" i="86"/>
  <c r="AF52" i="86"/>
  <c r="AF47" i="86"/>
  <c r="AF41" i="86"/>
  <c r="AF56" i="86"/>
  <c r="AF54" i="86"/>
  <c r="AF50" i="86"/>
  <c r="AF48" i="86"/>
  <c r="AF46" i="86"/>
  <c r="AF44" i="86"/>
  <c r="AF53" i="86"/>
  <c r="AF43" i="86"/>
  <c r="AF25" i="86"/>
  <c r="AF27" i="86"/>
  <c r="AF26" i="86" s="1"/>
  <c r="AF33" i="86"/>
  <c r="AF32" i="86"/>
  <c r="AF28" i="86"/>
  <c r="AF24" i="86"/>
  <c r="AF40" i="86"/>
  <c r="AF39" i="86" s="1"/>
  <c r="AF31" i="86"/>
  <c r="AF23" i="86"/>
  <c r="BU34" i="86"/>
  <c r="BV12" i="86"/>
  <c r="BL12" i="86"/>
  <c r="BA11" i="86"/>
  <c r="BM73" i="86"/>
  <c r="BL73" i="86" s="1"/>
  <c r="AZ73" i="86"/>
  <c r="BV73" i="86" s="1"/>
  <c r="V104" i="86"/>
  <c r="R101" i="86"/>
  <c r="R99" i="86" s="1"/>
  <c r="AD21" i="86"/>
  <c r="BT34" i="86"/>
  <c r="AG101" i="86"/>
  <c r="AG99" i="86" s="1"/>
  <c r="AG109" i="86" s="1"/>
  <c r="AG112" i="86" s="1"/>
  <c r="AG57" i="86"/>
  <c r="AG54" i="86"/>
  <c r="AG52" i="86"/>
  <c r="AG47" i="86"/>
  <c r="AG41" i="86"/>
  <c r="AG56" i="86"/>
  <c r="AG50" i="86"/>
  <c r="AG48" i="86"/>
  <c r="AG46" i="86"/>
  <c r="AG44" i="86"/>
  <c r="AG40" i="86"/>
  <c r="AG39" i="86" s="1"/>
  <c r="AG53" i="86"/>
  <c r="AG43" i="86"/>
  <c r="AG58" i="86"/>
  <c r="AG51" i="86"/>
  <c r="AG49" i="86"/>
  <c r="AG45" i="86"/>
  <c r="AG27" i="86"/>
  <c r="AG26" i="86" s="1"/>
  <c r="AG33" i="86"/>
  <c r="AG32" i="86"/>
  <c r="AG28" i="86"/>
  <c r="AG24" i="86"/>
  <c r="AG31" i="86"/>
  <c r="AG23" i="86"/>
  <c r="AG22" i="86" s="1"/>
  <c r="AG25" i="86"/>
  <c r="E124" i="86"/>
  <c r="D114" i="86"/>
  <c r="E109" i="86"/>
  <c r="D99" i="86"/>
  <c r="D1" i="86" s="1"/>
  <c r="BR33" i="86"/>
  <c r="BS33" i="86"/>
  <c r="BL90" i="86"/>
  <c r="BW90" i="86" s="1"/>
  <c r="BM87" i="86"/>
  <c r="BM70" i="86"/>
  <c r="AE105" i="86"/>
  <c r="AE99" i="86" s="1"/>
  <c r="AE109" i="86" s="1"/>
  <c r="AE112" i="86" s="1"/>
  <c r="AQ92" i="86"/>
  <c r="AE55" i="86"/>
  <c r="AH63" i="86"/>
  <c r="AI59" i="86"/>
  <c r="BS110" i="86"/>
  <c r="BR110" i="86"/>
  <c r="BW120" i="86"/>
  <c r="Z7" i="85"/>
  <c r="V7" i="85"/>
  <c r="U8" i="85"/>
  <c r="V8" i="85" s="1"/>
  <c r="R7" i="85"/>
  <c r="Q8" i="85"/>
  <c r="N7" i="85"/>
  <c r="M8" i="85"/>
  <c r="Q93" i="85"/>
  <c r="R93" i="85" s="1"/>
  <c r="S93" i="85"/>
  <c r="Q94" i="85"/>
  <c r="R94" i="85" s="1"/>
  <c r="R92" i="85"/>
  <c r="J43" i="85"/>
  <c r="I45" i="85"/>
  <c r="J45" i="85" s="1"/>
  <c r="H43" i="85"/>
  <c r="Z92" i="85"/>
  <c r="T38" i="85"/>
  <c r="N93" i="85"/>
  <c r="K40" i="85"/>
  <c r="L109" i="85"/>
  <c r="L39" i="85"/>
  <c r="I94" i="85"/>
  <c r="R19" i="85"/>
  <c r="N14" i="85"/>
  <c r="Z14" i="85"/>
  <c r="M38" i="85"/>
  <c r="N38" i="85" s="1"/>
  <c r="O38" i="85"/>
  <c r="K37" i="85"/>
  <c r="V92" i="85"/>
  <c r="M94" i="85"/>
  <c r="N92" i="85"/>
  <c r="M25" i="85"/>
  <c r="N25" i="85" s="1"/>
  <c r="K24" i="85"/>
  <c r="O25" i="85"/>
  <c r="H12" i="85"/>
  <c r="G6" i="85"/>
  <c r="G8" i="85" s="1"/>
  <c r="G9" i="85" s="1"/>
  <c r="G14" i="85"/>
  <c r="G15" i="85" s="1"/>
  <c r="K12" i="85"/>
  <c r="J111" i="85"/>
  <c r="P111" i="85"/>
  <c r="S44" i="85"/>
  <c r="Q44" i="85"/>
  <c r="R44" i="85" s="1"/>
  <c r="T25" i="85"/>
  <c r="R33" i="85"/>
  <c r="J33" i="85"/>
  <c r="Z8" i="85"/>
  <c r="I8" i="85"/>
  <c r="J8" i="85" s="1"/>
  <c r="W19" i="85"/>
  <c r="S20" i="85"/>
  <c r="U19" i="85"/>
  <c r="V19" i="85" s="1"/>
  <c r="K18" i="85"/>
  <c r="BH109" i="84"/>
  <c r="BH112" i="84" s="1"/>
  <c r="AJ109" i="84"/>
  <c r="AJ112" i="84" s="1"/>
  <c r="BS103" i="84"/>
  <c r="BR103" i="84"/>
  <c r="AF101" i="84"/>
  <c r="AF99" i="84" s="1"/>
  <c r="AF56" i="84"/>
  <c r="AF50" i="84"/>
  <c r="AF48" i="84"/>
  <c r="AF47" i="84"/>
  <c r="AF45" i="84"/>
  <c r="AF41" i="84"/>
  <c r="AF57" i="84"/>
  <c r="AF53" i="84"/>
  <c r="AF46" i="84"/>
  <c r="AF44" i="84"/>
  <c r="AF40" i="84"/>
  <c r="AF39" i="84" s="1"/>
  <c r="AF54" i="84"/>
  <c r="AF43" i="84"/>
  <c r="AF58" i="84"/>
  <c r="AF52" i="84"/>
  <c r="AF51" i="84"/>
  <c r="AF49" i="84"/>
  <c r="AF27" i="84"/>
  <c r="AF32" i="84"/>
  <c r="AF28" i="84"/>
  <c r="AF24" i="84"/>
  <c r="AF33" i="84"/>
  <c r="AF23" i="84"/>
  <c r="AF22" i="84" s="1"/>
  <c r="AF31" i="84"/>
  <c r="AF25" i="84"/>
  <c r="AX109" i="84"/>
  <c r="AX112" i="84" s="1"/>
  <c r="AX125" i="84"/>
  <c r="N125" i="84"/>
  <c r="N109" i="84"/>
  <c r="N112" i="84" s="1"/>
  <c r="T125" i="84"/>
  <c r="T109" i="84"/>
  <c r="T112" i="84" s="1"/>
  <c r="AL125" i="84"/>
  <c r="AL109" i="84"/>
  <c r="AL112" i="84" s="1"/>
  <c r="H125" i="84"/>
  <c r="H109" i="84"/>
  <c r="H112" i="84" s="1"/>
  <c r="AG101" i="84"/>
  <c r="AG99" i="84" s="1"/>
  <c r="AG109" i="84" s="1"/>
  <c r="AG112" i="84" s="1"/>
  <c r="AG58" i="84"/>
  <c r="AG56" i="84"/>
  <c r="AG53" i="84"/>
  <c r="AG51" i="84"/>
  <c r="AG49" i="84"/>
  <c r="AG45" i="84"/>
  <c r="AG57" i="84"/>
  <c r="AG46" i="84"/>
  <c r="AG44" i="84"/>
  <c r="AG40" i="84"/>
  <c r="AG39" i="84" s="1"/>
  <c r="AG54" i="84"/>
  <c r="AG43" i="84"/>
  <c r="AG52" i="84"/>
  <c r="AG50" i="84"/>
  <c r="AG48" i="84"/>
  <c r="AG47" i="84"/>
  <c r="AG41" i="84"/>
  <c r="AG32" i="84"/>
  <c r="AG28" i="84"/>
  <c r="AG24" i="84"/>
  <c r="AG33" i="84"/>
  <c r="AG23" i="84"/>
  <c r="AG22" i="84" s="1"/>
  <c r="AG31" i="84"/>
  <c r="AG25" i="84"/>
  <c r="AG27" i="84"/>
  <c r="AG26" i="84" s="1"/>
  <c r="BT103" i="84"/>
  <c r="R104" i="84"/>
  <c r="R110" i="84"/>
  <c r="P85" i="84"/>
  <c r="BS94" i="84"/>
  <c r="BR94" i="84"/>
  <c r="AT110" i="84"/>
  <c r="V110" i="84"/>
  <c r="BW107" i="84"/>
  <c r="AH104" i="84"/>
  <c r="AV102" i="84"/>
  <c r="AT59" i="84"/>
  <c r="BM73" i="84"/>
  <c r="BL73" i="84" s="1"/>
  <c r="BW73" i="84" s="1"/>
  <c r="AZ73" i="84"/>
  <c r="BV73" i="84" s="1"/>
  <c r="BW61" i="84"/>
  <c r="BV61" i="84"/>
  <c r="BB105" i="84"/>
  <c r="BN92" i="84"/>
  <c r="BN105" i="84" s="1"/>
  <c r="P104" i="84"/>
  <c r="BT94" i="84"/>
  <c r="BU107" i="84"/>
  <c r="BF110" i="84"/>
  <c r="AH110" i="84"/>
  <c r="AB87" i="84"/>
  <c r="BT87" i="84" s="1"/>
  <c r="AC85" i="84"/>
  <c r="X102" i="84"/>
  <c r="V59" i="84"/>
  <c r="AN87" i="84"/>
  <c r="BU87" i="84" s="1"/>
  <c r="AO85" i="84"/>
  <c r="AB63" i="84"/>
  <c r="BT63" i="84" s="1"/>
  <c r="AZ65" i="84"/>
  <c r="BV65" i="84" s="1"/>
  <c r="BM65" i="84"/>
  <c r="BL65" i="84" s="1"/>
  <c r="BW65" i="84" s="1"/>
  <c r="P50" i="84"/>
  <c r="Q42" i="84"/>
  <c r="P42" i="84" s="1"/>
  <c r="BF59" i="84"/>
  <c r="BF115" i="84" s="1"/>
  <c r="BR55" i="84"/>
  <c r="BS55" i="84"/>
  <c r="BA36" i="84"/>
  <c r="AN36" i="84"/>
  <c r="BU36" i="84" s="1"/>
  <c r="BS34" i="84"/>
  <c r="BR34" i="84"/>
  <c r="BD34" i="84"/>
  <c r="BD38" i="84" s="1"/>
  <c r="BP35" i="84"/>
  <c r="BP34" i="84" s="1"/>
  <c r="BP38" i="84" s="1"/>
  <c r="BB35" i="84"/>
  <c r="AN35" i="84"/>
  <c r="BU35" i="84" s="1"/>
  <c r="AP34" i="84"/>
  <c r="BL12" i="84"/>
  <c r="BV12" i="84"/>
  <c r="BA11" i="84"/>
  <c r="V115" i="84"/>
  <c r="J101" i="84"/>
  <c r="K99" i="84"/>
  <c r="BS26" i="84"/>
  <c r="BR26" i="84"/>
  <c r="AT101" i="84"/>
  <c r="AU99" i="84"/>
  <c r="AE101" i="84"/>
  <c r="AE57" i="84"/>
  <c r="AE54" i="84"/>
  <c r="AE50" i="84"/>
  <c r="AE48" i="84"/>
  <c r="AE46" i="84"/>
  <c r="AE58" i="84"/>
  <c r="AE56" i="84"/>
  <c r="AE52" i="84"/>
  <c r="AE51" i="84"/>
  <c r="AE49" i="84"/>
  <c r="AE47" i="84"/>
  <c r="AE45" i="84"/>
  <c r="AE41" i="84"/>
  <c r="AE53" i="84"/>
  <c r="AE44" i="84"/>
  <c r="AE43" i="84"/>
  <c r="AE42" i="84" s="1"/>
  <c r="AE31" i="84"/>
  <c r="AE25" i="84"/>
  <c r="AE27" i="84"/>
  <c r="AE32" i="84"/>
  <c r="AE28" i="84"/>
  <c r="AE24" i="84"/>
  <c r="AE40" i="84"/>
  <c r="AE33" i="84"/>
  <c r="AE23" i="84"/>
  <c r="AE22" i="84" s="1"/>
  <c r="AT104" i="84"/>
  <c r="AS105" i="84"/>
  <c r="BE92" i="84"/>
  <c r="E102" i="84"/>
  <c r="D59" i="84"/>
  <c r="BS63" i="84"/>
  <c r="BR63" i="84"/>
  <c r="L109" i="84"/>
  <c r="L112" i="84" s="1"/>
  <c r="BQ34" i="84"/>
  <c r="BQ38" i="84" s="1"/>
  <c r="F109" i="84"/>
  <c r="F112" i="84" s="1"/>
  <c r="AS34" i="84"/>
  <c r="AS38" i="84" s="1"/>
  <c r="AK112" i="84"/>
  <c r="M99" i="84"/>
  <c r="M109" i="84" s="1"/>
  <c r="M112" i="84" s="1"/>
  <c r="J42" i="84"/>
  <c r="BW15" i="84"/>
  <c r="BS15" i="84"/>
  <c r="BR15" i="84"/>
  <c r="AH101" i="84"/>
  <c r="AI99" i="84"/>
  <c r="BJ112" i="84"/>
  <c r="Z125" i="84"/>
  <c r="Z109" i="84"/>
  <c r="Z112" i="84" s="1"/>
  <c r="AR105" i="84"/>
  <c r="BD92" i="84"/>
  <c r="V104" i="84"/>
  <c r="AZ90" i="84"/>
  <c r="BV90" i="84" s="1"/>
  <c r="BM90" i="84"/>
  <c r="BA87" i="84"/>
  <c r="BA70" i="84"/>
  <c r="AZ60" i="84"/>
  <c r="BL64" i="84"/>
  <c r="BW64" i="84" s="1"/>
  <c r="BR66" i="84"/>
  <c r="BS66" i="84"/>
  <c r="BU63" i="84"/>
  <c r="AB34" i="84"/>
  <c r="BE34" i="84"/>
  <c r="BE38" i="84" s="1"/>
  <c r="S105" i="84"/>
  <c r="S99" i="84" s="1"/>
  <c r="AE92" i="84"/>
  <c r="R78" i="84"/>
  <c r="R75" i="84" s="1"/>
  <c r="R59" i="84" s="1"/>
  <c r="R102" i="84" s="1"/>
  <c r="R29" i="84"/>
  <c r="R21" i="84" s="1"/>
  <c r="BU103" i="84"/>
  <c r="Q78" i="84"/>
  <c r="P33" i="84"/>
  <c r="Q29" i="84"/>
  <c r="BW103" i="84"/>
  <c r="D115" i="84"/>
  <c r="AT115" i="84"/>
  <c r="BF101" i="84"/>
  <c r="BG99" i="84"/>
  <c r="G99" i="84"/>
  <c r="G109" i="84" s="1"/>
  <c r="G112" i="84" s="1"/>
  <c r="P110" i="84"/>
  <c r="BW94" i="84"/>
  <c r="BS107" i="84"/>
  <c r="BR107" i="84"/>
  <c r="BF104" i="84"/>
  <c r="BS56" i="84"/>
  <c r="BR56" i="84"/>
  <c r="AN34" i="84"/>
  <c r="BS37" i="84"/>
  <c r="BR37" i="84"/>
  <c r="BA37" i="84"/>
  <c r="AN37" i="84"/>
  <c r="BU37" i="84" s="1"/>
  <c r="AZ15" i="84"/>
  <c r="AB15" i="84"/>
  <c r="AN11" i="84"/>
  <c r="BU11" i="84" s="1"/>
  <c r="AQ11" i="84"/>
  <c r="AQ8" i="84" s="1"/>
  <c r="AQ21" i="84" s="1"/>
  <c r="AO8" i="84"/>
  <c r="AN8" i="84" s="1"/>
  <c r="BU8" i="84" s="1"/>
  <c r="AR11" i="84"/>
  <c r="BU13" i="84"/>
  <c r="AZ13" i="84"/>
  <c r="BB11" i="84"/>
  <c r="BB8" i="84" s="1"/>
  <c r="BO35" i="84"/>
  <c r="BO34" i="84" s="1"/>
  <c r="BO38" i="84" s="1"/>
  <c r="BC34" i="84"/>
  <c r="BC38" i="84" s="1"/>
  <c r="J21" i="84"/>
  <c r="J115" i="84" s="1"/>
  <c r="W99" i="84"/>
  <c r="V101" i="84"/>
  <c r="E8" i="82"/>
  <c r="N37" i="87" l="1"/>
  <c r="M39" i="87"/>
  <c r="N39" i="87" s="1"/>
  <c r="M43" i="87"/>
  <c r="H27" i="87"/>
  <c r="H24" i="87"/>
  <c r="H33" i="87"/>
  <c r="H34" i="87" s="1"/>
  <c r="H92" i="87"/>
  <c r="H94" i="87" s="1"/>
  <c r="H95" i="87" s="1"/>
  <c r="H6" i="87"/>
  <c r="H8" i="87" s="1"/>
  <c r="H9" i="87" s="1"/>
  <c r="Z93" i="87"/>
  <c r="Y94" i="87"/>
  <c r="Z94" i="87" s="1"/>
  <c r="K27" i="87"/>
  <c r="X25" i="87"/>
  <c r="U25" i="87"/>
  <c r="V25" i="87" s="1"/>
  <c r="K45" i="87"/>
  <c r="H46" i="87"/>
  <c r="V93" i="87"/>
  <c r="U94" i="87"/>
  <c r="V94" i="87" s="1"/>
  <c r="Y19" i="87"/>
  <c r="Z19" i="87" s="1"/>
  <c r="W20" i="87"/>
  <c r="U38" i="87"/>
  <c r="V38" i="87" s="1"/>
  <c r="W38" i="87"/>
  <c r="T111" i="87"/>
  <c r="Z111" i="87"/>
  <c r="Y111" i="87" s="1"/>
  <c r="Y44" i="87"/>
  <c r="Z44" i="87" s="1"/>
  <c r="Q109" i="87"/>
  <c r="O40" i="87"/>
  <c r="P39" i="87"/>
  <c r="L12" i="87"/>
  <c r="BL87" i="86"/>
  <c r="BW87" i="86" s="1"/>
  <c r="BM85" i="86"/>
  <c r="AG55" i="86"/>
  <c r="AF22" i="86"/>
  <c r="AI102" i="86"/>
  <c r="AH59" i="86"/>
  <c r="AH115" i="86" s="1"/>
  <c r="AQ105" i="86"/>
  <c r="BC92" i="86"/>
  <c r="E112" i="86"/>
  <c r="D112" i="86" s="1"/>
  <c r="D109" i="86"/>
  <c r="AG42" i="86"/>
  <c r="AD101" i="86"/>
  <c r="AD54" i="86"/>
  <c r="AD53" i="86"/>
  <c r="AD50" i="86"/>
  <c r="AD48" i="86"/>
  <c r="AD46" i="86"/>
  <c r="AD44" i="86"/>
  <c r="AD40" i="86"/>
  <c r="AD58" i="86"/>
  <c r="AD43" i="86"/>
  <c r="AD42" i="86" s="1"/>
  <c r="AD51" i="86"/>
  <c r="AD49" i="86"/>
  <c r="AD45" i="86"/>
  <c r="AD57" i="86"/>
  <c r="AD56" i="86"/>
  <c r="AD55" i="86" s="1"/>
  <c r="AD52" i="86"/>
  <c r="AD47" i="86"/>
  <c r="AD41" i="86"/>
  <c r="AD32" i="86"/>
  <c r="AD31" i="86"/>
  <c r="AD28" i="86"/>
  <c r="AD24" i="86"/>
  <c r="AD23" i="86"/>
  <c r="AD22" i="86" s="1"/>
  <c r="AP21" i="86"/>
  <c r="AD25" i="86"/>
  <c r="AD33" i="86"/>
  <c r="AD78" i="86" s="1"/>
  <c r="AD27" i="86"/>
  <c r="AD26" i="86" s="1"/>
  <c r="BW73" i="86"/>
  <c r="AF29" i="86"/>
  <c r="AF42" i="86"/>
  <c r="AF109" i="86"/>
  <c r="AF112" i="86" s="1"/>
  <c r="AF125" i="86"/>
  <c r="AU112" i="86"/>
  <c r="AT109" i="86"/>
  <c r="AS11" i="86"/>
  <c r="AS8" i="86" s="1"/>
  <c r="AS21" i="86" s="1"/>
  <c r="AR8" i="86"/>
  <c r="AR21" i="86" s="1"/>
  <c r="R109" i="86"/>
  <c r="R112" i="86" s="1"/>
  <c r="R1" i="86"/>
  <c r="BC11" i="86"/>
  <c r="BC8" i="86" s="1"/>
  <c r="BC21" i="86" s="1"/>
  <c r="BA8" i="86"/>
  <c r="AZ8" i="86" s="1"/>
  <c r="BV8" i="86" s="1"/>
  <c r="BD11" i="86"/>
  <c r="AZ11" i="86"/>
  <c r="BV11" i="86" s="1"/>
  <c r="BL34" i="86"/>
  <c r="BF114" i="86"/>
  <c r="BG109" i="86"/>
  <c r="BG124" i="86"/>
  <c r="BF99" i="86"/>
  <c r="BF1" i="86" s="1"/>
  <c r="P75" i="86"/>
  <c r="Q59" i="86"/>
  <c r="AT122" i="86"/>
  <c r="W102" i="86"/>
  <c r="V59" i="86"/>
  <c r="V115" i="86" s="1"/>
  <c r="J114" i="86"/>
  <c r="K124" i="86"/>
  <c r="K109" i="86"/>
  <c r="J99" i="86"/>
  <c r="J1" i="86" s="1"/>
  <c r="BM111" i="86"/>
  <c r="BL111" i="86" s="1"/>
  <c r="BW111" i="86" s="1"/>
  <c r="BL70" i="86"/>
  <c r="BW70" i="86" s="1"/>
  <c r="BM63" i="86"/>
  <c r="D124" i="86"/>
  <c r="D122" i="86"/>
  <c r="D123" i="86" s="1"/>
  <c r="F124" i="86" s="1"/>
  <c r="AG29" i="86"/>
  <c r="BM11" i="86"/>
  <c r="BW12" i="86"/>
  <c r="AT123" i="86"/>
  <c r="AV124" i="86" s="1"/>
  <c r="AT124" i="86" s="1"/>
  <c r="AV109" i="86"/>
  <c r="AV112" i="86" s="1"/>
  <c r="BS78" i="86"/>
  <c r="BR78" i="86"/>
  <c r="AT99" i="86"/>
  <c r="AT1" i="86" s="1"/>
  <c r="Q101" i="86"/>
  <c r="AC21" i="86"/>
  <c r="P21" i="86"/>
  <c r="AQ101" i="86"/>
  <c r="AQ99" i="86" s="1"/>
  <c r="AQ109" i="86" s="1"/>
  <c r="AQ112" i="86" s="1"/>
  <c r="AQ50" i="86"/>
  <c r="AQ48" i="86"/>
  <c r="AQ46" i="86"/>
  <c r="AQ44" i="86"/>
  <c r="AQ40" i="86"/>
  <c r="AQ57" i="86"/>
  <c r="AQ56" i="86"/>
  <c r="AQ55" i="86" s="1"/>
  <c r="AQ43" i="86"/>
  <c r="AQ54" i="86"/>
  <c r="AQ53" i="86"/>
  <c r="AQ51" i="86"/>
  <c r="AQ49" i="86"/>
  <c r="AQ45" i="86"/>
  <c r="AQ58" i="86"/>
  <c r="AQ52" i="86"/>
  <c r="AQ47" i="86"/>
  <c r="AQ41" i="86"/>
  <c r="AQ32" i="86"/>
  <c r="AQ28" i="86"/>
  <c r="AQ24" i="86"/>
  <c r="AQ33" i="86"/>
  <c r="AQ23" i="86"/>
  <c r="AQ22" i="86" s="1"/>
  <c r="AQ31" i="86"/>
  <c r="AQ29" i="86" s="1"/>
  <c r="AQ25" i="86"/>
  <c r="AQ27" i="86"/>
  <c r="BV34" i="86"/>
  <c r="AF55" i="86"/>
  <c r="BA110" i="86"/>
  <c r="AZ110" i="86" s="1"/>
  <c r="BV110" i="86" s="1"/>
  <c r="BA104" i="86"/>
  <c r="AZ104" i="86" s="1"/>
  <c r="BV104" i="86" s="1"/>
  <c r="AZ85" i="86"/>
  <c r="BV85" i="86" s="1"/>
  <c r="AT114" i="86"/>
  <c r="AZ63" i="86"/>
  <c r="BV63" i="86" s="1"/>
  <c r="BS29" i="86"/>
  <c r="BR29" i="86"/>
  <c r="P38" i="86"/>
  <c r="O111" i="85"/>
  <c r="U111" i="85"/>
  <c r="L40" i="85"/>
  <c r="O39" i="85"/>
  <c r="O37" i="85" s="1"/>
  <c r="L37" i="85"/>
  <c r="N8" i="85"/>
  <c r="W20" i="85"/>
  <c r="Y19" i="85"/>
  <c r="Z19" i="85" s="1"/>
  <c r="H6" i="85"/>
  <c r="H8" i="85" s="1"/>
  <c r="H9" i="85" s="1"/>
  <c r="H14" i="85"/>
  <c r="M37" i="85"/>
  <c r="L113" i="85"/>
  <c r="I109" i="85"/>
  <c r="X38" i="85"/>
  <c r="H45" i="85"/>
  <c r="H31" i="85"/>
  <c r="X25" i="85"/>
  <c r="W44" i="85"/>
  <c r="U44" i="85"/>
  <c r="V44" i="85" s="1"/>
  <c r="L12" i="85"/>
  <c r="Q25" i="85"/>
  <c r="R25" i="85" s="1"/>
  <c r="S25" i="85"/>
  <c r="N94" i="85"/>
  <c r="Q38" i="85"/>
  <c r="R38" i="85" s="1"/>
  <c r="S38" i="85"/>
  <c r="U93" i="85"/>
  <c r="W93" i="85"/>
  <c r="Y93" i="85" s="1"/>
  <c r="R8" i="85"/>
  <c r="AQ101" i="84"/>
  <c r="AQ57" i="84"/>
  <c r="AQ58" i="84"/>
  <c r="AQ52" i="84"/>
  <c r="AQ47" i="84"/>
  <c r="AQ46" i="84"/>
  <c r="AQ45" i="84"/>
  <c r="AQ44" i="84"/>
  <c r="AQ43" i="84"/>
  <c r="AQ56" i="84"/>
  <c r="AQ55" i="84" s="1"/>
  <c r="AQ54" i="84"/>
  <c r="AQ53" i="84"/>
  <c r="AQ51" i="84"/>
  <c r="AQ50" i="84"/>
  <c r="AQ49" i="84"/>
  <c r="AQ48" i="84"/>
  <c r="AQ40" i="84"/>
  <c r="AQ33" i="84"/>
  <c r="AQ31" i="84"/>
  <c r="AQ23" i="84"/>
  <c r="AQ32" i="84"/>
  <c r="AQ25" i="84"/>
  <c r="AQ41" i="84"/>
  <c r="AQ27" i="84"/>
  <c r="AQ28" i="84"/>
  <c r="AQ24" i="84"/>
  <c r="S109" i="84"/>
  <c r="S112" i="84" s="1"/>
  <c r="S1" i="84"/>
  <c r="BU34" i="84"/>
  <c r="R101" i="84"/>
  <c r="R99" i="84" s="1"/>
  <c r="AD21" i="84"/>
  <c r="AS11" i="84"/>
  <c r="AS8" i="84" s="1"/>
  <c r="AS21" i="84" s="1"/>
  <c r="AR8" i="84"/>
  <c r="AR21" i="84" s="1"/>
  <c r="BT15" i="84"/>
  <c r="BF114" i="84"/>
  <c r="BG109" i="84"/>
  <c r="BG124" i="84"/>
  <c r="BF99" i="84"/>
  <c r="BF1" i="84" s="1"/>
  <c r="AZ87" i="84"/>
  <c r="BV87" i="84" s="1"/>
  <c r="BA85" i="84"/>
  <c r="W109" i="84"/>
  <c r="V114" i="84"/>
  <c r="W124" i="84"/>
  <c r="BV15" i="84"/>
  <c r="P29" i="84"/>
  <c r="Q21" i="84"/>
  <c r="AE105" i="84"/>
  <c r="AQ92" i="84"/>
  <c r="BT34" i="84"/>
  <c r="BL90" i="84"/>
  <c r="BW90" i="84" s="1"/>
  <c r="BM70" i="84"/>
  <c r="BM87" i="84"/>
  <c r="D102" i="84"/>
  <c r="E99" i="84"/>
  <c r="BN35" i="84"/>
  <c r="BB34" i="84"/>
  <c r="AZ35" i="84"/>
  <c r="BV35" i="84" s="1"/>
  <c r="BR50" i="84"/>
  <c r="BS50" i="84"/>
  <c r="X99" i="84"/>
  <c r="V102" i="84"/>
  <c r="AG29" i="84"/>
  <c r="AG42" i="84"/>
  <c r="AF29" i="84"/>
  <c r="AF42" i="84"/>
  <c r="AF55" i="84"/>
  <c r="BR33" i="84"/>
  <c r="BS33" i="84"/>
  <c r="BV60" i="84"/>
  <c r="BW60" i="84"/>
  <c r="AH114" i="84"/>
  <c r="AI109" i="84"/>
  <c r="AI124" i="84"/>
  <c r="AH99" i="84"/>
  <c r="AH1" i="84" s="1"/>
  <c r="BE105" i="84"/>
  <c r="BQ92" i="84"/>
  <c r="BQ105" i="84" s="1"/>
  <c r="AE29" i="84"/>
  <c r="BW12" i="84"/>
  <c r="BM11" i="84"/>
  <c r="AO110" i="84"/>
  <c r="AN110" i="84" s="1"/>
  <c r="AO104" i="84"/>
  <c r="AN104" i="84" s="1"/>
  <c r="BU104" i="84" s="1"/>
  <c r="AN85" i="84"/>
  <c r="BU85" i="84" s="1"/>
  <c r="AC110" i="84"/>
  <c r="AB110" i="84" s="1"/>
  <c r="BT110" i="84" s="1"/>
  <c r="AC104" i="84"/>
  <c r="AB104" i="84" s="1"/>
  <c r="BT104" i="84" s="1"/>
  <c r="AB85" i="84"/>
  <c r="BT85" i="84" s="1"/>
  <c r="AF109" i="84"/>
  <c r="AF112" i="84" s="1"/>
  <c r="AF125" i="84"/>
  <c r="BL13" i="84"/>
  <c r="BW13" i="84" s="1"/>
  <c r="BN11" i="84"/>
  <c r="BN8" i="84" s="1"/>
  <c r="BV13" i="84"/>
  <c r="P78" i="84"/>
  <c r="Q75" i="84"/>
  <c r="BA111" i="84"/>
  <c r="AZ111" i="84" s="1"/>
  <c r="BV111" i="84" s="1"/>
  <c r="AZ70" i="84"/>
  <c r="BV70" i="84" s="1"/>
  <c r="BA63" i="84"/>
  <c r="BU15" i="84"/>
  <c r="AE99" i="84"/>
  <c r="AE109" i="84" s="1"/>
  <c r="AE112" i="84" s="1"/>
  <c r="BS85" i="84"/>
  <c r="BR85" i="84"/>
  <c r="AG55" i="84"/>
  <c r="T127" i="84"/>
  <c r="BS110" i="84"/>
  <c r="BR110" i="84"/>
  <c r="BM37" i="84"/>
  <c r="BL37" i="84" s="1"/>
  <c r="AZ37" i="84"/>
  <c r="BV37" i="84" s="1"/>
  <c r="BD105" i="84"/>
  <c r="BP92" i="84"/>
  <c r="BP105" i="84" s="1"/>
  <c r="AE39" i="84"/>
  <c r="AE26" i="84"/>
  <c r="AE55" i="84"/>
  <c r="AU109" i="84"/>
  <c r="AT114" i="84"/>
  <c r="AU124" i="84"/>
  <c r="AT99" i="84"/>
  <c r="AT1" i="84" s="1"/>
  <c r="J114" i="84"/>
  <c r="K109" i="84"/>
  <c r="K124" i="84"/>
  <c r="J99" i="84"/>
  <c r="J1" i="84" s="1"/>
  <c r="BA8" i="84"/>
  <c r="AZ8" i="84" s="1"/>
  <c r="BV8" i="84" s="1"/>
  <c r="BD11" i="84"/>
  <c r="BC11" i="84"/>
  <c r="BC8" i="84" s="1"/>
  <c r="BC21" i="84" s="1"/>
  <c r="AZ11" i="84"/>
  <c r="BV11" i="84" s="1"/>
  <c r="BM36" i="84"/>
  <c r="AZ36" i="84"/>
  <c r="BV36" i="84" s="1"/>
  <c r="BA34" i="84"/>
  <c r="BS42" i="84"/>
  <c r="BR42" i="84"/>
  <c r="BS104" i="84"/>
  <c r="BR104" i="84"/>
  <c r="AT102" i="84"/>
  <c r="AV99" i="84"/>
  <c r="AF26" i="84"/>
  <c r="R84" i="83"/>
  <c r="M84" i="83"/>
  <c r="P83" i="83"/>
  <c r="O83" i="83"/>
  <c r="Q82" i="83"/>
  <c r="L82" i="83"/>
  <c r="S80" i="83"/>
  <c r="E80" i="83"/>
  <c r="D80" i="83"/>
  <c r="S79" i="83"/>
  <c r="E79" i="83"/>
  <c r="D79" i="83"/>
  <c r="I78" i="83"/>
  <c r="E78" i="83"/>
  <c r="D78" i="83"/>
  <c r="E77" i="83"/>
  <c r="D77" i="83"/>
  <c r="P76" i="83"/>
  <c r="P77" i="83" s="1"/>
  <c r="F76" i="83"/>
  <c r="E76" i="83"/>
  <c r="D76" i="83"/>
  <c r="U75" i="83"/>
  <c r="Q75" i="83"/>
  <c r="V75" i="83" s="1"/>
  <c r="P75" i="83"/>
  <c r="L75" i="83"/>
  <c r="F75" i="83"/>
  <c r="E75" i="83"/>
  <c r="D75" i="83"/>
  <c r="U74" i="83"/>
  <c r="Q74" i="83"/>
  <c r="V74" i="83" s="1"/>
  <c r="P74" i="83"/>
  <c r="L74" i="83"/>
  <c r="F74" i="83"/>
  <c r="E74" i="83"/>
  <c r="D74" i="83"/>
  <c r="U73" i="83"/>
  <c r="Q73" i="83"/>
  <c r="V73" i="83" s="1"/>
  <c r="P73" i="83"/>
  <c r="L73" i="83"/>
  <c r="F73" i="83"/>
  <c r="E73" i="83"/>
  <c r="D73" i="83"/>
  <c r="V72" i="83"/>
  <c r="U72" i="83"/>
  <c r="S72" i="83"/>
  <c r="R72" i="83"/>
  <c r="I72" i="83"/>
  <c r="U71" i="83"/>
  <c r="Q71" i="83"/>
  <c r="V71" i="83" s="1"/>
  <c r="P71" i="83"/>
  <c r="L71" i="83"/>
  <c r="F71" i="83"/>
  <c r="E71" i="83"/>
  <c r="D71" i="83"/>
  <c r="V67" i="83"/>
  <c r="U67" i="83"/>
  <c r="S67" i="83"/>
  <c r="R67" i="83"/>
  <c r="Q67" i="83"/>
  <c r="N67" i="83"/>
  <c r="M67" i="83"/>
  <c r="L67" i="83"/>
  <c r="H67" i="83"/>
  <c r="G67" i="83"/>
  <c r="F67" i="83"/>
  <c r="E67" i="83"/>
  <c r="D67" i="83"/>
  <c r="V66" i="83"/>
  <c r="U66" i="83"/>
  <c r="S66" i="83"/>
  <c r="R66" i="83"/>
  <c r="Q66" i="83"/>
  <c r="N66" i="83"/>
  <c r="M66" i="83"/>
  <c r="L66" i="83"/>
  <c r="H66" i="83"/>
  <c r="G66" i="83"/>
  <c r="F66" i="83"/>
  <c r="E66" i="83"/>
  <c r="D66" i="83"/>
  <c r="V63" i="83"/>
  <c r="U63" i="83"/>
  <c r="V62" i="83"/>
  <c r="U62" i="83"/>
  <c r="Q62" i="83"/>
  <c r="L62" i="83"/>
  <c r="G62" i="83"/>
  <c r="F62" i="83"/>
  <c r="E62" i="83"/>
  <c r="D62" i="83"/>
  <c r="T61" i="83"/>
  <c r="S61" i="83"/>
  <c r="R61" i="83"/>
  <c r="Q61" i="83"/>
  <c r="V61" i="83" s="1"/>
  <c r="P61" i="83"/>
  <c r="O61" i="83"/>
  <c r="N61" i="83"/>
  <c r="M61" i="83"/>
  <c r="L61" i="83"/>
  <c r="U61" i="83" s="1"/>
  <c r="I61" i="83"/>
  <c r="H61" i="83"/>
  <c r="G61" i="83"/>
  <c r="F61" i="83"/>
  <c r="E61" i="83"/>
  <c r="D61" i="83"/>
  <c r="T60" i="83"/>
  <c r="Q79" i="83" s="1"/>
  <c r="V79" i="83" s="1"/>
  <c r="S60" i="83"/>
  <c r="R60" i="83"/>
  <c r="Q60" i="83"/>
  <c r="P60" i="83"/>
  <c r="O60" i="83"/>
  <c r="L79" i="83" s="1"/>
  <c r="N60" i="83"/>
  <c r="M60" i="83"/>
  <c r="L60" i="83" s="1"/>
  <c r="U60" i="83" s="1"/>
  <c r="I60" i="83"/>
  <c r="F79" i="83" s="1"/>
  <c r="H60" i="83"/>
  <c r="G60" i="83"/>
  <c r="F60" i="83" s="1"/>
  <c r="E60" i="83"/>
  <c r="D60" i="83"/>
  <c r="P59" i="83"/>
  <c r="I59" i="83"/>
  <c r="H59" i="83"/>
  <c r="G59" i="83"/>
  <c r="F59" i="83" s="1"/>
  <c r="E59" i="83"/>
  <c r="D59" i="83"/>
  <c r="T58" i="83"/>
  <c r="O58" i="83"/>
  <c r="I58" i="83"/>
  <c r="I57" i="83" s="1"/>
  <c r="H58" i="83"/>
  <c r="F58" i="83" s="1"/>
  <c r="G58" i="83"/>
  <c r="E58" i="83"/>
  <c r="D58" i="83"/>
  <c r="D57" i="83" s="1"/>
  <c r="Y57" i="83"/>
  <c r="X57" i="83"/>
  <c r="W57" i="83"/>
  <c r="U57" i="83"/>
  <c r="Q57" i="83"/>
  <c r="Q69" i="83" s="1"/>
  <c r="L57" i="83"/>
  <c r="L69" i="83" s="1"/>
  <c r="G57" i="83"/>
  <c r="F57" i="83"/>
  <c r="F69" i="83" s="1"/>
  <c r="E57" i="83"/>
  <c r="E69" i="83" s="1"/>
  <c r="V56" i="83"/>
  <c r="U56" i="83"/>
  <c r="J56" i="83"/>
  <c r="V55" i="83"/>
  <c r="U55" i="83"/>
  <c r="J55" i="83"/>
  <c r="V54" i="83"/>
  <c r="U54" i="83"/>
  <c r="J54" i="83"/>
  <c r="V53" i="83"/>
  <c r="U53" i="83"/>
  <c r="T53" i="83"/>
  <c r="S53" i="83"/>
  <c r="R53" i="83"/>
  <c r="P53" i="83"/>
  <c r="O53" i="83"/>
  <c r="N53" i="83"/>
  <c r="M53" i="83"/>
  <c r="H53" i="83"/>
  <c r="G53" i="83"/>
  <c r="D53" i="83"/>
  <c r="V52" i="83"/>
  <c r="U52" i="83"/>
  <c r="P52" i="83"/>
  <c r="J52" i="83"/>
  <c r="H52" i="83"/>
  <c r="G52" i="83"/>
  <c r="D52" i="83"/>
  <c r="V51" i="83"/>
  <c r="U51" i="83"/>
  <c r="R51" i="83"/>
  <c r="P51" i="83"/>
  <c r="N51" i="83"/>
  <c r="S51" i="83" s="1"/>
  <c r="M51" i="83"/>
  <c r="J51" i="83"/>
  <c r="I51" i="83"/>
  <c r="H51" i="83"/>
  <c r="G51" i="83"/>
  <c r="D51" i="83"/>
  <c r="V50" i="83"/>
  <c r="U50" i="83"/>
  <c r="S50" i="83"/>
  <c r="R50" i="83"/>
  <c r="N50" i="83"/>
  <c r="M50" i="83"/>
  <c r="H50" i="83"/>
  <c r="G50" i="83"/>
  <c r="V49" i="83"/>
  <c r="U49" i="83"/>
  <c r="S49" i="83"/>
  <c r="R49" i="83"/>
  <c r="P49" i="83"/>
  <c r="N49" i="83"/>
  <c r="M49" i="83"/>
  <c r="H49" i="83"/>
  <c r="G49" i="83"/>
  <c r="D49" i="83"/>
  <c r="V48" i="83"/>
  <c r="U48" i="83"/>
  <c r="P48" i="83"/>
  <c r="N48" i="83"/>
  <c r="S48" i="83" s="1"/>
  <c r="M48" i="83"/>
  <c r="R48" i="83" s="1"/>
  <c r="J48" i="83"/>
  <c r="H48" i="83"/>
  <c r="G48" i="83"/>
  <c r="D48" i="83"/>
  <c r="V47" i="83"/>
  <c r="U47" i="83"/>
  <c r="S47" i="83"/>
  <c r="P47" i="83"/>
  <c r="N47" i="83"/>
  <c r="M47" i="83"/>
  <c r="R47" i="83" s="1"/>
  <c r="J47" i="83"/>
  <c r="H47" i="83"/>
  <c r="G47" i="83"/>
  <c r="D47" i="83"/>
  <c r="Y46" i="83"/>
  <c r="X46" i="83"/>
  <c r="W46" i="83"/>
  <c r="V46" i="83"/>
  <c r="U46" i="83"/>
  <c r="Q46" i="83"/>
  <c r="P46" i="83"/>
  <c r="N46" i="83"/>
  <c r="L46" i="83"/>
  <c r="J46" i="83"/>
  <c r="H46" i="83"/>
  <c r="G46" i="83"/>
  <c r="F46" i="83"/>
  <c r="E46" i="83"/>
  <c r="D46" i="83"/>
  <c r="V45" i="83"/>
  <c r="Q45" i="83"/>
  <c r="L45" i="83"/>
  <c r="H45" i="83"/>
  <c r="G45" i="83"/>
  <c r="F45" i="83"/>
  <c r="U45" i="83" s="1"/>
  <c r="V44" i="83"/>
  <c r="U44" i="83"/>
  <c r="R44" i="83"/>
  <c r="M44" i="83"/>
  <c r="J44" i="83"/>
  <c r="H44" i="83"/>
  <c r="G44" i="83"/>
  <c r="D44" i="83"/>
  <c r="Y43" i="83"/>
  <c r="X43" i="83"/>
  <c r="W43" i="83"/>
  <c r="V43" i="83"/>
  <c r="U43" i="83"/>
  <c r="T43" i="83"/>
  <c r="S43" i="83"/>
  <c r="R43" i="83"/>
  <c r="Q43" i="83"/>
  <c r="P43" i="83"/>
  <c r="O43" i="83"/>
  <c r="N43" i="83"/>
  <c r="M43" i="83"/>
  <c r="L43" i="83"/>
  <c r="J43" i="83"/>
  <c r="H43" i="83"/>
  <c r="G43" i="83"/>
  <c r="F43" i="83"/>
  <c r="E43" i="83"/>
  <c r="D43" i="83"/>
  <c r="Y42" i="83"/>
  <c r="X42" i="83"/>
  <c r="W42" i="83"/>
  <c r="V42" i="83"/>
  <c r="U42" i="83"/>
  <c r="Q42" i="83"/>
  <c r="P42" i="83"/>
  <c r="L42" i="83"/>
  <c r="J42" i="83"/>
  <c r="I42" i="83"/>
  <c r="H42" i="83"/>
  <c r="G42" i="83"/>
  <c r="F42" i="83"/>
  <c r="E42" i="83"/>
  <c r="D42" i="83"/>
  <c r="V41" i="83"/>
  <c r="U41" i="83"/>
  <c r="P41" i="83"/>
  <c r="H41" i="83"/>
  <c r="G41" i="83"/>
  <c r="V40" i="83"/>
  <c r="U40" i="83"/>
  <c r="P40" i="83"/>
  <c r="J40" i="83"/>
  <c r="H40" i="83"/>
  <c r="G40" i="83"/>
  <c r="D40" i="83"/>
  <c r="V39" i="83"/>
  <c r="U39" i="83"/>
  <c r="P39" i="83"/>
  <c r="J39" i="83"/>
  <c r="H39" i="83"/>
  <c r="G39" i="83"/>
  <c r="Y38" i="83"/>
  <c r="X38" i="83"/>
  <c r="W38" i="83"/>
  <c r="V38" i="83"/>
  <c r="U38" i="83"/>
  <c r="T38" i="83"/>
  <c r="Q38" i="83"/>
  <c r="P38" i="83"/>
  <c r="O38" i="83"/>
  <c r="L38" i="83"/>
  <c r="J38" i="83"/>
  <c r="I38" i="83"/>
  <c r="H38" i="83"/>
  <c r="G38" i="83"/>
  <c r="F38" i="83"/>
  <c r="E38" i="83"/>
  <c r="D38" i="83"/>
  <c r="V37" i="83"/>
  <c r="U37" i="83"/>
  <c r="P37" i="83"/>
  <c r="H37" i="83"/>
  <c r="G37" i="83"/>
  <c r="D37" i="83"/>
  <c r="V36" i="83"/>
  <c r="U36" i="83"/>
  <c r="Q36" i="83"/>
  <c r="L36" i="83"/>
  <c r="J36" i="83"/>
  <c r="F36" i="83"/>
  <c r="V35" i="83"/>
  <c r="U35" i="83"/>
  <c r="P35" i="83"/>
  <c r="H35" i="83"/>
  <c r="G35" i="83"/>
  <c r="D35" i="83"/>
  <c r="V34" i="83"/>
  <c r="U34" i="83"/>
  <c r="P34" i="83"/>
  <c r="I34" i="83"/>
  <c r="H34" i="83"/>
  <c r="G34" i="83"/>
  <c r="D34" i="83"/>
  <c r="V33" i="83"/>
  <c r="U33" i="83"/>
  <c r="P33" i="83"/>
  <c r="J33" i="83"/>
  <c r="I33" i="83"/>
  <c r="H33" i="83"/>
  <c r="G33" i="83"/>
  <c r="D33" i="83"/>
  <c r="V32" i="83"/>
  <c r="U32" i="83"/>
  <c r="P32" i="83"/>
  <c r="I32" i="83"/>
  <c r="H32" i="83"/>
  <c r="G32" i="83"/>
  <c r="D32" i="83"/>
  <c r="V31" i="83"/>
  <c r="U31" i="83"/>
  <c r="P31" i="83"/>
  <c r="J31" i="83"/>
  <c r="I31" i="83"/>
  <c r="H31" i="83"/>
  <c r="G31" i="83"/>
  <c r="D31" i="83"/>
  <c r="V30" i="83"/>
  <c r="U30" i="83"/>
  <c r="P30" i="83"/>
  <c r="J30" i="83"/>
  <c r="V29" i="83"/>
  <c r="U29" i="83"/>
  <c r="P29" i="83"/>
  <c r="Y28" i="83"/>
  <c r="X28" i="83"/>
  <c r="W28" i="83"/>
  <c r="V28" i="83"/>
  <c r="U28" i="83"/>
  <c r="T28" i="83"/>
  <c r="Q28" i="83"/>
  <c r="P28" i="83"/>
  <c r="O28" i="83"/>
  <c r="L28" i="83"/>
  <c r="J28" i="83"/>
  <c r="H28" i="83"/>
  <c r="G28" i="83"/>
  <c r="F28" i="83"/>
  <c r="E28" i="83"/>
  <c r="D28" i="83"/>
  <c r="V27" i="83"/>
  <c r="U27" i="83"/>
  <c r="P27" i="83"/>
  <c r="J27" i="83"/>
  <c r="D27" i="83"/>
  <c r="Y26" i="83"/>
  <c r="X26" i="83"/>
  <c r="W26" i="83"/>
  <c r="V26" i="83"/>
  <c r="U26" i="83"/>
  <c r="T26" i="83"/>
  <c r="S26" i="83"/>
  <c r="Q26" i="83"/>
  <c r="P26" i="83"/>
  <c r="L26" i="83"/>
  <c r="J26" i="83"/>
  <c r="H26" i="83"/>
  <c r="G26" i="83"/>
  <c r="F26" i="83"/>
  <c r="E26" i="83"/>
  <c r="D26" i="83"/>
  <c r="V25" i="83"/>
  <c r="U25" i="83"/>
  <c r="P25" i="83"/>
  <c r="J25" i="83"/>
  <c r="H25" i="83"/>
  <c r="G25" i="83"/>
  <c r="D25" i="83"/>
  <c r="V24" i="83"/>
  <c r="U24" i="83"/>
  <c r="P24" i="83"/>
  <c r="H24" i="83"/>
  <c r="G24" i="83"/>
  <c r="D24" i="83"/>
  <c r="V23" i="83"/>
  <c r="U23" i="83"/>
  <c r="P23" i="83"/>
  <c r="J23" i="83"/>
  <c r="H23" i="83"/>
  <c r="G23" i="83"/>
  <c r="D23" i="83"/>
  <c r="J22" i="83"/>
  <c r="H22" i="83"/>
  <c r="F22" i="83"/>
  <c r="Y21" i="83"/>
  <c r="X21" i="83"/>
  <c r="W21" i="83"/>
  <c r="V21" i="83"/>
  <c r="U21" i="83"/>
  <c r="T21" i="83"/>
  <c r="Q21" i="83"/>
  <c r="P21" i="83"/>
  <c r="P58" i="83" s="1"/>
  <c r="O21" i="83"/>
  <c r="L21" i="83"/>
  <c r="J21" i="83"/>
  <c r="I21" i="83"/>
  <c r="H21" i="83"/>
  <c r="G21" i="83"/>
  <c r="F21" i="83"/>
  <c r="E21" i="83"/>
  <c r="D21" i="83"/>
  <c r="V20" i="83"/>
  <c r="U20" i="83"/>
  <c r="T20" i="83"/>
  <c r="R20" i="83"/>
  <c r="P20" i="83"/>
  <c r="O20" i="83"/>
  <c r="M20" i="83"/>
  <c r="J20" i="83"/>
  <c r="I20" i="83"/>
  <c r="G20" i="83"/>
  <c r="D20" i="83"/>
  <c r="V19" i="83"/>
  <c r="U19" i="83"/>
  <c r="R19" i="83"/>
  <c r="M19" i="83"/>
  <c r="J19" i="83"/>
  <c r="G19" i="83"/>
  <c r="D19" i="83"/>
  <c r="V18" i="83"/>
  <c r="U18" i="83"/>
  <c r="R18" i="83"/>
  <c r="M18" i="83"/>
  <c r="J18" i="83"/>
  <c r="G18" i="83"/>
  <c r="D18" i="83"/>
  <c r="Y17" i="83"/>
  <c r="X17" i="83"/>
  <c r="W17" i="83"/>
  <c r="V17" i="83"/>
  <c r="V57" i="83" s="1"/>
  <c r="U17" i="83"/>
  <c r="T17" i="83"/>
  <c r="S17" i="83"/>
  <c r="R17" i="83"/>
  <c r="Q17" i="83"/>
  <c r="P17" i="83"/>
  <c r="O17" i="83"/>
  <c r="N17" i="83"/>
  <c r="M17" i="83"/>
  <c r="L17" i="83"/>
  <c r="J17" i="83"/>
  <c r="I17" i="83"/>
  <c r="H17" i="83"/>
  <c r="G17" i="83"/>
  <c r="F17" i="83"/>
  <c r="E17" i="83"/>
  <c r="D17" i="83"/>
  <c r="V15" i="83"/>
  <c r="U15" i="83"/>
  <c r="V14" i="83"/>
  <c r="U14" i="83"/>
  <c r="Q14" i="83"/>
  <c r="L14" i="83"/>
  <c r="V13" i="83"/>
  <c r="U13" i="83"/>
  <c r="Q13" i="83"/>
  <c r="L13" i="83"/>
  <c r="S12" i="83"/>
  <c r="R12" i="83"/>
  <c r="T12" i="83" s="1"/>
  <c r="T9" i="83" s="1"/>
  <c r="T52" i="83" s="1"/>
  <c r="N12" i="83"/>
  <c r="M12" i="83"/>
  <c r="O12" i="83" s="1"/>
  <c r="O9" i="83" s="1"/>
  <c r="O48" i="83" s="1"/>
  <c r="V11" i="83"/>
  <c r="U11" i="83"/>
  <c r="V10" i="83"/>
  <c r="U10" i="83"/>
  <c r="Q10" i="83"/>
  <c r="L10" i="83"/>
  <c r="F10" i="83"/>
  <c r="S9" i="83"/>
  <c r="N9" i="83"/>
  <c r="N37" i="83" s="1"/>
  <c r="S37" i="83" s="1"/>
  <c r="D8" i="82"/>
  <c r="H131" i="81"/>
  <c r="G131" i="81"/>
  <c r="F131" i="81"/>
  <c r="E131" i="81"/>
  <c r="D131" i="81"/>
  <c r="H25" i="81"/>
  <c r="G25" i="81"/>
  <c r="F25" i="81"/>
  <c r="E25" i="81"/>
  <c r="D25" i="81"/>
  <c r="F17" i="81"/>
  <c r="H14" i="81"/>
  <c r="G14" i="81"/>
  <c r="H13" i="81"/>
  <c r="G13" i="81"/>
  <c r="H12" i="81"/>
  <c r="G12" i="81"/>
  <c r="H11" i="81"/>
  <c r="G11" i="81"/>
  <c r="H9" i="81"/>
  <c r="G9" i="81"/>
  <c r="F8" i="81"/>
  <c r="E8" i="81"/>
  <c r="F7" i="81"/>
  <c r="E7" i="81"/>
  <c r="D7" i="81"/>
  <c r="K46" i="87" l="1"/>
  <c r="K43" i="87"/>
  <c r="K31" i="87" s="1"/>
  <c r="P40" i="87"/>
  <c r="S39" i="87"/>
  <c r="P37" i="87"/>
  <c r="N43" i="87"/>
  <c r="M45" i="87"/>
  <c r="N45" i="87" s="1"/>
  <c r="L14" i="87"/>
  <c r="Y38" i="87"/>
  <c r="Z38" i="87" s="1"/>
  <c r="Y25" i="87"/>
  <c r="Z25" i="87" s="1"/>
  <c r="N109" i="87"/>
  <c r="Q113" i="87"/>
  <c r="I24" i="87"/>
  <c r="I26" i="87" s="1"/>
  <c r="H18" i="87"/>
  <c r="BC101" i="86"/>
  <c r="BC57" i="86"/>
  <c r="BC54" i="86"/>
  <c r="BC56" i="86"/>
  <c r="BC52" i="86"/>
  <c r="BC47" i="86"/>
  <c r="BC41" i="86"/>
  <c r="BC53" i="86"/>
  <c r="BC50" i="86"/>
  <c r="BC48" i="86"/>
  <c r="BC46" i="86"/>
  <c r="BC44" i="86"/>
  <c r="BC40" i="86"/>
  <c r="BC39" i="86" s="1"/>
  <c r="BC58" i="86"/>
  <c r="BC43" i="86"/>
  <c r="BC51" i="86"/>
  <c r="BC49" i="86"/>
  <c r="BC45" i="86"/>
  <c r="BC33" i="86"/>
  <c r="BC27" i="86"/>
  <c r="BC31" i="86"/>
  <c r="BC28" i="86"/>
  <c r="BC24" i="86"/>
  <c r="BC23" i="86"/>
  <c r="BC22" i="86" s="1"/>
  <c r="BC32" i="86"/>
  <c r="BC25" i="86"/>
  <c r="BS38" i="86"/>
  <c r="BR38" i="86"/>
  <c r="AC101" i="86"/>
  <c r="AC57" i="86"/>
  <c r="AB57" i="86" s="1"/>
  <c r="BT57" i="86" s="1"/>
  <c r="AC54" i="86"/>
  <c r="AB54" i="86" s="1"/>
  <c r="BT54" i="86" s="1"/>
  <c r="AC56" i="86"/>
  <c r="AC52" i="86"/>
  <c r="AB52" i="86" s="1"/>
  <c r="BT52" i="86" s="1"/>
  <c r="AC47" i="86"/>
  <c r="AB47" i="86" s="1"/>
  <c r="BT47" i="86" s="1"/>
  <c r="AC41" i="86"/>
  <c r="AB41" i="86" s="1"/>
  <c r="BT41" i="86" s="1"/>
  <c r="AC53" i="86"/>
  <c r="AB53" i="86" s="1"/>
  <c r="BT53" i="86" s="1"/>
  <c r="AC50" i="86"/>
  <c r="AB50" i="86" s="1"/>
  <c r="BT50" i="86" s="1"/>
  <c r="AC48" i="86"/>
  <c r="AB48" i="86" s="1"/>
  <c r="BT48" i="86" s="1"/>
  <c r="AC46" i="86"/>
  <c r="AB46" i="86" s="1"/>
  <c r="BT46" i="86" s="1"/>
  <c r="AC44" i="86"/>
  <c r="AB44" i="86" s="1"/>
  <c r="BT44" i="86" s="1"/>
  <c r="AC40" i="86"/>
  <c r="AC58" i="86"/>
  <c r="AB58" i="86" s="1"/>
  <c r="BT58" i="86" s="1"/>
  <c r="AC43" i="86"/>
  <c r="AC51" i="86"/>
  <c r="AB51" i="86" s="1"/>
  <c r="BT51" i="86" s="1"/>
  <c r="AC49" i="86"/>
  <c r="AB49" i="86" s="1"/>
  <c r="BT49" i="86" s="1"/>
  <c r="AC45" i="86"/>
  <c r="AB45" i="86" s="1"/>
  <c r="BT45" i="86" s="1"/>
  <c r="AC33" i="86"/>
  <c r="AC32" i="86"/>
  <c r="AB32" i="86" s="1"/>
  <c r="BT32" i="86" s="1"/>
  <c r="AC27" i="86"/>
  <c r="AC31" i="86"/>
  <c r="AC28" i="86"/>
  <c r="AB28" i="86" s="1"/>
  <c r="BT28" i="86" s="1"/>
  <c r="AC24" i="86"/>
  <c r="AB24" i="86" s="1"/>
  <c r="BT24" i="86" s="1"/>
  <c r="AC23" i="86"/>
  <c r="AO21" i="86"/>
  <c r="AC25" i="86"/>
  <c r="AB25" i="86" s="1"/>
  <c r="BT25" i="86" s="1"/>
  <c r="AB21" i="86"/>
  <c r="AQ39" i="86"/>
  <c r="P101" i="86"/>
  <c r="J124" i="86"/>
  <c r="J122" i="86"/>
  <c r="J123" i="86" s="1"/>
  <c r="L124" i="86" s="1"/>
  <c r="BW34" i="86"/>
  <c r="AT112" i="86"/>
  <c r="BC105" i="86"/>
  <c r="BO92" i="86"/>
  <c r="BO105" i="86" s="1"/>
  <c r="AQ42" i="86"/>
  <c r="BF122" i="86"/>
  <c r="BF123" i="86" s="1"/>
  <c r="BH124" i="86" s="1"/>
  <c r="BF124" i="86" s="1"/>
  <c r="AR101" i="86"/>
  <c r="AR99" i="86" s="1"/>
  <c r="AR56" i="86"/>
  <c r="AR53" i="86"/>
  <c r="AR57" i="86"/>
  <c r="AR43" i="86"/>
  <c r="AR54" i="86"/>
  <c r="AR51" i="86"/>
  <c r="AR49" i="86"/>
  <c r="AR45" i="86"/>
  <c r="AR58" i="86"/>
  <c r="AR52" i="86"/>
  <c r="AR47" i="86"/>
  <c r="AR50" i="86"/>
  <c r="AR48" i="86"/>
  <c r="AR46" i="86"/>
  <c r="AR44" i="86"/>
  <c r="AR40" i="86"/>
  <c r="AR33" i="86"/>
  <c r="AR31" i="86"/>
  <c r="AR32" i="86"/>
  <c r="AR23" i="86"/>
  <c r="AR25" i="86"/>
  <c r="AR41" i="86"/>
  <c r="AR27" i="86"/>
  <c r="AR26" i="86" s="1"/>
  <c r="AR28" i="86"/>
  <c r="AR24" i="86"/>
  <c r="AP101" i="86"/>
  <c r="AP57" i="86"/>
  <c r="AP54" i="86"/>
  <c r="AP58" i="86"/>
  <c r="AP52" i="86"/>
  <c r="AP47" i="86"/>
  <c r="AP41" i="86"/>
  <c r="AP50" i="86"/>
  <c r="AP48" i="86"/>
  <c r="AP46" i="86"/>
  <c r="AP44" i="86"/>
  <c r="AP40" i="86"/>
  <c r="AP39" i="86" s="1"/>
  <c r="AP56" i="86"/>
  <c r="AP55" i="86" s="1"/>
  <c r="AP43" i="86"/>
  <c r="AP53" i="86"/>
  <c r="AP51" i="86"/>
  <c r="AP49" i="86"/>
  <c r="AP45" i="86"/>
  <c r="AP27" i="86"/>
  <c r="AP32" i="86"/>
  <c r="AP28" i="86"/>
  <c r="AP24" i="86"/>
  <c r="BB21" i="86"/>
  <c r="AP33" i="86"/>
  <c r="AP78" i="86" s="1"/>
  <c r="AP23" i="86"/>
  <c r="AP22" i="86" s="1"/>
  <c r="AP31" i="86"/>
  <c r="AP25" i="86"/>
  <c r="AD76" i="86"/>
  <c r="AD75" i="86" s="1"/>
  <c r="AD59" i="86" s="1"/>
  <c r="AD102" i="86" s="1"/>
  <c r="AD99" i="86" s="1"/>
  <c r="AD29" i="86"/>
  <c r="AD38" i="86" s="1"/>
  <c r="AD39" i="86"/>
  <c r="BS21" i="86"/>
  <c r="BR21" i="86"/>
  <c r="Q102" i="86"/>
  <c r="P102" i="86" s="1"/>
  <c r="P59" i="86"/>
  <c r="P92" i="86" s="1"/>
  <c r="BG112" i="86"/>
  <c r="BF112" i="86" s="1"/>
  <c r="BF109" i="86"/>
  <c r="AS101" i="86"/>
  <c r="AS99" i="86" s="1"/>
  <c r="AS109" i="86" s="1"/>
  <c r="AS112" i="86" s="1"/>
  <c r="AS58" i="86"/>
  <c r="AS56" i="86"/>
  <c r="AS54" i="86"/>
  <c r="AS51" i="86"/>
  <c r="AS49" i="86"/>
  <c r="AS45" i="86"/>
  <c r="AS53" i="86"/>
  <c r="AS52" i="86"/>
  <c r="AS47" i="86"/>
  <c r="AS41" i="86"/>
  <c r="AS50" i="86"/>
  <c r="AS48" i="86"/>
  <c r="AS46" i="86"/>
  <c r="AS44" i="86"/>
  <c r="AS57" i="86"/>
  <c r="AS43" i="86"/>
  <c r="AS40" i="86"/>
  <c r="AS39" i="86" s="1"/>
  <c r="AS33" i="86"/>
  <c r="AS25" i="86"/>
  <c r="AS31" i="86"/>
  <c r="AS29" i="86" s="1"/>
  <c r="AS27" i="86"/>
  <c r="AS26" i="86" s="1"/>
  <c r="AS28" i="86"/>
  <c r="AS24" i="86"/>
  <c r="BE21" i="86"/>
  <c r="AS32" i="86"/>
  <c r="AS23" i="86"/>
  <c r="BM110" i="86"/>
  <c r="BL110" i="86" s="1"/>
  <c r="BW110" i="86" s="1"/>
  <c r="BM104" i="86"/>
  <c r="BL104" i="86" s="1"/>
  <c r="BW104" i="86" s="1"/>
  <c r="BL85" i="86"/>
  <c r="BW85" i="86" s="1"/>
  <c r="AQ26" i="86"/>
  <c r="BP11" i="86"/>
  <c r="BL11" i="86"/>
  <c r="BW11" i="86" s="1"/>
  <c r="BO11" i="86"/>
  <c r="BO8" i="86" s="1"/>
  <c r="BO21" i="86" s="1"/>
  <c r="BM8" i="86"/>
  <c r="BL8" i="86" s="1"/>
  <c r="BW8" i="86" s="1"/>
  <c r="BL63" i="86"/>
  <c r="BW63" i="86" s="1"/>
  <c r="K112" i="86"/>
  <c r="J112" i="86" s="1"/>
  <c r="J109" i="86"/>
  <c r="V102" i="86"/>
  <c r="W99" i="86"/>
  <c r="BR75" i="86"/>
  <c r="BS75" i="86"/>
  <c r="BE11" i="86"/>
  <c r="BE8" i="86" s="1"/>
  <c r="BD8" i="86"/>
  <c r="BD21" i="86" s="1"/>
  <c r="AH102" i="86"/>
  <c r="AI99" i="86"/>
  <c r="V93" i="85"/>
  <c r="U94" i="85"/>
  <c r="V94" i="85" s="1"/>
  <c r="Y44" i="85"/>
  <c r="Z44" i="85" s="1"/>
  <c r="K45" i="85"/>
  <c r="H46" i="85"/>
  <c r="H15" i="85"/>
  <c r="H26" i="85"/>
  <c r="K15" i="85"/>
  <c r="U25" i="85"/>
  <c r="V25" i="85" s="1"/>
  <c r="W25" i="85"/>
  <c r="L14" i="85"/>
  <c r="N37" i="85"/>
  <c r="M39" i="85"/>
  <c r="N39" i="85" s="1"/>
  <c r="M43" i="85"/>
  <c r="U38" i="85"/>
  <c r="V38" i="85" s="1"/>
  <c r="W38" i="85"/>
  <c r="Q109" i="85"/>
  <c r="O40" i="85"/>
  <c r="P39" i="85"/>
  <c r="T111" i="85"/>
  <c r="Z111" i="85"/>
  <c r="Y111" i="85" s="1"/>
  <c r="Z93" i="85"/>
  <c r="Y94" i="85"/>
  <c r="Z94" i="85" s="1"/>
  <c r="H33" i="85"/>
  <c r="H92" i="85"/>
  <c r="H94" i="85" s="1"/>
  <c r="H95" i="85" s="1"/>
  <c r="BC101" i="84"/>
  <c r="BC58" i="84"/>
  <c r="BC56" i="84"/>
  <c r="BC55" i="84" s="1"/>
  <c r="BC53" i="84"/>
  <c r="BC51" i="84"/>
  <c r="BC49" i="84"/>
  <c r="BC45" i="84"/>
  <c r="BC54" i="84"/>
  <c r="BC52" i="84"/>
  <c r="BC40" i="84"/>
  <c r="BC33" i="84"/>
  <c r="BC57" i="84"/>
  <c r="BC47" i="84"/>
  <c r="BC43" i="84"/>
  <c r="BC50" i="84"/>
  <c r="BC48" i="84"/>
  <c r="BC46" i="84"/>
  <c r="BC44" i="84"/>
  <c r="BC41" i="84"/>
  <c r="BC32" i="84"/>
  <c r="BC31" i="84"/>
  <c r="BC29" i="84" s="1"/>
  <c r="BC28" i="84"/>
  <c r="BC24" i="84"/>
  <c r="BC23" i="84"/>
  <c r="BC25" i="84"/>
  <c r="BC27" i="84"/>
  <c r="BC26" i="84" s="1"/>
  <c r="K112" i="84"/>
  <c r="J112" i="84" s="1"/>
  <c r="J109" i="84"/>
  <c r="AT123" i="84"/>
  <c r="AV124" i="84" s="1"/>
  <c r="AV109" i="84"/>
  <c r="AV112" i="84" s="1"/>
  <c r="BL36" i="84"/>
  <c r="BW36" i="84" s="1"/>
  <c r="BM34" i="84"/>
  <c r="AU112" i="84"/>
  <c r="AT112" i="84" s="1"/>
  <c r="AT109" i="84"/>
  <c r="P75" i="84"/>
  <c r="Q59" i="84"/>
  <c r="BU110" i="84"/>
  <c r="AI112" i="84"/>
  <c r="AH112" i="84" s="1"/>
  <c r="AH109" i="84"/>
  <c r="V123" i="84"/>
  <c r="X124" i="84" s="1"/>
  <c r="X109" i="84"/>
  <c r="X112" i="84" s="1"/>
  <c r="BL87" i="84"/>
  <c r="BW87" i="84" s="1"/>
  <c r="BM85" i="84"/>
  <c r="BS29" i="84"/>
  <c r="BR29" i="84"/>
  <c r="P38" i="84"/>
  <c r="V99" i="84"/>
  <c r="V1" i="84" s="1"/>
  <c r="BA110" i="84"/>
  <c r="AZ110" i="84" s="1"/>
  <c r="BV110" i="84" s="1"/>
  <c r="BA104" i="84"/>
  <c r="AZ104" i="84" s="1"/>
  <c r="BV104" i="84" s="1"/>
  <c r="AZ85" i="84"/>
  <c r="BV85" i="84" s="1"/>
  <c r="BG112" i="84"/>
  <c r="BF112" i="84" s="1"/>
  <c r="BF109" i="84"/>
  <c r="R109" i="84"/>
  <c r="R112" i="84" s="1"/>
  <c r="R1" i="84"/>
  <c r="AQ26" i="84"/>
  <c r="AQ22" i="84"/>
  <c r="AZ63" i="84"/>
  <c r="BV63" i="84" s="1"/>
  <c r="BR78" i="84"/>
  <c r="BS78" i="84"/>
  <c r="BM8" i="84"/>
  <c r="BL8" i="84" s="1"/>
  <c r="BW8" i="84" s="1"/>
  <c r="BP11" i="84"/>
  <c r="BL11" i="84"/>
  <c r="BW11" i="84" s="1"/>
  <c r="BO11" i="84"/>
  <c r="BO8" i="84" s="1"/>
  <c r="BO21" i="84" s="1"/>
  <c r="BN34" i="84"/>
  <c r="BL35" i="84"/>
  <c r="BW35" i="84" s="1"/>
  <c r="BM111" i="84"/>
  <c r="BL111" i="84" s="1"/>
  <c r="BW111" i="84" s="1"/>
  <c r="BL70" i="84"/>
  <c r="BW70" i="84" s="1"/>
  <c r="BM63" i="84"/>
  <c r="AQ105" i="84"/>
  <c r="BC92" i="84"/>
  <c r="V124" i="84"/>
  <c r="V122" i="84"/>
  <c r="AR101" i="84"/>
  <c r="AR99" i="84" s="1"/>
  <c r="AR57" i="84"/>
  <c r="AR54" i="84"/>
  <c r="AR50" i="84"/>
  <c r="AR48" i="84"/>
  <c r="AR46" i="84"/>
  <c r="AR44" i="84"/>
  <c r="AR56" i="84"/>
  <c r="AR53" i="84"/>
  <c r="AR52" i="84"/>
  <c r="AR41" i="84"/>
  <c r="AR51" i="84"/>
  <c r="AR49" i="84"/>
  <c r="AR47" i="84"/>
  <c r="AR58" i="84"/>
  <c r="AR45" i="84"/>
  <c r="AR43" i="84"/>
  <c r="AR40" i="84"/>
  <c r="AR39" i="84" s="1"/>
  <c r="AR32" i="84"/>
  <c r="AR25" i="84"/>
  <c r="AR33" i="84"/>
  <c r="AR31" i="84"/>
  <c r="AR29" i="84" s="1"/>
  <c r="AR27" i="84"/>
  <c r="AR26" i="84" s="1"/>
  <c r="AR28" i="84"/>
  <c r="AR24" i="84"/>
  <c r="AR23" i="84"/>
  <c r="AR22" i="84" s="1"/>
  <c r="AQ29" i="84"/>
  <c r="J122" i="84"/>
  <c r="J123" i="84" s="1"/>
  <c r="L124" i="84" s="1"/>
  <c r="J124" i="84" s="1"/>
  <c r="AT124" i="84"/>
  <c r="AT122" i="84"/>
  <c r="E124" i="84"/>
  <c r="D114" i="84"/>
  <c r="E109" i="84"/>
  <c r="D99" i="84"/>
  <c r="D1" i="84" s="1"/>
  <c r="AS101" i="84"/>
  <c r="AS99" i="84" s="1"/>
  <c r="AS109" i="84" s="1"/>
  <c r="AS112" i="84" s="1"/>
  <c r="AS56" i="84"/>
  <c r="AS55" i="84" s="1"/>
  <c r="AS57" i="84"/>
  <c r="AS54" i="84"/>
  <c r="AS52" i="84"/>
  <c r="AS41" i="84"/>
  <c r="AS51" i="84"/>
  <c r="AS49" i="84"/>
  <c r="AS47" i="84"/>
  <c r="AS40" i="84"/>
  <c r="AS39" i="84" s="1"/>
  <c r="AS58" i="84"/>
  <c r="AS50" i="84"/>
  <c r="AS48" i="84"/>
  <c r="AS45" i="84"/>
  <c r="AS43" i="84"/>
  <c r="AS53" i="84"/>
  <c r="AS46" i="84"/>
  <c r="AS44" i="84"/>
  <c r="AS33" i="84"/>
  <c r="AS31" i="84"/>
  <c r="AS27" i="84"/>
  <c r="AS28" i="84"/>
  <c r="AS24" i="84"/>
  <c r="AS23" i="84"/>
  <c r="AS32" i="84"/>
  <c r="AS25" i="84"/>
  <c r="AZ34" i="84"/>
  <c r="BD8" i="84"/>
  <c r="BD21" i="84" s="1"/>
  <c r="BE11" i="84"/>
  <c r="BE8" i="84" s="1"/>
  <c r="BE21" i="84" s="1"/>
  <c r="BW37" i="84"/>
  <c r="AH122" i="84"/>
  <c r="AH123" i="84" s="1"/>
  <c r="AJ124" i="84" s="1"/>
  <c r="AH124" i="84" s="1"/>
  <c r="Q101" i="84"/>
  <c r="AC21" i="84"/>
  <c r="P21" i="84"/>
  <c r="W112" i="84"/>
  <c r="V112" i="84" s="1"/>
  <c r="V109" i="84"/>
  <c r="BF122" i="84"/>
  <c r="BF123" i="84" s="1"/>
  <c r="BH124" i="84" s="1"/>
  <c r="BF124" i="84" s="1"/>
  <c r="AD101" i="84"/>
  <c r="AD57" i="84"/>
  <c r="AD58" i="84"/>
  <c r="AD52" i="84"/>
  <c r="AD47" i="84"/>
  <c r="AD43" i="84"/>
  <c r="AD56" i="84"/>
  <c r="AD51" i="84"/>
  <c r="AD50" i="84"/>
  <c r="AD49" i="84"/>
  <c r="AD48" i="84"/>
  <c r="AD46" i="84"/>
  <c r="AD45" i="84"/>
  <c r="AD54" i="84"/>
  <c r="AD53" i="84"/>
  <c r="AD44" i="84"/>
  <c r="AD40" i="84"/>
  <c r="AD39" i="84" s="1"/>
  <c r="AD33" i="84"/>
  <c r="AD78" i="84" s="1"/>
  <c r="AD31" i="84"/>
  <c r="AD41" i="84"/>
  <c r="AD23" i="84"/>
  <c r="AD22" i="84" s="1"/>
  <c r="AP21" i="84"/>
  <c r="AD25" i="84"/>
  <c r="AD27" i="84"/>
  <c r="AD32" i="84"/>
  <c r="AD28" i="84"/>
  <c r="AD24" i="84"/>
  <c r="AQ39" i="84"/>
  <c r="AQ42" i="84"/>
  <c r="AQ99" i="84"/>
  <c r="AQ109" i="84" s="1"/>
  <c r="AQ112" i="84" s="1"/>
  <c r="T48" i="83"/>
  <c r="T46" i="83" s="1"/>
  <c r="T42" i="83" s="1"/>
  <c r="O46" i="83"/>
  <c r="O42" i="83" s="1"/>
  <c r="R46" i="83"/>
  <c r="V69" i="83"/>
  <c r="D65" i="83"/>
  <c r="D68" i="83" s="1"/>
  <c r="D69" i="83"/>
  <c r="U79" i="83"/>
  <c r="S46" i="83"/>
  <c r="U69" i="83"/>
  <c r="V60" i="83"/>
  <c r="M9" i="83"/>
  <c r="R9" i="83"/>
  <c r="Q9" i="83" s="1"/>
  <c r="L12" i="83"/>
  <c r="U12" i="83" s="1"/>
  <c r="Q12" i="83"/>
  <c r="N25" i="83"/>
  <c r="S25" i="83" s="1"/>
  <c r="N34" i="83"/>
  <c r="S34" i="83" s="1"/>
  <c r="J45" i="83"/>
  <c r="M46" i="83"/>
  <c r="H57" i="83"/>
  <c r="E65" i="83"/>
  <c r="E68" i="83" s="1"/>
  <c r="L65" i="83"/>
  <c r="Q65" i="83"/>
  <c r="N32" i="83"/>
  <c r="S32" i="83" s="1"/>
  <c r="N40" i="83"/>
  <c r="S40" i="83" s="1"/>
  <c r="F65" i="83"/>
  <c r="F68" i="83" s="1"/>
  <c r="G78" i="83"/>
  <c r="N24" i="83"/>
  <c r="S24" i="83" s="1"/>
  <c r="N35" i="83"/>
  <c r="S35" i="83" s="1"/>
  <c r="N39" i="83"/>
  <c r="N41" i="83"/>
  <c r="S41" i="83" s="1"/>
  <c r="J57" i="83"/>
  <c r="G65" i="83"/>
  <c r="G68" i="83" s="1"/>
  <c r="P57" i="83"/>
  <c r="S40" i="87" l="1"/>
  <c r="V109" i="87"/>
  <c r="T39" i="87"/>
  <c r="S37" i="87"/>
  <c r="I110" i="87"/>
  <c r="I108" i="87" s="1"/>
  <c r="J108" i="87" s="1"/>
  <c r="I18" i="87"/>
  <c r="I20" i="87" s="1"/>
  <c r="H20" i="87"/>
  <c r="L15" i="87"/>
  <c r="O14" i="87"/>
  <c r="L26" i="87"/>
  <c r="K92" i="87"/>
  <c r="K94" i="87" s="1"/>
  <c r="K95" i="87" s="1"/>
  <c r="K33" i="87"/>
  <c r="K34" i="87" s="1"/>
  <c r="K6" i="87"/>
  <c r="K8" i="87" s="1"/>
  <c r="K9" i="87" s="1"/>
  <c r="L43" i="87"/>
  <c r="Q37" i="87"/>
  <c r="BR92" i="86"/>
  <c r="BS92" i="86"/>
  <c r="BD101" i="86"/>
  <c r="BD99" i="86" s="1"/>
  <c r="BD53" i="86"/>
  <c r="BD50" i="86"/>
  <c r="BD48" i="86"/>
  <c r="BD46" i="86"/>
  <c r="BD44" i="86"/>
  <c r="BD40" i="86"/>
  <c r="BD39" i="86" s="1"/>
  <c r="BD58" i="86"/>
  <c r="BD43" i="86"/>
  <c r="BD57" i="86"/>
  <c r="BD51" i="86"/>
  <c r="BD49" i="86"/>
  <c r="BD45" i="86"/>
  <c r="BD56" i="86"/>
  <c r="BD54" i="86"/>
  <c r="BD52" i="86"/>
  <c r="BD47" i="86"/>
  <c r="BD41" i="86"/>
  <c r="BD32" i="86"/>
  <c r="BD31" i="86"/>
  <c r="BD28" i="86"/>
  <c r="BD24" i="86"/>
  <c r="BD23" i="86"/>
  <c r="BD25" i="86"/>
  <c r="BD33" i="86"/>
  <c r="BD27" i="86"/>
  <c r="AD109" i="86"/>
  <c r="AD112" i="86" s="1"/>
  <c r="BO101" i="86"/>
  <c r="BO99" i="86" s="1"/>
  <c r="BO109" i="86" s="1"/>
  <c r="BO112" i="86" s="1"/>
  <c r="BO58" i="86"/>
  <c r="BO53" i="86"/>
  <c r="BO51" i="86"/>
  <c r="BO49" i="86"/>
  <c r="BO45" i="86"/>
  <c r="BO57" i="86"/>
  <c r="BO52" i="86"/>
  <c r="BO47" i="86"/>
  <c r="BO41" i="86"/>
  <c r="BO54" i="86"/>
  <c r="BO50" i="86"/>
  <c r="BO48" i="86"/>
  <c r="BO46" i="86"/>
  <c r="BO44" i="86"/>
  <c r="BO56" i="86"/>
  <c r="BO55" i="86" s="1"/>
  <c r="BO43" i="86"/>
  <c r="BO40" i="86"/>
  <c r="BO39" i="86" s="1"/>
  <c r="BO31" i="86"/>
  <c r="BO25" i="86"/>
  <c r="BO27" i="86"/>
  <c r="BO32" i="86"/>
  <c r="BO28" i="86"/>
  <c r="BO24" i="86"/>
  <c r="BO33" i="86"/>
  <c r="BO23" i="86"/>
  <c r="V114" i="86"/>
  <c r="W109" i="86"/>
  <c r="V99" i="86"/>
  <c r="V1" i="86" s="1"/>
  <c r="W124" i="86"/>
  <c r="BE101" i="86"/>
  <c r="BE99" i="86" s="1"/>
  <c r="BE109" i="86" s="1"/>
  <c r="BE112" i="86" s="1"/>
  <c r="BE56" i="86"/>
  <c r="BE53" i="86"/>
  <c r="BE58" i="86"/>
  <c r="BE43" i="86"/>
  <c r="BE57" i="86"/>
  <c r="BE51" i="86"/>
  <c r="BE49" i="86"/>
  <c r="BE45" i="86"/>
  <c r="BE54" i="86"/>
  <c r="BE52" i="86"/>
  <c r="BE47" i="86"/>
  <c r="BE50" i="86"/>
  <c r="BE48" i="86"/>
  <c r="BE46" i="86"/>
  <c r="BE44" i="86"/>
  <c r="BE40" i="86"/>
  <c r="BE33" i="86"/>
  <c r="BE31" i="86"/>
  <c r="BE23" i="86"/>
  <c r="BE25" i="86"/>
  <c r="BE32" i="86"/>
  <c r="BE27" i="86"/>
  <c r="BE41" i="86"/>
  <c r="BE28" i="86"/>
  <c r="BE24" i="86"/>
  <c r="BQ11" i="86"/>
  <c r="BQ8" i="86" s="1"/>
  <c r="BQ21" i="86" s="1"/>
  <c r="BP8" i="86"/>
  <c r="BP21" i="86" s="1"/>
  <c r="P115" i="86"/>
  <c r="AH114" i="86"/>
  <c r="AI124" i="86"/>
  <c r="AI109" i="86"/>
  <c r="AH99" i="86"/>
  <c r="AH1" i="86" s="1"/>
  <c r="AS22" i="86"/>
  <c r="AS55" i="86"/>
  <c r="AP76" i="86"/>
  <c r="AP75" i="86" s="1"/>
  <c r="AP59" i="86" s="1"/>
  <c r="AP102" i="86" s="1"/>
  <c r="AP99" i="86" s="1"/>
  <c r="AP29" i="86"/>
  <c r="AP38" i="86" s="1"/>
  <c r="AP42" i="86"/>
  <c r="AR22" i="86"/>
  <c r="AR39" i="86"/>
  <c r="AR42" i="86"/>
  <c r="AR109" i="86"/>
  <c r="AR112" i="86" s="1"/>
  <c r="AR125" i="86"/>
  <c r="AC78" i="86"/>
  <c r="AB78" i="86" s="1"/>
  <c r="BT78" i="86" s="1"/>
  <c r="AB33" i="86"/>
  <c r="BT33" i="86" s="1"/>
  <c r="AB43" i="86"/>
  <c r="BT43" i="86" s="1"/>
  <c r="AC42" i="86"/>
  <c r="AB42" i="86" s="1"/>
  <c r="BT42" i="86" s="1"/>
  <c r="BC26" i="86"/>
  <c r="BC55" i="86"/>
  <c r="BR59" i="86"/>
  <c r="BS59" i="86"/>
  <c r="Q92" i="86"/>
  <c r="Q105" i="86" s="1"/>
  <c r="P105" i="86" s="1"/>
  <c r="BS101" i="86"/>
  <c r="BR101" i="86"/>
  <c r="AO101" i="86"/>
  <c r="AO58" i="86"/>
  <c r="AN58" i="86" s="1"/>
  <c r="BU58" i="86" s="1"/>
  <c r="AO53" i="86"/>
  <c r="AN53" i="86" s="1"/>
  <c r="BU53" i="86" s="1"/>
  <c r="AO51" i="86"/>
  <c r="AN51" i="86" s="1"/>
  <c r="BU51" i="86" s="1"/>
  <c r="AO49" i="86"/>
  <c r="AN49" i="86" s="1"/>
  <c r="BU49" i="86" s="1"/>
  <c r="AO45" i="86"/>
  <c r="AN45" i="86" s="1"/>
  <c r="BU45" i="86" s="1"/>
  <c r="AO52" i="86"/>
  <c r="AN52" i="86" s="1"/>
  <c r="BU52" i="86" s="1"/>
  <c r="AO47" i="86"/>
  <c r="AN47" i="86" s="1"/>
  <c r="BU47" i="86" s="1"/>
  <c r="AO41" i="86"/>
  <c r="AN41" i="86" s="1"/>
  <c r="BU41" i="86" s="1"/>
  <c r="AO57" i="86"/>
  <c r="AN57" i="86" s="1"/>
  <c r="BU57" i="86" s="1"/>
  <c r="AO50" i="86"/>
  <c r="AN50" i="86" s="1"/>
  <c r="BU50" i="86" s="1"/>
  <c r="AO48" i="86"/>
  <c r="AN48" i="86" s="1"/>
  <c r="BU48" i="86" s="1"/>
  <c r="AO46" i="86"/>
  <c r="AN46" i="86" s="1"/>
  <c r="BU46" i="86" s="1"/>
  <c r="AO44" i="86"/>
  <c r="AN44" i="86" s="1"/>
  <c r="BU44" i="86" s="1"/>
  <c r="AO56" i="86"/>
  <c r="AO54" i="86"/>
  <c r="AN54" i="86" s="1"/>
  <c r="BU54" i="86" s="1"/>
  <c r="AO43" i="86"/>
  <c r="AO31" i="86"/>
  <c r="AO25" i="86"/>
  <c r="AN25" i="86" s="1"/>
  <c r="BU25" i="86" s="1"/>
  <c r="AO40" i="86"/>
  <c r="AO27" i="86"/>
  <c r="AO32" i="86"/>
  <c r="AN32" i="86" s="1"/>
  <c r="BU32" i="86" s="1"/>
  <c r="AO28" i="86"/>
  <c r="AN28" i="86" s="1"/>
  <c r="BU28" i="86" s="1"/>
  <c r="AO24" i="86"/>
  <c r="AN24" i="86" s="1"/>
  <c r="BU24" i="86" s="1"/>
  <c r="BA21" i="86"/>
  <c r="AO33" i="86"/>
  <c r="AO23" i="86"/>
  <c r="AN21" i="86"/>
  <c r="AC76" i="86"/>
  <c r="AC29" i="86"/>
  <c r="AB31" i="86"/>
  <c r="BT31" i="86" s="1"/>
  <c r="BC42" i="86"/>
  <c r="AS42" i="86"/>
  <c r="BS102" i="86"/>
  <c r="BR102" i="86"/>
  <c r="AR29" i="86"/>
  <c r="AC22" i="86"/>
  <c r="AB22" i="86" s="1"/>
  <c r="BT22" i="86" s="1"/>
  <c r="AB23" i="86"/>
  <c r="BT23" i="86" s="1"/>
  <c r="AC26" i="86"/>
  <c r="AB26" i="86" s="1"/>
  <c r="BT26" i="86" s="1"/>
  <c r="AB27" i="86"/>
  <c r="BT27" i="86" s="1"/>
  <c r="AC39" i="86"/>
  <c r="AB39" i="86" s="1"/>
  <c r="BT39" i="86" s="1"/>
  <c r="AB40" i="86"/>
  <c r="BT40" i="86" s="1"/>
  <c r="AB101" i="86"/>
  <c r="BT101" i="86" s="1"/>
  <c r="BC29" i="86"/>
  <c r="BB101" i="86"/>
  <c r="BB58" i="86"/>
  <c r="BB54" i="86"/>
  <c r="BB51" i="86"/>
  <c r="BB49" i="86"/>
  <c r="BB45" i="86"/>
  <c r="BB56" i="86"/>
  <c r="BB52" i="86"/>
  <c r="BB47" i="86"/>
  <c r="BB41" i="86"/>
  <c r="BB53" i="86"/>
  <c r="BB50" i="86"/>
  <c r="BB48" i="86"/>
  <c r="BB46" i="86"/>
  <c r="BB44" i="86"/>
  <c r="BB57" i="86"/>
  <c r="BB43" i="86"/>
  <c r="BB32" i="86"/>
  <c r="BB25" i="86"/>
  <c r="BB33" i="86"/>
  <c r="BB78" i="86" s="1"/>
  <c r="BB27" i="86"/>
  <c r="BN21" i="86"/>
  <c r="BB40" i="86"/>
  <c r="BB39" i="86" s="1"/>
  <c r="BB31" i="86"/>
  <c r="BB28" i="86"/>
  <c r="BB24" i="86"/>
  <c r="BB23" i="86"/>
  <c r="BB22" i="86" s="1"/>
  <c r="AP26" i="86"/>
  <c r="AR55" i="86"/>
  <c r="BT21" i="86"/>
  <c r="AB56" i="86"/>
  <c r="BT56" i="86" s="1"/>
  <c r="AC55" i="86"/>
  <c r="AB55" i="86" s="1"/>
  <c r="BT55" i="86" s="1"/>
  <c r="BC99" i="86"/>
  <c r="BC109" i="86" s="1"/>
  <c r="BC112" i="86" s="1"/>
  <c r="P40" i="85"/>
  <c r="S39" i="85"/>
  <c r="P37" i="85"/>
  <c r="Y38" i="85"/>
  <c r="Z38" i="85" s="1"/>
  <c r="Y25" i="85"/>
  <c r="Z25" i="85" s="1"/>
  <c r="K46" i="85"/>
  <c r="K43" i="85"/>
  <c r="K31" i="85" s="1"/>
  <c r="N109" i="85"/>
  <c r="Q113" i="85"/>
  <c r="H27" i="85"/>
  <c r="H24" i="85"/>
  <c r="K27" i="85"/>
  <c r="H34" i="85"/>
  <c r="K33" i="85"/>
  <c r="K34" i="85" s="1"/>
  <c r="N43" i="85"/>
  <c r="M45" i="85"/>
  <c r="N45" i="85" s="1"/>
  <c r="L43" i="85"/>
  <c r="L26" i="85"/>
  <c r="L15" i="85"/>
  <c r="O14" i="85"/>
  <c r="BE101" i="84"/>
  <c r="BE99" i="84" s="1"/>
  <c r="BE109" i="84" s="1"/>
  <c r="BE112" i="84" s="1"/>
  <c r="BE57" i="84"/>
  <c r="BE54" i="84"/>
  <c r="BE50" i="84"/>
  <c r="BE48" i="84"/>
  <c r="BE46" i="84"/>
  <c r="BE44" i="84"/>
  <c r="BE47" i="84"/>
  <c r="BE45" i="84"/>
  <c r="BE53" i="84"/>
  <c r="BE41" i="84"/>
  <c r="BE58" i="84"/>
  <c r="BE56" i="84"/>
  <c r="BE52" i="84"/>
  <c r="BE51" i="84"/>
  <c r="BE49" i="84"/>
  <c r="BE43" i="84"/>
  <c r="BE33" i="84"/>
  <c r="BE25" i="84"/>
  <c r="BE40" i="84"/>
  <c r="BE39" i="84" s="1"/>
  <c r="BE32" i="84"/>
  <c r="BE27" i="84"/>
  <c r="BE28" i="84"/>
  <c r="BE24" i="84"/>
  <c r="BE31" i="84"/>
  <c r="BE29" i="84" s="1"/>
  <c r="BE23" i="84"/>
  <c r="BE22" i="84" s="1"/>
  <c r="BO101" i="84"/>
  <c r="BO56" i="84"/>
  <c r="BO47" i="84"/>
  <c r="BO45" i="84"/>
  <c r="BO41" i="84"/>
  <c r="BO53" i="84"/>
  <c r="BO50" i="84"/>
  <c r="BO48" i="84"/>
  <c r="BO40" i="84"/>
  <c r="BO39" i="84" s="1"/>
  <c r="BO57" i="84"/>
  <c r="BO46" i="84"/>
  <c r="BO44" i="84"/>
  <c r="BO43" i="84"/>
  <c r="BO42" i="84" s="1"/>
  <c r="BO58" i="84"/>
  <c r="BO54" i="84"/>
  <c r="BO52" i="84"/>
  <c r="BO51" i="84"/>
  <c r="BO49" i="84"/>
  <c r="BO27" i="84"/>
  <c r="BO26" i="84" s="1"/>
  <c r="BO33" i="84"/>
  <c r="BO32" i="84"/>
  <c r="BO28" i="84"/>
  <c r="BO24" i="84"/>
  <c r="BO23" i="84"/>
  <c r="BO22" i="84" s="1"/>
  <c r="BO31" i="84"/>
  <c r="BO29" i="84" s="1"/>
  <c r="BO25" i="84"/>
  <c r="BD101" i="84"/>
  <c r="BD99" i="84" s="1"/>
  <c r="BD57" i="84"/>
  <c r="BD58" i="84"/>
  <c r="BD52" i="84"/>
  <c r="BD47" i="84"/>
  <c r="BD56" i="84"/>
  <c r="BD51" i="84"/>
  <c r="BD49" i="84"/>
  <c r="BD43" i="84"/>
  <c r="BD50" i="84"/>
  <c r="BD48" i="84"/>
  <c r="BD45" i="84"/>
  <c r="BD53" i="84"/>
  <c r="BD46" i="84"/>
  <c r="BD44" i="84"/>
  <c r="BD54" i="84"/>
  <c r="BD40" i="84"/>
  <c r="BD33" i="84"/>
  <c r="BD31" i="84"/>
  <c r="BD23" i="84"/>
  <c r="BD25" i="84"/>
  <c r="BD32" i="84"/>
  <c r="BD27" i="84"/>
  <c r="BD26" i="84" s="1"/>
  <c r="BD41" i="84"/>
  <c r="BD28" i="84"/>
  <c r="BD24" i="84"/>
  <c r="BR21" i="84"/>
  <c r="BS21" i="84"/>
  <c r="AS22" i="84"/>
  <c r="AR42" i="84"/>
  <c r="AR109" i="84"/>
  <c r="AR112" i="84" s="1"/>
  <c r="AR125" i="84"/>
  <c r="BQ11" i="84"/>
  <c r="BQ8" i="84" s="1"/>
  <c r="BQ21" i="84" s="1"/>
  <c r="BP8" i="84"/>
  <c r="BP21" i="84" s="1"/>
  <c r="BM110" i="84"/>
  <c r="BL110" i="84" s="1"/>
  <c r="BW110" i="84" s="1"/>
  <c r="BM104" i="84"/>
  <c r="BL104" i="84" s="1"/>
  <c r="BW104" i="84" s="1"/>
  <c r="BL85" i="84"/>
  <c r="BW85" i="84" s="1"/>
  <c r="AD76" i="84"/>
  <c r="AD75" i="84" s="1"/>
  <c r="AD59" i="84" s="1"/>
  <c r="AD102" i="84" s="1"/>
  <c r="AD29" i="84"/>
  <c r="AD38" i="84" s="1"/>
  <c r="AD55" i="84"/>
  <c r="AC101" i="84"/>
  <c r="AC58" i="84"/>
  <c r="AB58" i="84" s="1"/>
  <c r="BT58" i="84" s="1"/>
  <c r="AC56" i="84"/>
  <c r="AC53" i="84"/>
  <c r="AB53" i="84" s="1"/>
  <c r="BT53" i="84" s="1"/>
  <c r="AC51" i="84"/>
  <c r="AB51" i="84" s="1"/>
  <c r="BT51" i="84" s="1"/>
  <c r="AC49" i="84"/>
  <c r="AB49" i="84" s="1"/>
  <c r="BT49" i="84" s="1"/>
  <c r="AC45" i="84"/>
  <c r="AB45" i="84" s="1"/>
  <c r="BT45" i="84" s="1"/>
  <c r="AC54" i="84"/>
  <c r="AB54" i="84" s="1"/>
  <c r="BT54" i="84" s="1"/>
  <c r="AC44" i="84"/>
  <c r="AB44" i="84" s="1"/>
  <c r="BT44" i="84" s="1"/>
  <c r="AC40" i="84"/>
  <c r="AC52" i="84"/>
  <c r="AB52" i="84" s="1"/>
  <c r="BT52" i="84" s="1"/>
  <c r="AC43" i="84"/>
  <c r="AC57" i="84"/>
  <c r="AB57" i="84" s="1"/>
  <c r="BT57" i="84" s="1"/>
  <c r="AC50" i="84"/>
  <c r="AB50" i="84" s="1"/>
  <c r="BT50" i="84" s="1"/>
  <c r="AC48" i="84"/>
  <c r="AB48" i="84" s="1"/>
  <c r="BT48" i="84" s="1"/>
  <c r="AC47" i="84"/>
  <c r="AB47" i="84" s="1"/>
  <c r="BT47" i="84" s="1"/>
  <c r="AC46" i="84"/>
  <c r="AB46" i="84" s="1"/>
  <c r="BT46" i="84" s="1"/>
  <c r="AC41" i="84"/>
  <c r="AB41" i="84" s="1"/>
  <c r="BT41" i="84" s="1"/>
  <c r="AC32" i="84"/>
  <c r="AB32" i="84" s="1"/>
  <c r="BT32" i="84" s="1"/>
  <c r="AC33" i="84"/>
  <c r="AC28" i="84"/>
  <c r="AB28" i="84" s="1"/>
  <c r="BT28" i="84" s="1"/>
  <c r="AC24" i="84"/>
  <c r="AB24" i="84" s="1"/>
  <c r="BT24" i="84" s="1"/>
  <c r="AC31" i="84"/>
  <c r="AC23" i="84"/>
  <c r="AO21" i="84"/>
  <c r="AC25" i="84"/>
  <c r="AB25" i="84" s="1"/>
  <c r="BT25" i="84" s="1"/>
  <c r="AB21" i="84"/>
  <c r="AC27" i="84"/>
  <c r="BV34" i="84"/>
  <c r="AS29" i="84"/>
  <c r="AR55" i="84"/>
  <c r="BL63" i="84"/>
  <c r="BW63" i="84" s="1"/>
  <c r="BS38" i="84"/>
  <c r="BR38" i="84"/>
  <c r="BR75" i="84"/>
  <c r="BS75" i="84"/>
  <c r="BC22" i="84"/>
  <c r="AP101" i="84"/>
  <c r="AP58" i="84"/>
  <c r="AP56" i="84"/>
  <c r="AP53" i="84"/>
  <c r="AP51" i="84"/>
  <c r="AP49" i="84"/>
  <c r="AP45" i="84"/>
  <c r="AP50" i="84"/>
  <c r="AP48" i="84"/>
  <c r="AP40" i="84"/>
  <c r="AP39" i="84" s="1"/>
  <c r="AP33" i="84"/>
  <c r="AP78" i="84" s="1"/>
  <c r="AP57" i="84"/>
  <c r="AP46" i="84"/>
  <c r="AP44" i="84"/>
  <c r="AP43" i="84"/>
  <c r="AP54" i="84"/>
  <c r="AP52" i="84"/>
  <c r="AP47" i="84"/>
  <c r="AP41" i="84"/>
  <c r="AP32" i="84"/>
  <c r="AP28" i="84"/>
  <c r="AP24" i="84"/>
  <c r="BB21" i="84"/>
  <c r="AP23" i="84"/>
  <c r="AP31" i="84"/>
  <c r="AP25" i="84"/>
  <c r="AP27" i="84"/>
  <c r="AP26" i="84" s="1"/>
  <c r="AD42" i="84"/>
  <c r="P101" i="84"/>
  <c r="AS42" i="84"/>
  <c r="E112" i="84"/>
  <c r="D112" i="84" s="1"/>
  <c r="D109" i="84"/>
  <c r="BC105" i="84"/>
  <c r="BO92" i="84"/>
  <c r="BO105" i="84" s="1"/>
  <c r="BC42" i="84"/>
  <c r="BC39" i="84"/>
  <c r="AD99" i="84"/>
  <c r="AD26" i="84"/>
  <c r="AS26" i="84"/>
  <c r="D122" i="84"/>
  <c r="D123" i="84" s="1"/>
  <c r="F124" i="84" s="1"/>
  <c r="D124" i="84" s="1"/>
  <c r="Q102" i="84"/>
  <c r="P102" i="84" s="1"/>
  <c r="P59" i="84"/>
  <c r="P92" i="84" s="1"/>
  <c r="BL34" i="84"/>
  <c r="BC99" i="84"/>
  <c r="BC109" i="84" s="1"/>
  <c r="BC112" i="84" s="1"/>
  <c r="P85" i="83"/>
  <c r="P65" i="83"/>
  <c r="P68" i="83" s="1"/>
  <c r="P69" i="83"/>
  <c r="H65" i="83"/>
  <c r="H68" i="83" s="1"/>
  <c r="F77" i="83"/>
  <c r="H78" i="83" s="1"/>
  <c r="M52" i="83"/>
  <c r="R52" i="83" s="1"/>
  <c r="M34" i="83"/>
  <c r="R34" i="83" s="1"/>
  <c r="M27" i="83"/>
  <c r="M25" i="83"/>
  <c r="R25" i="83" s="1"/>
  <c r="N23" i="83"/>
  <c r="L9" i="83"/>
  <c r="U9" i="83" s="1"/>
  <c r="M37" i="83"/>
  <c r="R37" i="83" s="1"/>
  <c r="N30" i="83"/>
  <c r="S30" i="83" s="1"/>
  <c r="N29" i="83"/>
  <c r="M23" i="83"/>
  <c r="M29" i="83"/>
  <c r="M41" i="83"/>
  <c r="R41" i="83" s="1"/>
  <c r="M39" i="83"/>
  <c r="M35" i="83"/>
  <c r="R35" i="83" s="1"/>
  <c r="N33" i="83"/>
  <c r="S33" i="83" s="1"/>
  <c r="M30" i="83"/>
  <c r="R30" i="83" s="1"/>
  <c r="N52" i="83"/>
  <c r="M40" i="83"/>
  <c r="R40" i="83" s="1"/>
  <c r="M33" i="83"/>
  <c r="R33" i="83" s="1"/>
  <c r="M32" i="83"/>
  <c r="R32" i="83" s="1"/>
  <c r="N27" i="83"/>
  <c r="N26" i="83" s="1"/>
  <c r="M24" i="83"/>
  <c r="R24" i="83" s="1"/>
  <c r="F80" i="83"/>
  <c r="R80" i="83" s="1"/>
  <c r="F78" i="83"/>
  <c r="Q68" i="83"/>
  <c r="V65" i="83"/>
  <c r="M42" i="83"/>
  <c r="M59" i="83" s="1"/>
  <c r="V12" i="83"/>
  <c r="R42" i="83"/>
  <c r="R59" i="83" s="1"/>
  <c r="O59" i="83"/>
  <c r="O57" i="83"/>
  <c r="N38" i="83"/>
  <c r="S39" i="83"/>
  <c r="S38" i="83" s="1"/>
  <c r="U65" i="83"/>
  <c r="L68" i="83"/>
  <c r="U68" i="83" s="1"/>
  <c r="T57" i="83"/>
  <c r="T59" i="83"/>
  <c r="O26" i="87" l="1"/>
  <c r="L27" i="87"/>
  <c r="L24" i="87"/>
  <c r="M24" i="87" s="1"/>
  <c r="R37" i="87"/>
  <c r="Q39" i="87"/>
  <c r="R39" i="87" s="1"/>
  <c r="Q43" i="87"/>
  <c r="H21" i="87"/>
  <c r="K21" i="87"/>
  <c r="T40" i="87"/>
  <c r="W39" i="87"/>
  <c r="T37" i="87"/>
  <c r="U37" i="87" s="1"/>
  <c r="L45" i="87"/>
  <c r="L46" i="87" s="1"/>
  <c r="L31" i="87"/>
  <c r="V113" i="87"/>
  <c r="S109" i="87"/>
  <c r="O12" i="87"/>
  <c r="O15" i="87"/>
  <c r="J113" i="87"/>
  <c r="K113" i="87" s="1"/>
  <c r="K108" i="87" s="1"/>
  <c r="J110" i="87"/>
  <c r="AP109" i="86"/>
  <c r="AP112" i="86" s="1"/>
  <c r="BP101" i="86"/>
  <c r="BP99" i="86" s="1"/>
  <c r="BP57" i="86"/>
  <c r="BP54" i="86"/>
  <c r="BP58" i="86"/>
  <c r="BP52" i="86"/>
  <c r="BP47" i="86"/>
  <c r="BP41" i="86"/>
  <c r="BP50" i="86"/>
  <c r="BP48" i="86"/>
  <c r="BP46" i="86"/>
  <c r="BP44" i="86"/>
  <c r="BP40" i="86"/>
  <c r="BP56" i="86"/>
  <c r="BP55" i="86" s="1"/>
  <c r="BP43" i="86"/>
  <c r="BP53" i="86"/>
  <c r="BP51" i="86"/>
  <c r="BP49" i="86"/>
  <c r="BP45" i="86"/>
  <c r="BP27" i="86"/>
  <c r="BP32" i="86"/>
  <c r="BP28" i="86"/>
  <c r="BP24" i="86"/>
  <c r="BP33" i="86"/>
  <c r="BP23" i="86"/>
  <c r="BP22" i="86" s="1"/>
  <c r="BP31" i="86"/>
  <c r="BP29" i="86" s="1"/>
  <c r="BP25" i="86"/>
  <c r="BQ101" i="86"/>
  <c r="BQ99" i="86" s="1"/>
  <c r="BQ109" i="86" s="1"/>
  <c r="BQ112" i="86" s="1"/>
  <c r="BQ57" i="86"/>
  <c r="BQ50" i="86"/>
  <c r="BQ48" i="86"/>
  <c r="BQ46" i="86"/>
  <c r="BQ44" i="86"/>
  <c r="BQ40" i="86"/>
  <c r="BQ39" i="86" s="1"/>
  <c r="BQ56" i="86"/>
  <c r="BQ54" i="86"/>
  <c r="BQ43" i="86"/>
  <c r="BQ53" i="86"/>
  <c r="BQ51" i="86"/>
  <c r="BQ49" i="86"/>
  <c r="BQ45" i="86"/>
  <c r="BQ58" i="86"/>
  <c r="BQ52" i="86"/>
  <c r="BQ47" i="86"/>
  <c r="BQ41" i="86"/>
  <c r="BQ32" i="86"/>
  <c r="BQ28" i="86"/>
  <c r="BQ24" i="86"/>
  <c r="BQ33" i="86"/>
  <c r="BQ23" i="86"/>
  <c r="BQ22" i="86" s="1"/>
  <c r="BQ31" i="86"/>
  <c r="BQ25" i="86"/>
  <c r="BQ27" i="86"/>
  <c r="BQ26" i="86" s="1"/>
  <c r="BB55" i="86"/>
  <c r="AN23" i="86"/>
  <c r="BU23" i="86" s="1"/>
  <c r="AO22" i="86"/>
  <c r="AN22" i="86" s="1"/>
  <c r="BU22" i="86" s="1"/>
  <c r="AN56" i="86"/>
  <c r="BU56" i="86" s="1"/>
  <c r="AO55" i="86"/>
  <c r="AN55" i="86" s="1"/>
  <c r="BU55" i="86" s="1"/>
  <c r="BB26" i="86"/>
  <c r="BB42" i="86"/>
  <c r="BB99" i="86"/>
  <c r="AB29" i="86"/>
  <c r="AC38" i="86"/>
  <c r="AO78" i="86"/>
  <c r="AN78" i="86" s="1"/>
  <c r="BU78" i="86" s="1"/>
  <c r="AN33" i="86"/>
  <c r="BU33" i="86" s="1"/>
  <c r="AO76" i="86"/>
  <c r="AN31" i="86"/>
  <c r="BU31" i="86" s="1"/>
  <c r="AO29" i="86"/>
  <c r="BE26" i="86"/>
  <c r="BE29" i="86"/>
  <c r="BO26" i="86"/>
  <c r="BO42" i="86"/>
  <c r="BD26" i="86"/>
  <c r="BD55" i="86"/>
  <c r="BB76" i="86"/>
  <c r="BB75" i="86" s="1"/>
  <c r="BB59" i="86" s="1"/>
  <c r="BB102" i="86" s="1"/>
  <c r="BB29" i="86"/>
  <c r="BB38" i="86" s="1"/>
  <c r="AB76" i="86"/>
  <c r="BT76" i="86" s="1"/>
  <c r="AC75" i="86"/>
  <c r="BA101" i="86"/>
  <c r="BA56" i="86"/>
  <c r="BA53" i="86"/>
  <c r="AZ53" i="86" s="1"/>
  <c r="BV53" i="86" s="1"/>
  <c r="BA57" i="86"/>
  <c r="AZ57" i="86" s="1"/>
  <c r="BV57" i="86" s="1"/>
  <c r="BA43" i="86"/>
  <c r="BA54" i="86"/>
  <c r="AZ54" i="86" s="1"/>
  <c r="BV54" i="86" s="1"/>
  <c r="BA51" i="86"/>
  <c r="AZ51" i="86" s="1"/>
  <c r="BV51" i="86" s="1"/>
  <c r="BA49" i="86"/>
  <c r="AZ49" i="86" s="1"/>
  <c r="BV49" i="86" s="1"/>
  <c r="BA45" i="86"/>
  <c r="AZ45" i="86" s="1"/>
  <c r="BV45" i="86" s="1"/>
  <c r="BA52" i="86"/>
  <c r="AZ52" i="86" s="1"/>
  <c r="BV52" i="86" s="1"/>
  <c r="BA47" i="86"/>
  <c r="AZ47" i="86" s="1"/>
  <c r="BV47" i="86" s="1"/>
  <c r="BA58" i="86"/>
  <c r="AZ58" i="86" s="1"/>
  <c r="BV58" i="86" s="1"/>
  <c r="BA50" i="86"/>
  <c r="AZ50" i="86" s="1"/>
  <c r="BV50" i="86" s="1"/>
  <c r="BA48" i="86"/>
  <c r="AZ48" i="86" s="1"/>
  <c r="BV48" i="86" s="1"/>
  <c r="BA46" i="86"/>
  <c r="AZ46" i="86" s="1"/>
  <c r="BV46" i="86" s="1"/>
  <c r="BA44" i="86"/>
  <c r="AZ44" i="86" s="1"/>
  <c r="BV44" i="86" s="1"/>
  <c r="BA40" i="86"/>
  <c r="BA33" i="86"/>
  <c r="BA31" i="86"/>
  <c r="BA41" i="86"/>
  <c r="AZ41" i="86" s="1"/>
  <c r="BV41" i="86" s="1"/>
  <c r="BA23" i="86"/>
  <c r="BA32" i="86"/>
  <c r="AZ32" i="86" s="1"/>
  <c r="BV32" i="86" s="1"/>
  <c r="BA25" i="86"/>
  <c r="AZ25" i="86" s="1"/>
  <c r="BV25" i="86" s="1"/>
  <c r="BA27" i="86"/>
  <c r="BM21" i="86"/>
  <c r="BA28" i="86"/>
  <c r="AZ28" i="86" s="1"/>
  <c r="BV28" i="86" s="1"/>
  <c r="BA24" i="86"/>
  <c r="AZ24" i="86" s="1"/>
  <c r="BV24" i="86" s="1"/>
  <c r="AZ21" i="86"/>
  <c r="AO26" i="86"/>
  <c r="AN26" i="86" s="1"/>
  <c r="BU26" i="86" s="1"/>
  <c r="AN27" i="86"/>
  <c r="BU27" i="86" s="1"/>
  <c r="AN43" i="86"/>
  <c r="BU43" i="86" s="1"/>
  <c r="AO42" i="86"/>
  <c r="AN42" i="86" s="1"/>
  <c r="BU42" i="86" s="1"/>
  <c r="AN101" i="86"/>
  <c r="BU101" i="86" s="1"/>
  <c r="BR105" i="86"/>
  <c r="BS105" i="86"/>
  <c r="BS115" i="86"/>
  <c r="BR115" i="86"/>
  <c r="BE55" i="86"/>
  <c r="W112" i="86"/>
  <c r="V112" i="86" s="1"/>
  <c r="V109" i="86"/>
  <c r="BD42" i="86"/>
  <c r="BD109" i="86"/>
  <c r="BD112" i="86" s="1"/>
  <c r="BD125" i="86"/>
  <c r="BU21" i="86"/>
  <c r="AN40" i="86"/>
  <c r="BU40" i="86" s="1"/>
  <c r="AO39" i="86"/>
  <c r="AN39" i="86" s="1"/>
  <c r="BU39" i="86" s="1"/>
  <c r="Q99" i="86"/>
  <c r="AI112" i="86"/>
  <c r="AH112" i="86" s="1"/>
  <c r="AH109" i="86"/>
  <c r="BE39" i="86"/>
  <c r="BE42" i="86"/>
  <c r="BO29" i="86"/>
  <c r="BD29" i="86"/>
  <c r="BN101" i="86"/>
  <c r="BN58" i="86"/>
  <c r="BN56" i="86"/>
  <c r="BN55" i="86" s="1"/>
  <c r="BN53" i="86"/>
  <c r="BN43" i="86"/>
  <c r="BN51" i="86"/>
  <c r="BN49" i="86"/>
  <c r="BN45" i="86"/>
  <c r="BN57" i="86"/>
  <c r="BN52" i="86"/>
  <c r="BN47" i="86"/>
  <c r="BN54" i="86"/>
  <c r="BN50" i="86"/>
  <c r="BN48" i="86"/>
  <c r="BN46" i="86"/>
  <c r="BN44" i="86"/>
  <c r="BN40" i="86"/>
  <c r="BN33" i="86"/>
  <c r="BN78" i="86" s="1"/>
  <c r="BN31" i="86"/>
  <c r="BN23" i="86"/>
  <c r="BN22" i="86" s="1"/>
  <c r="BN41" i="86"/>
  <c r="BN25" i="86"/>
  <c r="BN27" i="86"/>
  <c r="BN26" i="86" s="1"/>
  <c r="BN32" i="86"/>
  <c r="BN28" i="86"/>
  <c r="BN24" i="86"/>
  <c r="AH122" i="86"/>
  <c r="AH123" i="86" s="1"/>
  <c r="AJ124" i="86" s="1"/>
  <c r="AH124" i="86" s="1"/>
  <c r="BE22" i="86"/>
  <c r="V122" i="86"/>
  <c r="V123" i="86" s="1"/>
  <c r="X124" i="86" s="1"/>
  <c r="V124" i="86" s="1"/>
  <c r="BO22" i="86"/>
  <c r="BD22" i="86"/>
  <c r="O26" i="85"/>
  <c r="L27" i="85"/>
  <c r="L24" i="85"/>
  <c r="M24" i="85" s="1"/>
  <c r="L45" i="85"/>
  <c r="L46" i="85" s="1"/>
  <c r="L31" i="85"/>
  <c r="Q37" i="85"/>
  <c r="O15" i="85"/>
  <c r="O12" i="85"/>
  <c r="S40" i="85"/>
  <c r="V109" i="85"/>
  <c r="T39" i="85"/>
  <c r="S37" i="85"/>
  <c r="I24" i="85"/>
  <c r="I26" i="85" s="1"/>
  <c r="H18" i="85"/>
  <c r="K92" i="85"/>
  <c r="K94" i="85" s="1"/>
  <c r="K95" i="85" s="1"/>
  <c r="K6" i="85"/>
  <c r="K8" i="85" s="1"/>
  <c r="K9" i="85" s="1"/>
  <c r="BR92" i="84"/>
  <c r="BS92" i="84"/>
  <c r="BP101" i="84"/>
  <c r="BP99" i="84" s="1"/>
  <c r="BP58" i="84"/>
  <c r="BP56" i="84"/>
  <c r="BP53" i="84"/>
  <c r="BP51" i="84"/>
  <c r="BP49" i="84"/>
  <c r="BP45" i="84"/>
  <c r="BP50" i="84"/>
  <c r="BP48" i="84"/>
  <c r="BP40" i="84"/>
  <c r="BP33" i="84"/>
  <c r="BP57" i="84"/>
  <c r="BP46" i="84"/>
  <c r="BP44" i="84"/>
  <c r="BP43" i="84"/>
  <c r="BP54" i="84"/>
  <c r="BP52" i="84"/>
  <c r="BP47" i="84"/>
  <c r="BP41" i="84"/>
  <c r="BP32" i="84"/>
  <c r="BP28" i="84"/>
  <c r="BP24" i="84"/>
  <c r="BP23" i="84"/>
  <c r="BP31" i="84"/>
  <c r="BP29" i="84" s="1"/>
  <c r="BP25" i="84"/>
  <c r="BP27" i="84"/>
  <c r="BQ101" i="84"/>
  <c r="BQ99" i="84" s="1"/>
  <c r="BQ109" i="84" s="1"/>
  <c r="BQ112" i="84" s="1"/>
  <c r="BQ57" i="84"/>
  <c r="BQ58" i="84"/>
  <c r="BQ52" i="84"/>
  <c r="BQ47" i="84"/>
  <c r="BQ53" i="84"/>
  <c r="BQ46" i="84"/>
  <c r="BQ44" i="84"/>
  <c r="BQ43" i="84"/>
  <c r="BQ54" i="84"/>
  <c r="BQ51" i="84"/>
  <c r="BQ49" i="84"/>
  <c r="BQ56" i="84"/>
  <c r="BQ55" i="84" s="1"/>
  <c r="BQ50" i="84"/>
  <c r="BQ48" i="84"/>
  <c r="BQ45" i="84"/>
  <c r="BQ40" i="84"/>
  <c r="BQ39" i="84" s="1"/>
  <c r="BQ33" i="84"/>
  <c r="BQ31" i="84"/>
  <c r="BQ41" i="84"/>
  <c r="BQ32" i="84"/>
  <c r="BQ23" i="84"/>
  <c r="BQ25" i="84"/>
  <c r="BQ27" i="84"/>
  <c r="BQ28" i="84"/>
  <c r="BQ24" i="84"/>
  <c r="BS102" i="84"/>
  <c r="BR102" i="84"/>
  <c r="BB101" i="84"/>
  <c r="BB56" i="84"/>
  <c r="BB46" i="84"/>
  <c r="BB44" i="84"/>
  <c r="BB41" i="84"/>
  <c r="BB54" i="84"/>
  <c r="BB52" i="84"/>
  <c r="BB51" i="84"/>
  <c r="BB49" i="84"/>
  <c r="BB40" i="84"/>
  <c r="BB39" i="84" s="1"/>
  <c r="BB57" i="84"/>
  <c r="BB47" i="84"/>
  <c r="BB45" i="84"/>
  <c r="BB43" i="84"/>
  <c r="BB58" i="84"/>
  <c r="BB53" i="84"/>
  <c r="BB50" i="84"/>
  <c r="BB48" i="84"/>
  <c r="BB27" i="84"/>
  <c r="BN21" i="84"/>
  <c r="BB33" i="84"/>
  <c r="BB78" i="84" s="1"/>
  <c r="BB31" i="84"/>
  <c r="BB28" i="84"/>
  <c r="BB24" i="84"/>
  <c r="BB23" i="84"/>
  <c r="BB22" i="84" s="1"/>
  <c r="BB32" i="84"/>
  <c r="BB25" i="84"/>
  <c r="AP42" i="84"/>
  <c r="AP55" i="84"/>
  <c r="BT21" i="84"/>
  <c r="AC76" i="84"/>
  <c r="AB31" i="84"/>
  <c r="BT31" i="84" s="1"/>
  <c r="AC29" i="84"/>
  <c r="AB56" i="84"/>
  <c r="BT56" i="84" s="1"/>
  <c r="AC55" i="84"/>
  <c r="AB55" i="84" s="1"/>
  <c r="BT55" i="84" s="1"/>
  <c r="P115" i="84"/>
  <c r="BD29" i="84"/>
  <c r="BO99" i="84"/>
  <c r="BO109" i="84" s="1"/>
  <c r="BO112" i="84" s="1"/>
  <c r="BS101" i="84"/>
  <c r="BR101" i="84"/>
  <c r="AB40" i="84"/>
  <c r="BT40" i="84" s="1"/>
  <c r="AC39" i="84"/>
  <c r="AB39" i="84" s="1"/>
  <c r="BT39" i="84" s="1"/>
  <c r="BD55" i="84"/>
  <c r="BW34" i="84"/>
  <c r="AP76" i="84"/>
  <c r="AP75" i="84" s="1"/>
  <c r="AP59" i="84" s="1"/>
  <c r="AP102" i="84" s="1"/>
  <c r="AP99" i="84" s="1"/>
  <c r="AP29" i="84"/>
  <c r="AP38" i="84" s="1"/>
  <c r="AO101" i="84"/>
  <c r="AO56" i="84"/>
  <c r="AO58" i="84"/>
  <c r="AN58" i="84" s="1"/>
  <c r="BU58" i="84" s="1"/>
  <c r="AO51" i="84"/>
  <c r="AN51" i="84" s="1"/>
  <c r="BU51" i="84" s="1"/>
  <c r="AO49" i="84"/>
  <c r="AN49" i="84" s="1"/>
  <c r="BU49" i="84" s="1"/>
  <c r="AO47" i="84"/>
  <c r="AN47" i="84" s="1"/>
  <c r="BU47" i="84" s="1"/>
  <c r="AO41" i="84"/>
  <c r="AN41" i="84" s="1"/>
  <c r="BU41" i="84" s="1"/>
  <c r="AO50" i="84"/>
  <c r="AN50" i="84" s="1"/>
  <c r="BU50" i="84" s="1"/>
  <c r="AO48" i="84"/>
  <c r="AN48" i="84" s="1"/>
  <c r="BU48" i="84" s="1"/>
  <c r="AO45" i="84"/>
  <c r="AN45" i="84" s="1"/>
  <c r="BU45" i="84" s="1"/>
  <c r="AO40" i="84"/>
  <c r="AO57" i="84"/>
  <c r="AN57" i="84" s="1"/>
  <c r="BU57" i="84" s="1"/>
  <c r="AO53" i="84"/>
  <c r="AN53" i="84" s="1"/>
  <c r="BU53" i="84" s="1"/>
  <c r="AO46" i="84"/>
  <c r="AN46" i="84" s="1"/>
  <c r="BU46" i="84" s="1"/>
  <c r="AO44" i="84"/>
  <c r="AN44" i="84" s="1"/>
  <c r="BU44" i="84" s="1"/>
  <c r="AO43" i="84"/>
  <c r="AO54" i="84"/>
  <c r="AN54" i="84" s="1"/>
  <c r="BU54" i="84" s="1"/>
  <c r="AO52" i="84"/>
  <c r="AN52" i="84" s="1"/>
  <c r="BU52" i="84" s="1"/>
  <c r="AO27" i="84"/>
  <c r="AO28" i="84"/>
  <c r="AN28" i="84" s="1"/>
  <c r="BU28" i="84" s="1"/>
  <c r="AO24" i="84"/>
  <c r="AN24" i="84" s="1"/>
  <c r="BU24" i="84" s="1"/>
  <c r="BA21" i="84"/>
  <c r="AO33" i="84"/>
  <c r="AO32" i="84"/>
  <c r="AN32" i="84" s="1"/>
  <c r="BU32" i="84" s="1"/>
  <c r="AO23" i="84"/>
  <c r="AN21" i="84"/>
  <c r="AO31" i="84"/>
  <c r="AO25" i="84"/>
  <c r="AN25" i="84" s="1"/>
  <c r="BU25" i="84" s="1"/>
  <c r="AB101" i="84"/>
  <c r="BT101" i="84" s="1"/>
  <c r="BD39" i="84"/>
  <c r="BD42" i="84"/>
  <c r="BD125" i="84"/>
  <c r="BD109" i="84"/>
  <c r="BD112" i="84" s="1"/>
  <c r="BE26" i="84"/>
  <c r="AD109" i="84"/>
  <c r="AD112" i="84" s="1"/>
  <c r="BS59" i="84"/>
  <c r="BR59" i="84"/>
  <c r="AP22" i="84"/>
  <c r="AB27" i="84"/>
  <c r="BT27" i="84" s="1"/>
  <c r="AC26" i="84"/>
  <c r="AB26" i="84" s="1"/>
  <c r="BT26" i="84" s="1"/>
  <c r="AC22" i="84"/>
  <c r="AB22" i="84" s="1"/>
  <c r="BT22" i="84" s="1"/>
  <c r="AB23" i="84"/>
  <c r="BT23" i="84" s="1"/>
  <c r="AC78" i="84"/>
  <c r="AB78" i="84" s="1"/>
  <c r="BT78" i="84" s="1"/>
  <c r="AB33" i="84"/>
  <c r="BT33" i="84" s="1"/>
  <c r="AB43" i="84"/>
  <c r="BT43" i="84" s="1"/>
  <c r="AC42" i="84"/>
  <c r="AB42" i="84" s="1"/>
  <c r="BT42" i="84" s="1"/>
  <c r="Q92" i="84"/>
  <c r="Q105" i="84" s="1"/>
  <c r="P105" i="84" s="1"/>
  <c r="BD22" i="84"/>
  <c r="BO55" i="84"/>
  <c r="BE42" i="84"/>
  <c r="BE55" i="84"/>
  <c r="R29" i="83"/>
  <c r="R28" i="83" s="1"/>
  <c r="M28" i="83"/>
  <c r="R23" i="83"/>
  <c r="V68" i="83"/>
  <c r="S52" i="83"/>
  <c r="S42" i="83" s="1"/>
  <c r="S59" i="83" s="1"/>
  <c r="Q59" i="83" s="1"/>
  <c r="V59" i="83" s="1"/>
  <c r="N42" i="83"/>
  <c r="N59" i="83" s="1"/>
  <c r="M38" i="83"/>
  <c r="R39" i="83"/>
  <c r="R38" i="83" s="1"/>
  <c r="S29" i="83"/>
  <c r="S28" i="83" s="1"/>
  <c r="N28" i="83"/>
  <c r="N21" i="83"/>
  <c r="S23" i="83"/>
  <c r="V9" i="83"/>
  <c r="L59" i="83"/>
  <c r="U59" i="83" s="1"/>
  <c r="R27" i="83"/>
  <c r="R26" i="83" s="1"/>
  <c r="M26" i="83"/>
  <c r="M21" i="83" s="1"/>
  <c r="V37" i="87" l="1"/>
  <c r="U39" i="87"/>
  <c r="V39" i="87" s="1"/>
  <c r="U43" i="87"/>
  <c r="R43" i="87"/>
  <c r="Q45" i="87"/>
  <c r="AA109" i="87"/>
  <c r="W40" i="87"/>
  <c r="X39" i="87"/>
  <c r="W37" i="87"/>
  <c r="L92" i="87"/>
  <c r="L94" i="87" s="1"/>
  <c r="L95" i="87" s="1"/>
  <c r="L33" i="87"/>
  <c r="L34" i="87" s="1"/>
  <c r="L6" i="87"/>
  <c r="L8" i="87" s="1"/>
  <c r="L9" i="87" s="1"/>
  <c r="N24" i="87"/>
  <c r="M26" i="87"/>
  <c r="N26" i="87" s="1"/>
  <c r="M18" i="87"/>
  <c r="P12" i="87"/>
  <c r="O27" i="87"/>
  <c r="O24" i="87"/>
  <c r="BN39" i="86"/>
  <c r="BN42" i="86"/>
  <c r="BM101" i="86"/>
  <c r="BM56" i="86"/>
  <c r="BM54" i="86"/>
  <c r="BL54" i="86" s="1"/>
  <c r="BW54" i="86" s="1"/>
  <c r="BM50" i="86"/>
  <c r="BL50" i="86" s="1"/>
  <c r="BW50" i="86" s="1"/>
  <c r="BM48" i="86"/>
  <c r="BL48" i="86" s="1"/>
  <c r="BW48" i="86" s="1"/>
  <c r="BM46" i="86"/>
  <c r="BL46" i="86" s="1"/>
  <c r="BW46" i="86" s="1"/>
  <c r="BM44" i="86"/>
  <c r="BL44" i="86" s="1"/>
  <c r="BW44" i="86" s="1"/>
  <c r="BM40" i="86"/>
  <c r="BM58" i="86"/>
  <c r="BL58" i="86" s="1"/>
  <c r="BW58" i="86" s="1"/>
  <c r="BM53" i="86"/>
  <c r="BL53" i="86" s="1"/>
  <c r="BW53" i="86" s="1"/>
  <c r="BM43" i="86"/>
  <c r="BM51" i="86"/>
  <c r="BL51" i="86" s="1"/>
  <c r="BW51" i="86" s="1"/>
  <c r="BM49" i="86"/>
  <c r="BL49" i="86" s="1"/>
  <c r="BW49" i="86" s="1"/>
  <c r="BM45" i="86"/>
  <c r="BL45" i="86" s="1"/>
  <c r="BW45" i="86" s="1"/>
  <c r="BM57" i="86"/>
  <c r="BL57" i="86" s="1"/>
  <c r="BW57" i="86" s="1"/>
  <c r="BM52" i="86"/>
  <c r="BL52" i="86" s="1"/>
  <c r="BW52" i="86" s="1"/>
  <c r="BM47" i="86"/>
  <c r="BL47" i="86" s="1"/>
  <c r="BW47" i="86" s="1"/>
  <c r="BM41" i="86"/>
  <c r="BL41" i="86" s="1"/>
  <c r="BW41" i="86" s="1"/>
  <c r="BM32" i="86"/>
  <c r="BL32" i="86" s="1"/>
  <c r="BW32" i="86" s="1"/>
  <c r="BM33" i="86"/>
  <c r="BM28" i="86"/>
  <c r="BL28" i="86" s="1"/>
  <c r="BW28" i="86" s="1"/>
  <c r="BM24" i="86"/>
  <c r="BL24" i="86" s="1"/>
  <c r="BW24" i="86" s="1"/>
  <c r="BM31" i="86"/>
  <c r="BM23" i="86"/>
  <c r="BM25" i="86"/>
  <c r="BL25" i="86" s="1"/>
  <c r="BW25" i="86" s="1"/>
  <c r="BM27" i="86"/>
  <c r="BL21" i="86"/>
  <c r="AZ23" i="86"/>
  <c r="BV23" i="86" s="1"/>
  <c r="BA22" i="86"/>
  <c r="AZ22" i="86" s="1"/>
  <c r="BV22" i="86" s="1"/>
  <c r="AZ40" i="86"/>
  <c r="BV40" i="86" s="1"/>
  <c r="BA39" i="86"/>
  <c r="AZ39" i="86" s="1"/>
  <c r="BV39" i="86" s="1"/>
  <c r="AZ43" i="86"/>
  <c r="BV43" i="86" s="1"/>
  <c r="BA42" i="86"/>
  <c r="AZ42" i="86" s="1"/>
  <c r="BV42" i="86" s="1"/>
  <c r="AZ101" i="86"/>
  <c r="BV101" i="86" s="1"/>
  <c r="BQ29" i="86"/>
  <c r="BQ55" i="86"/>
  <c r="BP42" i="86"/>
  <c r="BV21" i="86"/>
  <c r="BA26" i="86"/>
  <c r="AZ26" i="86" s="1"/>
  <c r="BV26" i="86" s="1"/>
  <c r="AZ27" i="86"/>
  <c r="BV27" i="86" s="1"/>
  <c r="AB75" i="86"/>
  <c r="BT75" i="86" s="1"/>
  <c r="AC59" i="86"/>
  <c r="AN76" i="86"/>
  <c r="BU76" i="86" s="1"/>
  <c r="AO75" i="86"/>
  <c r="BT29" i="86"/>
  <c r="AB38" i="86"/>
  <c r="BT38" i="86" s="1"/>
  <c r="BP125" i="86"/>
  <c r="BP109" i="86"/>
  <c r="BP112" i="86" s="1"/>
  <c r="BN76" i="86"/>
  <c r="BN75" i="86" s="1"/>
  <c r="BN59" i="86" s="1"/>
  <c r="BN102" i="86" s="1"/>
  <c r="BN99" i="86" s="1"/>
  <c r="BN29" i="86"/>
  <c r="BN38" i="86" s="1"/>
  <c r="BA76" i="86"/>
  <c r="BA29" i="86"/>
  <c r="AZ31" i="86"/>
  <c r="BV31" i="86" s="1"/>
  <c r="BB109" i="86"/>
  <c r="BB112" i="86" s="1"/>
  <c r="BQ42" i="86"/>
  <c r="BP39" i="86"/>
  <c r="P114" i="86"/>
  <c r="Q109" i="86"/>
  <c r="P99" i="86"/>
  <c r="Q1" i="86"/>
  <c r="Q124" i="86"/>
  <c r="BA78" i="86"/>
  <c r="AZ78" i="86" s="1"/>
  <c r="BV78" i="86" s="1"/>
  <c r="AZ33" i="86"/>
  <c r="BV33" i="86" s="1"/>
  <c r="BA55" i="86"/>
  <c r="AZ55" i="86" s="1"/>
  <c r="BV55" i="86" s="1"/>
  <c r="AZ56" i="86"/>
  <c r="BV56" i="86" s="1"/>
  <c r="AN29" i="86"/>
  <c r="AO38" i="86"/>
  <c r="BP26" i="86"/>
  <c r="P12" i="85"/>
  <c r="T40" i="85"/>
  <c r="W39" i="85"/>
  <c r="T37" i="85"/>
  <c r="U37" i="85" s="1"/>
  <c r="O27" i="85"/>
  <c r="O24" i="85"/>
  <c r="I110" i="85"/>
  <c r="I108" i="85" s="1"/>
  <c r="J108" i="85" s="1"/>
  <c r="I18" i="85"/>
  <c r="I20" i="85" s="1"/>
  <c r="H20" i="85"/>
  <c r="V113" i="85"/>
  <c r="S109" i="85"/>
  <c r="R37" i="85"/>
  <c r="Q39" i="85"/>
  <c r="R39" i="85" s="1"/>
  <c r="Q43" i="85"/>
  <c r="M26" i="85"/>
  <c r="N26" i="85" s="1"/>
  <c r="N24" i="85"/>
  <c r="M18" i="85"/>
  <c r="L92" i="85"/>
  <c r="L94" i="85" s="1"/>
  <c r="L95" i="85" s="1"/>
  <c r="L33" i="85"/>
  <c r="L6" i="85"/>
  <c r="L8" i="85" s="1"/>
  <c r="L9" i="85" s="1"/>
  <c r="AP109" i="84"/>
  <c r="AP112" i="84" s="1"/>
  <c r="BS105" i="84"/>
  <c r="BR105" i="84"/>
  <c r="AO22" i="84"/>
  <c r="AN22" i="84" s="1"/>
  <c r="BU22" i="84" s="1"/>
  <c r="AN23" i="84"/>
  <c r="BU23" i="84" s="1"/>
  <c r="AN101" i="84"/>
  <c r="BU101" i="84" s="1"/>
  <c r="Q99" i="84"/>
  <c r="BN101" i="84"/>
  <c r="BN57" i="84"/>
  <c r="BN54" i="84"/>
  <c r="BN50" i="84"/>
  <c r="BN48" i="84"/>
  <c r="BN46" i="84"/>
  <c r="BN44" i="84"/>
  <c r="BN58" i="84"/>
  <c r="BN56" i="84"/>
  <c r="BN55" i="84" s="1"/>
  <c r="BN52" i="84"/>
  <c r="BN51" i="84"/>
  <c r="BN49" i="84"/>
  <c r="BN47" i="84"/>
  <c r="BN45" i="84"/>
  <c r="BN41" i="84"/>
  <c r="BN53" i="84"/>
  <c r="BN43" i="84"/>
  <c r="BN42" i="84" s="1"/>
  <c r="BN31" i="84"/>
  <c r="BN25" i="84"/>
  <c r="BN27" i="84"/>
  <c r="BN33" i="84"/>
  <c r="BN78" i="84" s="1"/>
  <c r="BN32" i="84"/>
  <c r="BN28" i="84"/>
  <c r="BN24" i="84"/>
  <c r="BN40" i="84"/>
  <c r="BN39" i="84" s="1"/>
  <c r="BN23" i="84"/>
  <c r="BN22" i="84" s="1"/>
  <c r="BQ26" i="84"/>
  <c r="BP26" i="84"/>
  <c r="BP39" i="84"/>
  <c r="AO42" i="84"/>
  <c r="AN42" i="84" s="1"/>
  <c r="BU42" i="84" s="1"/>
  <c r="AN43" i="84"/>
  <c r="BU43" i="84" s="1"/>
  <c r="AB29" i="84"/>
  <c r="AC38" i="84"/>
  <c r="BB26" i="84"/>
  <c r="BQ29" i="84"/>
  <c r="BP125" i="84"/>
  <c r="BP109" i="84"/>
  <c r="BP112" i="84" s="1"/>
  <c r="AO76" i="84"/>
  <c r="AN31" i="84"/>
  <c r="BU31" i="84" s="1"/>
  <c r="AO29" i="84"/>
  <c r="AO78" i="84"/>
  <c r="AN78" i="84" s="1"/>
  <c r="BU78" i="84" s="1"/>
  <c r="AN33" i="84"/>
  <c r="BU33" i="84" s="1"/>
  <c r="AN27" i="84"/>
  <c r="BU27" i="84" s="1"/>
  <c r="AO26" i="84"/>
  <c r="AN26" i="84" s="1"/>
  <c r="BU26" i="84" s="1"/>
  <c r="AN40" i="84"/>
  <c r="BU40" i="84" s="1"/>
  <c r="AO39" i="84"/>
  <c r="AN39" i="84" s="1"/>
  <c r="BU39" i="84" s="1"/>
  <c r="BS115" i="84"/>
  <c r="BR115" i="84"/>
  <c r="BB76" i="84"/>
  <c r="BB75" i="84" s="1"/>
  <c r="BB59" i="84" s="1"/>
  <c r="BB102" i="84" s="1"/>
  <c r="BB29" i="84"/>
  <c r="BB38" i="84" s="1"/>
  <c r="BB42" i="84"/>
  <c r="BB55" i="84"/>
  <c r="BQ22" i="84"/>
  <c r="BU21" i="84"/>
  <c r="BA101" i="84"/>
  <c r="BA57" i="84"/>
  <c r="AZ57" i="84" s="1"/>
  <c r="BV57" i="84" s="1"/>
  <c r="BA54" i="84"/>
  <c r="AZ54" i="84" s="1"/>
  <c r="BV54" i="84" s="1"/>
  <c r="BA50" i="84"/>
  <c r="AZ50" i="84" s="1"/>
  <c r="BV50" i="84" s="1"/>
  <c r="BA48" i="84"/>
  <c r="AZ48" i="84" s="1"/>
  <c r="BV48" i="84" s="1"/>
  <c r="BA46" i="84"/>
  <c r="AZ46" i="84" s="1"/>
  <c r="BV46" i="84" s="1"/>
  <c r="BA44" i="84"/>
  <c r="AZ44" i="84" s="1"/>
  <c r="BV44" i="84" s="1"/>
  <c r="BA58" i="84"/>
  <c r="AZ58" i="84" s="1"/>
  <c r="BV58" i="84" s="1"/>
  <c r="BA53" i="84"/>
  <c r="AZ53" i="84" s="1"/>
  <c r="BV53" i="84" s="1"/>
  <c r="BA56" i="84"/>
  <c r="BA41" i="84"/>
  <c r="AZ41" i="84" s="1"/>
  <c r="BV41" i="84" s="1"/>
  <c r="BA52" i="84"/>
  <c r="AZ52" i="84" s="1"/>
  <c r="BV52" i="84" s="1"/>
  <c r="BA51" i="84"/>
  <c r="AZ51" i="84" s="1"/>
  <c r="BV51" i="84" s="1"/>
  <c r="BA49" i="84"/>
  <c r="AZ49" i="84" s="1"/>
  <c r="BV49" i="84" s="1"/>
  <c r="BA47" i="84"/>
  <c r="AZ47" i="84" s="1"/>
  <c r="BV47" i="84" s="1"/>
  <c r="BA45" i="84"/>
  <c r="AZ45" i="84" s="1"/>
  <c r="BV45" i="84" s="1"/>
  <c r="BA43" i="84"/>
  <c r="BA32" i="84"/>
  <c r="AZ32" i="84" s="1"/>
  <c r="BV32" i="84" s="1"/>
  <c r="BA25" i="84"/>
  <c r="AZ25" i="84" s="1"/>
  <c r="BV25" i="84" s="1"/>
  <c r="BA27" i="84"/>
  <c r="BM21" i="84"/>
  <c r="BA40" i="84"/>
  <c r="BA33" i="84"/>
  <c r="BA31" i="84"/>
  <c r="BA28" i="84"/>
  <c r="AZ28" i="84" s="1"/>
  <c r="BV28" i="84" s="1"/>
  <c r="BA24" i="84"/>
  <c r="AZ24" i="84" s="1"/>
  <c r="BV24" i="84" s="1"/>
  <c r="AZ21" i="84"/>
  <c r="BA23" i="84"/>
  <c r="AO55" i="84"/>
  <c r="AN55" i="84" s="1"/>
  <c r="BU55" i="84" s="1"/>
  <c r="AN56" i="84"/>
  <c r="BU56" i="84" s="1"/>
  <c r="AC75" i="84"/>
  <c r="AB76" i="84"/>
  <c r="BT76" i="84" s="1"/>
  <c r="BB99" i="84"/>
  <c r="BQ42" i="84"/>
  <c r="BP22" i="84"/>
  <c r="BP42" i="84"/>
  <c r="BP55" i="84"/>
  <c r="M58" i="83"/>
  <c r="M57" i="83"/>
  <c r="N58" i="83"/>
  <c r="N57" i="83"/>
  <c r="N65" i="83" s="1"/>
  <c r="N68" i="83" s="1"/>
  <c r="R21" i="83"/>
  <c r="S21" i="83"/>
  <c r="N18" i="87" l="1"/>
  <c r="M20" i="87"/>
  <c r="N20" i="87" s="1"/>
  <c r="L18" i="87"/>
  <c r="AA113" i="87"/>
  <c r="X109" i="87"/>
  <c r="V43" i="87"/>
  <c r="U45" i="87"/>
  <c r="V45" i="87" s="1"/>
  <c r="P14" i="87"/>
  <c r="X40" i="87"/>
  <c r="X37" i="87"/>
  <c r="Y37" i="87" s="1"/>
  <c r="O45" i="87"/>
  <c r="R45" i="87"/>
  <c r="BN109" i="86"/>
  <c r="BN112" i="86" s="1"/>
  <c r="AZ76" i="86"/>
  <c r="BV76" i="86" s="1"/>
  <c r="BA75" i="86"/>
  <c r="P122" i="86"/>
  <c r="BS114" i="86"/>
  <c r="BR114" i="86"/>
  <c r="AC102" i="86"/>
  <c r="AB59" i="86"/>
  <c r="BL101" i="86"/>
  <c r="BW101" i="86" s="1"/>
  <c r="BL23" i="86"/>
  <c r="BW23" i="86" s="1"/>
  <c r="BM22" i="86"/>
  <c r="BL22" i="86" s="1"/>
  <c r="BW22" i="86" s="1"/>
  <c r="BM78" i="86"/>
  <c r="BL78" i="86" s="1"/>
  <c r="BW78" i="86" s="1"/>
  <c r="BL33" i="86"/>
  <c r="BW33" i="86" s="1"/>
  <c r="BL40" i="86"/>
  <c r="BW40" i="86" s="1"/>
  <c r="BM39" i="86"/>
  <c r="BL39" i="86" s="1"/>
  <c r="BW39" i="86" s="1"/>
  <c r="BR99" i="86"/>
  <c r="BS99" i="86"/>
  <c r="P1" i="86"/>
  <c r="AZ29" i="86"/>
  <c r="BA38" i="86"/>
  <c r="AN75" i="86"/>
  <c r="BU75" i="86" s="1"/>
  <c r="AO59" i="86"/>
  <c r="BW21" i="86"/>
  <c r="BM76" i="86"/>
  <c r="BM29" i="86"/>
  <c r="BL31" i="86"/>
  <c r="BW31" i="86" s="1"/>
  <c r="BL43" i="86"/>
  <c r="BW43" i="86" s="1"/>
  <c r="BM42" i="86"/>
  <c r="BL42" i="86" s="1"/>
  <c r="BW42" i="86" s="1"/>
  <c r="BU29" i="86"/>
  <c r="AN38" i="86"/>
  <c r="BU38" i="86" s="1"/>
  <c r="Q112" i="86"/>
  <c r="P112" i="86" s="1"/>
  <c r="P109" i="86"/>
  <c r="BL27" i="86"/>
  <c r="BW27" i="86" s="1"/>
  <c r="BM26" i="86"/>
  <c r="BL26" i="86" s="1"/>
  <c r="BW26" i="86" s="1"/>
  <c r="BL56" i="86"/>
  <c r="BW56" i="86" s="1"/>
  <c r="BM55" i="86"/>
  <c r="BL55" i="86" s="1"/>
  <c r="BW55" i="86" s="1"/>
  <c r="V37" i="85"/>
  <c r="U39" i="85"/>
  <c r="V39" i="85" s="1"/>
  <c r="U43" i="85"/>
  <c r="R43" i="85"/>
  <c r="Q45" i="85"/>
  <c r="P14" i="85"/>
  <c r="L18" i="85"/>
  <c r="N18" i="85"/>
  <c r="M20" i="85"/>
  <c r="N20" i="85" s="1"/>
  <c r="H21" i="85"/>
  <c r="K21" i="85"/>
  <c r="AA109" i="85"/>
  <c r="W40" i="85"/>
  <c r="X39" i="85"/>
  <c r="W37" i="85"/>
  <c r="L34" i="85"/>
  <c r="O33" i="85"/>
  <c r="O34" i="85" s="1"/>
  <c r="J113" i="85"/>
  <c r="K113" i="85" s="1"/>
  <c r="K108" i="85" s="1"/>
  <c r="J110" i="85"/>
  <c r="BB109" i="84"/>
  <c r="BB112" i="84" s="1"/>
  <c r="BM101" i="84"/>
  <c r="BM57" i="84"/>
  <c r="BL57" i="84" s="1"/>
  <c r="BW57" i="84" s="1"/>
  <c r="BM58" i="84"/>
  <c r="BL58" i="84" s="1"/>
  <c r="BW58" i="84" s="1"/>
  <c r="BM52" i="84"/>
  <c r="BL52" i="84" s="1"/>
  <c r="BW52" i="84" s="1"/>
  <c r="BM47" i="84"/>
  <c r="BL47" i="84" s="1"/>
  <c r="BW47" i="84" s="1"/>
  <c r="BM54" i="84"/>
  <c r="BL54" i="84" s="1"/>
  <c r="BW54" i="84" s="1"/>
  <c r="BM43" i="84"/>
  <c r="BM56" i="84"/>
  <c r="BM51" i="84"/>
  <c r="BL51" i="84" s="1"/>
  <c r="BW51" i="84" s="1"/>
  <c r="BM49" i="84"/>
  <c r="BL49" i="84" s="1"/>
  <c r="BW49" i="84" s="1"/>
  <c r="BM50" i="84"/>
  <c r="BL50" i="84" s="1"/>
  <c r="BW50" i="84" s="1"/>
  <c r="BM48" i="84"/>
  <c r="BL48" i="84" s="1"/>
  <c r="BW48" i="84" s="1"/>
  <c r="BM45" i="84"/>
  <c r="BL45" i="84" s="1"/>
  <c r="BW45" i="84" s="1"/>
  <c r="BM53" i="84"/>
  <c r="BL53" i="84" s="1"/>
  <c r="BW53" i="84" s="1"/>
  <c r="BM46" i="84"/>
  <c r="BL46" i="84" s="1"/>
  <c r="BW46" i="84" s="1"/>
  <c r="BM44" i="84"/>
  <c r="BL44" i="84" s="1"/>
  <c r="BW44" i="84" s="1"/>
  <c r="BM40" i="84"/>
  <c r="BM33" i="84"/>
  <c r="BM31" i="84"/>
  <c r="BM23" i="84"/>
  <c r="BM41" i="84"/>
  <c r="BL41" i="84" s="1"/>
  <c r="BW41" i="84" s="1"/>
  <c r="BM25" i="84"/>
  <c r="BL25" i="84" s="1"/>
  <c r="BW25" i="84" s="1"/>
  <c r="BM27" i="84"/>
  <c r="BL21" i="84"/>
  <c r="BM32" i="84"/>
  <c r="BL32" i="84" s="1"/>
  <c r="BW32" i="84" s="1"/>
  <c r="BM28" i="84"/>
  <c r="BL28" i="84" s="1"/>
  <c r="BW28" i="84" s="1"/>
  <c r="BM24" i="84"/>
  <c r="BL24" i="84" s="1"/>
  <c r="BW24" i="84" s="1"/>
  <c r="AB75" i="84"/>
  <c r="BT75" i="84" s="1"/>
  <c r="AC59" i="84"/>
  <c r="BV21" i="84"/>
  <c r="BA78" i="84"/>
  <c r="AZ78" i="84" s="1"/>
  <c r="BV78" i="84" s="1"/>
  <c r="AZ33" i="84"/>
  <c r="BV33" i="84" s="1"/>
  <c r="AZ40" i="84"/>
  <c r="BV40" i="84" s="1"/>
  <c r="BA39" i="84"/>
  <c r="AZ39" i="84" s="1"/>
  <c r="BV39" i="84" s="1"/>
  <c r="BA55" i="84"/>
  <c r="AZ55" i="84" s="1"/>
  <c r="BV55" i="84" s="1"/>
  <c r="AZ56" i="84"/>
  <c r="BV56" i="84" s="1"/>
  <c r="AO75" i="84"/>
  <c r="AN76" i="84"/>
  <c r="BU76" i="84" s="1"/>
  <c r="BN76" i="84"/>
  <c r="BN75" i="84" s="1"/>
  <c r="BN59" i="84" s="1"/>
  <c r="BN102" i="84" s="1"/>
  <c r="BN99" i="84" s="1"/>
  <c r="BN29" i="84"/>
  <c r="BN38" i="84" s="1"/>
  <c r="AZ43" i="84"/>
  <c r="BV43" i="84" s="1"/>
  <c r="BA42" i="84"/>
  <c r="AZ42" i="84" s="1"/>
  <c r="BV42" i="84" s="1"/>
  <c r="AZ101" i="84"/>
  <c r="BV101" i="84" s="1"/>
  <c r="AZ23" i="84"/>
  <c r="BV23" i="84" s="1"/>
  <c r="BA22" i="84"/>
  <c r="AZ22" i="84" s="1"/>
  <c r="BV22" i="84" s="1"/>
  <c r="BA76" i="84"/>
  <c r="AZ31" i="84"/>
  <c r="BV31" i="84" s="1"/>
  <c r="BA29" i="84"/>
  <c r="AZ27" i="84"/>
  <c r="BV27" i="84" s="1"/>
  <c r="BA26" i="84"/>
  <c r="AZ26" i="84" s="1"/>
  <c r="BV26" i="84" s="1"/>
  <c r="AN29" i="84"/>
  <c r="AO38" i="84"/>
  <c r="BT29" i="84"/>
  <c r="AB38" i="84"/>
  <c r="BT38" i="84" s="1"/>
  <c r="BN26" i="84"/>
  <c r="P114" i="84"/>
  <c r="Q109" i="84"/>
  <c r="P99" i="84"/>
  <c r="Q1" i="84"/>
  <c r="Q124" i="84"/>
  <c r="S58" i="83"/>
  <c r="S57" i="83"/>
  <c r="S65" i="83" s="1"/>
  <c r="S68" i="83" s="1"/>
  <c r="L80" i="83"/>
  <c r="U80" i="83" s="1"/>
  <c r="M78" i="83"/>
  <c r="M65" i="83"/>
  <c r="M68" i="83" s="1"/>
  <c r="R58" i="83"/>
  <c r="Q58" i="83" s="1"/>
  <c r="V58" i="83" s="1"/>
  <c r="R57" i="83"/>
  <c r="L58" i="83"/>
  <c r="U58" i="83" s="1"/>
  <c r="Z37" i="87" l="1"/>
  <c r="Y39" i="87"/>
  <c r="Z39" i="87" s="1"/>
  <c r="Y43" i="87"/>
  <c r="N110" i="87"/>
  <c r="N108" i="87" s="1"/>
  <c r="O108" i="87" s="1"/>
  <c r="L20" i="87"/>
  <c r="O46" i="87"/>
  <c r="O43" i="87"/>
  <c r="P26" i="87"/>
  <c r="P15" i="87"/>
  <c r="BS109" i="86"/>
  <c r="BR109" i="86"/>
  <c r="BL76" i="86"/>
  <c r="BW76" i="86" s="1"/>
  <c r="BM75" i="86"/>
  <c r="BS112" i="86"/>
  <c r="BR112" i="86"/>
  <c r="AZ75" i="86"/>
  <c r="BV75" i="86" s="1"/>
  <c r="BA59" i="86"/>
  <c r="BL29" i="86"/>
  <c r="BM38" i="86"/>
  <c r="BV29" i="86"/>
  <c r="AZ38" i="86"/>
  <c r="BV38" i="86" s="1"/>
  <c r="BT59" i="86"/>
  <c r="AC92" i="86"/>
  <c r="AO102" i="86"/>
  <c r="AN59" i="86"/>
  <c r="AB102" i="86"/>
  <c r="BT102" i="86" s="1"/>
  <c r="BR122" i="86"/>
  <c r="BS122" i="86"/>
  <c r="P123" i="86"/>
  <c r="N110" i="85"/>
  <c r="N108" i="85" s="1"/>
  <c r="O108" i="85" s="1"/>
  <c r="L20" i="85"/>
  <c r="X40" i="85"/>
  <c r="X37" i="85"/>
  <c r="P26" i="85"/>
  <c r="P15" i="85"/>
  <c r="X110" i="85"/>
  <c r="X108" i="85" s="1"/>
  <c r="Y108" i="85" s="1"/>
  <c r="Y37" i="85"/>
  <c r="V43" i="85"/>
  <c r="U45" i="85"/>
  <c r="V45" i="85" s="1"/>
  <c r="O45" i="85"/>
  <c r="R45" i="85"/>
  <c r="AA113" i="85"/>
  <c r="X109" i="85"/>
  <c r="BN109" i="84"/>
  <c r="BN112" i="84" s="1"/>
  <c r="BR99" i="84"/>
  <c r="BS99" i="84"/>
  <c r="P1" i="84"/>
  <c r="BA75" i="84"/>
  <c r="AZ76" i="84"/>
  <c r="BV76" i="84" s="1"/>
  <c r="BM78" i="84"/>
  <c r="BL78" i="84" s="1"/>
  <c r="BW78" i="84" s="1"/>
  <c r="BL33" i="84"/>
  <c r="BW33" i="84" s="1"/>
  <c r="AC102" i="84"/>
  <c r="AB59" i="84"/>
  <c r="BL40" i="84"/>
  <c r="BW40" i="84" s="1"/>
  <c r="BM39" i="84"/>
  <c r="BL39" i="84" s="1"/>
  <c r="BW39" i="84" s="1"/>
  <c r="BL101" i="84"/>
  <c r="BW101" i="84" s="1"/>
  <c r="P122" i="84"/>
  <c r="AZ29" i="84"/>
  <c r="BA38" i="84"/>
  <c r="BW21" i="84"/>
  <c r="BL23" i="84"/>
  <c r="BW23" i="84" s="1"/>
  <c r="BM22" i="84"/>
  <c r="BL22" i="84" s="1"/>
  <c r="BW22" i="84" s="1"/>
  <c r="BM55" i="84"/>
  <c r="BL55" i="84" s="1"/>
  <c r="BW55" i="84" s="1"/>
  <c r="BL56" i="84"/>
  <c r="BW56" i="84" s="1"/>
  <c r="Q112" i="84"/>
  <c r="P112" i="84" s="1"/>
  <c r="P109" i="84"/>
  <c r="BS114" i="84"/>
  <c r="BR114" i="84"/>
  <c r="BU29" i="84"/>
  <c r="AN38" i="84"/>
  <c r="BU38" i="84" s="1"/>
  <c r="AN75" i="84"/>
  <c r="BU75" i="84" s="1"/>
  <c r="AO59" i="84"/>
  <c r="BL27" i="84"/>
  <c r="BW27" i="84" s="1"/>
  <c r="BM26" i="84"/>
  <c r="BL26" i="84" s="1"/>
  <c r="BW26" i="84" s="1"/>
  <c r="BM76" i="84"/>
  <c r="BL31" i="84"/>
  <c r="BW31" i="84" s="1"/>
  <c r="BM29" i="84"/>
  <c r="BL43" i="84"/>
  <c r="BW43" i="84" s="1"/>
  <c r="BM42" i="84"/>
  <c r="BL42" i="84" s="1"/>
  <c r="BW42" i="84" s="1"/>
  <c r="R65" i="83"/>
  <c r="R68" i="83" s="1"/>
  <c r="Q80" i="83"/>
  <c r="V80" i="83" s="1"/>
  <c r="R78" i="83"/>
  <c r="L76" i="83"/>
  <c r="O31" i="87" l="1"/>
  <c r="P43" i="87"/>
  <c r="P27" i="87"/>
  <c r="S26" i="87"/>
  <c r="P24" i="87"/>
  <c r="Q24" i="87" s="1"/>
  <c r="O113" i="87"/>
  <c r="P113" i="87" s="1"/>
  <c r="P108" i="87" s="1"/>
  <c r="O110" i="87"/>
  <c r="Z43" i="87"/>
  <c r="Y45" i="87"/>
  <c r="L21" i="87"/>
  <c r="O20" i="87"/>
  <c r="R124" i="86"/>
  <c r="P124" i="86" s="1"/>
  <c r="BS123" i="86"/>
  <c r="BR123" i="86"/>
  <c r="BU59" i="86"/>
  <c r="AO92" i="86"/>
  <c r="BW29" i="86"/>
  <c r="BL38" i="86"/>
  <c r="BW38" i="86" s="1"/>
  <c r="AN102" i="86"/>
  <c r="BU102" i="86" s="1"/>
  <c r="BA102" i="86"/>
  <c r="AZ59" i="86"/>
  <c r="BL75" i="86"/>
  <c r="BW75" i="86" s="1"/>
  <c r="BM59" i="86"/>
  <c r="AC105" i="86"/>
  <c r="AB92" i="86"/>
  <c r="Z37" i="85"/>
  <c r="Y39" i="85"/>
  <c r="Z39" i="85" s="1"/>
  <c r="Y43" i="85"/>
  <c r="O113" i="85"/>
  <c r="P113" i="85" s="1"/>
  <c r="P108" i="85" s="1"/>
  <c r="O110" i="85"/>
  <c r="O46" i="85"/>
  <c r="O43" i="85"/>
  <c r="Y113" i="85"/>
  <c r="Z113" i="85" s="1"/>
  <c r="Z108" i="85" s="1"/>
  <c r="Y110" i="85"/>
  <c r="P27" i="85"/>
  <c r="S26" i="85"/>
  <c r="P24" i="85"/>
  <c r="Q24" i="85" s="1"/>
  <c r="O20" i="85"/>
  <c r="L21" i="85"/>
  <c r="BS109" i="84"/>
  <c r="BR109" i="84"/>
  <c r="BR122" i="84"/>
  <c r="BS122" i="84"/>
  <c r="P123" i="84"/>
  <c r="BS112" i="84"/>
  <c r="BR112" i="84"/>
  <c r="BT59" i="84"/>
  <c r="AC92" i="84"/>
  <c r="AO102" i="84"/>
  <c r="AN59" i="84"/>
  <c r="BV29" i="84"/>
  <c r="AZ38" i="84"/>
  <c r="BV38" i="84" s="1"/>
  <c r="AB102" i="84"/>
  <c r="BT102" i="84" s="1"/>
  <c r="AZ75" i="84"/>
  <c r="BV75" i="84" s="1"/>
  <c r="BA59" i="84"/>
  <c r="BL29" i="84"/>
  <c r="BM38" i="84"/>
  <c r="BM75" i="84"/>
  <c r="BL76" i="84"/>
  <c r="BW76" i="84" s="1"/>
  <c r="L77" i="83"/>
  <c r="U76" i="83"/>
  <c r="Q76" i="83"/>
  <c r="P45" i="87" l="1"/>
  <c r="P31" i="87"/>
  <c r="O21" i="87"/>
  <c r="O18" i="87"/>
  <c r="S27" i="87"/>
  <c r="S24" i="87"/>
  <c r="W45" i="87"/>
  <c r="Z45" i="87"/>
  <c r="Q26" i="87"/>
  <c r="R26" i="87" s="1"/>
  <c r="R24" i="87"/>
  <c r="Q18" i="87"/>
  <c r="O92" i="87"/>
  <c r="O94" i="87" s="1"/>
  <c r="O95" i="87" s="1"/>
  <c r="O33" i="87"/>
  <c r="O34" i="87" s="1"/>
  <c r="O6" i="87"/>
  <c r="O8" i="87" s="1"/>
  <c r="O9" i="87" s="1"/>
  <c r="AZ102" i="86"/>
  <c r="BV102" i="86" s="1"/>
  <c r="P129" i="86"/>
  <c r="BR124" i="86"/>
  <c r="BS124" i="86"/>
  <c r="BT92" i="86"/>
  <c r="AB115" i="86"/>
  <c r="BT115" i="86" s="1"/>
  <c r="BV59" i="86"/>
  <c r="BA92" i="86"/>
  <c r="AB105" i="86"/>
  <c r="BT105" i="86" s="1"/>
  <c r="AC99" i="86"/>
  <c r="BM102" i="86"/>
  <c r="BL59" i="86"/>
  <c r="AO105" i="86"/>
  <c r="AN92" i="86"/>
  <c r="S27" i="85"/>
  <c r="S24" i="85"/>
  <c r="O31" i="85"/>
  <c r="P43" i="85"/>
  <c r="Z43" i="85"/>
  <c r="Y45" i="85"/>
  <c r="O21" i="85"/>
  <c r="O18" i="85"/>
  <c r="R24" i="85"/>
  <c r="Q26" i="85"/>
  <c r="R26" i="85" s="1"/>
  <c r="Q18" i="85"/>
  <c r="BU59" i="84"/>
  <c r="AO92" i="84"/>
  <c r="BW29" i="84"/>
  <c r="BL38" i="84"/>
  <c r="BW38" i="84" s="1"/>
  <c r="AN102" i="84"/>
  <c r="BU102" i="84" s="1"/>
  <c r="BA102" i="84"/>
  <c r="AZ59" i="84"/>
  <c r="BL75" i="84"/>
  <c r="BW75" i="84" s="1"/>
  <c r="BM59" i="84"/>
  <c r="AC105" i="84"/>
  <c r="AB92" i="84"/>
  <c r="R124" i="84"/>
  <c r="P124" i="84" s="1"/>
  <c r="BS123" i="84"/>
  <c r="BR123" i="84"/>
  <c r="N78" i="83"/>
  <c r="L78" i="83" s="1"/>
  <c r="U78" i="83" s="1"/>
  <c r="U77" i="83"/>
  <c r="Q77" i="83"/>
  <c r="V76" i="83"/>
  <c r="R18" i="87" l="1"/>
  <c r="Q20" i="87"/>
  <c r="R20" i="87" s="1"/>
  <c r="P18" i="87"/>
  <c r="P92" i="87"/>
  <c r="P94" i="87" s="1"/>
  <c r="P95" i="87" s="1"/>
  <c r="P33" i="87"/>
  <c r="P34" i="87" s="1"/>
  <c r="P6" i="87"/>
  <c r="P8" i="87" s="1"/>
  <c r="P9" i="87" s="1"/>
  <c r="W43" i="87"/>
  <c r="S12" i="87"/>
  <c r="S45" i="87"/>
  <c r="P46" i="87"/>
  <c r="AN105" i="86"/>
  <c r="BU105" i="86" s="1"/>
  <c r="AO99" i="86"/>
  <c r="BW59" i="86"/>
  <c r="BM92" i="86"/>
  <c r="BL102" i="86"/>
  <c r="BW102" i="86" s="1"/>
  <c r="BU92" i="86"/>
  <c r="AN115" i="86"/>
  <c r="BU115" i="86" s="1"/>
  <c r="AC124" i="86"/>
  <c r="AB114" i="86"/>
  <c r="BT114" i="86" s="1"/>
  <c r="AC109" i="86"/>
  <c r="AB99" i="86"/>
  <c r="BT99" i="86" s="1"/>
  <c r="BA105" i="86"/>
  <c r="AZ92" i="86"/>
  <c r="P18" i="85"/>
  <c r="R18" i="85"/>
  <c r="Q20" i="85"/>
  <c r="R20" i="85" s="1"/>
  <c r="P45" i="85"/>
  <c r="P31" i="85"/>
  <c r="O92" i="85"/>
  <c r="O94" i="85" s="1"/>
  <c r="O95" i="85" s="1"/>
  <c r="O6" i="85"/>
  <c r="O8" i="85" s="1"/>
  <c r="O9" i="85" s="1"/>
  <c r="W45" i="85"/>
  <c r="Z45" i="85"/>
  <c r="S12" i="85"/>
  <c r="AB105" i="84"/>
  <c r="BT105" i="84" s="1"/>
  <c r="AC99" i="84"/>
  <c r="AZ102" i="84"/>
  <c r="BV102" i="84" s="1"/>
  <c r="BM102" i="84"/>
  <c r="BL59" i="84"/>
  <c r="P129" i="84"/>
  <c r="BR124" i="84"/>
  <c r="BS124" i="84"/>
  <c r="AO105" i="84"/>
  <c r="AN92" i="84"/>
  <c r="BT92" i="84"/>
  <c r="AB115" i="84"/>
  <c r="BT115" i="84" s="1"/>
  <c r="BV59" i="84"/>
  <c r="BA92" i="84"/>
  <c r="S78" i="83"/>
  <c r="Q78" i="83" s="1"/>
  <c r="V78" i="83" s="1"/>
  <c r="V77" i="83"/>
  <c r="S46" i="87" l="1"/>
  <c r="S43" i="87"/>
  <c r="S110" i="87"/>
  <c r="S108" i="87" s="1"/>
  <c r="T108" i="87" s="1"/>
  <c r="P20" i="87"/>
  <c r="W31" i="87"/>
  <c r="X43" i="87"/>
  <c r="X45" i="87" s="1"/>
  <c r="X46" i="87" s="1"/>
  <c r="S14" i="87"/>
  <c r="S15" i="87" s="1"/>
  <c r="T12" i="87"/>
  <c r="AC112" i="86"/>
  <c r="AB112" i="86" s="1"/>
  <c r="BT112" i="86" s="1"/>
  <c r="AB109" i="86"/>
  <c r="BT109" i="86" s="1"/>
  <c r="BM105" i="86"/>
  <c r="BL92" i="86"/>
  <c r="BV92" i="86"/>
  <c r="AZ115" i="86"/>
  <c r="BV115" i="86" s="1"/>
  <c r="AZ105" i="86"/>
  <c r="BV105" i="86" s="1"/>
  <c r="BA99" i="86"/>
  <c r="AB122" i="86"/>
  <c r="AN114" i="86"/>
  <c r="BU114" i="86" s="1"/>
  <c r="AO109" i="86"/>
  <c r="AN99" i="86"/>
  <c r="BU99" i="86" s="1"/>
  <c r="AO124" i="86"/>
  <c r="P92" i="85"/>
  <c r="P94" i="85" s="1"/>
  <c r="P95" i="85" s="1"/>
  <c r="P33" i="85"/>
  <c r="P6" i="85"/>
  <c r="P8" i="85" s="1"/>
  <c r="P9" i="85" s="1"/>
  <c r="S110" i="85"/>
  <c r="S108" i="85" s="1"/>
  <c r="T108" i="85" s="1"/>
  <c r="P20" i="85"/>
  <c r="W43" i="85"/>
  <c r="S45" i="85"/>
  <c r="P46" i="85"/>
  <c r="T12" i="85"/>
  <c r="S14" i="85"/>
  <c r="S15" i="85" s="1"/>
  <c r="BA105" i="84"/>
  <c r="AZ92" i="84"/>
  <c r="BU92" i="84"/>
  <c r="AN115" i="84"/>
  <c r="BU115" i="84" s="1"/>
  <c r="AN105" i="84"/>
  <c r="BU105" i="84" s="1"/>
  <c r="AO99" i="84"/>
  <c r="BW59" i="84"/>
  <c r="BM92" i="84"/>
  <c r="AC124" i="84"/>
  <c r="AB114" i="84"/>
  <c r="BT114" i="84" s="1"/>
  <c r="AC109" i="84"/>
  <c r="AB99" i="84"/>
  <c r="BT99" i="84" s="1"/>
  <c r="BL102" i="84"/>
  <c r="BW102" i="84" s="1"/>
  <c r="Z108" i="42"/>
  <c r="X110" i="42"/>
  <c r="X108" i="42"/>
  <c r="Y108" i="42" s="1"/>
  <c r="AA109" i="42"/>
  <c r="S20" i="42"/>
  <c r="G20" i="42"/>
  <c r="U113" i="42"/>
  <c r="U108" i="42"/>
  <c r="T113" i="42"/>
  <c r="T108" i="42"/>
  <c r="S108" i="42"/>
  <c r="V113" i="42"/>
  <c r="V109" i="42"/>
  <c r="S110" i="42"/>
  <c r="P21" i="87" l="1"/>
  <c r="S21" i="87"/>
  <c r="T110" i="87"/>
  <c r="T113" i="87"/>
  <c r="U113" i="87" s="1"/>
  <c r="U108" i="87" s="1"/>
  <c r="S31" i="87"/>
  <c r="T43" i="87"/>
  <c r="T45" i="87" s="1"/>
  <c r="T14" i="87"/>
  <c r="W33" i="87"/>
  <c r="X31" i="87"/>
  <c r="AO112" i="86"/>
  <c r="AN112" i="86" s="1"/>
  <c r="BU112" i="86" s="1"/>
  <c r="AN109" i="86"/>
  <c r="BU109" i="86" s="1"/>
  <c r="AZ114" i="86"/>
  <c r="BV114" i="86" s="1"/>
  <c r="BA109" i="86"/>
  <c r="AZ99" i="86"/>
  <c r="BV99" i="86" s="1"/>
  <c r="BA124" i="86"/>
  <c r="BW92" i="86"/>
  <c r="BL115" i="86"/>
  <c r="BW115" i="86" s="1"/>
  <c r="BL105" i="86"/>
  <c r="BW105" i="86" s="1"/>
  <c r="BM99" i="86"/>
  <c r="AN122" i="86"/>
  <c r="BT122" i="86"/>
  <c r="AB123" i="86"/>
  <c r="P21" i="85"/>
  <c r="S21" i="85"/>
  <c r="S46" i="85"/>
  <c r="S43" i="85"/>
  <c r="T110" i="85"/>
  <c r="T113" i="85"/>
  <c r="U113" i="85" s="1"/>
  <c r="U108" i="85" s="1"/>
  <c r="W31" i="85"/>
  <c r="X43" i="85"/>
  <c r="X45" i="85" s="1"/>
  <c r="X46" i="85" s="1"/>
  <c r="T14" i="85"/>
  <c r="P34" i="85"/>
  <c r="S33" i="85"/>
  <c r="S34" i="85" s="1"/>
  <c r="BM105" i="84"/>
  <c r="BL92" i="84"/>
  <c r="AC112" i="84"/>
  <c r="AB112" i="84" s="1"/>
  <c r="BT112" i="84" s="1"/>
  <c r="AB109" i="84"/>
  <c r="BT109" i="84" s="1"/>
  <c r="AZ105" i="84"/>
  <c r="BV105" i="84" s="1"/>
  <c r="BA99" i="84"/>
  <c r="AB122" i="84"/>
  <c r="AO124" i="84"/>
  <c r="AN114" i="84"/>
  <c r="BU114" i="84" s="1"/>
  <c r="AO109" i="84"/>
  <c r="AN99" i="84"/>
  <c r="BU99" i="84" s="1"/>
  <c r="BV92" i="84"/>
  <c r="AZ115" i="84"/>
  <c r="BV115" i="84" s="1"/>
  <c r="T127" i="41"/>
  <c r="T15" i="87" l="1"/>
  <c r="T26" i="87"/>
  <c r="X33" i="87"/>
  <c r="X34" i="87" s="1"/>
  <c r="T46" i="87"/>
  <c r="W46" i="87"/>
  <c r="S92" i="87"/>
  <c r="S94" i="87" s="1"/>
  <c r="S95" i="87" s="1"/>
  <c r="S33" i="87"/>
  <c r="S34" i="87" s="1"/>
  <c r="T31" i="87"/>
  <c r="S6" i="87"/>
  <c r="S8" i="87" s="1"/>
  <c r="S9" i="87" s="1"/>
  <c r="BA112" i="86"/>
  <c r="AZ112" i="86" s="1"/>
  <c r="BV112" i="86" s="1"/>
  <c r="AZ109" i="86"/>
  <c r="BV109" i="86" s="1"/>
  <c r="BU122" i="86"/>
  <c r="AN123" i="86"/>
  <c r="BT123" i="86"/>
  <c r="AD124" i="86"/>
  <c r="AB124" i="86" s="1"/>
  <c r="BL114" i="86"/>
  <c r="BW114" i="86" s="1"/>
  <c r="BM109" i="86"/>
  <c r="BL99" i="86"/>
  <c r="BW99" i="86" s="1"/>
  <c r="BM124" i="86"/>
  <c r="AZ122" i="86"/>
  <c r="S31" i="85"/>
  <c r="T43" i="85"/>
  <c r="T45" i="85" s="1"/>
  <c r="X31" i="85"/>
  <c r="T26" i="85"/>
  <c r="T15" i="85"/>
  <c r="BT122" i="84"/>
  <c r="AB123" i="84"/>
  <c r="AN122" i="84"/>
  <c r="BL105" i="84"/>
  <c r="BW105" i="84" s="1"/>
  <c r="BM99" i="84"/>
  <c r="AO112" i="84"/>
  <c r="AN112" i="84" s="1"/>
  <c r="BU112" i="84" s="1"/>
  <c r="AN109" i="84"/>
  <c r="BU109" i="84" s="1"/>
  <c r="AZ114" i="84"/>
  <c r="BV114" i="84" s="1"/>
  <c r="BA109" i="84"/>
  <c r="AZ99" i="84"/>
  <c r="BV99" i="84" s="1"/>
  <c r="BA124" i="84"/>
  <c r="BW92" i="84"/>
  <c r="BL115" i="84"/>
  <c r="BW115" i="84" s="1"/>
  <c r="H214" i="20"/>
  <c r="F122" i="20"/>
  <c r="H39" i="42"/>
  <c r="H33" i="42"/>
  <c r="G39" i="42"/>
  <c r="F208" i="20"/>
  <c r="T92" i="87" l="1"/>
  <c r="T94" i="87" s="1"/>
  <c r="T95" i="87" s="1"/>
  <c r="T33" i="87"/>
  <c r="T6" i="87"/>
  <c r="T8" i="87" s="1"/>
  <c r="T9" i="87" s="1"/>
  <c r="W26" i="87"/>
  <c r="T27" i="87"/>
  <c r="T24" i="87"/>
  <c r="U24" i="87" s="1"/>
  <c r="BV122" i="86"/>
  <c r="AZ123" i="86"/>
  <c r="BM112" i="86"/>
  <c r="BL112" i="86" s="1"/>
  <c r="BW112" i="86" s="1"/>
  <c r="BL109" i="86"/>
  <c r="BW109" i="86" s="1"/>
  <c r="BU123" i="86"/>
  <c r="AP124" i="86"/>
  <c r="AN124" i="86" s="1"/>
  <c r="BU124" i="86" s="1"/>
  <c r="BL122" i="86"/>
  <c r="AB128" i="86"/>
  <c r="BT124" i="86"/>
  <c r="S92" i="85"/>
  <c r="S94" i="85" s="1"/>
  <c r="S95" i="85" s="1"/>
  <c r="T31" i="85"/>
  <c r="S6" i="85"/>
  <c r="S8" i="85" s="1"/>
  <c r="S9" i="85" s="1"/>
  <c r="X33" i="85"/>
  <c r="W26" i="85"/>
  <c r="T27" i="85"/>
  <c r="T24" i="85"/>
  <c r="U24" i="85" s="1"/>
  <c r="T46" i="85"/>
  <c r="W46" i="85"/>
  <c r="AZ122" i="84"/>
  <c r="BU122" i="84"/>
  <c r="AN123" i="84"/>
  <c r="BA112" i="84"/>
  <c r="AZ112" i="84" s="1"/>
  <c r="BV112" i="84" s="1"/>
  <c r="AZ109" i="84"/>
  <c r="BV109" i="84" s="1"/>
  <c r="BL114" i="84"/>
  <c r="BW114" i="84" s="1"/>
  <c r="BM109" i="84"/>
  <c r="BL99" i="84"/>
  <c r="BW99" i="84" s="1"/>
  <c r="BM124" i="84"/>
  <c r="BT123" i="84"/>
  <c r="AD124" i="84"/>
  <c r="AB124" i="84" s="1"/>
  <c r="G37" i="42"/>
  <c r="G43" i="42"/>
  <c r="T34" i="87" l="1"/>
  <c r="W34" i="87"/>
  <c r="W27" i="87"/>
  <c r="W24" i="87"/>
  <c r="V24" i="87"/>
  <c r="U26" i="87"/>
  <c r="V26" i="87" s="1"/>
  <c r="U18" i="87"/>
  <c r="BW122" i="86"/>
  <c r="BL123" i="86"/>
  <c r="BB124" i="86"/>
  <c r="AZ124" i="86" s="1"/>
  <c r="BV124" i="86" s="1"/>
  <c r="BV123" i="86"/>
  <c r="U26" i="85"/>
  <c r="V26" i="85" s="1"/>
  <c r="V24" i="85"/>
  <c r="U18" i="85"/>
  <c r="W27" i="85"/>
  <c r="W24" i="85"/>
  <c r="T92" i="85"/>
  <c r="T94" i="85" s="1"/>
  <c r="T95" i="85" s="1"/>
  <c r="T33" i="85"/>
  <c r="T6" i="85"/>
  <c r="T8" i="85" s="1"/>
  <c r="T9" i="85" s="1"/>
  <c r="AB128" i="84"/>
  <c r="BT124" i="84"/>
  <c r="BM112" i="84"/>
  <c r="BL112" i="84" s="1"/>
  <c r="BW112" i="84" s="1"/>
  <c r="BL109" i="84"/>
  <c r="BW109" i="84" s="1"/>
  <c r="BU123" i="84"/>
  <c r="AP124" i="84"/>
  <c r="AN124" i="84" s="1"/>
  <c r="BU124" i="84" s="1"/>
  <c r="BL122" i="84"/>
  <c r="BV122" i="84"/>
  <c r="AZ123" i="84"/>
  <c r="G15" i="42"/>
  <c r="K21" i="66"/>
  <c r="W12" i="87" l="1"/>
  <c r="U20" i="87"/>
  <c r="V20" i="87" s="1"/>
  <c r="V18" i="87"/>
  <c r="T18" i="87"/>
  <c r="BN124" i="86"/>
  <c r="BL124" i="86" s="1"/>
  <c r="BW124" i="86" s="1"/>
  <c r="BW123" i="86"/>
  <c r="T34" i="85"/>
  <c r="W33" i="85"/>
  <c r="T18" i="85"/>
  <c r="T20" i="85" s="1"/>
  <c r="U20" i="85"/>
  <c r="V20" i="85" s="1"/>
  <c r="V18" i="85"/>
  <c r="W12" i="85"/>
  <c r="BW122" i="84"/>
  <c r="BL123" i="84"/>
  <c r="BB124" i="84"/>
  <c r="AZ124" i="84" s="1"/>
  <c r="BV124" i="84" s="1"/>
  <c r="BV123" i="84"/>
  <c r="R33" i="41"/>
  <c r="Q33" i="41"/>
  <c r="R38" i="41"/>
  <c r="Q38" i="41"/>
  <c r="Q37" i="41"/>
  <c r="R37" i="41"/>
  <c r="X110" i="87" l="1"/>
  <c r="X108" i="87" s="1"/>
  <c r="Y108" i="87" s="1"/>
  <c r="T20" i="87"/>
  <c r="W14" i="87"/>
  <c r="W15" i="87" s="1"/>
  <c r="W6" i="87"/>
  <c r="X12" i="87"/>
  <c r="W92" i="87"/>
  <c r="W94" i="87" s="1"/>
  <c r="W95" i="87" s="1"/>
  <c r="T21" i="85"/>
  <c r="W21" i="85"/>
  <c r="X12" i="85"/>
  <c r="W6" i="85"/>
  <c r="W14" i="85"/>
  <c r="W15" i="85" s="1"/>
  <c r="W92" i="85"/>
  <c r="W94" i="85" s="1"/>
  <c r="W95" i="85" s="1"/>
  <c r="W34" i="85"/>
  <c r="X34" i="85"/>
  <c r="BN124" i="84"/>
  <c r="BL124" i="84" s="1"/>
  <c r="BW124" i="84" s="1"/>
  <c r="BW123" i="84"/>
  <c r="AB120" i="41"/>
  <c r="AN120" i="41" s="1"/>
  <c r="AZ120" i="41" s="1"/>
  <c r="BL120" i="41" s="1"/>
  <c r="BP121" i="41"/>
  <c r="BD121" i="41" s="1"/>
  <c r="AR121" i="41" s="1"/>
  <c r="AF121" i="41" s="1"/>
  <c r="Q40" i="41"/>
  <c r="X6" i="87" l="1"/>
  <c r="X8" i="87" s="1"/>
  <c r="W8" i="87"/>
  <c r="W9" i="87" s="1"/>
  <c r="T21" i="87"/>
  <c r="W21" i="87"/>
  <c r="X14" i="87"/>
  <c r="X92" i="87"/>
  <c r="X94" i="87" s="1"/>
  <c r="X95" i="87" s="1"/>
  <c r="Y113" i="87"/>
  <c r="Z113" i="87" s="1"/>
  <c r="Z108" i="87" s="1"/>
  <c r="Y110" i="87"/>
  <c r="X6" i="85"/>
  <c r="X8" i="85" s="1"/>
  <c r="X9" i="85" s="1"/>
  <c r="W8" i="85"/>
  <c r="W9" i="85" s="1"/>
  <c r="X14" i="85"/>
  <c r="X92" i="85"/>
  <c r="X94" i="85" s="1"/>
  <c r="X95" i="85" s="1"/>
  <c r="J19" i="41"/>
  <c r="J17" i="41"/>
  <c r="J16" i="41"/>
  <c r="D16" i="41"/>
  <c r="X26" i="87" l="1"/>
  <c r="X15" i="87"/>
  <c r="X9" i="87"/>
  <c r="X26" i="85"/>
  <c r="X15" i="85"/>
  <c r="G135" i="4"/>
  <c r="P64" i="41"/>
  <c r="D61" i="41"/>
  <c r="BG71" i="41"/>
  <c r="AU71" i="41"/>
  <c r="AI73" i="41"/>
  <c r="AI71" i="41" s="1"/>
  <c r="W73" i="41"/>
  <c r="W71" i="41" s="1"/>
  <c r="AC66" i="41"/>
  <c r="J65" i="41"/>
  <c r="J66" i="41"/>
  <c r="J67" i="41"/>
  <c r="J68" i="41"/>
  <c r="J69" i="41"/>
  <c r="J70" i="41"/>
  <c r="J71" i="41"/>
  <c r="J72" i="41"/>
  <c r="J73" i="41"/>
  <c r="J74" i="41"/>
  <c r="K75" i="41"/>
  <c r="L75" i="41"/>
  <c r="M75" i="41"/>
  <c r="J75" i="41" s="1"/>
  <c r="N75" i="41"/>
  <c r="J76" i="41"/>
  <c r="J77" i="41"/>
  <c r="J78" i="41"/>
  <c r="J79" i="41"/>
  <c r="J80" i="41"/>
  <c r="J82" i="41"/>
  <c r="J83" i="41"/>
  <c r="J84" i="41"/>
  <c r="J52" i="41"/>
  <c r="J43" i="41"/>
  <c r="D46" i="41"/>
  <c r="G10" i="80"/>
  <c r="G8" i="80"/>
  <c r="G7" i="80"/>
  <c r="F9" i="80"/>
  <c r="F11" i="80" s="1"/>
  <c r="X27" i="87" l="1"/>
  <c r="X24" i="87"/>
  <c r="Y24" i="87" s="1"/>
  <c r="X27" i="85"/>
  <c r="X24" i="85"/>
  <c r="Y24" i="85" s="1"/>
  <c r="G9" i="80"/>
  <c r="G11" i="80" s="1"/>
  <c r="Y26" i="87" l="1"/>
  <c r="Z26" i="87" s="1"/>
  <c r="Z24" i="87"/>
  <c r="Y18" i="87"/>
  <c r="Y18" i="85"/>
  <c r="Z24" i="85"/>
  <c r="Y26" i="85"/>
  <c r="Z26" i="85" s="1"/>
  <c r="Y110" i="42"/>
  <c r="T110" i="42"/>
  <c r="X18" i="87" l="1"/>
  <c r="X20" i="87" s="1"/>
  <c r="X21" i="87" s="1"/>
  <c r="Y20" i="87"/>
  <c r="Z20" i="87" s="1"/>
  <c r="Z18" i="87"/>
  <c r="Z18" i="85"/>
  <c r="X18" i="85"/>
  <c r="X20" i="85" s="1"/>
  <c r="X21" i="85" s="1"/>
  <c r="Y20" i="85"/>
  <c r="Z20" i="85" s="1"/>
  <c r="G115" i="42"/>
  <c r="G109" i="42"/>
  <c r="E32" i="42" l="1"/>
  <c r="D32" i="42"/>
  <c r="F32" i="42" s="1"/>
  <c r="E31" i="42"/>
  <c r="E33" i="42" s="1"/>
  <c r="D31" i="42"/>
  <c r="F31" i="42" s="1"/>
  <c r="F33" i="42" s="1"/>
  <c r="D33" i="42" l="1"/>
  <c r="E108" i="42"/>
  <c r="E110" i="42" l="1"/>
  <c r="Q43" i="41"/>
  <c r="P80" i="41"/>
  <c r="K39" i="42"/>
  <c r="L109" i="42" l="1"/>
  <c r="L39" i="42"/>
  <c r="O39" i="42" s="1"/>
  <c r="O40" i="42" s="1"/>
  <c r="F114" i="42"/>
  <c r="Q109" i="42" l="1"/>
  <c r="P39" i="42"/>
  <c r="S39" i="42" s="1"/>
  <c r="I109" i="42"/>
  <c r="AL71" i="41"/>
  <c r="Z71" i="41"/>
  <c r="V71" i="41"/>
  <c r="AC65" i="41"/>
  <c r="AO65" i="41" s="1"/>
  <c r="BA65" i="41" s="1"/>
  <c r="BM65" i="41" s="1"/>
  <c r="Y125" i="41"/>
  <c r="Z121" i="41"/>
  <c r="V117" i="41"/>
  <c r="Z111" i="41"/>
  <c r="Y111" i="41"/>
  <c r="X111" i="41"/>
  <c r="W111" i="41"/>
  <c r="Z106" i="41"/>
  <c r="Y106" i="41"/>
  <c r="X106" i="41"/>
  <c r="W106" i="41"/>
  <c r="Z105" i="41"/>
  <c r="Y105" i="41"/>
  <c r="X105" i="41"/>
  <c r="W105" i="41"/>
  <c r="V105" i="41" s="1"/>
  <c r="V100" i="41"/>
  <c r="V98" i="41"/>
  <c r="V97" i="41"/>
  <c r="V96" i="41"/>
  <c r="V95" i="41"/>
  <c r="Z94" i="41"/>
  <c r="Z107" i="41" s="1"/>
  <c r="Y94" i="41"/>
  <c r="Y107" i="41" s="1"/>
  <c r="X94" i="41"/>
  <c r="X107" i="41" s="1"/>
  <c r="W94" i="41"/>
  <c r="V93" i="41"/>
  <c r="V92" i="41"/>
  <c r="V90" i="41"/>
  <c r="V89" i="41"/>
  <c r="V88" i="41"/>
  <c r="Z87" i="41"/>
  <c r="Z85" i="41" s="1"/>
  <c r="Y87" i="41"/>
  <c r="X87" i="41"/>
  <c r="W87" i="41"/>
  <c r="V86" i="41"/>
  <c r="Y85" i="41"/>
  <c r="Y110" i="41" s="1"/>
  <c r="X85" i="41"/>
  <c r="X104" i="41" s="1"/>
  <c r="W85" i="41"/>
  <c r="W110" i="41" s="1"/>
  <c r="V84" i="41"/>
  <c r="V83" i="41"/>
  <c r="V82" i="41"/>
  <c r="V79" i="41"/>
  <c r="V78" i="41"/>
  <c r="V77" i="41"/>
  <c r="V76" i="41"/>
  <c r="Z75" i="41"/>
  <c r="Y75" i="41"/>
  <c r="X75" i="41"/>
  <c r="W75" i="41"/>
  <c r="V74" i="41"/>
  <c r="V73" i="41"/>
  <c r="V72" i="41"/>
  <c r="V70" i="41"/>
  <c r="V69" i="41"/>
  <c r="V68" i="41"/>
  <c r="V67" i="41"/>
  <c r="V66" i="41"/>
  <c r="V65" i="41"/>
  <c r="V64" i="41"/>
  <c r="Z63" i="41"/>
  <c r="Z59" i="41" s="1"/>
  <c r="Z102" i="41" s="1"/>
  <c r="Y63" i="41"/>
  <c r="X63" i="41"/>
  <c r="W63" i="41"/>
  <c r="V62" i="41"/>
  <c r="V61" i="41"/>
  <c r="Y60" i="41"/>
  <c r="X60" i="41"/>
  <c r="X59" i="41" s="1"/>
  <c r="X102" i="41" s="1"/>
  <c r="W60" i="41"/>
  <c r="W59" i="41"/>
  <c r="W102" i="41" s="1"/>
  <c r="V58" i="41"/>
  <c r="V57" i="41"/>
  <c r="V56" i="41"/>
  <c r="Z55" i="41"/>
  <c r="Y55" i="41"/>
  <c r="X55" i="41"/>
  <c r="W55" i="41"/>
  <c r="V55" i="41"/>
  <c r="V54" i="41"/>
  <c r="V53" i="41"/>
  <c r="V52" i="41"/>
  <c r="V51" i="41"/>
  <c r="V50" i="41"/>
  <c r="V49" i="41"/>
  <c r="V48" i="41"/>
  <c r="V47" i="41"/>
  <c r="V46" i="41"/>
  <c r="V45" i="41"/>
  <c r="V44" i="41"/>
  <c r="V43" i="41"/>
  <c r="Z42" i="41"/>
  <c r="Y42" i="41"/>
  <c r="X42" i="41"/>
  <c r="W42" i="41"/>
  <c r="V42" i="41" s="1"/>
  <c r="V41" i="41"/>
  <c r="V40" i="41"/>
  <c r="Z39" i="41"/>
  <c r="Y39" i="41"/>
  <c r="X39" i="41"/>
  <c r="W39" i="41"/>
  <c r="V37" i="41"/>
  <c r="V36" i="41"/>
  <c r="V35" i="41"/>
  <c r="Z34" i="41"/>
  <c r="Z38" i="41" s="1"/>
  <c r="Y34" i="41"/>
  <c r="Y38" i="41" s="1"/>
  <c r="X34" i="41"/>
  <c r="X38" i="41" s="1"/>
  <c r="W34" i="41"/>
  <c r="W38" i="41" s="1"/>
  <c r="V33" i="41"/>
  <c r="V32" i="41"/>
  <c r="V31" i="41"/>
  <c r="Z29" i="41"/>
  <c r="Y29" i="41"/>
  <c r="X29" i="41"/>
  <c r="W29" i="41"/>
  <c r="V28" i="41"/>
  <c r="V27" i="41"/>
  <c r="Z26" i="41"/>
  <c r="Y26" i="41"/>
  <c r="X26" i="41"/>
  <c r="W26" i="41"/>
  <c r="V25" i="41"/>
  <c r="V24" i="41"/>
  <c r="V23" i="41"/>
  <c r="Z22" i="41"/>
  <c r="Y22" i="41"/>
  <c r="X22" i="41"/>
  <c r="V22" i="41" s="1"/>
  <c r="W22" i="41"/>
  <c r="V20" i="41"/>
  <c r="V19" i="41"/>
  <c r="V18" i="41"/>
  <c r="V17" i="41"/>
  <c r="V16" i="41"/>
  <c r="Z15" i="41"/>
  <c r="Z103" i="41" s="1"/>
  <c r="Y15" i="41"/>
  <c r="Y103" i="41" s="1"/>
  <c r="X15" i="41"/>
  <c r="X103" i="41" s="1"/>
  <c r="W15" i="41"/>
  <c r="AK125" i="41"/>
  <c r="AL121" i="41"/>
  <c r="AH120" i="41"/>
  <c r="AH119" i="41"/>
  <c r="AL111" i="41"/>
  <c r="AK111" i="41"/>
  <c r="AJ111" i="41"/>
  <c r="AI111" i="41"/>
  <c r="AL106" i="41"/>
  <c r="AK106" i="41"/>
  <c r="AJ106" i="41"/>
  <c r="AI106" i="41"/>
  <c r="AL105" i="41"/>
  <c r="AK105" i="41"/>
  <c r="AJ105" i="41"/>
  <c r="AI105" i="41"/>
  <c r="AH100" i="41"/>
  <c r="AH98" i="41"/>
  <c r="AH97" i="41"/>
  <c r="AH96" i="41"/>
  <c r="AH95" i="41"/>
  <c r="AL94" i="41"/>
  <c r="AL107" i="41" s="1"/>
  <c r="AK94" i="41"/>
  <c r="AK107" i="41" s="1"/>
  <c r="AJ94" i="41"/>
  <c r="AJ107" i="41" s="1"/>
  <c r="AI94" i="41"/>
  <c r="AI107" i="41" s="1"/>
  <c r="AH93" i="41"/>
  <c r="AH92" i="41"/>
  <c r="AH90" i="41"/>
  <c r="AH89" i="41"/>
  <c r="AH88" i="41"/>
  <c r="AL87" i="41"/>
  <c r="AK87" i="41"/>
  <c r="AJ87" i="41"/>
  <c r="AI87" i="41"/>
  <c r="AH86" i="41"/>
  <c r="AL85" i="41"/>
  <c r="AL104" i="41" s="1"/>
  <c r="AJ85" i="41"/>
  <c r="AJ110" i="41" s="1"/>
  <c r="AI85" i="41"/>
  <c r="AI110" i="41" s="1"/>
  <c r="AH84" i="41"/>
  <c r="AH83" i="41"/>
  <c r="AH82" i="41"/>
  <c r="AH79" i="41"/>
  <c r="AH78" i="41"/>
  <c r="AH77" i="41"/>
  <c r="AH76" i="41"/>
  <c r="AL75" i="41"/>
  <c r="AK75" i="41"/>
  <c r="AJ75" i="41"/>
  <c r="AI75" i="41"/>
  <c r="AH74" i="41"/>
  <c r="AH73" i="41"/>
  <c r="AH72" i="41"/>
  <c r="AH71" i="41"/>
  <c r="AH70" i="41"/>
  <c r="AH69" i="41"/>
  <c r="AH68" i="41"/>
  <c r="AH67" i="41"/>
  <c r="AH66" i="41"/>
  <c r="AH65" i="41"/>
  <c r="AH64" i="41"/>
  <c r="AL63" i="41"/>
  <c r="AL59" i="41" s="1"/>
  <c r="AL102" i="41" s="1"/>
  <c r="AK63" i="41"/>
  <c r="AJ63" i="41"/>
  <c r="AI63" i="41"/>
  <c r="AH62" i="41"/>
  <c r="AH61" i="41"/>
  <c r="AK60" i="41"/>
  <c r="AJ60" i="41"/>
  <c r="AI60" i="41"/>
  <c r="AK59" i="41"/>
  <c r="AK102" i="41" s="1"/>
  <c r="AJ59" i="41"/>
  <c r="AJ102" i="41" s="1"/>
  <c r="AH58" i="41"/>
  <c r="AH57" i="41"/>
  <c r="AH56" i="41"/>
  <c r="AL55" i="41"/>
  <c r="AK55" i="41"/>
  <c r="AJ55" i="41"/>
  <c r="AI55" i="41"/>
  <c r="AH55" i="41" s="1"/>
  <c r="AH54" i="41"/>
  <c r="AH53" i="41"/>
  <c r="AH52" i="41"/>
  <c r="AH51" i="41"/>
  <c r="AH50" i="41"/>
  <c r="AH49" i="41"/>
  <c r="AH48" i="41"/>
  <c r="AH47" i="41"/>
  <c r="AH46" i="41"/>
  <c r="AH45" i="41"/>
  <c r="AH44" i="41"/>
  <c r="AH43" i="41"/>
  <c r="AL42" i="41"/>
  <c r="AK42" i="41"/>
  <c r="AJ42" i="41"/>
  <c r="AI42" i="41"/>
  <c r="AH41" i="41"/>
  <c r="AH40" i="41"/>
  <c r="AL39" i="41"/>
  <c r="AK39" i="41"/>
  <c r="AJ39" i="41"/>
  <c r="AI39" i="41"/>
  <c r="AH37" i="41"/>
  <c r="AH36" i="41"/>
  <c r="AH35" i="41"/>
  <c r="AL34" i="41"/>
  <c r="AL38" i="41" s="1"/>
  <c r="AK34" i="41"/>
  <c r="AK38" i="41" s="1"/>
  <c r="AJ34" i="41"/>
  <c r="AJ38" i="41" s="1"/>
  <c r="AI34" i="41"/>
  <c r="AI38" i="41" s="1"/>
  <c r="AH33" i="41"/>
  <c r="AH32" i="41"/>
  <c r="AH31" i="41"/>
  <c r="AL29" i="41"/>
  <c r="AK29" i="41"/>
  <c r="AJ29" i="41"/>
  <c r="AI29" i="41"/>
  <c r="AH28" i="41"/>
  <c r="AH27" i="41"/>
  <c r="AL26" i="41"/>
  <c r="AK26" i="41"/>
  <c r="AJ26" i="41"/>
  <c r="AI26" i="41"/>
  <c r="AH26" i="41"/>
  <c r="AH25" i="41"/>
  <c r="AH24" i="41"/>
  <c r="AH23" i="41"/>
  <c r="AL22" i="41"/>
  <c r="AK22" i="41"/>
  <c r="AJ22" i="41"/>
  <c r="AI22" i="41"/>
  <c r="AJ21" i="41"/>
  <c r="AJ101" i="41" s="1"/>
  <c r="AH20" i="41"/>
  <c r="AH19" i="41"/>
  <c r="AH18" i="41"/>
  <c r="AH17" i="41"/>
  <c r="AH16" i="41"/>
  <c r="AL15" i="41"/>
  <c r="AL103" i="41" s="1"/>
  <c r="AK15" i="41"/>
  <c r="AK103" i="41" s="1"/>
  <c r="AJ15" i="41"/>
  <c r="AJ103" i="41" s="1"/>
  <c r="AI15" i="41"/>
  <c r="AI103" i="41" s="1"/>
  <c r="AT43" i="41"/>
  <c r="BI125" i="41"/>
  <c r="BF120" i="41"/>
  <c r="BF119" i="41"/>
  <c r="BJ111" i="41"/>
  <c r="BI111" i="41"/>
  <c r="BH111" i="41"/>
  <c r="BG111" i="41"/>
  <c r="BJ106" i="41"/>
  <c r="BI106" i="41"/>
  <c r="BH106" i="41"/>
  <c r="BF106" i="41" s="1"/>
  <c r="BG106" i="41"/>
  <c r="BJ105" i="41"/>
  <c r="BI105" i="41"/>
  <c r="BH105" i="41"/>
  <c r="BG105" i="41"/>
  <c r="BF100" i="41"/>
  <c r="BF98" i="41"/>
  <c r="BF97" i="41"/>
  <c r="BF96" i="41"/>
  <c r="BF95" i="41"/>
  <c r="BJ94" i="41"/>
  <c r="BJ107" i="41" s="1"/>
  <c r="BI94" i="41"/>
  <c r="BI107" i="41" s="1"/>
  <c r="BH94" i="41"/>
  <c r="BH107" i="41" s="1"/>
  <c r="BG94" i="41"/>
  <c r="BG107" i="41" s="1"/>
  <c r="BF93" i="41"/>
  <c r="BF92" i="41"/>
  <c r="BF90" i="41"/>
  <c r="BF89" i="41"/>
  <c r="BF88" i="41"/>
  <c r="BJ87" i="41"/>
  <c r="BI87" i="41"/>
  <c r="BI85" i="41" s="1"/>
  <c r="BI110" i="41" s="1"/>
  <c r="BH87" i="41"/>
  <c r="BH85" i="41" s="1"/>
  <c r="BG87" i="41"/>
  <c r="BF86" i="41"/>
  <c r="BJ85" i="41"/>
  <c r="BJ104" i="41" s="1"/>
  <c r="BG85" i="41"/>
  <c r="BG110" i="41" s="1"/>
  <c r="BF84" i="41"/>
  <c r="BF83" i="41"/>
  <c r="BF82" i="41"/>
  <c r="BF79" i="41"/>
  <c r="BF78" i="41"/>
  <c r="BF77" i="41"/>
  <c r="BF76" i="41"/>
  <c r="BJ75" i="41"/>
  <c r="BI75" i="41"/>
  <c r="BH75" i="41"/>
  <c r="BG75" i="41"/>
  <c r="BF74" i="41"/>
  <c r="BF73" i="41"/>
  <c r="BF72" i="41"/>
  <c r="BF71" i="41"/>
  <c r="BF70" i="41"/>
  <c r="BF69" i="41"/>
  <c r="BF68" i="41"/>
  <c r="BF67" i="41"/>
  <c r="BF66" i="41"/>
  <c r="BF65" i="41"/>
  <c r="BF64" i="41"/>
  <c r="BJ63" i="41"/>
  <c r="BI63" i="41"/>
  <c r="BH63" i="41"/>
  <c r="BG63" i="41"/>
  <c r="BF62" i="41"/>
  <c r="BF61" i="41"/>
  <c r="BI60" i="41"/>
  <c r="BH60" i="41"/>
  <c r="BG60" i="41"/>
  <c r="BI59" i="41"/>
  <c r="BI102" i="41" s="1"/>
  <c r="BH59" i="41"/>
  <c r="BH102" i="41" s="1"/>
  <c r="BF58" i="41"/>
  <c r="BF57" i="41"/>
  <c r="BF56" i="41"/>
  <c r="BJ55" i="41"/>
  <c r="BI55" i="41"/>
  <c r="BH55" i="41"/>
  <c r="BG55" i="41"/>
  <c r="BF55" i="41" s="1"/>
  <c r="BF54" i="41"/>
  <c r="BF53" i="41"/>
  <c r="BF52" i="41"/>
  <c r="BF51" i="41"/>
  <c r="BF50" i="41"/>
  <c r="BF49" i="41"/>
  <c r="BF48" i="41"/>
  <c r="BF47" i="41"/>
  <c r="BF46" i="41"/>
  <c r="BF45" i="41"/>
  <c r="BF44" i="41"/>
  <c r="BF43" i="41"/>
  <c r="BJ42" i="41"/>
  <c r="BI42" i="41"/>
  <c r="BH42" i="41"/>
  <c r="BG42" i="41"/>
  <c r="BF41" i="41"/>
  <c r="BF40" i="41"/>
  <c r="BJ39" i="41"/>
  <c r="BI39" i="41"/>
  <c r="BH39" i="41"/>
  <c r="BG39" i="41"/>
  <c r="BF37" i="41"/>
  <c r="BF36" i="41"/>
  <c r="BF35" i="41"/>
  <c r="BJ34" i="41"/>
  <c r="BJ38" i="41" s="1"/>
  <c r="BI34" i="41"/>
  <c r="BI38" i="41" s="1"/>
  <c r="BH34" i="41"/>
  <c r="BH38" i="41" s="1"/>
  <c r="BG34" i="41"/>
  <c r="BG38" i="41" s="1"/>
  <c r="BF33" i="41"/>
  <c r="BF32" i="41"/>
  <c r="BF31" i="41"/>
  <c r="BJ29" i="41"/>
  <c r="BI29" i="41"/>
  <c r="BH29" i="41"/>
  <c r="BG29" i="41"/>
  <c r="BF28" i="41"/>
  <c r="BF27" i="41"/>
  <c r="BJ26" i="41"/>
  <c r="BI26" i="41"/>
  <c r="BH26" i="41"/>
  <c r="BG26" i="41"/>
  <c r="BF26" i="41"/>
  <c r="BF25" i="41"/>
  <c r="BF24" i="41"/>
  <c r="BF23" i="41"/>
  <c r="BJ22" i="41"/>
  <c r="BI22" i="41"/>
  <c r="BH22" i="41"/>
  <c r="BG22" i="41"/>
  <c r="BI21" i="41"/>
  <c r="BI101" i="41" s="1"/>
  <c r="BF20" i="41"/>
  <c r="BF19" i="41"/>
  <c r="BF18" i="41"/>
  <c r="BF17" i="41"/>
  <c r="BF16" i="41"/>
  <c r="BJ15" i="41"/>
  <c r="BJ103" i="41" s="1"/>
  <c r="BI15" i="41"/>
  <c r="BI103" i="41" s="1"/>
  <c r="BH15" i="41"/>
  <c r="BH103" i="41" s="1"/>
  <c r="BG15" i="41"/>
  <c r="BG103" i="41" s="1"/>
  <c r="AW125" i="41"/>
  <c r="AX121" i="41"/>
  <c r="BJ121" i="41" s="1"/>
  <c r="AX111" i="41"/>
  <c r="AW111" i="41"/>
  <c r="AV111" i="41"/>
  <c r="AU111" i="41"/>
  <c r="AX106" i="41"/>
  <c r="AW106" i="41"/>
  <c r="AV106" i="41"/>
  <c r="AU106" i="41"/>
  <c r="AX105" i="41"/>
  <c r="AW105" i="41"/>
  <c r="AV105" i="41"/>
  <c r="AU105" i="41"/>
  <c r="AT100" i="41"/>
  <c r="AT98" i="41"/>
  <c r="AT97" i="41"/>
  <c r="AT96" i="41"/>
  <c r="AT95" i="41"/>
  <c r="AX94" i="41"/>
  <c r="AX107" i="41" s="1"/>
  <c r="AW94" i="41"/>
  <c r="AW107" i="41" s="1"/>
  <c r="AV94" i="41"/>
  <c r="AV107" i="41" s="1"/>
  <c r="AU94" i="41"/>
  <c r="AU107" i="41" s="1"/>
  <c r="AT93" i="41"/>
  <c r="AT92" i="41"/>
  <c r="AT90" i="41"/>
  <c r="AT89" i="41"/>
  <c r="AT88" i="41"/>
  <c r="AX87" i="41"/>
  <c r="AW87" i="41"/>
  <c r="AW85" i="41" s="1"/>
  <c r="AW110" i="41" s="1"/>
  <c r="AV87" i="41"/>
  <c r="AV85" i="41" s="1"/>
  <c r="AU87" i="41"/>
  <c r="AT86" i="41"/>
  <c r="AX85" i="41"/>
  <c r="AX104" i="41" s="1"/>
  <c r="AU85" i="41"/>
  <c r="AU110" i="41" s="1"/>
  <c r="AT84" i="41"/>
  <c r="AT83" i="41"/>
  <c r="AT82" i="41"/>
  <c r="AT79" i="41"/>
  <c r="AT78" i="41"/>
  <c r="AT77" i="41"/>
  <c r="AT76" i="41"/>
  <c r="AX75" i="41"/>
  <c r="AW75" i="41"/>
  <c r="AV75" i="41"/>
  <c r="AU75" i="41"/>
  <c r="AT74" i="41"/>
  <c r="AT73" i="41"/>
  <c r="AT72" i="41"/>
  <c r="AT71" i="41"/>
  <c r="AT70" i="41"/>
  <c r="AT69" i="41"/>
  <c r="AT68" i="41"/>
  <c r="AT67" i="41"/>
  <c r="AT66" i="41"/>
  <c r="AT65" i="41"/>
  <c r="AT64" i="41"/>
  <c r="AX63" i="41"/>
  <c r="AX59" i="41" s="1"/>
  <c r="AX102" i="41" s="1"/>
  <c r="AW63" i="41"/>
  <c r="AV63" i="41"/>
  <c r="AU63" i="41"/>
  <c r="AT62" i="41"/>
  <c r="AT61" i="41"/>
  <c r="AW60" i="41"/>
  <c r="AV60" i="41"/>
  <c r="AV59" i="41" s="1"/>
  <c r="AV102" i="41" s="1"/>
  <c r="AU60" i="41"/>
  <c r="AW59" i="41"/>
  <c r="AW102" i="41" s="1"/>
  <c r="AT58" i="41"/>
  <c r="AT57" i="41"/>
  <c r="AT56" i="41"/>
  <c r="AX55" i="41"/>
  <c r="AW55" i="41"/>
  <c r="AV55" i="41"/>
  <c r="AU55" i="41"/>
  <c r="AT55" i="41" s="1"/>
  <c r="AT54" i="41"/>
  <c r="AT53" i="41"/>
  <c r="AT52" i="41"/>
  <c r="AT51" i="41"/>
  <c r="AT50" i="41"/>
  <c r="AT49" i="41"/>
  <c r="AT48" i="41"/>
  <c r="AT47" i="41"/>
  <c r="AT46" i="41"/>
  <c r="AT45" i="41"/>
  <c r="AT44" i="41"/>
  <c r="AX42" i="41"/>
  <c r="AW42" i="41"/>
  <c r="AV42" i="41"/>
  <c r="AU42" i="41"/>
  <c r="AT41" i="41"/>
  <c r="AT40" i="41"/>
  <c r="AX39" i="41"/>
  <c r="AW39" i="41"/>
  <c r="AV39" i="41"/>
  <c r="AU39" i="41"/>
  <c r="AT37" i="41"/>
  <c r="AT36" i="41"/>
  <c r="AT35" i="41"/>
  <c r="AX34" i="41"/>
  <c r="AX38" i="41" s="1"/>
  <c r="AW34" i="41"/>
  <c r="AW38" i="41" s="1"/>
  <c r="AV34" i="41"/>
  <c r="AV38" i="41" s="1"/>
  <c r="AU34" i="41"/>
  <c r="AU38" i="41" s="1"/>
  <c r="AT33" i="41"/>
  <c r="AT32" i="41"/>
  <c r="AT31" i="41"/>
  <c r="AX29" i="41"/>
  <c r="AW29" i="41"/>
  <c r="AV29" i="41"/>
  <c r="AU29" i="41"/>
  <c r="AT28" i="41"/>
  <c r="AT27" i="41"/>
  <c r="AX26" i="41"/>
  <c r="AX21" i="41" s="1"/>
  <c r="AX101" i="41" s="1"/>
  <c r="AW26" i="41"/>
  <c r="AV26" i="41"/>
  <c r="AU26" i="41"/>
  <c r="AT25" i="41"/>
  <c r="AT24" i="41"/>
  <c r="AT23" i="41"/>
  <c r="AX22" i="41"/>
  <c r="AW22" i="41"/>
  <c r="AW21" i="41" s="1"/>
  <c r="AW101" i="41" s="1"/>
  <c r="AV22" i="41"/>
  <c r="AU22" i="41"/>
  <c r="AT20" i="41"/>
  <c r="AT19" i="41"/>
  <c r="AT18" i="41"/>
  <c r="AT17" i="41"/>
  <c r="AT16" i="41"/>
  <c r="AX15" i="41"/>
  <c r="AX103" i="41" s="1"/>
  <c r="AW15" i="41"/>
  <c r="AW103" i="41" s="1"/>
  <c r="AV15" i="41"/>
  <c r="AV103" i="41" s="1"/>
  <c r="AU15" i="41"/>
  <c r="AU103" i="41" s="1"/>
  <c r="AV21" i="41" l="1"/>
  <c r="AV101" i="41" s="1"/>
  <c r="Z21" i="41"/>
  <c r="Z101" i="41" s="1"/>
  <c r="BH21" i="41"/>
  <c r="BH101" i="41" s="1"/>
  <c r="AH87" i="41"/>
  <c r="AH105" i="41"/>
  <c r="AH106" i="41"/>
  <c r="AH111" i="41"/>
  <c r="V15" i="41"/>
  <c r="V63" i="41"/>
  <c r="AT106" i="41"/>
  <c r="AT111" i="41"/>
  <c r="AH42" i="41"/>
  <c r="T39" i="42"/>
  <c r="W39" i="42" s="1"/>
  <c r="N109" i="42"/>
  <c r="BH110" i="41"/>
  <c r="BF85" i="41"/>
  <c r="AT26" i="41"/>
  <c r="AT22" i="41"/>
  <c r="BF22" i="41"/>
  <c r="BF39" i="41"/>
  <c r="BF60" i="41"/>
  <c r="BJ59" i="41"/>
  <c r="BJ102" i="41" s="1"/>
  <c r="BF111" i="41"/>
  <c r="AH15" i="41"/>
  <c r="AH22" i="41"/>
  <c r="AK21" i="41"/>
  <c r="AK101" i="41" s="1"/>
  <c r="X21" i="41"/>
  <c r="X101" i="41" s="1"/>
  <c r="Y59" i="41"/>
  <c r="Y102" i="41" s="1"/>
  <c r="V102" i="41" s="1"/>
  <c r="V106" i="41"/>
  <c r="AT29" i="41"/>
  <c r="AT87" i="41"/>
  <c r="BJ21" i="41"/>
  <c r="BJ101" i="41" s="1"/>
  <c r="BG59" i="41"/>
  <c r="BG102" i="41" s="1"/>
  <c r="BF87" i="41"/>
  <c r="AL21" i="41"/>
  <c r="AL101" i="41" s="1"/>
  <c r="Y21" i="41"/>
  <c r="Y101" i="41" s="1"/>
  <c r="V60" i="41"/>
  <c r="V87" i="41"/>
  <c r="V111" i="41"/>
  <c r="AT60" i="41"/>
  <c r="AT75" i="41"/>
  <c r="BF29" i="41"/>
  <c r="AI21" i="41"/>
  <c r="AI101" i="41" s="1"/>
  <c r="AH101" i="41" s="1"/>
  <c r="AH39" i="41"/>
  <c r="AH60" i="41"/>
  <c r="V26" i="41"/>
  <c r="V39" i="41"/>
  <c r="V94" i="41"/>
  <c r="AH63" i="41"/>
  <c r="AI59" i="41"/>
  <c r="AI102" i="41" s="1"/>
  <c r="AH102" i="41" s="1"/>
  <c r="AH75" i="41"/>
  <c r="AH29" i="41"/>
  <c r="V75" i="41"/>
  <c r="V29" i="41"/>
  <c r="W21" i="41"/>
  <c r="Z110" i="41"/>
  <c r="Z104" i="41"/>
  <c r="Z99" i="41" s="1"/>
  <c r="Z109" i="41" s="1"/>
  <c r="Z112" i="41" s="1"/>
  <c r="X99" i="41"/>
  <c r="Y104" i="41"/>
  <c r="X110" i="41"/>
  <c r="V110" i="41" s="1"/>
  <c r="V34" i="41"/>
  <c r="V38" i="41" s="1"/>
  <c r="W103" i="41"/>
  <c r="V103" i="41" s="1"/>
  <c r="W107" i="41"/>
  <c r="V107" i="41" s="1"/>
  <c r="W104" i="41"/>
  <c r="V85" i="41"/>
  <c r="AH103" i="41"/>
  <c r="AL99" i="41"/>
  <c r="AL109" i="41" s="1"/>
  <c r="AH107" i="41"/>
  <c r="AK85" i="41"/>
  <c r="AI104" i="41"/>
  <c r="AL110" i="41"/>
  <c r="AH34" i="41"/>
  <c r="AH38" i="41" s="1"/>
  <c r="AH85" i="41"/>
  <c r="AH94" i="41"/>
  <c r="AJ104" i="41"/>
  <c r="AJ99" i="41" s="1"/>
  <c r="AH117" i="41"/>
  <c r="BF94" i="41"/>
  <c r="BF105" i="41"/>
  <c r="BF15" i="41"/>
  <c r="BF63" i="41"/>
  <c r="BF75" i="41"/>
  <c r="BF42" i="41"/>
  <c r="BG21" i="41"/>
  <c r="BG101" i="41" s="1"/>
  <c r="AT105" i="41"/>
  <c r="AT63" i="41"/>
  <c r="AU59" i="41"/>
  <c r="AU102" i="41" s="1"/>
  <c r="AT102" i="41" s="1"/>
  <c r="AT42" i="41"/>
  <c r="AT39" i="41"/>
  <c r="AU21" i="41"/>
  <c r="AU101" i="41" s="1"/>
  <c r="BF103" i="41"/>
  <c r="BF107" i="41"/>
  <c r="BG104" i="41"/>
  <c r="BJ110" i="41"/>
  <c r="BF34" i="41"/>
  <c r="BF38" i="41" s="1"/>
  <c r="BH104" i="41"/>
  <c r="BH99" i="41" s="1"/>
  <c r="BF117" i="41"/>
  <c r="BI104" i="41"/>
  <c r="BI99" i="41" s="1"/>
  <c r="BI109" i="41" s="1"/>
  <c r="BI112" i="41" s="1"/>
  <c r="AT103" i="41"/>
  <c r="AX99" i="41"/>
  <c r="AX109" i="41" s="1"/>
  <c r="AV110" i="41"/>
  <c r="AV104" i="41"/>
  <c r="AV99" i="41" s="1"/>
  <c r="AT107" i="41"/>
  <c r="AU104" i="41"/>
  <c r="AX110" i="41"/>
  <c r="AT34" i="41"/>
  <c r="AT38" i="41" s="1"/>
  <c r="AT85" i="41"/>
  <c r="AT94" i="41"/>
  <c r="AT117" i="41"/>
  <c r="AW104" i="41"/>
  <c r="AW99" i="41" s="1"/>
  <c r="AW109" i="41" s="1"/>
  <c r="AW112" i="41" s="1"/>
  <c r="AT15" i="41"/>
  <c r="AH12" i="41"/>
  <c r="AT12" i="41" s="1"/>
  <c r="BF12" i="41" s="1"/>
  <c r="V13" i="41"/>
  <c r="AH13" i="41" s="1"/>
  <c r="AT13" i="41" s="1"/>
  <c r="BF13" i="41" s="1"/>
  <c r="BF110" i="41" l="1"/>
  <c r="X39" i="42"/>
  <c r="AT110" i="41"/>
  <c r="BF102" i="41"/>
  <c r="S109" i="42"/>
  <c r="Y99" i="41"/>
  <c r="Y109" i="41" s="1"/>
  <c r="Y112" i="41" s="1"/>
  <c r="BJ99" i="41"/>
  <c r="BJ109" i="41" s="1"/>
  <c r="BJ112" i="41" s="1"/>
  <c r="BF59" i="41"/>
  <c r="AX112" i="41"/>
  <c r="AH21" i="41"/>
  <c r="V59" i="41"/>
  <c r="BF101" i="41"/>
  <c r="V104" i="41"/>
  <c r="AH59" i="41"/>
  <c r="AH115" i="41" s="1"/>
  <c r="W101" i="41"/>
  <c r="V101" i="41" s="1"/>
  <c r="V21" i="41"/>
  <c r="W99" i="41"/>
  <c r="X109" i="41"/>
  <c r="X112" i="41" s="1"/>
  <c r="Z125" i="41"/>
  <c r="AJ109" i="41"/>
  <c r="AJ112" i="41" s="1"/>
  <c r="AL125" i="41"/>
  <c r="AL112" i="41"/>
  <c r="AK110" i="41"/>
  <c r="AH110" i="41" s="1"/>
  <c r="AK104" i="41"/>
  <c r="AK99" i="41" s="1"/>
  <c r="AK109" i="41" s="1"/>
  <c r="AI99" i="41"/>
  <c r="AI124" i="41" s="1"/>
  <c r="BF21" i="41"/>
  <c r="BF115" i="41" s="1"/>
  <c r="BJ125" i="41"/>
  <c r="BG99" i="41"/>
  <c r="BF99" i="41" s="1"/>
  <c r="AU99" i="41"/>
  <c r="AT59" i="41"/>
  <c r="AT101" i="41"/>
  <c r="AT21" i="41"/>
  <c r="BH109" i="41"/>
  <c r="BH112" i="41" s="1"/>
  <c r="BF104" i="41"/>
  <c r="AV109" i="41"/>
  <c r="AV112" i="41" s="1"/>
  <c r="AX125" i="41"/>
  <c r="AT104" i="41"/>
  <c r="R48" i="41"/>
  <c r="Q48" i="41"/>
  <c r="X109" i="42" l="1"/>
  <c r="AK112" i="41"/>
  <c r="V115" i="41"/>
  <c r="AT114" i="41"/>
  <c r="AU124" i="41"/>
  <c r="AT122" i="41" s="1"/>
  <c r="AT123" i="41" s="1"/>
  <c r="AV124" i="41" s="1"/>
  <c r="AT124" i="41" s="1"/>
  <c r="W109" i="41"/>
  <c r="V114" i="41"/>
  <c r="V99" i="41"/>
  <c r="W124" i="41"/>
  <c r="AH104" i="41"/>
  <c r="AH122" i="41"/>
  <c r="AH123" i="41" s="1"/>
  <c r="AJ124" i="41" s="1"/>
  <c r="AH124" i="41" s="1"/>
  <c r="AH114" i="41"/>
  <c r="AH99" i="41"/>
  <c r="AI109" i="41"/>
  <c r="BG124" i="41"/>
  <c r="BF122" i="41" s="1"/>
  <c r="BF123" i="41" s="1"/>
  <c r="BH124" i="41" s="1"/>
  <c r="BF124" i="41" s="1"/>
  <c r="BG109" i="41"/>
  <c r="BG112" i="41" s="1"/>
  <c r="BF112" i="41" s="1"/>
  <c r="BF114" i="41"/>
  <c r="AT115" i="41"/>
  <c r="AU109" i="41"/>
  <c r="AT109" i="41" s="1"/>
  <c r="AT99" i="41"/>
  <c r="E6" i="79"/>
  <c r="D6" i="79"/>
  <c r="C6" i="79"/>
  <c r="F5" i="79"/>
  <c r="H5" i="79" s="1"/>
  <c r="I5" i="79" s="1"/>
  <c r="J5" i="79" s="1"/>
  <c r="F4" i="79"/>
  <c r="G4" i="79" s="1"/>
  <c r="F3" i="79"/>
  <c r="H3" i="79" s="1"/>
  <c r="J3" i="79" s="1"/>
  <c r="L3" i="79" s="1"/>
  <c r="Q49" i="41"/>
  <c r="Q73" i="41"/>
  <c r="AC73" i="41" s="1"/>
  <c r="AO73" i="41" s="1"/>
  <c r="BA73" i="41" s="1"/>
  <c r="BM73" i="41" s="1"/>
  <c r="Q54" i="41"/>
  <c r="Q52" i="41"/>
  <c r="R52" i="41"/>
  <c r="Q56" i="41"/>
  <c r="R46" i="41"/>
  <c r="Q46" i="41"/>
  <c r="R40" i="41"/>
  <c r="Q29" i="41"/>
  <c r="R28" i="41"/>
  <c r="Q28" i="41"/>
  <c r="Q25" i="41"/>
  <c r="J93" i="4"/>
  <c r="R101" i="20"/>
  <c r="O101" i="20"/>
  <c r="L101" i="20"/>
  <c r="I101" i="20"/>
  <c r="F101" i="20"/>
  <c r="D11" i="20"/>
  <c r="K50" i="41"/>
  <c r="Q50" i="41" s="1"/>
  <c r="N50" i="41"/>
  <c r="L50" i="41"/>
  <c r="R50" i="41" s="1"/>
  <c r="K55" i="41"/>
  <c r="N46" i="41"/>
  <c r="L46" i="41"/>
  <c r="K46" i="41"/>
  <c r="E94" i="41"/>
  <c r="E55" i="41"/>
  <c r="J136" i="4"/>
  <c r="M136" i="4" s="1"/>
  <c r="P136" i="4" s="1"/>
  <c r="S136" i="4" s="1"/>
  <c r="G130" i="4"/>
  <c r="S101" i="4"/>
  <c r="P101" i="4"/>
  <c r="M101" i="4"/>
  <c r="J101" i="4"/>
  <c r="G101" i="4"/>
  <c r="J95" i="4"/>
  <c r="M95" i="4"/>
  <c r="P95" i="4" s="1"/>
  <c r="S95" i="4" s="1"/>
  <c r="F90" i="4"/>
  <c r="H25" i="42" s="1"/>
  <c r="L25" i="42" s="1"/>
  <c r="P25" i="42" s="1"/>
  <c r="T25" i="42" s="1"/>
  <c r="X25" i="42" s="1"/>
  <c r="E90" i="4"/>
  <c r="F91" i="4"/>
  <c r="H19" i="42" s="1"/>
  <c r="L19" i="42" s="1"/>
  <c r="P19" i="42" s="1"/>
  <c r="T19" i="42" s="1"/>
  <c r="X19" i="42" s="1"/>
  <c r="E91" i="4"/>
  <c r="F89" i="4"/>
  <c r="E89" i="4"/>
  <c r="G93" i="42" l="1"/>
  <c r="G13" i="42"/>
  <c r="G25" i="42"/>
  <c r="F116" i="42"/>
  <c r="H93" i="42"/>
  <c r="L93" i="42" s="1"/>
  <c r="P93" i="42" s="1"/>
  <c r="H13" i="42"/>
  <c r="H7" i="42" s="1"/>
  <c r="K42" i="41"/>
  <c r="J139" i="4"/>
  <c r="F111" i="42"/>
  <c r="G19" i="42"/>
  <c r="N3" i="79"/>
  <c r="M93" i="4"/>
  <c r="P93" i="4" s="1"/>
  <c r="S93" i="4" s="1"/>
  <c r="K5" i="79"/>
  <c r="L5" i="79" s="1"/>
  <c r="AU112" i="41"/>
  <c r="AT112" i="41" s="1"/>
  <c r="V122" i="41"/>
  <c r="V123" i="41" s="1"/>
  <c r="X124" i="41" s="1"/>
  <c r="V124" i="41" s="1"/>
  <c r="W112" i="41"/>
  <c r="V112" i="41" s="1"/>
  <c r="V109" i="41"/>
  <c r="AI112" i="41"/>
  <c r="AH112" i="41" s="1"/>
  <c r="AH109" i="41"/>
  <c r="BF109" i="41"/>
  <c r="H4" i="79"/>
  <c r="G6" i="79"/>
  <c r="F6" i="79"/>
  <c r="G120" i="20"/>
  <c r="K19" i="42" l="1"/>
  <c r="I19" i="42"/>
  <c r="E116" i="42"/>
  <c r="F118" i="42"/>
  <c r="K111" i="42"/>
  <c r="E111" i="42"/>
  <c r="E113" i="42" s="1"/>
  <c r="K25" i="42"/>
  <c r="G24" i="42"/>
  <c r="G12" i="42" s="1"/>
  <c r="I25" i="42"/>
  <c r="I13" i="42"/>
  <c r="G7" i="42"/>
  <c r="T93" i="42"/>
  <c r="X93" i="42" s="1"/>
  <c r="K93" i="42"/>
  <c r="I93" i="42"/>
  <c r="M5" i="79"/>
  <c r="N5" i="79" s="1"/>
  <c r="H6" i="79"/>
  <c r="I4" i="79"/>
  <c r="I6" i="79" s="1"/>
  <c r="O3" i="79"/>
  <c r="P3" i="79"/>
  <c r="O25" i="42" l="1"/>
  <c r="M25" i="42"/>
  <c r="O93" i="42"/>
  <c r="M93" i="42"/>
  <c r="P111" i="42"/>
  <c r="J111" i="42"/>
  <c r="O19" i="42"/>
  <c r="M19" i="42"/>
  <c r="G14" i="42"/>
  <c r="O5" i="79"/>
  <c r="P5" i="79" s="1"/>
  <c r="H120" i="20"/>
  <c r="J4" i="79"/>
  <c r="Q19" i="42" l="1"/>
  <c r="S19" i="42"/>
  <c r="S93" i="42"/>
  <c r="Q93" i="42"/>
  <c r="O111" i="42"/>
  <c r="U111" i="42"/>
  <c r="Q25" i="42"/>
  <c r="S25" i="42"/>
  <c r="K4" i="79"/>
  <c r="K6" i="79" s="1"/>
  <c r="Q79" i="41" s="1"/>
  <c r="J6" i="79"/>
  <c r="J120" i="20"/>
  <c r="U93" i="42" l="1"/>
  <c r="W93" i="42"/>
  <c r="Y93" i="42" s="1"/>
  <c r="T111" i="42"/>
  <c r="Z111" i="42"/>
  <c r="Y111" i="42" s="1"/>
  <c r="Y113" i="42" s="1"/>
  <c r="W19" i="42"/>
  <c r="Y19" i="42" s="1"/>
  <c r="U19" i="42"/>
  <c r="W25" i="42"/>
  <c r="Y25" i="42" s="1"/>
  <c r="U25" i="42"/>
  <c r="L4" i="79"/>
  <c r="K120" i="20"/>
  <c r="M120" i="20" s="1"/>
  <c r="M4" i="79" l="1"/>
  <c r="M6" i="79" s="1"/>
  <c r="AC79" i="41" s="1"/>
  <c r="L6" i="79"/>
  <c r="N4" i="79" l="1"/>
  <c r="N6" i="79"/>
  <c r="O4" i="79"/>
  <c r="O6" i="79" s="1"/>
  <c r="N120" i="20"/>
  <c r="P120" i="20" s="1"/>
  <c r="P4" i="79" l="1"/>
  <c r="P6" i="79" s="1"/>
  <c r="AC90" i="41"/>
  <c r="Q51" i="41"/>
  <c r="E8" i="42"/>
  <c r="F6" i="42"/>
  <c r="Q120" i="20" l="1"/>
  <c r="AO90" i="41"/>
  <c r="AO70" i="41" s="1"/>
  <c r="AC70" i="41"/>
  <c r="F7" i="42"/>
  <c r="D8" i="42"/>
  <c r="F8" i="42"/>
  <c r="AO64" i="41" l="1"/>
  <c r="BA64" i="41" s="1"/>
  <c r="BM64" i="41" s="1"/>
  <c r="Q76" i="41"/>
  <c r="R78" i="41"/>
  <c r="Q78" i="41"/>
  <c r="R76" i="41"/>
  <c r="Q75" i="41" l="1"/>
  <c r="AC64" i="41"/>
  <c r="AB64" i="41" s="1"/>
  <c r="F104" i="20" l="1"/>
  <c r="R104" i="20" s="1"/>
  <c r="F97" i="20"/>
  <c r="E87" i="41"/>
  <c r="I13" i="66"/>
  <c r="I6" i="66"/>
  <c r="L104" i="20" l="1"/>
  <c r="I104" i="20"/>
  <c r="O104" i="20"/>
  <c r="D80" i="41"/>
  <c r="D81" i="41"/>
  <c r="E42" i="41" l="1"/>
  <c r="S141" i="4" l="1"/>
  <c r="M141" i="4"/>
  <c r="P141" i="4" s="1"/>
  <c r="J141" i="4"/>
  <c r="S137" i="4"/>
  <c r="P137" i="4"/>
  <c r="M137" i="4"/>
  <c r="J137" i="4"/>
  <c r="S135" i="4"/>
  <c r="P135" i="4"/>
  <c r="M135" i="4"/>
  <c r="J135" i="4"/>
  <c r="G140" i="4"/>
  <c r="S129" i="4"/>
  <c r="P129" i="4"/>
  <c r="M129" i="4"/>
  <c r="J129" i="4"/>
  <c r="R91" i="4"/>
  <c r="Q91" i="4"/>
  <c r="R90" i="4"/>
  <c r="Q90" i="4"/>
  <c r="R89" i="4"/>
  <c r="Q89" i="4"/>
  <c r="W13" i="42" s="1"/>
  <c r="O91" i="4"/>
  <c r="N91" i="4"/>
  <c r="O90" i="4"/>
  <c r="N90" i="4"/>
  <c r="O89" i="4"/>
  <c r="T13" i="42" s="1"/>
  <c r="T7" i="42" s="1"/>
  <c r="N89" i="4"/>
  <c r="S13" i="42" s="1"/>
  <c r="S7" i="42" s="1"/>
  <c r="L91" i="4"/>
  <c r="K91" i="4"/>
  <c r="L90" i="4"/>
  <c r="K90" i="4"/>
  <c r="L89" i="4"/>
  <c r="P13" i="42" s="1"/>
  <c r="P7" i="42" s="1"/>
  <c r="K89" i="4"/>
  <c r="O13" i="42" s="1"/>
  <c r="O7" i="42" s="1"/>
  <c r="I91" i="4"/>
  <c r="I90" i="4"/>
  <c r="H91" i="4"/>
  <c r="H90" i="4"/>
  <c r="I89" i="4"/>
  <c r="L13" i="42" s="1"/>
  <c r="L7" i="42" s="1"/>
  <c r="H89" i="4"/>
  <c r="S88" i="4"/>
  <c r="S86" i="4"/>
  <c r="P88" i="4"/>
  <c r="P86" i="4"/>
  <c r="M88" i="4"/>
  <c r="M86" i="4"/>
  <c r="J88" i="4"/>
  <c r="J86" i="4"/>
  <c r="R85" i="4"/>
  <c r="Q85" i="4"/>
  <c r="O85" i="4"/>
  <c r="N85" i="4"/>
  <c r="L85" i="4"/>
  <c r="K85" i="4"/>
  <c r="I85" i="4"/>
  <c r="H85" i="4"/>
  <c r="R83" i="4"/>
  <c r="Q83" i="4"/>
  <c r="O83" i="4"/>
  <c r="N83" i="4"/>
  <c r="L83" i="4"/>
  <c r="K83" i="4"/>
  <c r="S83" i="4"/>
  <c r="BL118" i="41" s="1"/>
  <c r="I83" i="4"/>
  <c r="H83" i="4"/>
  <c r="S80" i="4"/>
  <c r="P80" i="4"/>
  <c r="M80" i="4"/>
  <c r="J80" i="4"/>
  <c r="G89" i="4"/>
  <c r="P119" i="41" s="1"/>
  <c r="R84" i="4"/>
  <c r="Q84" i="4"/>
  <c r="P118" i="41"/>
  <c r="Q13" i="42" l="1"/>
  <c r="P89" i="4"/>
  <c r="AZ119" i="41" s="1"/>
  <c r="S89" i="4"/>
  <c r="BL119" i="41" s="1"/>
  <c r="X13" i="42"/>
  <c r="Y13" i="42" s="1"/>
  <c r="J89" i="4"/>
  <c r="AB119" i="41" s="1"/>
  <c r="K13" i="42"/>
  <c r="U13" i="42"/>
  <c r="M83" i="4"/>
  <c r="AN118" i="41" s="1"/>
  <c r="J83" i="4"/>
  <c r="AB118" i="41" s="1"/>
  <c r="P83" i="4"/>
  <c r="AZ118" i="41" s="1"/>
  <c r="N84" i="4"/>
  <c r="O84" i="4"/>
  <c r="H84" i="4"/>
  <c r="K84" i="4"/>
  <c r="I84" i="4"/>
  <c r="L84" i="4"/>
  <c r="M89" i="4"/>
  <c r="AN119" i="41" s="1"/>
  <c r="Q45" i="41"/>
  <c r="M13" i="42" l="1"/>
  <c r="K7" i="42"/>
  <c r="M7" i="42" s="1"/>
  <c r="U7" i="42"/>
  <c r="Q7" i="42"/>
  <c r="S82" i="4"/>
  <c r="G82" i="4"/>
  <c r="P82" i="4"/>
  <c r="M82" i="4"/>
  <c r="J82" i="4"/>
  <c r="F82" i="4"/>
  <c r="E82" i="4"/>
  <c r="D125" i="20" l="1"/>
  <c r="G117" i="42"/>
  <c r="G118" i="42" s="1"/>
  <c r="E118" i="42" s="1"/>
  <c r="E114" i="42" s="1"/>
  <c r="E93" i="4"/>
  <c r="H93" i="4" s="1"/>
  <c r="K93" i="4" s="1"/>
  <c r="N93" i="4" s="1"/>
  <c r="Q93" i="4" s="1"/>
  <c r="D117" i="20"/>
  <c r="E95" i="4"/>
  <c r="F95" i="4" s="1"/>
  <c r="G112" i="42"/>
  <c r="I7" i="42"/>
  <c r="M139" i="4"/>
  <c r="P139" i="4"/>
  <c r="S139" i="4"/>
  <c r="J140" i="4"/>
  <c r="M140" i="4"/>
  <c r="P140" i="4"/>
  <c r="S140" i="4"/>
  <c r="G117" i="20" l="1"/>
  <c r="E117" i="20"/>
  <c r="G38" i="42"/>
  <c r="D121" i="20"/>
  <c r="L112" i="42"/>
  <c r="G113" i="42"/>
  <c r="F113" i="42" s="1"/>
  <c r="F108" i="42" s="1"/>
  <c r="G125" i="20"/>
  <c r="G44" i="42"/>
  <c r="E125" i="20"/>
  <c r="H44" i="42" s="1"/>
  <c r="L44" i="42" s="1"/>
  <c r="P44" i="42" s="1"/>
  <c r="T44" i="42" s="1"/>
  <c r="X44" i="42" s="1"/>
  <c r="G139" i="4"/>
  <c r="G138" i="4"/>
  <c r="K44" i="42" l="1"/>
  <c r="I44" i="42"/>
  <c r="J125" i="20"/>
  <c r="H125" i="20"/>
  <c r="K38" i="42"/>
  <c r="G31" i="42"/>
  <c r="G32" i="42"/>
  <c r="I38" i="42"/>
  <c r="H38" i="42"/>
  <c r="E121" i="20"/>
  <c r="H37" i="42" s="1"/>
  <c r="Q112" i="42"/>
  <c r="L113" i="42"/>
  <c r="J117" i="20"/>
  <c r="H117" i="20"/>
  <c r="H121" i="20" s="1"/>
  <c r="G121" i="20"/>
  <c r="G26" i="66"/>
  <c r="K29" i="66"/>
  <c r="K30" i="66"/>
  <c r="K31" i="66"/>
  <c r="J29" i="66"/>
  <c r="J30" i="66"/>
  <c r="J31" i="66"/>
  <c r="I29" i="66"/>
  <c r="I30" i="66"/>
  <c r="I31" i="66"/>
  <c r="H29" i="66"/>
  <c r="H30" i="66"/>
  <c r="H31" i="66"/>
  <c r="G29" i="66"/>
  <c r="G30" i="66"/>
  <c r="G31" i="66"/>
  <c r="G28" i="66"/>
  <c r="H28" i="66"/>
  <c r="K26" i="66"/>
  <c r="J26" i="66"/>
  <c r="I26" i="66"/>
  <c r="H26" i="66"/>
  <c r="F21" i="66"/>
  <c r="I28" i="66"/>
  <c r="Q95" i="41" s="1"/>
  <c r="F15" i="66"/>
  <c r="H13" i="66"/>
  <c r="F9" i="66"/>
  <c r="F7" i="66"/>
  <c r="C7" i="66"/>
  <c r="H6" i="66"/>
  <c r="G6" i="66"/>
  <c r="M125" i="20" l="1"/>
  <c r="K125" i="20"/>
  <c r="M117" i="20"/>
  <c r="K117" i="20"/>
  <c r="K121" i="20" s="1"/>
  <c r="L121" i="20" s="1"/>
  <c r="J121" i="20"/>
  <c r="G92" i="42"/>
  <c r="G33" i="42"/>
  <c r="G34" i="42" s="1"/>
  <c r="G6" i="42"/>
  <c r="G8" i="42" s="1"/>
  <c r="G9" i="42" s="1"/>
  <c r="L38" i="42"/>
  <c r="I37" i="42"/>
  <c r="I39" i="42" s="1"/>
  <c r="H32" i="42"/>
  <c r="O38" i="42"/>
  <c r="K37" i="42"/>
  <c r="M38" i="42"/>
  <c r="O44" i="42"/>
  <c r="M44" i="42"/>
  <c r="I19" i="66"/>
  <c r="I121" i="20"/>
  <c r="V112" i="42"/>
  <c r="Q113" i="42"/>
  <c r="G27" i="66"/>
  <c r="G25" i="66" s="1"/>
  <c r="I27" i="66"/>
  <c r="H27" i="66"/>
  <c r="H25" i="66" s="1"/>
  <c r="I25" i="66"/>
  <c r="J13" i="66"/>
  <c r="J28" i="66"/>
  <c r="J27" i="66" s="1"/>
  <c r="J25" i="66" s="1"/>
  <c r="BQ125" i="41"/>
  <c r="BO125" i="41"/>
  <c r="BL117" i="41"/>
  <c r="BK125" i="41"/>
  <c r="BE125" i="41"/>
  <c r="BC125" i="41"/>
  <c r="AZ117" i="41"/>
  <c r="AY125" i="41"/>
  <c r="AS125" i="41"/>
  <c r="AQ125" i="41"/>
  <c r="AN117" i="41"/>
  <c r="AM125" i="41"/>
  <c r="AG125" i="41"/>
  <c r="AE125" i="41"/>
  <c r="AB117" i="41"/>
  <c r="AA125" i="41"/>
  <c r="U125" i="41"/>
  <c r="S125" i="41"/>
  <c r="P117" i="41"/>
  <c r="O125" i="41"/>
  <c r="M125" i="41"/>
  <c r="J117" i="41"/>
  <c r="I125" i="41"/>
  <c r="G125" i="41"/>
  <c r="R82" i="4"/>
  <c r="Q82" i="4"/>
  <c r="Q95" i="4" s="1"/>
  <c r="O82" i="4"/>
  <c r="N82" i="4"/>
  <c r="N95" i="4" s="1"/>
  <c r="L82" i="4"/>
  <c r="K82" i="4"/>
  <c r="K95" i="4" s="1"/>
  <c r="I82" i="4"/>
  <c r="H82" i="4"/>
  <c r="H95" i="4" s="1"/>
  <c r="G91" i="4"/>
  <c r="G90" i="4"/>
  <c r="Q94" i="4"/>
  <c r="R94" i="4" s="1"/>
  <c r="N94" i="4"/>
  <c r="O94" i="4" s="1"/>
  <c r="K94" i="4"/>
  <c r="L94" i="4" s="1"/>
  <c r="H94" i="4"/>
  <c r="I94" i="4" s="1"/>
  <c r="E94" i="4"/>
  <c r="F94" i="4" s="1"/>
  <c r="R93" i="4"/>
  <c r="R92" i="4" s="1"/>
  <c r="L93" i="4"/>
  <c r="L92" i="4" s="1"/>
  <c r="F93" i="4"/>
  <c r="F92" i="4" s="1"/>
  <c r="S91" i="4"/>
  <c r="P91" i="4"/>
  <c r="M91" i="4"/>
  <c r="J91" i="4"/>
  <c r="S90" i="4"/>
  <c r="P90" i="4"/>
  <c r="M90" i="4"/>
  <c r="J90" i="4"/>
  <c r="Q88" i="4"/>
  <c r="R88" i="4" s="1"/>
  <c r="Q87" i="4"/>
  <c r="R87" i="4" s="1"/>
  <c r="N88" i="4"/>
  <c r="O88" i="4" s="1"/>
  <c r="N87" i="4"/>
  <c r="K88" i="4"/>
  <c r="L88" i="4" s="1"/>
  <c r="L86" i="4" s="1"/>
  <c r="K87" i="4"/>
  <c r="L87" i="4" s="1"/>
  <c r="H88" i="4"/>
  <c r="H137" i="4" s="1"/>
  <c r="H140" i="4" s="1"/>
  <c r="H87" i="4"/>
  <c r="S38" i="42" l="1"/>
  <c r="O37" i="42"/>
  <c r="N92" i="4"/>
  <c r="J19" i="66"/>
  <c r="S44" i="42"/>
  <c r="Q44" i="42"/>
  <c r="P117" i="20"/>
  <c r="N117" i="20"/>
  <c r="N121" i="20" s="1"/>
  <c r="O121" i="20" s="1"/>
  <c r="M121" i="20"/>
  <c r="AO95" i="41"/>
  <c r="K19" i="66"/>
  <c r="K28" i="66"/>
  <c r="K27" i="66" s="1"/>
  <c r="K25" i="66" s="1"/>
  <c r="AA112" i="42"/>
  <c r="AA113" i="42" s="1"/>
  <c r="Z113" i="42" s="1"/>
  <c r="P38" i="42"/>
  <c r="L37" i="42"/>
  <c r="M37" i="42" s="1"/>
  <c r="M39" i="42" s="1"/>
  <c r="P125" i="20"/>
  <c r="Q125" i="20" s="1"/>
  <c r="N125" i="20"/>
  <c r="N136" i="4"/>
  <c r="N139" i="4" s="1"/>
  <c r="I93" i="4"/>
  <c r="I92" i="4" s="1"/>
  <c r="H136" i="4"/>
  <c r="H139" i="4" s="1"/>
  <c r="H92" i="4"/>
  <c r="Q136" i="4"/>
  <c r="Q139" i="4" s="1"/>
  <c r="I87" i="4"/>
  <c r="R86" i="4"/>
  <c r="E92" i="4"/>
  <c r="K92" i="4"/>
  <c r="M92" i="4" s="1"/>
  <c r="M138" i="4" s="1"/>
  <c r="Q92" i="4"/>
  <c r="S92" i="4" s="1"/>
  <c r="S138" i="4" s="1"/>
  <c r="K136" i="4"/>
  <c r="K139" i="4" s="1"/>
  <c r="Q86" i="4"/>
  <c r="Q137" i="4"/>
  <c r="Q140" i="4" s="1"/>
  <c r="N86" i="4"/>
  <c r="N137" i="4"/>
  <c r="N140" i="4" s="1"/>
  <c r="K137" i="4"/>
  <c r="K140" i="4" s="1"/>
  <c r="K86" i="4"/>
  <c r="H86" i="4"/>
  <c r="O136" i="4"/>
  <c r="I137" i="4"/>
  <c r="R136" i="4"/>
  <c r="R139" i="4" s="1"/>
  <c r="I88" i="4"/>
  <c r="I86" i="4" s="1"/>
  <c r="O93" i="4"/>
  <c r="O92" i="4" s="1"/>
  <c r="P92" i="4" s="1"/>
  <c r="P138" i="4" s="1"/>
  <c r="O87" i="4"/>
  <c r="O86" i="4" s="1"/>
  <c r="BR30" i="41"/>
  <c r="BS30" i="41"/>
  <c r="BT30" i="41"/>
  <c r="BU30" i="41"/>
  <c r="BV30" i="41"/>
  <c r="BW30" i="41"/>
  <c r="BS10" i="41"/>
  <c r="BS11" i="41"/>
  <c r="BS12" i="41"/>
  <c r="BS14" i="41"/>
  <c r="BS113" i="41"/>
  <c r="BS118" i="41"/>
  <c r="BS119" i="41"/>
  <c r="BS120" i="41"/>
  <c r="BS121" i="41"/>
  <c r="BS125" i="41"/>
  <c r="BS8" i="41"/>
  <c r="BR10" i="41"/>
  <c r="BR11" i="41"/>
  <c r="BR12" i="41"/>
  <c r="BR14" i="41"/>
  <c r="BR113" i="41"/>
  <c r="BR117" i="41"/>
  <c r="BR118" i="41"/>
  <c r="BR119" i="41"/>
  <c r="BR120" i="41"/>
  <c r="BR121" i="41"/>
  <c r="BR125" i="41"/>
  <c r="BR8" i="41"/>
  <c r="U44" i="42" l="1"/>
  <c r="W44" i="42"/>
  <c r="Y44" i="42" s="1"/>
  <c r="T38" i="42"/>
  <c r="P37" i="42"/>
  <c r="Q37" i="42" s="1"/>
  <c r="Q39" i="42" s="1"/>
  <c r="Q38" i="42"/>
  <c r="J92" i="4"/>
  <c r="J138" i="4" s="1"/>
  <c r="Q117" i="20"/>
  <c r="Q121" i="20" s="1"/>
  <c r="P121" i="20"/>
  <c r="W38" i="42"/>
  <c r="S37" i="42"/>
  <c r="I136" i="4"/>
  <c r="I139" i="4" s="1"/>
  <c r="K135" i="4"/>
  <c r="K138" i="4" s="1"/>
  <c r="H135" i="4"/>
  <c r="H138" i="4" s="1"/>
  <c r="L136" i="4"/>
  <c r="L139" i="4" s="1"/>
  <c r="Q135" i="4"/>
  <c r="Q138" i="4" s="1"/>
  <c r="O139" i="4"/>
  <c r="N135" i="4"/>
  <c r="N138" i="4" s="1"/>
  <c r="I140" i="4"/>
  <c r="O111" i="41"/>
  <c r="N111" i="41"/>
  <c r="M111" i="41"/>
  <c r="L111" i="41"/>
  <c r="K111" i="41"/>
  <c r="O106" i="41"/>
  <c r="N106" i="41"/>
  <c r="M106" i="41"/>
  <c r="L106" i="41"/>
  <c r="K106" i="41"/>
  <c r="O105" i="41"/>
  <c r="N105" i="41"/>
  <c r="M105" i="41"/>
  <c r="L105" i="41"/>
  <c r="K105" i="41"/>
  <c r="J98" i="41"/>
  <c r="J97" i="41"/>
  <c r="J96" i="41"/>
  <c r="J95" i="41"/>
  <c r="O94" i="41"/>
  <c r="O107" i="41" s="1"/>
  <c r="N94" i="41"/>
  <c r="N107" i="41" s="1"/>
  <c r="M94" i="41"/>
  <c r="M107" i="41" s="1"/>
  <c r="L94" i="41"/>
  <c r="L107" i="41" s="1"/>
  <c r="K94" i="41"/>
  <c r="K107" i="41" s="1"/>
  <c r="J93" i="41"/>
  <c r="J92" i="41"/>
  <c r="J90" i="41"/>
  <c r="J89" i="41"/>
  <c r="J88" i="41"/>
  <c r="O87" i="41"/>
  <c r="O85" i="41" s="1"/>
  <c r="O110" i="41" s="1"/>
  <c r="N87" i="41"/>
  <c r="N85" i="41" s="1"/>
  <c r="M87" i="41"/>
  <c r="M85" i="41" s="1"/>
  <c r="J85" i="41" s="1"/>
  <c r="L87" i="41"/>
  <c r="K87" i="41"/>
  <c r="K110" i="41" s="1"/>
  <c r="J86" i="41"/>
  <c r="M104" i="41"/>
  <c r="O75" i="41"/>
  <c r="Q66" i="41"/>
  <c r="J64" i="41"/>
  <c r="O63" i="41"/>
  <c r="O59" i="41" s="1"/>
  <c r="O102" i="41" s="1"/>
  <c r="N63" i="41"/>
  <c r="N59" i="41" s="1"/>
  <c r="M63" i="41"/>
  <c r="L63" i="41"/>
  <c r="K63" i="41"/>
  <c r="J62" i="41"/>
  <c r="J61" i="41"/>
  <c r="M60" i="41"/>
  <c r="M59" i="41" s="1"/>
  <c r="M102" i="41" s="1"/>
  <c r="L60" i="41"/>
  <c r="L59" i="41" s="1"/>
  <c r="K60" i="41"/>
  <c r="J58" i="41"/>
  <c r="J57" i="41"/>
  <c r="Q57" i="41" s="1"/>
  <c r="J56" i="41"/>
  <c r="O55" i="41"/>
  <c r="N55" i="41"/>
  <c r="M55" i="41"/>
  <c r="L55" i="41"/>
  <c r="J54" i="41"/>
  <c r="J53" i="41"/>
  <c r="J51" i="41"/>
  <c r="J50" i="41"/>
  <c r="J49" i="41"/>
  <c r="J48" i="41"/>
  <c r="J47" i="41"/>
  <c r="J46" i="41"/>
  <c r="J45" i="41"/>
  <c r="J44" i="41"/>
  <c r="O42" i="41"/>
  <c r="N42" i="41"/>
  <c r="M42" i="41"/>
  <c r="L42" i="41"/>
  <c r="J41" i="41"/>
  <c r="J40" i="41"/>
  <c r="O39" i="41"/>
  <c r="N39" i="41"/>
  <c r="M39" i="41"/>
  <c r="L39" i="41"/>
  <c r="K39" i="41"/>
  <c r="J37" i="41"/>
  <c r="J36" i="41"/>
  <c r="J35" i="41"/>
  <c r="O34" i="41"/>
  <c r="O38" i="41" s="1"/>
  <c r="N34" i="41"/>
  <c r="M34" i="41"/>
  <c r="M38" i="41" s="1"/>
  <c r="L34" i="41"/>
  <c r="K34" i="41"/>
  <c r="J33" i="41"/>
  <c r="J32" i="41"/>
  <c r="J31" i="41"/>
  <c r="O29" i="41"/>
  <c r="N29" i="41"/>
  <c r="M29" i="41"/>
  <c r="M21" i="41" s="1"/>
  <c r="M101" i="41" s="1"/>
  <c r="L29" i="41"/>
  <c r="K29" i="41"/>
  <c r="J28" i="41"/>
  <c r="J27" i="41"/>
  <c r="O26" i="41"/>
  <c r="N26" i="41"/>
  <c r="M26" i="41"/>
  <c r="L26" i="41"/>
  <c r="K26" i="41"/>
  <c r="J25" i="41"/>
  <c r="J24" i="41"/>
  <c r="J23" i="41"/>
  <c r="O22" i="41"/>
  <c r="N22" i="41"/>
  <c r="M22" i="41"/>
  <c r="L22" i="41"/>
  <c r="K22" i="41"/>
  <c r="O21" i="41"/>
  <c r="O101" i="41" s="1"/>
  <c r="J20" i="41"/>
  <c r="J18" i="41"/>
  <c r="O15" i="41"/>
  <c r="O103" i="41" s="1"/>
  <c r="N15" i="41"/>
  <c r="N103" i="41" s="1"/>
  <c r="M15" i="41"/>
  <c r="M103" i="41" s="1"/>
  <c r="L15" i="41"/>
  <c r="L103" i="41" s="1"/>
  <c r="K15" i="41"/>
  <c r="K103" i="41" s="1"/>
  <c r="D117" i="41"/>
  <c r="D100" i="41"/>
  <c r="D98" i="41"/>
  <c r="D96" i="41"/>
  <c r="I94" i="41"/>
  <c r="I107" i="41" s="1"/>
  <c r="G94" i="41"/>
  <c r="G107" i="41" s="1"/>
  <c r="F94" i="41"/>
  <c r="H94" i="41"/>
  <c r="H107" i="41" s="1"/>
  <c r="E107" i="41"/>
  <c r="I106" i="41"/>
  <c r="H106" i="41"/>
  <c r="G106" i="41"/>
  <c r="F106" i="41"/>
  <c r="I105" i="41"/>
  <c r="H105" i="41"/>
  <c r="G105" i="41"/>
  <c r="F105" i="41"/>
  <c r="E105" i="41"/>
  <c r="D90" i="41"/>
  <c r="D89" i="41"/>
  <c r="H87" i="41"/>
  <c r="H85" i="41" s="1"/>
  <c r="H104" i="41" s="1"/>
  <c r="G87" i="41"/>
  <c r="G85" i="41" s="1"/>
  <c r="I87" i="41"/>
  <c r="I85" i="41" s="1"/>
  <c r="I110" i="41" s="1"/>
  <c r="D84" i="41"/>
  <c r="D83" i="41"/>
  <c r="D82" i="41"/>
  <c r="D78" i="41"/>
  <c r="I75" i="41"/>
  <c r="H75" i="41"/>
  <c r="E75" i="41"/>
  <c r="D76" i="41"/>
  <c r="G75" i="41"/>
  <c r="F75" i="41"/>
  <c r="D74" i="41"/>
  <c r="D72" i="41"/>
  <c r="D71" i="41"/>
  <c r="I111" i="41"/>
  <c r="H111" i="41"/>
  <c r="G111" i="41"/>
  <c r="F111" i="41"/>
  <c r="E111" i="41"/>
  <c r="D68" i="41"/>
  <c r="D66" i="41"/>
  <c r="I63" i="41"/>
  <c r="H63" i="41"/>
  <c r="E63" i="41"/>
  <c r="G63" i="41"/>
  <c r="F63" i="41"/>
  <c r="D62" i="41"/>
  <c r="I60" i="41"/>
  <c r="H60" i="41"/>
  <c r="G60" i="41"/>
  <c r="F60" i="41"/>
  <c r="D58" i="41"/>
  <c r="I55" i="41"/>
  <c r="H55" i="41"/>
  <c r="G55" i="41"/>
  <c r="F55" i="41"/>
  <c r="D51" i="41"/>
  <c r="D47" i="41"/>
  <c r="I42" i="41"/>
  <c r="H42" i="41"/>
  <c r="G42" i="41"/>
  <c r="F42" i="41"/>
  <c r="D43" i="41"/>
  <c r="D41" i="41"/>
  <c r="F39" i="41"/>
  <c r="G39" i="41"/>
  <c r="D37" i="41"/>
  <c r="I34" i="41"/>
  <c r="I38" i="41" s="1"/>
  <c r="G34" i="41"/>
  <c r="G38" i="41" s="1"/>
  <c r="H34" i="41"/>
  <c r="H38" i="41" s="1"/>
  <c r="E34" i="41"/>
  <c r="H29" i="41"/>
  <c r="G29" i="41"/>
  <c r="F29" i="41"/>
  <c r="D31" i="41"/>
  <c r="I29" i="41"/>
  <c r="D28" i="41"/>
  <c r="I26" i="41"/>
  <c r="H26" i="41"/>
  <c r="D27" i="41"/>
  <c r="G26" i="41"/>
  <c r="D24" i="41"/>
  <c r="I22" i="41"/>
  <c r="H22" i="41"/>
  <c r="G22" i="41"/>
  <c r="F22" i="41"/>
  <c r="D20" i="41"/>
  <c r="I15" i="41"/>
  <c r="I103" i="41" s="1"/>
  <c r="G15" i="41"/>
  <c r="G103" i="41" s="1"/>
  <c r="F15" i="41"/>
  <c r="F103" i="41" s="1"/>
  <c r="H15" i="41"/>
  <c r="H103" i="41" s="1"/>
  <c r="R121" i="20" l="1"/>
  <c r="D75" i="41"/>
  <c r="J22" i="41"/>
  <c r="X38" i="42"/>
  <c r="X37" i="42" s="1"/>
  <c r="T37" i="42"/>
  <c r="U37" i="42" s="1"/>
  <c r="Y38" i="42"/>
  <c r="W37" i="42"/>
  <c r="H59" i="41"/>
  <c r="H102" i="41" s="1"/>
  <c r="U38" i="42"/>
  <c r="I135" i="4"/>
  <c r="I138" i="4" s="1"/>
  <c r="J26" i="41"/>
  <c r="N38" i="41"/>
  <c r="J106" i="41"/>
  <c r="K59" i="41"/>
  <c r="J59" i="41" s="1"/>
  <c r="BM66" i="41"/>
  <c r="J42" i="41"/>
  <c r="J39" i="41"/>
  <c r="J29" i="41"/>
  <c r="N21" i="41"/>
  <c r="N101" i="41" s="1"/>
  <c r="N102" i="41"/>
  <c r="L38" i="41"/>
  <c r="J87" i="41"/>
  <c r="L21" i="41"/>
  <c r="L101" i="41" s="1"/>
  <c r="BS117" i="41"/>
  <c r="J105" i="41"/>
  <c r="K21" i="41"/>
  <c r="K101" i="41" s="1"/>
  <c r="J63" i="41"/>
  <c r="J111" i="41"/>
  <c r="J34" i="41"/>
  <c r="J38" i="41" s="1"/>
  <c r="J15" i="41"/>
  <c r="G59" i="41"/>
  <c r="G102" i="41" s="1"/>
  <c r="F21" i="41"/>
  <c r="F101" i="41" s="1"/>
  <c r="E15" i="41"/>
  <c r="E103" i="41" s="1"/>
  <c r="D103" i="41" s="1"/>
  <c r="D25" i="41"/>
  <c r="D18" i="41"/>
  <c r="E29" i="41"/>
  <c r="D29" i="41" s="1"/>
  <c r="D32" i="41"/>
  <c r="D42" i="41"/>
  <c r="D44" i="41"/>
  <c r="D48" i="41"/>
  <c r="D52" i="41"/>
  <c r="E60" i="41"/>
  <c r="E59" i="41" s="1"/>
  <c r="D64" i="41"/>
  <c r="D69" i="41"/>
  <c r="D79" i="41"/>
  <c r="D86" i="41"/>
  <c r="D88" i="41"/>
  <c r="D92" i="41"/>
  <c r="J55" i="41"/>
  <c r="L102" i="41"/>
  <c r="D19" i="41"/>
  <c r="D23" i="41"/>
  <c r="D33" i="41"/>
  <c r="D35" i="41"/>
  <c r="H39" i="41"/>
  <c r="D45" i="41"/>
  <c r="D49" i="41"/>
  <c r="D53" i="41"/>
  <c r="D56" i="41"/>
  <c r="D63" i="41"/>
  <c r="D67" i="41"/>
  <c r="D70" i="41"/>
  <c r="D77" i="41"/>
  <c r="E85" i="41"/>
  <c r="F87" i="41"/>
  <c r="D97" i="41"/>
  <c r="F34" i="41"/>
  <c r="F38" i="41" s="1"/>
  <c r="D36" i="41"/>
  <c r="D40" i="41"/>
  <c r="I39" i="41"/>
  <c r="I21" i="41" s="1"/>
  <c r="I101" i="41" s="1"/>
  <c r="D50" i="41"/>
  <c r="D54" i="41"/>
  <c r="D57" i="41"/>
  <c r="D65" i="41"/>
  <c r="D73" i="41"/>
  <c r="D93" i="41"/>
  <c r="D95" i="41"/>
  <c r="J60" i="41"/>
  <c r="J100" i="41"/>
  <c r="D17" i="41"/>
  <c r="M99" i="41"/>
  <c r="J103" i="41"/>
  <c r="J107" i="41"/>
  <c r="N110" i="41"/>
  <c r="N104" i="41"/>
  <c r="K38" i="41"/>
  <c r="J94" i="41"/>
  <c r="K104" i="41"/>
  <c r="O104" i="41"/>
  <c r="O99" i="41" s="1"/>
  <c r="M110" i="41"/>
  <c r="G21" i="41"/>
  <c r="G101" i="41" s="1"/>
  <c r="H21" i="41"/>
  <c r="H101" i="41" s="1"/>
  <c r="H99" i="41" s="1"/>
  <c r="H125" i="41" s="1"/>
  <c r="F59" i="41"/>
  <c r="F102" i="41" s="1"/>
  <c r="F85" i="41"/>
  <c r="D105" i="41"/>
  <c r="I59" i="41"/>
  <c r="I102" i="41" s="1"/>
  <c r="D111" i="41"/>
  <c r="G104" i="41"/>
  <c r="G110" i="41"/>
  <c r="F107" i="41"/>
  <c r="D107" i="41" s="1"/>
  <c r="D94" i="41"/>
  <c r="E38" i="41"/>
  <c r="I104" i="41"/>
  <c r="E106" i="41"/>
  <c r="D106" i="41" s="1"/>
  <c r="H110" i="41"/>
  <c r="E22" i="41"/>
  <c r="D26" i="41"/>
  <c r="E39" i="41"/>
  <c r="D39" i="41" s="1"/>
  <c r="D55" i="41"/>
  <c r="U39" i="42" l="1"/>
  <c r="D34" i="41"/>
  <c r="D38" i="41" s="1"/>
  <c r="Y37" i="42"/>
  <c r="Y39" i="42" s="1"/>
  <c r="K102" i="41"/>
  <c r="K99" i="41" s="1"/>
  <c r="N99" i="41"/>
  <c r="D60" i="41"/>
  <c r="E102" i="41"/>
  <c r="J21" i="41"/>
  <c r="J101" i="41"/>
  <c r="D87" i="41"/>
  <c r="I99" i="41"/>
  <c r="I109" i="41" s="1"/>
  <c r="I112" i="41" s="1"/>
  <c r="E110" i="41"/>
  <c r="E104" i="41"/>
  <c r="D15" i="41"/>
  <c r="O109" i="41"/>
  <c r="O112" i="41" s="1"/>
  <c r="L104" i="41"/>
  <c r="L99" i="41" s="1"/>
  <c r="L110" i="41"/>
  <c r="J110" i="41" s="1"/>
  <c r="M109" i="41"/>
  <c r="M112" i="41" s="1"/>
  <c r="D22" i="41"/>
  <c r="E21" i="41"/>
  <c r="D21" i="41" s="1"/>
  <c r="F110" i="41"/>
  <c r="D85" i="41"/>
  <c r="F104" i="41"/>
  <c r="F99" i="41" s="1"/>
  <c r="H109" i="41"/>
  <c r="H112" i="41" s="1"/>
  <c r="G99" i="41"/>
  <c r="F31" i="20"/>
  <c r="E31" i="20" s="1"/>
  <c r="F26" i="20"/>
  <c r="D26" i="20" s="1"/>
  <c r="Y7" i="42"/>
  <c r="J7" i="42"/>
  <c r="E9" i="42"/>
  <c r="J102" i="41" l="1"/>
  <c r="K109" i="41"/>
  <c r="K124" i="41"/>
  <c r="N109" i="41"/>
  <c r="N112" i="41" s="1"/>
  <c r="N125" i="41"/>
  <c r="J126" i="41"/>
  <c r="J122" i="41"/>
  <c r="J123" i="41" s="1"/>
  <c r="D102" i="41"/>
  <c r="D59" i="41"/>
  <c r="J115" i="41"/>
  <c r="J99" i="41"/>
  <c r="J114" i="41"/>
  <c r="I26" i="20"/>
  <c r="G26" i="20" s="1"/>
  <c r="I31" i="20"/>
  <c r="D104" i="41"/>
  <c r="D110" i="41"/>
  <c r="K112" i="41"/>
  <c r="J104" i="41"/>
  <c r="L109" i="41"/>
  <c r="L112" i="41" s="1"/>
  <c r="F109" i="41"/>
  <c r="F112" i="41" s="1"/>
  <c r="G109" i="41"/>
  <c r="G112" i="41" s="1"/>
  <c r="E101" i="41"/>
  <c r="D31" i="20"/>
  <c r="E26" i="20"/>
  <c r="Z7" i="42"/>
  <c r="V7" i="42"/>
  <c r="N7" i="42"/>
  <c r="R7" i="42"/>
  <c r="E99" i="41" l="1"/>
  <c r="D99" i="41" s="1"/>
  <c r="D101" i="41"/>
  <c r="D115" i="41"/>
  <c r="L124" i="41"/>
  <c r="J124" i="41" s="1"/>
  <c r="H31" i="20"/>
  <c r="L31" i="20"/>
  <c r="H26" i="20"/>
  <c r="L26" i="20"/>
  <c r="G31" i="20"/>
  <c r="J112" i="41"/>
  <c r="J109" i="41"/>
  <c r="X71" i="42"/>
  <c r="W71" i="42"/>
  <c r="T71" i="42"/>
  <c r="S71" i="42"/>
  <c r="P71" i="42"/>
  <c r="O71" i="42"/>
  <c r="L71" i="42"/>
  <c r="K71" i="42"/>
  <c r="H71" i="42"/>
  <c r="G71" i="42"/>
  <c r="E71" i="42"/>
  <c r="Z70" i="42"/>
  <c r="V70" i="42"/>
  <c r="R70" i="42"/>
  <c r="N70" i="42"/>
  <c r="J70" i="42"/>
  <c r="Z69" i="42"/>
  <c r="V69" i="42"/>
  <c r="R69" i="42"/>
  <c r="N69" i="42"/>
  <c r="J69" i="42"/>
  <c r="Z68" i="42"/>
  <c r="V68" i="42"/>
  <c r="R68" i="42"/>
  <c r="N68" i="42"/>
  <c r="J68" i="42"/>
  <c r="X89" i="42"/>
  <c r="W89" i="42"/>
  <c r="T89" i="42"/>
  <c r="S89" i="42"/>
  <c r="P89" i="42"/>
  <c r="O89" i="42"/>
  <c r="L89" i="42"/>
  <c r="K89" i="42"/>
  <c r="H89" i="42"/>
  <c r="G89" i="42"/>
  <c r="E89" i="42"/>
  <c r="Z88" i="42"/>
  <c r="V88" i="42"/>
  <c r="R88" i="42"/>
  <c r="N88" i="42"/>
  <c r="J88" i="42"/>
  <c r="Z87" i="42"/>
  <c r="V87" i="42"/>
  <c r="R87" i="42"/>
  <c r="N87" i="42"/>
  <c r="J87" i="42"/>
  <c r="Z86" i="42"/>
  <c r="V86" i="42"/>
  <c r="R86" i="42"/>
  <c r="N86" i="42"/>
  <c r="J86" i="42"/>
  <c r="X83" i="42"/>
  <c r="W83" i="42"/>
  <c r="T83" i="42"/>
  <c r="S83" i="42"/>
  <c r="P83" i="42"/>
  <c r="O83" i="42"/>
  <c r="L83" i="42"/>
  <c r="K83" i="42"/>
  <c r="H83" i="42"/>
  <c r="G83" i="42"/>
  <c r="E83" i="42"/>
  <c r="Z82" i="42"/>
  <c r="V82" i="42"/>
  <c r="R82" i="42"/>
  <c r="N82" i="42"/>
  <c r="J82" i="42"/>
  <c r="Z81" i="42"/>
  <c r="V81" i="42"/>
  <c r="R81" i="42"/>
  <c r="N81" i="42"/>
  <c r="J81" i="42"/>
  <c r="Z80" i="42"/>
  <c r="V80" i="42"/>
  <c r="R80" i="42"/>
  <c r="N80" i="42"/>
  <c r="J80" i="42"/>
  <c r="G77" i="42"/>
  <c r="E77" i="42"/>
  <c r="J75" i="42"/>
  <c r="X64" i="42"/>
  <c r="W64" i="42"/>
  <c r="T64" i="42"/>
  <c r="S64" i="42"/>
  <c r="P64" i="42"/>
  <c r="O64" i="42"/>
  <c r="L64" i="42"/>
  <c r="K64" i="42"/>
  <c r="H64" i="42"/>
  <c r="G64" i="42"/>
  <c r="E64" i="42"/>
  <c r="Z63" i="42"/>
  <c r="V63" i="42"/>
  <c r="R63" i="42"/>
  <c r="N63" i="42"/>
  <c r="J63" i="42"/>
  <c r="Z62" i="42"/>
  <c r="V62" i="42"/>
  <c r="R62" i="42"/>
  <c r="N62" i="42"/>
  <c r="J62" i="42"/>
  <c r="Z61" i="42"/>
  <c r="V61" i="42"/>
  <c r="R61" i="42"/>
  <c r="N61" i="42"/>
  <c r="J61" i="42"/>
  <c r="X58" i="42"/>
  <c r="W58" i="42"/>
  <c r="T58" i="42"/>
  <c r="S58" i="42"/>
  <c r="P58" i="42"/>
  <c r="O58" i="42"/>
  <c r="L58" i="42"/>
  <c r="K58" i="42"/>
  <c r="H58" i="42"/>
  <c r="G58" i="42"/>
  <c r="E58" i="42"/>
  <c r="Z57" i="42"/>
  <c r="V57" i="42"/>
  <c r="R57" i="42"/>
  <c r="N57" i="42"/>
  <c r="J57" i="42"/>
  <c r="Z56" i="42"/>
  <c r="V56" i="42"/>
  <c r="R56" i="42"/>
  <c r="N56" i="42"/>
  <c r="J56" i="42"/>
  <c r="Z55" i="42"/>
  <c r="V55" i="42"/>
  <c r="R55" i="42"/>
  <c r="N55" i="42"/>
  <c r="J55" i="42"/>
  <c r="E52" i="42"/>
  <c r="G52" i="42"/>
  <c r="Z50" i="42"/>
  <c r="N50" i="42"/>
  <c r="J50" i="42"/>
  <c r="G46" i="42"/>
  <c r="E46" i="42"/>
  <c r="Z44" i="42"/>
  <c r="V44" i="42"/>
  <c r="R44" i="42"/>
  <c r="N44" i="42"/>
  <c r="J44" i="42"/>
  <c r="X40" i="42"/>
  <c r="W40" i="42"/>
  <c r="T40" i="42"/>
  <c r="S40" i="42"/>
  <c r="P40" i="42"/>
  <c r="L40" i="42"/>
  <c r="K40" i="42"/>
  <c r="H40" i="42"/>
  <c r="G40" i="42"/>
  <c r="E40" i="42"/>
  <c r="Z39" i="42"/>
  <c r="V39" i="42"/>
  <c r="R39" i="42"/>
  <c r="N39" i="42"/>
  <c r="J39" i="42"/>
  <c r="Z38" i="42"/>
  <c r="V38" i="42"/>
  <c r="R38" i="42"/>
  <c r="N38" i="42"/>
  <c r="J38" i="42"/>
  <c r="Z37" i="42"/>
  <c r="V37" i="42"/>
  <c r="R37" i="42"/>
  <c r="N37" i="42"/>
  <c r="J37" i="42"/>
  <c r="Z19" i="42"/>
  <c r="N19" i="42"/>
  <c r="D114" i="41" l="1"/>
  <c r="E124" i="41"/>
  <c r="D126" i="41"/>
  <c r="K26" i="20"/>
  <c r="J26" i="20"/>
  <c r="J31" i="20"/>
  <c r="K31" i="20"/>
  <c r="E109" i="41"/>
  <c r="J76" i="42"/>
  <c r="N75" i="42"/>
  <c r="Z75" i="42"/>
  <c r="N74" i="42"/>
  <c r="R75" i="42"/>
  <c r="V74" i="42"/>
  <c r="V75" i="42"/>
  <c r="N76" i="42"/>
  <c r="V76" i="42"/>
  <c r="V50" i="42"/>
  <c r="J74" i="42"/>
  <c r="R74" i="42"/>
  <c r="Z74" i="42"/>
  <c r="R50" i="42"/>
  <c r="H52" i="42"/>
  <c r="J51" i="42"/>
  <c r="V51" i="42"/>
  <c r="Z51" i="42"/>
  <c r="J49" i="42"/>
  <c r="N49" i="42"/>
  <c r="R49" i="42"/>
  <c r="V49" i="42"/>
  <c r="Z49" i="42"/>
  <c r="R19" i="42"/>
  <c r="Z25" i="42"/>
  <c r="N25" i="42"/>
  <c r="V25" i="42"/>
  <c r="V19" i="42"/>
  <c r="R25" i="42"/>
  <c r="D109" i="41" l="1"/>
  <c r="E112" i="41"/>
  <c r="D112" i="41" s="1"/>
  <c r="D122" i="41"/>
  <c r="H77" i="42"/>
  <c r="R76" i="42"/>
  <c r="N51" i="42"/>
  <c r="Z76" i="42"/>
  <c r="K77" i="42"/>
  <c r="K52" i="42"/>
  <c r="R51" i="42"/>
  <c r="D123" i="41" l="1"/>
  <c r="F124" i="41" s="1"/>
  <c r="L77" i="42"/>
  <c r="L52" i="42"/>
  <c r="D124" i="41" l="1"/>
  <c r="O77" i="42"/>
  <c r="O52" i="42"/>
  <c r="P77" i="42" l="1"/>
  <c r="P52" i="42"/>
  <c r="S77" i="42" l="1"/>
  <c r="S52" i="42"/>
  <c r="T77" i="42" l="1"/>
  <c r="T52" i="42"/>
  <c r="W77" i="42" l="1"/>
  <c r="X77" i="42"/>
  <c r="W52" i="42"/>
  <c r="X52" i="42"/>
  <c r="Y32" i="42" l="1"/>
  <c r="U32" i="42"/>
  <c r="Q32" i="42"/>
  <c r="M32" i="42"/>
  <c r="I32" i="42"/>
  <c r="J32" i="42" s="1"/>
  <c r="I95" i="4"/>
  <c r="L32" i="42" s="1"/>
  <c r="P32" i="42" s="1"/>
  <c r="L95" i="4"/>
  <c r="O95" i="4"/>
  <c r="T32" i="42" s="1"/>
  <c r="R95" i="4"/>
  <c r="X32" i="42" s="1"/>
  <c r="H96" i="4"/>
  <c r="I96" i="4" s="1"/>
  <c r="K96" i="4"/>
  <c r="L96" i="4" s="1"/>
  <c r="N96" i="4"/>
  <c r="O96" i="4" s="1"/>
  <c r="Q96" i="4"/>
  <c r="R96" i="4" s="1"/>
  <c r="E96" i="4"/>
  <c r="F96" i="4" s="1"/>
  <c r="E87" i="4"/>
  <c r="E136" i="4" s="1"/>
  <c r="D165" i="20"/>
  <c r="E165" i="20" s="1"/>
  <c r="B164" i="20"/>
  <c r="G164" i="20"/>
  <c r="H164" i="20"/>
  <c r="I164" i="20"/>
  <c r="J164" i="20"/>
  <c r="K164" i="20"/>
  <c r="L164" i="20"/>
  <c r="M164" i="20"/>
  <c r="N164" i="20"/>
  <c r="O164" i="20"/>
  <c r="P164" i="20"/>
  <c r="Q164" i="20"/>
  <c r="R164" i="20"/>
  <c r="E164" i="20"/>
  <c r="F164" i="20"/>
  <c r="D164" i="20"/>
  <c r="D158" i="20"/>
  <c r="I157" i="20"/>
  <c r="L157" i="20"/>
  <c r="O157" i="20"/>
  <c r="R157" i="20"/>
  <c r="F157" i="20"/>
  <c r="D155" i="20"/>
  <c r="I154" i="20"/>
  <c r="L154" i="20"/>
  <c r="O154" i="20"/>
  <c r="R154" i="20"/>
  <c r="F154" i="20"/>
  <c r="D152" i="20"/>
  <c r="I151" i="20"/>
  <c r="L151" i="20"/>
  <c r="O151" i="20"/>
  <c r="R151" i="20"/>
  <c r="F151" i="20"/>
  <c r="D149" i="20"/>
  <c r="I148" i="20"/>
  <c r="L148" i="20"/>
  <c r="O148" i="20"/>
  <c r="R148" i="20"/>
  <c r="F148" i="20"/>
  <c r="D146" i="20"/>
  <c r="I145" i="20"/>
  <c r="L145" i="20"/>
  <c r="O145" i="20"/>
  <c r="R145" i="20"/>
  <c r="F145" i="20"/>
  <c r="D143" i="20"/>
  <c r="I142" i="20"/>
  <c r="L142" i="20"/>
  <c r="O142" i="20"/>
  <c r="R142" i="20"/>
  <c r="F142" i="20"/>
  <c r="D140" i="20"/>
  <c r="I139" i="20"/>
  <c r="L139" i="20"/>
  <c r="O139" i="20"/>
  <c r="R139" i="20"/>
  <c r="F139" i="20"/>
  <c r="D137" i="20"/>
  <c r="I136" i="20"/>
  <c r="L136" i="20"/>
  <c r="O136" i="20"/>
  <c r="R136" i="20"/>
  <c r="F136" i="20"/>
  <c r="I133" i="20"/>
  <c r="F133" i="20"/>
  <c r="I129" i="20"/>
  <c r="L129" i="20"/>
  <c r="O129" i="20"/>
  <c r="R129" i="20"/>
  <c r="F129" i="20"/>
  <c r="G112" i="20"/>
  <c r="H112" i="20"/>
  <c r="I112" i="20"/>
  <c r="I120" i="20" s="1"/>
  <c r="J112" i="20"/>
  <c r="K112" i="20"/>
  <c r="L112" i="20"/>
  <c r="L120" i="20" s="1"/>
  <c r="M112" i="20"/>
  <c r="N112" i="20"/>
  <c r="O112" i="20"/>
  <c r="O120" i="20" s="1"/>
  <c r="P112" i="20"/>
  <c r="Q112" i="20"/>
  <c r="R112" i="20"/>
  <c r="R120" i="20" s="1"/>
  <c r="F112" i="20"/>
  <c r="D109" i="20"/>
  <c r="I108" i="20"/>
  <c r="L108" i="20"/>
  <c r="O108" i="20"/>
  <c r="R108" i="20"/>
  <c r="F108" i="20"/>
  <c r="D105" i="20"/>
  <c r="D166" i="20"/>
  <c r="E135" i="20"/>
  <c r="E163" i="20" s="1"/>
  <c r="F135" i="20"/>
  <c r="F163" i="20" s="1"/>
  <c r="G135" i="20"/>
  <c r="G163" i="20" s="1"/>
  <c r="H135" i="20"/>
  <c r="H163" i="20" s="1"/>
  <c r="I135" i="20"/>
  <c r="I163" i="20" s="1"/>
  <c r="J135" i="20"/>
  <c r="J163" i="20" s="1"/>
  <c r="K135" i="20"/>
  <c r="K163" i="20" s="1"/>
  <c r="L135" i="20"/>
  <c r="L163" i="20" s="1"/>
  <c r="M135" i="20"/>
  <c r="M163" i="20" s="1"/>
  <c r="N135" i="20"/>
  <c r="N163" i="20" s="1"/>
  <c r="O135" i="20"/>
  <c r="O163" i="20" s="1"/>
  <c r="P135" i="20"/>
  <c r="P163" i="20" s="1"/>
  <c r="Q135" i="20"/>
  <c r="Q163" i="20" s="1"/>
  <c r="R135" i="20"/>
  <c r="R163" i="20" s="1"/>
  <c r="D135" i="20"/>
  <c r="D163" i="20" s="1"/>
  <c r="F90" i="20"/>
  <c r="I89" i="20"/>
  <c r="F89" i="20"/>
  <c r="I92" i="20"/>
  <c r="L92" i="20"/>
  <c r="O92" i="20"/>
  <c r="R92" i="20"/>
  <c r="F92" i="20"/>
  <c r="D85" i="20"/>
  <c r="I84" i="20"/>
  <c r="L84" i="20"/>
  <c r="O84" i="20"/>
  <c r="R84" i="20"/>
  <c r="F84" i="20"/>
  <c r="D82" i="20"/>
  <c r="I81" i="20"/>
  <c r="L81" i="20"/>
  <c r="O81" i="20"/>
  <c r="R81" i="20"/>
  <c r="F81" i="20"/>
  <c r="D79" i="20"/>
  <c r="I78" i="20"/>
  <c r="L78" i="20"/>
  <c r="O78" i="20"/>
  <c r="R78" i="20"/>
  <c r="F78" i="20"/>
  <c r="D76" i="20"/>
  <c r="I75" i="20"/>
  <c r="L75" i="20"/>
  <c r="O75" i="20"/>
  <c r="R75" i="20"/>
  <c r="F75" i="20"/>
  <c r="D73" i="20"/>
  <c r="I72" i="20"/>
  <c r="L72" i="20"/>
  <c r="O72" i="20"/>
  <c r="R72" i="20"/>
  <c r="F72" i="20"/>
  <c r="D70" i="20"/>
  <c r="I69" i="20"/>
  <c r="L69" i="20"/>
  <c r="O69" i="20"/>
  <c r="R69" i="20"/>
  <c r="F69" i="20"/>
  <c r="D67" i="20"/>
  <c r="I66" i="20"/>
  <c r="L66" i="20"/>
  <c r="O66" i="20"/>
  <c r="R66" i="20"/>
  <c r="F66" i="20"/>
  <c r="D64" i="20"/>
  <c r="I63" i="20"/>
  <c r="L63" i="20"/>
  <c r="O63" i="20"/>
  <c r="R63" i="20"/>
  <c r="F63" i="20"/>
  <c r="D60" i="20"/>
  <c r="I59" i="20"/>
  <c r="L59" i="20"/>
  <c r="O59" i="20"/>
  <c r="R59" i="20"/>
  <c r="F59" i="20"/>
  <c r="D57" i="20"/>
  <c r="I56" i="20"/>
  <c r="L56" i="20"/>
  <c r="O56" i="20"/>
  <c r="R56" i="20"/>
  <c r="F56" i="20"/>
  <c r="D54" i="20"/>
  <c r="I53" i="20"/>
  <c r="L53" i="20"/>
  <c r="O53" i="20"/>
  <c r="R53" i="20"/>
  <c r="F53" i="20"/>
  <c r="D51" i="20"/>
  <c r="I50" i="20"/>
  <c r="L50" i="20"/>
  <c r="O50" i="20"/>
  <c r="R50" i="20"/>
  <c r="F50" i="20"/>
  <c r="D48" i="20"/>
  <c r="I47" i="20"/>
  <c r="L47" i="20"/>
  <c r="O47" i="20"/>
  <c r="R47" i="20"/>
  <c r="F47" i="20"/>
  <c r="D45" i="20"/>
  <c r="I44" i="20"/>
  <c r="L44" i="20"/>
  <c r="O44" i="20"/>
  <c r="R44" i="20"/>
  <c r="F44" i="20"/>
  <c r="D42" i="20"/>
  <c r="I41" i="20"/>
  <c r="L41" i="20"/>
  <c r="O41" i="20"/>
  <c r="R41" i="20"/>
  <c r="F41" i="20"/>
  <c r="I34" i="20"/>
  <c r="F34" i="20"/>
  <c r="E82" i="20" s="1"/>
  <c r="D39" i="20"/>
  <c r="I38" i="20"/>
  <c r="L38" i="20"/>
  <c r="O38" i="20"/>
  <c r="R38" i="20"/>
  <c r="F38" i="20"/>
  <c r="B85" i="20"/>
  <c r="B82" i="20"/>
  <c r="B79" i="20"/>
  <c r="B76" i="20"/>
  <c r="B73" i="20"/>
  <c r="B70" i="20"/>
  <c r="B67" i="20"/>
  <c r="B64" i="20"/>
  <c r="B60" i="20"/>
  <c r="B57" i="20"/>
  <c r="B54" i="20"/>
  <c r="B51" i="20"/>
  <c r="B48" i="20"/>
  <c r="B45" i="20"/>
  <c r="B42" i="20"/>
  <c r="B39" i="20"/>
  <c r="F87" i="4"/>
  <c r="D113" i="20" l="1"/>
  <c r="Z32" i="42"/>
  <c r="E174" i="4"/>
  <c r="E175" i="4" s="1"/>
  <c r="D136" i="20" s="1"/>
  <c r="D138" i="20" s="1"/>
  <c r="E139" i="4"/>
  <c r="E158" i="20"/>
  <c r="G158" i="20" s="1"/>
  <c r="H158" i="20" s="1"/>
  <c r="J158" i="20" s="1"/>
  <c r="N32" i="42"/>
  <c r="W32" i="42"/>
  <c r="K32" i="42"/>
  <c r="O32" i="42" s="1"/>
  <c r="S32" i="42"/>
  <c r="V32" i="42"/>
  <c r="R32" i="42"/>
  <c r="E137" i="20"/>
  <c r="G137" i="20" s="1"/>
  <c r="H137" i="20" s="1"/>
  <c r="J137" i="20" s="1"/>
  <c r="E140" i="20"/>
  <c r="G140" i="20" s="1"/>
  <c r="H140" i="20" s="1"/>
  <c r="J140" i="20" s="1"/>
  <c r="G165" i="20"/>
  <c r="F162" i="20"/>
  <c r="D130" i="20"/>
  <c r="E155" i="20"/>
  <c r="G155" i="20" s="1"/>
  <c r="H155" i="20" s="1"/>
  <c r="J155" i="20" s="1"/>
  <c r="E146" i="20"/>
  <c r="G146" i="20" s="1"/>
  <c r="H146" i="20" s="1"/>
  <c r="J146" i="20" s="1"/>
  <c r="E143" i="20"/>
  <c r="G143" i="20" s="1"/>
  <c r="H143" i="20" s="1"/>
  <c r="J143" i="20" s="1"/>
  <c r="E149" i="20"/>
  <c r="G149" i="20" s="1"/>
  <c r="E166" i="20"/>
  <c r="F166" i="20" s="1"/>
  <c r="F165" i="20" s="1"/>
  <c r="E152" i="20"/>
  <c r="G152" i="20" s="1"/>
  <c r="H152" i="20" s="1"/>
  <c r="J152" i="20" s="1"/>
  <c r="E39" i="20"/>
  <c r="E42" i="20"/>
  <c r="E45" i="20"/>
  <c r="E48" i="20"/>
  <c r="G48" i="20" s="1"/>
  <c r="H48" i="20" s="1"/>
  <c r="J48" i="20" s="1"/>
  <c r="E60" i="20"/>
  <c r="E51" i="20"/>
  <c r="G51" i="20" s="1"/>
  <c r="H51" i="20" s="1"/>
  <c r="E57" i="20"/>
  <c r="G57" i="20" s="1"/>
  <c r="H57" i="20" s="1"/>
  <c r="E64" i="20"/>
  <c r="E70" i="20"/>
  <c r="G70" i="20" s="1"/>
  <c r="E54" i="20"/>
  <c r="G54" i="20" s="1"/>
  <c r="H54" i="20" s="1"/>
  <c r="E79" i="20"/>
  <c r="G79" i="20" s="1"/>
  <c r="E67" i="20"/>
  <c r="G67" i="20" s="1"/>
  <c r="E73" i="20"/>
  <c r="G73" i="20" s="1"/>
  <c r="E85" i="20"/>
  <c r="G85" i="20" s="1"/>
  <c r="G82" i="20"/>
  <c r="E76" i="20"/>
  <c r="D118" i="20" l="1"/>
  <c r="D126" i="20"/>
  <c r="D127" i="20" s="1"/>
  <c r="D119" i="20"/>
  <c r="D122" i="20" s="1"/>
  <c r="H67" i="20"/>
  <c r="J67" i="20" s="1"/>
  <c r="H149" i="20"/>
  <c r="J149" i="20" s="1"/>
  <c r="H165" i="20"/>
  <c r="G166" i="20"/>
  <c r="H79" i="20"/>
  <c r="J79" i="20" s="1"/>
  <c r="J57" i="20"/>
  <c r="H85" i="20"/>
  <c r="G76" i="20"/>
  <c r="H73" i="20"/>
  <c r="H82" i="20"/>
  <c r="G64" i="20"/>
  <c r="H70" i="20"/>
  <c r="J51" i="20"/>
  <c r="G60" i="20"/>
  <c r="F21" i="20"/>
  <c r="I21" i="20" s="1"/>
  <c r="F16" i="20"/>
  <c r="I30" i="20"/>
  <c r="L30" i="20"/>
  <c r="O30" i="20"/>
  <c r="R30" i="20"/>
  <c r="F30" i="20"/>
  <c r="I25" i="20"/>
  <c r="L25" i="20"/>
  <c r="O25" i="20"/>
  <c r="R25" i="20"/>
  <c r="F25" i="20"/>
  <c r="I20" i="20"/>
  <c r="L20" i="20"/>
  <c r="O20" i="20"/>
  <c r="R20" i="20"/>
  <c r="F20" i="20"/>
  <c r="I15" i="20"/>
  <c r="L15" i="20"/>
  <c r="O15" i="20"/>
  <c r="R15" i="20"/>
  <c r="F15" i="20"/>
  <c r="P14" i="20"/>
  <c r="P24" i="20" s="1"/>
  <c r="Q14" i="20"/>
  <c r="Q19" i="20" s="1"/>
  <c r="R14" i="20"/>
  <c r="R24" i="20" s="1"/>
  <c r="C14" i="20"/>
  <c r="C24" i="20" s="1"/>
  <c r="D14" i="20"/>
  <c r="D24" i="20" s="1"/>
  <c r="E14" i="20"/>
  <c r="E24" i="20" s="1"/>
  <c r="F14" i="20"/>
  <c r="F24" i="20" s="1"/>
  <c r="G14" i="20"/>
  <c r="G24" i="20" s="1"/>
  <c r="H14" i="20"/>
  <c r="H24" i="20" s="1"/>
  <c r="I14" i="20"/>
  <c r="I24" i="20" s="1"/>
  <c r="J14" i="20"/>
  <c r="J24" i="20" s="1"/>
  <c r="K14" i="20"/>
  <c r="K24" i="20" s="1"/>
  <c r="L14" i="20"/>
  <c r="L24" i="20" s="1"/>
  <c r="M14" i="20"/>
  <c r="M24" i="20" s="1"/>
  <c r="N14" i="20"/>
  <c r="N24" i="20" s="1"/>
  <c r="O14" i="20"/>
  <c r="O24" i="20" s="1"/>
  <c r="B14" i="20"/>
  <c r="B24" i="20" s="1"/>
  <c r="I3" i="20"/>
  <c r="I2" i="20"/>
  <c r="F3" i="20"/>
  <c r="E11" i="20" s="1"/>
  <c r="G11" i="20" s="1"/>
  <c r="F2" i="20"/>
  <c r="I6" i="20"/>
  <c r="L6" i="20"/>
  <c r="O6" i="20"/>
  <c r="R6" i="20"/>
  <c r="F6" i="20"/>
  <c r="H174" i="4"/>
  <c r="H176" i="4" s="1"/>
  <c r="K174" i="4"/>
  <c r="L174" i="4" s="1"/>
  <c r="N174" i="4"/>
  <c r="O174" i="4" s="1"/>
  <c r="Q174" i="4"/>
  <c r="R174" i="4" s="1"/>
  <c r="E182" i="4"/>
  <c r="E181" i="4"/>
  <c r="E176" i="4"/>
  <c r="Q24" i="20" l="1"/>
  <c r="F181" i="4"/>
  <c r="E154" i="20" s="1"/>
  <c r="E156" i="20" s="1"/>
  <c r="D154" i="20"/>
  <c r="D156" i="20" s="1"/>
  <c r="F182" i="4"/>
  <c r="E157" i="20" s="1"/>
  <c r="E159" i="20" s="1"/>
  <c r="D157" i="20"/>
  <c r="D159" i="20" s="1"/>
  <c r="I176" i="4"/>
  <c r="H139" i="20" s="1"/>
  <c r="H141" i="20" s="1"/>
  <c r="G139" i="20"/>
  <c r="G141" i="20" s="1"/>
  <c r="F176" i="4"/>
  <c r="E139" i="20" s="1"/>
  <c r="E141" i="20" s="1"/>
  <c r="D139" i="20"/>
  <c r="D141" i="20" s="1"/>
  <c r="H166" i="20"/>
  <c r="I166" i="20" s="1"/>
  <c r="I165" i="20" s="1"/>
  <c r="J165" i="20"/>
  <c r="I162" i="20"/>
  <c r="D16" i="20"/>
  <c r="I16" i="20"/>
  <c r="H76" i="20"/>
  <c r="H64" i="20"/>
  <c r="J70" i="20"/>
  <c r="J82" i="20"/>
  <c r="J73" i="20"/>
  <c r="J85" i="20"/>
  <c r="H60" i="20"/>
  <c r="J54" i="20"/>
  <c r="K182" i="4"/>
  <c r="K175" i="4"/>
  <c r="N179" i="4"/>
  <c r="K179" i="4"/>
  <c r="N182" i="4"/>
  <c r="K178" i="4"/>
  <c r="E179" i="4"/>
  <c r="F174" i="4"/>
  <c r="E178" i="4"/>
  <c r="F175" i="4"/>
  <c r="E136" i="20" s="1"/>
  <c r="R19" i="20"/>
  <c r="N19" i="20"/>
  <c r="J19" i="20"/>
  <c r="F19" i="20"/>
  <c r="M19" i="20"/>
  <c r="I19" i="20"/>
  <c r="E19" i="20"/>
  <c r="L19" i="20"/>
  <c r="D19" i="20"/>
  <c r="D29" i="20" s="1"/>
  <c r="P19" i="20"/>
  <c r="H19" i="20"/>
  <c r="B19" i="20"/>
  <c r="B29" i="20" s="1"/>
  <c r="O19" i="20"/>
  <c r="K19" i="20"/>
  <c r="G19" i="20"/>
  <c r="C19" i="20"/>
  <c r="C29" i="20" s="1"/>
  <c r="E21" i="20"/>
  <c r="H21" i="20"/>
  <c r="G21" i="20"/>
  <c r="E16" i="20"/>
  <c r="D21" i="20"/>
  <c r="H179" i="4"/>
  <c r="H182" i="4"/>
  <c r="Q182" i="4"/>
  <c r="H175" i="4"/>
  <c r="H178" i="4"/>
  <c r="Q175" i="4"/>
  <c r="E177" i="4"/>
  <c r="H181" i="4"/>
  <c r="H177" i="4"/>
  <c r="K181" i="4"/>
  <c r="K177" i="4"/>
  <c r="N181" i="4"/>
  <c r="N177" i="4"/>
  <c r="Q181" i="4"/>
  <c r="Q177" i="4"/>
  <c r="Q179" i="4"/>
  <c r="N175" i="4"/>
  <c r="N178" i="4"/>
  <c r="Q178" i="4"/>
  <c r="E180" i="4"/>
  <c r="I174" i="4"/>
  <c r="H180" i="4"/>
  <c r="K180" i="4"/>
  <c r="K176" i="4"/>
  <c r="N180" i="4"/>
  <c r="N176" i="4"/>
  <c r="Q180" i="4"/>
  <c r="Q176" i="4"/>
  <c r="F24" i="4"/>
  <c r="G24" i="4"/>
  <c r="H24" i="4"/>
  <c r="I24" i="4"/>
  <c r="J24" i="4"/>
  <c r="K24" i="4"/>
  <c r="E24" i="4"/>
  <c r="E25" i="4" s="1"/>
  <c r="E26" i="4" s="1"/>
  <c r="F156" i="20" l="1"/>
  <c r="F155" i="20" s="1"/>
  <c r="O177" i="4"/>
  <c r="N142" i="20" s="1"/>
  <c r="M142" i="20"/>
  <c r="I178" i="4"/>
  <c r="H145" i="20" s="1"/>
  <c r="H147" i="20" s="1"/>
  <c r="G145" i="20"/>
  <c r="G147" i="20" s="1"/>
  <c r="I179" i="4"/>
  <c r="H148" i="20" s="1"/>
  <c r="H150" i="20" s="1"/>
  <c r="G148" i="20"/>
  <c r="G150" i="20" s="1"/>
  <c r="F178" i="4"/>
  <c r="E145" i="20" s="1"/>
  <c r="E147" i="20" s="1"/>
  <c r="D145" i="20"/>
  <c r="D147" i="20" s="1"/>
  <c r="L182" i="4"/>
  <c r="K157" i="20" s="1"/>
  <c r="J157" i="20"/>
  <c r="J159" i="20" s="1"/>
  <c r="R176" i="4"/>
  <c r="Q139" i="20" s="1"/>
  <c r="P139" i="20"/>
  <c r="L176" i="4"/>
  <c r="K139" i="20" s="1"/>
  <c r="J139" i="20"/>
  <c r="J141" i="20" s="1"/>
  <c r="F180" i="4"/>
  <c r="E151" i="20" s="1"/>
  <c r="E153" i="20" s="1"/>
  <c r="D151" i="20"/>
  <c r="D153" i="20" s="1"/>
  <c r="R179" i="4"/>
  <c r="Q148" i="20" s="1"/>
  <c r="P148" i="20"/>
  <c r="O181" i="4"/>
  <c r="N154" i="20" s="1"/>
  <c r="M154" i="20"/>
  <c r="I181" i="4"/>
  <c r="H154" i="20" s="1"/>
  <c r="H156" i="20" s="1"/>
  <c r="G154" i="20"/>
  <c r="G156" i="20" s="1"/>
  <c r="I175" i="4"/>
  <c r="H136" i="20" s="1"/>
  <c r="G136" i="20"/>
  <c r="L179" i="4"/>
  <c r="K148" i="20" s="1"/>
  <c r="J148" i="20"/>
  <c r="J150" i="20" s="1"/>
  <c r="I141" i="20"/>
  <c r="I140" i="20" s="1"/>
  <c r="L180" i="4"/>
  <c r="K151" i="20" s="1"/>
  <c r="J151" i="20"/>
  <c r="R177" i="4"/>
  <c r="Q142" i="20" s="1"/>
  <c r="P142" i="20"/>
  <c r="R182" i="4"/>
  <c r="Q157" i="20" s="1"/>
  <c r="P157" i="20"/>
  <c r="F179" i="4"/>
  <c r="E148" i="20" s="1"/>
  <c r="E150" i="20" s="1"/>
  <c r="D148" i="20"/>
  <c r="D150" i="20" s="1"/>
  <c r="R180" i="4"/>
  <c r="Q151" i="20" s="1"/>
  <c r="P151" i="20"/>
  <c r="R178" i="4"/>
  <c r="Q145" i="20" s="1"/>
  <c r="P145" i="20"/>
  <c r="L177" i="4"/>
  <c r="K142" i="20" s="1"/>
  <c r="J142" i="20"/>
  <c r="J144" i="20" s="1"/>
  <c r="F177" i="4"/>
  <c r="E142" i="20" s="1"/>
  <c r="E144" i="20" s="1"/>
  <c r="D142" i="20"/>
  <c r="D144" i="20" s="1"/>
  <c r="O179" i="4"/>
  <c r="N148" i="20" s="1"/>
  <c r="M148" i="20"/>
  <c r="F141" i="20"/>
  <c r="F140" i="20" s="1"/>
  <c r="O176" i="4"/>
  <c r="N139" i="20" s="1"/>
  <c r="M139" i="20"/>
  <c r="I180" i="4"/>
  <c r="H151" i="20" s="1"/>
  <c r="H153" i="20" s="1"/>
  <c r="G151" i="20"/>
  <c r="G153" i="20" s="1"/>
  <c r="O178" i="4"/>
  <c r="N145" i="20" s="1"/>
  <c r="M145" i="20"/>
  <c r="R181" i="4"/>
  <c r="Q154" i="20" s="1"/>
  <c r="P154" i="20"/>
  <c r="L181" i="4"/>
  <c r="K154" i="20" s="1"/>
  <c r="J154" i="20"/>
  <c r="J156" i="20" s="1"/>
  <c r="R175" i="4"/>
  <c r="Q136" i="20" s="1"/>
  <c r="P136" i="20"/>
  <c r="I182" i="4"/>
  <c r="H157" i="20" s="1"/>
  <c r="H159" i="20" s="1"/>
  <c r="G157" i="20"/>
  <c r="G159" i="20" s="1"/>
  <c r="L178" i="4"/>
  <c r="K145" i="20" s="1"/>
  <c r="J145" i="20"/>
  <c r="J147" i="20" s="1"/>
  <c r="L175" i="4"/>
  <c r="K136" i="20" s="1"/>
  <c r="J136" i="20"/>
  <c r="F159" i="20"/>
  <c r="F158" i="20" s="1"/>
  <c r="O180" i="4"/>
  <c r="N151" i="20" s="1"/>
  <c r="M151" i="20"/>
  <c r="O175" i="4"/>
  <c r="N136" i="20" s="1"/>
  <c r="M136" i="20"/>
  <c r="I177" i="4"/>
  <c r="H142" i="20" s="1"/>
  <c r="H144" i="20" s="1"/>
  <c r="G142" i="20"/>
  <c r="G144" i="20" s="1"/>
  <c r="O182" i="4"/>
  <c r="N157" i="20" s="1"/>
  <c r="M157" i="20"/>
  <c r="J166" i="20"/>
  <c r="J64" i="20"/>
  <c r="J76" i="20"/>
  <c r="J60" i="20"/>
  <c r="G16" i="20"/>
  <c r="H16" i="20"/>
  <c r="E29" i="20"/>
  <c r="C182" i="4"/>
  <c r="B158" i="20" s="1"/>
  <c r="C181" i="4"/>
  <c r="B155" i="20" s="1"/>
  <c r="C180" i="4"/>
  <c r="B152" i="20" s="1"/>
  <c r="C179" i="4"/>
  <c r="B149" i="20" s="1"/>
  <c r="C178" i="4"/>
  <c r="B146" i="20" s="1"/>
  <c r="C177" i="4"/>
  <c r="B143" i="20" s="1"/>
  <c r="C176" i="4"/>
  <c r="B140" i="20" s="1"/>
  <c r="C175" i="4"/>
  <c r="B137" i="20" s="1"/>
  <c r="C160" i="4"/>
  <c r="C169" i="4" s="1"/>
  <c r="C159" i="4"/>
  <c r="C168" i="4" s="1"/>
  <c r="C158" i="4"/>
  <c r="C167" i="4" s="1"/>
  <c r="C157" i="4"/>
  <c r="C166" i="4" s="1"/>
  <c r="C156" i="4"/>
  <c r="C165" i="4" s="1"/>
  <c r="C155" i="4"/>
  <c r="C164" i="4" s="1"/>
  <c r="C154" i="4"/>
  <c r="C163" i="4" s="1"/>
  <c r="C153" i="4"/>
  <c r="C162" i="4" s="1"/>
  <c r="E88" i="4"/>
  <c r="D160" i="20" l="1"/>
  <c r="E86" i="4"/>
  <c r="E135" i="4" s="1"/>
  <c r="D104" i="20" s="1"/>
  <c r="E137" i="4"/>
  <c r="E140" i="4" s="1"/>
  <c r="F153" i="20"/>
  <c r="F152" i="20" s="1"/>
  <c r="I147" i="20"/>
  <c r="I146" i="20" s="1"/>
  <c r="I144" i="20"/>
  <c r="I143" i="20" s="1"/>
  <c r="I156" i="20"/>
  <c r="I155" i="20" s="1"/>
  <c r="I150" i="20"/>
  <c r="I149" i="20" s="1"/>
  <c r="I153" i="20"/>
  <c r="I152" i="20" s="1"/>
  <c r="I159" i="20"/>
  <c r="I158" i="20" s="1"/>
  <c r="F147" i="20"/>
  <c r="F146" i="20" s="1"/>
  <c r="F144" i="20"/>
  <c r="F143" i="20" s="1"/>
  <c r="F88" i="4"/>
  <c r="F86" i="4" s="1"/>
  <c r="F150" i="20"/>
  <c r="F149" i="20" s="1"/>
  <c r="J153" i="20"/>
  <c r="E138" i="4" l="1"/>
  <c r="D112" i="20"/>
  <c r="F136" i="4"/>
  <c r="D114" i="20" l="1"/>
  <c r="E112" i="20"/>
  <c r="F139" i="4"/>
  <c r="P104" i="20"/>
  <c r="G104" i="20"/>
  <c r="M104" i="20"/>
  <c r="J104" i="20"/>
  <c r="S125" i="4"/>
  <c r="S118" i="4"/>
  <c r="S114" i="4"/>
  <c r="S112" i="4"/>
  <c r="S109" i="4"/>
  <c r="S110" i="4"/>
  <c r="S111" i="4"/>
  <c r="S108" i="4"/>
  <c r="P118" i="4"/>
  <c r="P114" i="4"/>
  <c r="P112" i="4"/>
  <c r="P109" i="4"/>
  <c r="P110" i="4"/>
  <c r="P111" i="4"/>
  <c r="P108" i="4"/>
  <c r="M125" i="4"/>
  <c r="M118" i="4"/>
  <c r="M114" i="4"/>
  <c r="M112" i="4"/>
  <c r="M109" i="4"/>
  <c r="M110" i="4"/>
  <c r="M111" i="4"/>
  <c r="M108" i="4"/>
  <c r="J125" i="4"/>
  <c r="J118" i="4"/>
  <c r="J114" i="4"/>
  <c r="J112" i="4"/>
  <c r="J108" i="4"/>
  <c r="J109" i="4"/>
  <c r="J110" i="4"/>
  <c r="J111" i="4"/>
  <c r="G114" i="4"/>
  <c r="J115" i="4"/>
  <c r="M115" i="4"/>
  <c r="P115" i="4"/>
  <c r="S115" i="4"/>
  <c r="J116" i="4"/>
  <c r="M116" i="4"/>
  <c r="P116" i="4"/>
  <c r="S116" i="4"/>
  <c r="J117" i="4"/>
  <c r="M117" i="4"/>
  <c r="P117" i="4"/>
  <c r="S117" i="4"/>
  <c r="P125" i="4"/>
  <c r="G125" i="4"/>
  <c r="G118" i="4"/>
  <c r="G115" i="4"/>
  <c r="G116" i="4"/>
  <c r="G117" i="4"/>
  <c r="G109" i="4"/>
  <c r="G110" i="4"/>
  <c r="G111" i="4"/>
  <c r="G112" i="4"/>
  <c r="G108" i="4"/>
  <c r="J84" i="4"/>
  <c r="M84" i="4"/>
  <c r="P84" i="4"/>
  <c r="S84" i="4"/>
  <c r="J85" i="4"/>
  <c r="M85" i="4"/>
  <c r="P85" i="4"/>
  <c r="S85" i="4"/>
  <c r="F137" i="4"/>
  <c r="F140" i="4" s="1"/>
  <c r="S130" i="4"/>
  <c r="P130" i="4"/>
  <c r="M130" i="4"/>
  <c r="J130" i="4"/>
  <c r="G85" i="4"/>
  <c r="G84" i="4"/>
  <c r="E81" i="4"/>
  <c r="E80" i="4" s="1"/>
  <c r="F25" i="4"/>
  <c r="G25" i="4"/>
  <c r="H25" i="4"/>
  <c r="I25" i="4"/>
  <c r="J25" i="4"/>
  <c r="K25" i="4"/>
  <c r="F121" i="20" l="1"/>
  <c r="J107" i="4"/>
  <c r="E151" i="4"/>
  <c r="E161" i="4" s="1"/>
  <c r="E129" i="4"/>
  <c r="D92" i="20" s="1"/>
  <c r="E100" i="4"/>
  <c r="E101" i="4" s="1"/>
  <c r="E120" i="4" s="1"/>
  <c r="W7" i="42"/>
  <c r="X7" i="42"/>
  <c r="Q81" i="4"/>
  <c r="Q80" i="4" s="1"/>
  <c r="Q151" i="4" s="1"/>
  <c r="K81" i="4"/>
  <c r="K80" i="4" s="1"/>
  <c r="K151" i="4" s="1"/>
  <c r="O81" i="4"/>
  <c r="I81" i="4"/>
  <c r="N81" i="4"/>
  <c r="P81" i="4" s="1"/>
  <c r="H81" i="4"/>
  <c r="H80" i="4" s="1"/>
  <c r="H151" i="4" s="1"/>
  <c r="R81" i="4"/>
  <c r="L81" i="4"/>
  <c r="E129" i="20"/>
  <c r="G107" i="4"/>
  <c r="E141" i="4"/>
  <c r="F81" i="4"/>
  <c r="G81" i="4" s="1"/>
  <c r="M107" i="4"/>
  <c r="S107" i="4"/>
  <c r="P107" i="4"/>
  <c r="L135" i="4"/>
  <c r="L138" i="4" s="1"/>
  <c r="L137" i="4"/>
  <c r="L140" i="4" s="1"/>
  <c r="F80" i="4"/>
  <c r="R137" i="4"/>
  <c r="R140" i="4" s="1"/>
  <c r="O137" i="4"/>
  <c r="O140" i="4" s="1"/>
  <c r="F120" i="20" l="1"/>
  <c r="E152" i="4"/>
  <c r="F151" i="4"/>
  <c r="F100" i="4"/>
  <c r="M81" i="4"/>
  <c r="J81" i="4"/>
  <c r="S81" i="4"/>
  <c r="N80" i="4"/>
  <c r="K129" i="4"/>
  <c r="J92" i="20" s="1"/>
  <c r="K141" i="4"/>
  <c r="L141" i="4" s="1"/>
  <c r="K108" i="20" s="1"/>
  <c r="H141" i="4"/>
  <c r="G108" i="20" s="1"/>
  <c r="H129" i="20"/>
  <c r="Q141" i="4"/>
  <c r="R141" i="4" s="1"/>
  <c r="Q108" i="20" s="1"/>
  <c r="G129" i="20"/>
  <c r="K129" i="20"/>
  <c r="P129" i="20"/>
  <c r="D129" i="20"/>
  <c r="D131" i="20" s="1"/>
  <c r="Q129" i="20"/>
  <c r="M129" i="20"/>
  <c r="J129" i="20"/>
  <c r="N129" i="20"/>
  <c r="F141" i="4"/>
  <c r="E108" i="20" s="1"/>
  <c r="D108" i="20"/>
  <c r="R151" i="4"/>
  <c r="Q161" i="4"/>
  <c r="Q152" i="4"/>
  <c r="E164" i="4"/>
  <c r="E168" i="4"/>
  <c r="E169" i="4"/>
  <c r="E163" i="4"/>
  <c r="E165" i="4"/>
  <c r="E162" i="4"/>
  <c r="E166" i="4"/>
  <c r="F161" i="4"/>
  <c r="E167" i="4"/>
  <c r="K161" i="4"/>
  <c r="L151" i="4"/>
  <c r="K152" i="4"/>
  <c r="H161" i="4"/>
  <c r="H152" i="4"/>
  <c r="I151" i="4"/>
  <c r="F152" i="4"/>
  <c r="E154" i="4"/>
  <c r="E158" i="4"/>
  <c r="E156" i="4"/>
  <c r="F156" i="4" s="1"/>
  <c r="E160" i="4"/>
  <c r="F160" i="4" s="1"/>
  <c r="E155" i="4"/>
  <c r="E159" i="4"/>
  <c r="F159" i="4" s="1"/>
  <c r="E153" i="4"/>
  <c r="E157" i="4"/>
  <c r="F157" i="4" s="1"/>
  <c r="F135" i="4"/>
  <c r="R80" i="4"/>
  <c r="Q100" i="4"/>
  <c r="E105" i="4"/>
  <c r="E124" i="4" s="1"/>
  <c r="D30" i="20" s="1"/>
  <c r="D32" i="20" s="1"/>
  <c r="E125" i="4"/>
  <c r="E103" i="4"/>
  <c r="E122" i="4" s="1"/>
  <c r="D20" i="20" s="1"/>
  <c r="D22" i="20" s="1"/>
  <c r="E102" i="4"/>
  <c r="E121" i="4" s="1"/>
  <c r="D15" i="20" s="1"/>
  <c r="D17" i="20" s="1"/>
  <c r="E104" i="4"/>
  <c r="E123" i="4" s="1"/>
  <c r="D25" i="20" s="1"/>
  <c r="D27" i="20" s="1"/>
  <c r="D6" i="20"/>
  <c r="E130" i="4"/>
  <c r="F129" i="4"/>
  <c r="L80" i="4"/>
  <c r="K100" i="4"/>
  <c r="F105" i="4"/>
  <c r="F124" i="4" s="1"/>
  <c r="E30" i="20" s="1"/>
  <c r="E32" i="20" s="1"/>
  <c r="F103" i="4"/>
  <c r="F122" i="4" s="1"/>
  <c r="E20" i="20" s="1"/>
  <c r="E22" i="20" s="1"/>
  <c r="F101" i="4"/>
  <c r="F120" i="4" s="1"/>
  <c r="E6" i="20" s="1"/>
  <c r="F125" i="4"/>
  <c r="F102" i="4"/>
  <c r="F121" i="4" s="1"/>
  <c r="E15" i="20" s="1"/>
  <c r="E17" i="20" s="1"/>
  <c r="F104" i="4"/>
  <c r="F123" i="4" s="1"/>
  <c r="E25" i="20" s="1"/>
  <c r="E27" i="20" s="1"/>
  <c r="I80" i="4"/>
  <c r="H100" i="4"/>
  <c r="H129" i="4"/>
  <c r="G92" i="20" s="1"/>
  <c r="Q129" i="4"/>
  <c r="Q130" i="4" s="1"/>
  <c r="O135" i="4"/>
  <c r="O138" i="4" s="1"/>
  <c r="R135" i="4"/>
  <c r="R138" i="4" s="1"/>
  <c r="L129" i="4"/>
  <c r="F138" i="4" l="1"/>
  <c r="E104" i="20"/>
  <c r="N100" i="4"/>
  <c r="N141" i="4"/>
  <c r="M108" i="20" s="1"/>
  <c r="I141" i="4"/>
  <c r="H108" i="20" s="1"/>
  <c r="K130" i="4"/>
  <c r="N151" i="4"/>
  <c r="O151" i="4" s="1"/>
  <c r="O80" i="4"/>
  <c r="N129" i="4"/>
  <c r="M92" i="20" s="1"/>
  <c r="J108" i="20"/>
  <c r="I129" i="4"/>
  <c r="I130" i="4" s="1"/>
  <c r="P108" i="20"/>
  <c r="H130" i="4"/>
  <c r="R129" i="4"/>
  <c r="P92" i="20"/>
  <c r="L130" i="4"/>
  <c r="K92" i="20"/>
  <c r="F27" i="20"/>
  <c r="F32" i="20"/>
  <c r="F155" i="4"/>
  <c r="E44" i="20" s="1"/>
  <c r="D44" i="20"/>
  <c r="F154" i="4"/>
  <c r="E41" i="20" s="1"/>
  <c r="D41" i="20"/>
  <c r="F167" i="4"/>
  <c r="E78" i="20" s="1"/>
  <c r="E80" i="20" s="1"/>
  <c r="D78" i="20"/>
  <c r="D80" i="20" s="1"/>
  <c r="F165" i="4"/>
  <c r="D72" i="20"/>
  <c r="D74" i="20" s="1"/>
  <c r="D47" i="20"/>
  <c r="F164" i="4"/>
  <c r="E69" i="20" s="1"/>
  <c r="E71" i="20" s="1"/>
  <c r="D69" i="20"/>
  <c r="D71" i="20" s="1"/>
  <c r="F130" i="4"/>
  <c r="E92" i="20"/>
  <c r="F17" i="20"/>
  <c r="F163" i="4"/>
  <c r="E66" i="20" s="1"/>
  <c r="E68" i="20" s="1"/>
  <c r="D66" i="20"/>
  <c r="D68" i="20" s="1"/>
  <c r="F22" i="20"/>
  <c r="F153" i="4"/>
  <c r="E38" i="20" s="1"/>
  <c r="E40" i="20" s="1"/>
  <c r="D38" i="20"/>
  <c r="D40" i="20" s="1"/>
  <c r="F166" i="4"/>
  <c r="D75" i="20"/>
  <c r="D77" i="20" s="1"/>
  <c r="D50" i="20"/>
  <c r="D52" i="20" s="1"/>
  <c r="F169" i="4"/>
  <c r="D84" i="20"/>
  <c r="D86" i="20" s="1"/>
  <c r="D59" i="20"/>
  <c r="D61" i="20" s="1"/>
  <c r="F158" i="4"/>
  <c r="E53" i="20" s="1"/>
  <c r="E55" i="20" s="1"/>
  <c r="D53" i="20"/>
  <c r="D55" i="20" s="1"/>
  <c r="F162" i="4"/>
  <c r="E63" i="20" s="1"/>
  <c r="E65" i="20" s="1"/>
  <c r="D63" i="20"/>
  <c r="D65" i="20" s="1"/>
  <c r="F168" i="4"/>
  <c r="D81" i="20"/>
  <c r="D83" i="20" s="1"/>
  <c r="D56" i="20"/>
  <c r="D58" i="20" s="1"/>
  <c r="Q163" i="4"/>
  <c r="Q167" i="4"/>
  <c r="Q162" i="4"/>
  <c r="Q164" i="4"/>
  <c r="Q168" i="4"/>
  <c r="Q169" i="4"/>
  <c r="R161" i="4"/>
  <c r="Q165" i="4"/>
  <c r="Q166" i="4"/>
  <c r="H155" i="4"/>
  <c r="H159" i="4"/>
  <c r="I159" i="4" s="1"/>
  <c r="H156" i="4"/>
  <c r="I156" i="4" s="1"/>
  <c r="H160" i="4"/>
  <c r="I160" i="4" s="1"/>
  <c r="H157" i="4"/>
  <c r="I157" i="4" s="1"/>
  <c r="H153" i="4"/>
  <c r="I152" i="4"/>
  <c r="H154" i="4"/>
  <c r="H158" i="4"/>
  <c r="K163" i="4"/>
  <c r="K167" i="4"/>
  <c r="K164" i="4"/>
  <c r="K168" i="4"/>
  <c r="K166" i="4"/>
  <c r="K162" i="4"/>
  <c r="K165" i="4"/>
  <c r="L161" i="4"/>
  <c r="K169" i="4"/>
  <c r="H169" i="4"/>
  <c r="H166" i="4"/>
  <c r="H162" i="4"/>
  <c r="H163" i="4"/>
  <c r="H167" i="4"/>
  <c r="I161" i="4"/>
  <c r="H164" i="4"/>
  <c r="H168" i="4"/>
  <c r="H165" i="4"/>
  <c r="N152" i="4"/>
  <c r="K156" i="4"/>
  <c r="L156" i="4" s="1"/>
  <c r="K160" i="4"/>
  <c r="L160" i="4" s="1"/>
  <c r="K157" i="4"/>
  <c r="L157" i="4" s="1"/>
  <c r="K153" i="4"/>
  <c r="K154" i="4"/>
  <c r="K158" i="4"/>
  <c r="K155" i="4"/>
  <c r="K159" i="4"/>
  <c r="L159" i="4" s="1"/>
  <c r="L152" i="4"/>
  <c r="Q156" i="4"/>
  <c r="R156" i="4" s="1"/>
  <c r="Q157" i="4"/>
  <c r="R157" i="4" s="1"/>
  <c r="Q153" i="4"/>
  <c r="R152" i="4"/>
  <c r="Q155" i="4"/>
  <c r="Q154" i="4"/>
  <c r="Q158" i="4"/>
  <c r="Q160" i="4"/>
  <c r="R160" i="4" s="1"/>
  <c r="Q159" i="4"/>
  <c r="R159" i="4" s="1"/>
  <c r="Q105" i="4"/>
  <c r="Q124" i="4" s="1"/>
  <c r="P30" i="20" s="1"/>
  <c r="Q125" i="4"/>
  <c r="Q102" i="4"/>
  <c r="Q121" i="4" s="1"/>
  <c r="P15" i="20" s="1"/>
  <c r="Q103" i="4"/>
  <c r="Q122" i="4" s="1"/>
  <c r="P20" i="20" s="1"/>
  <c r="Q104" i="4"/>
  <c r="Q123" i="4" s="1"/>
  <c r="P25" i="20" s="1"/>
  <c r="Q101" i="4"/>
  <c r="Q120" i="4" s="1"/>
  <c r="P6" i="20" s="1"/>
  <c r="R100" i="4"/>
  <c r="N125" i="4"/>
  <c r="N105" i="4"/>
  <c r="N124" i="4" s="1"/>
  <c r="M30" i="20" s="1"/>
  <c r="N102" i="4"/>
  <c r="N121" i="4" s="1"/>
  <c r="M15" i="20" s="1"/>
  <c r="O100" i="4"/>
  <c r="N104" i="4"/>
  <c r="N123" i="4" s="1"/>
  <c r="M25" i="20" s="1"/>
  <c r="N101" i="4"/>
  <c r="N120" i="4" s="1"/>
  <c r="M6" i="20" s="1"/>
  <c r="N103" i="4"/>
  <c r="N122" i="4" s="1"/>
  <c r="M20" i="20" s="1"/>
  <c r="H103" i="4"/>
  <c r="H122" i="4" s="1"/>
  <c r="G20" i="20" s="1"/>
  <c r="G22" i="20" s="1"/>
  <c r="H105" i="4"/>
  <c r="H124" i="4" s="1"/>
  <c r="G30" i="20" s="1"/>
  <c r="G32" i="20" s="1"/>
  <c r="H125" i="4"/>
  <c r="I100" i="4"/>
  <c r="H102" i="4"/>
  <c r="H121" i="4" s="1"/>
  <c r="G15" i="20" s="1"/>
  <c r="G17" i="20" s="1"/>
  <c r="H104" i="4"/>
  <c r="H123" i="4" s="1"/>
  <c r="G25" i="20" s="1"/>
  <c r="G27" i="20" s="1"/>
  <c r="H101" i="4"/>
  <c r="H120" i="4" s="1"/>
  <c r="G6" i="20" s="1"/>
  <c r="L100" i="4"/>
  <c r="K125" i="4"/>
  <c r="K103" i="4"/>
  <c r="K122" i="4" s="1"/>
  <c r="J20" i="20" s="1"/>
  <c r="K105" i="4"/>
  <c r="K124" i="4" s="1"/>
  <c r="J30" i="20" s="1"/>
  <c r="J32" i="20" s="1"/>
  <c r="K102" i="4"/>
  <c r="K121" i="4" s="1"/>
  <c r="J15" i="20" s="1"/>
  <c r="K104" i="4"/>
  <c r="K123" i="4" s="1"/>
  <c r="J25" i="20" s="1"/>
  <c r="J27" i="20" s="1"/>
  <c r="K101" i="4"/>
  <c r="K120" i="4" s="1"/>
  <c r="J6" i="20" s="1"/>
  <c r="O129" i="4"/>
  <c r="N130" i="4"/>
  <c r="N161" i="4" l="1"/>
  <c r="H104" i="20"/>
  <c r="K104" i="20"/>
  <c r="Q104" i="20"/>
  <c r="N104" i="20"/>
  <c r="O141" i="4"/>
  <c r="N108" i="20" s="1"/>
  <c r="H92" i="20"/>
  <c r="F55" i="20"/>
  <c r="F54" i="20" s="1"/>
  <c r="F80" i="20"/>
  <c r="F79" i="20" s="1"/>
  <c r="O130" i="4"/>
  <c r="N92" i="20"/>
  <c r="R154" i="4"/>
  <c r="Q41" i="20" s="1"/>
  <c r="P41" i="20"/>
  <c r="L155" i="4"/>
  <c r="K44" i="20" s="1"/>
  <c r="J44" i="20"/>
  <c r="I164" i="4"/>
  <c r="H69" i="20" s="1"/>
  <c r="H71" i="20" s="1"/>
  <c r="G69" i="20"/>
  <c r="G71" i="20" s="1"/>
  <c r="I162" i="4"/>
  <c r="H63" i="20" s="1"/>
  <c r="H65" i="20" s="1"/>
  <c r="G63" i="20"/>
  <c r="G65" i="20" s="1"/>
  <c r="L168" i="4"/>
  <c r="J81" i="20"/>
  <c r="J83" i="20" s="1"/>
  <c r="J56" i="20"/>
  <c r="J58" i="20" s="1"/>
  <c r="I158" i="4"/>
  <c r="H53" i="20" s="1"/>
  <c r="H55" i="20" s="1"/>
  <c r="G53" i="20"/>
  <c r="G55" i="20" s="1"/>
  <c r="I155" i="4"/>
  <c r="H44" i="20" s="1"/>
  <c r="G44" i="20"/>
  <c r="R169" i="4"/>
  <c r="P84" i="20"/>
  <c r="P59" i="20"/>
  <c r="R167" i="4"/>
  <c r="Q78" i="20" s="1"/>
  <c r="P78" i="20"/>
  <c r="R155" i="4"/>
  <c r="Q44" i="20" s="1"/>
  <c r="P44" i="20"/>
  <c r="L158" i="4"/>
  <c r="K53" i="20" s="1"/>
  <c r="J53" i="20"/>
  <c r="J55" i="20" s="1"/>
  <c r="I166" i="4"/>
  <c r="G75" i="20"/>
  <c r="G77" i="20" s="1"/>
  <c r="G50" i="20"/>
  <c r="G52" i="20" s="1"/>
  <c r="L165" i="4"/>
  <c r="J72" i="20"/>
  <c r="J74" i="20" s="1"/>
  <c r="J47" i="20"/>
  <c r="L164" i="4"/>
  <c r="K69" i="20" s="1"/>
  <c r="J69" i="20"/>
  <c r="J71" i="20" s="1"/>
  <c r="I154" i="4"/>
  <c r="H41" i="20" s="1"/>
  <c r="G41" i="20"/>
  <c r="R166" i="4"/>
  <c r="P75" i="20"/>
  <c r="P50" i="20"/>
  <c r="R168" i="4"/>
  <c r="P81" i="20"/>
  <c r="P56" i="20"/>
  <c r="R163" i="4"/>
  <c r="Q66" i="20" s="1"/>
  <c r="P66" i="20"/>
  <c r="R130" i="4"/>
  <c r="Q92" i="20"/>
  <c r="L154" i="4"/>
  <c r="K41" i="20" s="1"/>
  <c r="J41" i="20"/>
  <c r="I165" i="4"/>
  <c r="G72" i="20"/>
  <c r="G74" i="20" s="1"/>
  <c r="G47" i="20"/>
  <c r="I167" i="4"/>
  <c r="H78" i="20" s="1"/>
  <c r="H80" i="20" s="1"/>
  <c r="G78" i="20"/>
  <c r="G80" i="20" s="1"/>
  <c r="I169" i="4"/>
  <c r="G84" i="20"/>
  <c r="G86" i="20" s="1"/>
  <c r="G59" i="20"/>
  <c r="G61" i="20" s="1"/>
  <c r="L162" i="4"/>
  <c r="K63" i="20" s="1"/>
  <c r="J63" i="20"/>
  <c r="J65" i="20" s="1"/>
  <c r="L167" i="4"/>
  <c r="K78" i="20" s="1"/>
  <c r="J78" i="20"/>
  <c r="J80" i="20" s="1"/>
  <c r="R165" i="4"/>
  <c r="P72" i="20"/>
  <c r="P47" i="20"/>
  <c r="R164" i="4"/>
  <c r="Q69" i="20" s="1"/>
  <c r="P69" i="20"/>
  <c r="F65" i="20"/>
  <c r="F64" i="20" s="1"/>
  <c r="R158" i="4"/>
  <c r="Q53" i="20" s="1"/>
  <c r="P53" i="20"/>
  <c r="R153" i="4"/>
  <c r="Q38" i="20" s="1"/>
  <c r="P38" i="20"/>
  <c r="L153" i="4"/>
  <c r="K38" i="20" s="1"/>
  <c r="J38" i="20"/>
  <c r="I168" i="4"/>
  <c r="G81" i="20"/>
  <c r="G83" i="20" s="1"/>
  <c r="G56" i="20"/>
  <c r="G58" i="20" s="1"/>
  <c r="I163" i="4"/>
  <c r="H66" i="20" s="1"/>
  <c r="H68" i="20" s="1"/>
  <c r="G66" i="20"/>
  <c r="G68" i="20" s="1"/>
  <c r="L169" i="4"/>
  <c r="J84" i="20"/>
  <c r="J86" i="20" s="1"/>
  <c r="J59" i="20"/>
  <c r="J61" i="20" s="1"/>
  <c r="L166" i="4"/>
  <c r="J50" i="20"/>
  <c r="J52" i="20" s="1"/>
  <c r="J75" i="20"/>
  <c r="J77" i="20" s="1"/>
  <c r="L163" i="4"/>
  <c r="K66" i="20" s="1"/>
  <c r="J66" i="20"/>
  <c r="J68" i="20" s="1"/>
  <c r="I153" i="4"/>
  <c r="H38" i="20" s="1"/>
  <c r="G38" i="20"/>
  <c r="R162" i="4"/>
  <c r="Q63" i="20" s="1"/>
  <c r="P63" i="20"/>
  <c r="E81" i="20"/>
  <c r="E83" i="20" s="1"/>
  <c r="F83" i="20" s="1"/>
  <c r="F82" i="20" s="1"/>
  <c r="E56" i="20"/>
  <c r="E58" i="20" s="1"/>
  <c r="F58" i="20" s="1"/>
  <c r="F57" i="20" s="1"/>
  <c r="E75" i="20"/>
  <c r="E77" i="20" s="1"/>
  <c r="F77" i="20" s="1"/>
  <c r="F76" i="20" s="1"/>
  <c r="E50" i="20"/>
  <c r="E52" i="20" s="1"/>
  <c r="F52" i="20" s="1"/>
  <c r="F51" i="20" s="1"/>
  <c r="E84" i="20"/>
  <c r="E86" i="20" s="1"/>
  <c r="F86" i="20" s="1"/>
  <c r="F85" i="20" s="1"/>
  <c r="E59" i="20"/>
  <c r="E61" i="20" s="1"/>
  <c r="F61" i="20" s="1"/>
  <c r="F60" i="20" s="1"/>
  <c r="F68" i="20"/>
  <c r="F67" i="20" s="1"/>
  <c r="F71" i="20"/>
  <c r="F70" i="20" s="1"/>
  <c r="E72" i="20"/>
  <c r="E74" i="20" s="1"/>
  <c r="F74" i="20" s="1"/>
  <c r="F73" i="20" s="1"/>
  <c r="E47" i="20"/>
  <c r="N159" i="4"/>
  <c r="O159" i="4" s="1"/>
  <c r="N156" i="4"/>
  <c r="O156" i="4" s="1"/>
  <c r="N160" i="4"/>
  <c r="O160" i="4" s="1"/>
  <c r="N157" i="4"/>
  <c r="O157" i="4" s="1"/>
  <c r="N153" i="4"/>
  <c r="N155" i="4"/>
  <c r="O152" i="4"/>
  <c r="N154" i="4"/>
  <c r="N158" i="4"/>
  <c r="N163" i="4"/>
  <c r="N167" i="4"/>
  <c r="N164" i="4"/>
  <c r="N168" i="4"/>
  <c r="N169" i="4"/>
  <c r="N165" i="4"/>
  <c r="N166" i="4"/>
  <c r="N162" i="4"/>
  <c r="O161" i="4"/>
  <c r="O102" i="4"/>
  <c r="O121" i="4" s="1"/>
  <c r="N15" i="20" s="1"/>
  <c r="O101" i="4"/>
  <c r="O120" i="4" s="1"/>
  <c r="N6" i="20" s="1"/>
  <c r="O103" i="4"/>
  <c r="O122" i="4" s="1"/>
  <c r="N20" i="20" s="1"/>
  <c r="O104" i="4"/>
  <c r="O123" i="4" s="1"/>
  <c r="N25" i="20" s="1"/>
  <c r="O125" i="4"/>
  <c r="O105" i="4"/>
  <c r="O124" i="4" s="1"/>
  <c r="N30" i="20" s="1"/>
  <c r="R125" i="4"/>
  <c r="R105" i="4"/>
  <c r="R124" i="4" s="1"/>
  <c r="Q30" i="20" s="1"/>
  <c r="R102" i="4"/>
  <c r="R121" i="4" s="1"/>
  <c r="Q15" i="20" s="1"/>
  <c r="R103" i="4"/>
  <c r="R122" i="4" s="1"/>
  <c r="Q20" i="20" s="1"/>
  <c r="R104" i="4"/>
  <c r="R123" i="4" s="1"/>
  <c r="Q25" i="20" s="1"/>
  <c r="R101" i="4"/>
  <c r="R120" i="4" s="1"/>
  <c r="Q6" i="20" s="1"/>
  <c r="L105" i="4"/>
  <c r="L124" i="4" s="1"/>
  <c r="K30" i="20" s="1"/>
  <c r="K32" i="20" s="1"/>
  <c r="L32" i="20" s="1"/>
  <c r="L103" i="4"/>
  <c r="L122" i="4" s="1"/>
  <c r="K20" i="20" s="1"/>
  <c r="L125" i="4"/>
  <c r="L104" i="4"/>
  <c r="L123" i="4" s="1"/>
  <c r="K25" i="20" s="1"/>
  <c r="K27" i="20" s="1"/>
  <c r="L27" i="20" s="1"/>
  <c r="L102" i="4"/>
  <c r="L121" i="4" s="1"/>
  <c r="K15" i="20" s="1"/>
  <c r="L101" i="4"/>
  <c r="L120" i="4" s="1"/>
  <c r="K6" i="20" s="1"/>
  <c r="I104" i="4"/>
  <c r="I123" i="4" s="1"/>
  <c r="H25" i="20" s="1"/>
  <c r="H27" i="20" s="1"/>
  <c r="I27" i="20" s="1"/>
  <c r="I105" i="4"/>
  <c r="I124" i="4" s="1"/>
  <c r="H30" i="20" s="1"/>
  <c r="H32" i="20" s="1"/>
  <c r="I32" i="20" s="1"/>
  <c r="I125" i="4"/>
  <c r="I102" i="4"/>
  <c r="I121" i="4" s="1"/>
  <c r="H15" i="20" s="1"/>
  <c r="H17" i="20" s="1"/>
  <c r="I17" i="20" s="1"/>
  <c r="I103" i="4"/>
  <c r="I122" i="4" s="1"/>
  <c r="H20" i="20" s="1"/>
  <c r="H22" i="20" s="1"/>
  <c r="I22" i="20" s="1"/>
  <c r="I101" i="4"/>
  <c r="I120" i="4" s="1"/>
  <c r="H6" i="20" s="1"/>
  <c r="I68" i="20" l="1"/>
  <c r="I67" i="20" s="1"/>
  <c r="I80" i="20"/>
  <c r="I79" i="20" s="1"/>
  <c r="I65" i="20"/>
  <c r="I64" i="20" s="1"/>
  <c r="I55" i="20"/>
  <c r="I54" i="20" s="1"/>
  <c r="O169" i="4"/>
  <c r="M84" i="20"/>
  <c r="M59" i="20"/>
  <c r="O163" i="4"/>
  <c r="N66" i="20" s="1"/>
  <c r="M66" i="20"/>
  <c r="O155" i="4"/>
  <c r="N44" i="20" s="1"/>
  <c r="M44" i="20"/>
  <c r="K75" i="20"/>
  <c r="K50" i="20"/>
  <c r="H81" i="20"/>
  <c r="H83" i="20" s="1"/>
  <c r="I83" i="20" s="1"/>
  <c r="I82" i="20" s="1"/>
  <c r="H56" i="20"/>
  <c r="H58" i="20" s="1"/>
  <c r="I58" i="20" s="1"/>
  <c r="I57" i="20" s="1"/>
  <c r="Q72" i="20"/>
  <c r="Q47" i="20"/>
  <c r="H72" i="20"/>
  <c r="H74" i="20" s="1"/>
  <c r="I74" i="20" s="1"/>
  <c r="I73" i="20" s="1"/>
  <c r="H47" i="20"/>
  <c r="Q81" i="20"/>
  <c r="Q56" i="20"/>
  <c r="Q84" i="20"/>
  <c r="Q59" i="20"/>
  <c r="O162" i="4"/>
  <c r="N63" i="20" s="1"/>
  <c r="M63" i="20"/>
  <c r="O168" i="4"/>
  <c r="M81" i="20"/>
  <c r="M56" i="20"/>
  <c r="O158" i="4"/>
  <c r="N53" i="20" s="1"/>
  <c r="M53" i="20"/>
  <c r="O153" i="4"/>
  <c r="N38" i="20" s="1"/>
  <c r="M38" i="20"/>
  <c r="H75" i="20"/>
  <c r="H77" i="20" s="1"/>
  <c r="I77" i="20" s="1"/>
  <c r="I76" i="20" s="1"/>
  <c r="H50" i="20"/>
  <c r="H52" i="20" s="1"/>
  <c r="I52" i="20" s="1"/>
  <c r="I51" i="20" s="1"/>
  <c r="O166" i="4"/>
  <c r="M75" i="20"/>
  <c r="M50" i="20"/>
  <c r="O164" i="4"/>
  <c r="N69" i="20" s="1"/>
  <c r="M69" i="20"/>
  <c r="O154" i="4"/>
  <c r="N41" i="20" s="1"/>
  <c r="M41" i="20"/>
  <c r="K72" i="20"/>
  <c r="K47" i="20"/>
  <c r="O165" i="4"/>
  <c r="M72" i="20"/>
  <c r="M47" i="20"/>
  <c r="O167" i="4"/>
  <c r="N78" i="20" s="1"/>
  <c r="M78" i="20"/>
  <c r="K84" i="20"/>
  <c r="K59" i="20"/>
  <c r="H84" i="20"/>
  <c r="H86" i="20" s="1"/>
  <c r="I86" i="20" s="1"/>
  <c r="I85" i="20" s="1"/>
  <c r="H59" i="20"/>
  <c r="H61" i="20" s="1"/>
  <c r="I61" i="20" s="1"/>
  <c r="I60" i="20" s="1"/>
  <c r="Q75" i="20"/>
  <c r="Q50" i="20"/>
  <c r="K81" i="20"/>
  <c r="K56" i="20"/>
  <c r="I71" i="20"/>
  <c r="I70" i="20" s="1"/>
  <c r="N72" i="20" l="1"/>
  <c r="N47" i="20"/>
  <c r="N81" i="20"/>
  <c r="N56" i="20"/>
  <c r="N75" i="20"/>
  <c r="N50" i="20"/>
  <c r="N84" i="20"/>
  <c r="N59" i="20"/>
  <c r="F26" i="4" l="1"/>
  <c r="G26" i="4"/>
  <c r="H26" i="4"/>
  <c r="D8" i="20" s="1"/>
  <c r="I26" i="4"/>
  <c r="J26" i="4"/>
  <c r="K26" i="4"/>
  <c r="E8" i="20" l="1"/>
  <c r="F8" i="20" s="1"/>
  <c r="K28" i="4"/>
  <c r="J28" i="4"/>
  <c r="I28" i="4"/>
  <c r="H28" i="4"/>
  <c r="D10" i="20" s="1"/>
  <c r="G28" i="4"/>
  <c r="F28" i="4"/>
  <c r="E28" i="4"/>
  <c r="K27" i="4"/>
  <c r="J27" i="4"/>
  <c r="I27" i="4"/>
  <c r="H27" i="4"/>
  <c r="D9" i="20" s="1"/>
  <c r="G27" i="4"/>
  <c r="E9" i="20" s="1"/>
  <c r="F27" i="4"/>
  <c r="E27" i="4"/>
  <c r="E10" i="20" l="1"/>
  <c r="G10" i="20" s="1"/>
  <c r="S9" i="20"/>
  <c r="G9" i="20"/>
  <c r="G29" i="20" s="1"/>
  <c r="S8" i="20"/>
  <c r="G8" i="20"/>
  <c r="H8" i="20" s="1"/>
  <c r="BL74" i="41"/>
  <c r="BQ111" i="41"/>
  <c r="BP111" i="41"/>
  <c r="BO111" i="41"/>
  <c r="BN111" i="41"/>
  <c r="BQ106" i="41"/>
  <c r="BP106" i="41"/>
  <c r="BO106" i="41"/>
  <c r="BN106" i="41"/>
  <c r="BM106" i="41"/>
  <c r="BL100" i="41"/>
  <c r="BL98" i="41"/>
  <c r="BL97" i="41"/>
  <c r="BL96" i="41"/>
  <c r="BL95" i="41"/>
  <c r="BQ94" i="41"/>
  <c r="BQ107" i="41" s="1"/>
  <c r="BP94" i="41"/>
  <c r="BP107" i="41" s="1"/>
  <c r="BO94" i="41"/>
  <c r="BO107" i="41" s="1"/>
  <c r="BN94" i="41"/>
  <c r="BN107" i="41" s="1"/>
  <c r="BM94" i="41"/>
  <c r="BM107" i="41" s="1"/>
  <c r="BL93" i="41"/>
  <c r="BL89" i="41"/>
  <c r="BL88" i="41"/>
  <c r="BQ87" i="41"/>
  <c r="BQ85" i="41" s="1"/>
  <c r="BP87" i="41"/>
  <c r="BP85" i="41" s="1"/>
  <c r="BP110" i="41" s="1"/>
  <c r="BO87" i="41"/>
  <c r="BO85" i="41" s="1"/>
  <c r="BN87" i="41"/>
  <c r="BN85" i="41" s="1"/>
  <c r="BN104" i="41" s="1"/>
  <c r="BL86" i="41"/>
  <c r="BL84" i="41"/>
  <c r="BL83" i="41"/>
  <c r="BL82" i="41"/>
  <c r="BL79" i="41"/>
  <c r="BL77" i="41"/>
  <c r="BQ75" i="41"/>
  <c r="BP75" i="41"/>
  <c r="BO75" i="41"/>
  <c r="BL73" i="41"/>
  <c r="BL72" i="41"/>
  <c r="BL71" i="41"/>
  <c r="BL69" i="41"/>
  <c r="BL68" i="41"/>
  <c r="BL67" i="41"/>
  <c r="BL66" i="41"/>
  <c r="BL65" i="41"/>
  <c r="BL64" i="41"/>
  <c r="BQ63" i="41"/>
  <c r="BP63" i="41"/>
  <c r="BO63" i="41"/>
  <c r="BN63" i="41"/>
  <c r="BL62" i="41"/>
  <c r="BQ60" i="41"/>
  <c r="BP60" i="41"/>
  <c r="BP59" i="41" s="1"/>
  <c r="BP102" i="41" s="1"/>
  <c r="BO60" i="41"/>
  <c r="BN60" i="41"/>
  <c r="BL20" i="41"/>
  <c r="BL18" i="41"/>
  <c r="BQ15" i="41"/>
  <c r="BQ103" i="41" s="1"/>
  <c r="BO15" i="41"/>
  <c r="BO103" i="41" s="1"/>
  <c r="BN15" i="41"/>
  <c r="BN103" i="41" s="1"/>
  <c r="BE111" i="41"/>
  <c r="BD111" i="41"/>
  <c r="BC111" i="41"/>
  <c r="BB111" i="41"/>
  <c r="BE106" i="41"/>
  <c r="BD106" i="41"/>
  <c r="BC106" i="41"/>
  <c r="BB106" i="41"/>
  <c r="BA106" i="41"/>
  <c r="AZ100" i="41"/>
  <c r="AZ98" i="41"/>
  <c r="AZ97" i="41"/>
  <c r="AZ96" i="41"/>
  <c r="AZ95" i="41"/>
  <c r="BE94" i="41"/>
  <c r="BE107" i="41" s="1"/>
  <c r="BD94" i="41"/>
  <c r="BD107" i="41" s="1"/>
  <c r="BC94" i="41"/>
  <c r="BC107" i="41" s="1"/>
  <c r="BB94" i="41"/>
  <c r="BB107" i="41" s="1"/>
  <c r="BA94" i="41"/>
  <c r="BA107" i="41" s="1"/>
  <c r="AZ93" i="41"/>
  <c r="AZ89" i="41"/>
  <c r="AZ88" i="41"/>
  <c r="BE87" i="41"/>
  <c r="BE85" i="41" s="1"/>
  <c r="BD87" i="41"/>
  <c r="BD85" i="41" s="1"/>
  <c r="BD110" i="41" s="1"/>
  <c r="BC87" i="41"/>
  <c r="BC85" i="41" s="1"/>
  <c r="BB87" i="41"/>
  <c r="AZ86" i="41"/>
  <c r="BB85" i="41"/>
  <c r="BB104" i="41" s="1"/>
  <c r="AZ84" i="41"/>
  <c r="AZ83" i="41"/>
  <c r="AZ82" i="41"/>
  <c r="AZ79" i="41"/>
  <c r="AZ77" i="41"/>
  <c r="BE75" i="41"/>
  <c r="BD75" i="41"/>
  <c r="BC75" i="41"/>
  <c r="AZ74" i="41"/>
  <c r="AZ73" i="41"/>
  <c r="AZ72" i="41"/>
  <c r="AZ71" i="41"/>
  <c r="AZ69" i="41"/>
  <c r="AZ68" i="41"/>
  <c r="AZ67" i="41"/>
  <c r="AZ66" i="41"/>
  <c r="AZ65" i="41"/>
  <c r="AZ64" i="41"/>
  <c r="BE63" i="41"/>
  <c r="BD63" i="41"/>
  <c r="BC63" i="41"/>
  <c r="BB63" i="41"/>
  <c r="AZ62" i="41"/>
  <c r="BE60" i="41"/>
  <c r="BD60" i="41"/>
  <c r="BC60" i="41"/>
  <c r="BB60" i="41"/>
  <c r="AZ20" i="41"/>
  <c r="AZ18" i="41"/>
  <c r="BE15" i="41"/>
  <c r="BE103" i="41" s="1"/>
  <c r="BC15" i="41"/>
  <c r="BC103" i="41" s="1"/>
  <c r="BB15" i="41"/>
  <c r="BB103" i="41" s="1"/>
  <c r="AS111" i="41"/>
  <c r="AR111" i="41"/>
  <c r="AQ111" i="41"/>
  <c r="AP111" i="41"/>
  <c r="AO111" i="41"/>
  <c r="AS106" i="41"/>
  <c r="AR106" i="41"/>
  <c r="AQ106" i="41"/>
  <c r="AP106" i="41"/>
  <c r="AO106" i="41"/>
  <c r="AN100" i="41"/>
  <c r="AN98" i="41"/>
  <c r="AN97" i="41"/>
  <c r="AN96" i="41"/>
  <c r="AN95" i="41"/>
  <c r="AS94" i="41"/>
  <c r="AS107" i="41" s="1"/>
  <c r="AR94" i="41"/>
  <c r="AR107" i="41" s="1"/>
  <c r="AQ94" i="41"/>
  <c r="AQ107" i="41" s="1"/>
  <c r="AP94" i="41"/>
  <c r="AO94" i="41"/>
  <c r="AO107" i="41" s="1"/>
  <c r="AN93" i="41"/>
  <c r="AN90" i="41"/>
  <c r="AN89" i="41"/>
  <c r="AN88" i="41"/>
  <c r="AS87" i="41"/>
  <c r="AS85" i="41" s="1"/>
  <c r="AR87" i="41"/>
  <c r="AQ87" i="41"/>
  <c r="AQ85" i="41" s="1"/>
  <c r="AP87" i="41"/>
  <c r="AO87" i="41"/>
  <c r="AN86" i="41"/>
  <c r="AR85" i="41"/>
  <c r="AR110" i="41" s="1"/>
  <c r="AP85" i="41"/>
  <c r="AP104" i="41" s="1"/>
  <c r="AN84" i="41"/>
  <c r="AN83" i="41"/>
  <c r="AN82" i="41"/>
  <c r="AN79" i="41"/>
  <c r="AN77" i="41"/>
  <c r="AS75" i="41"/>
  <c r="AR75" i="41"/>
  <c r="AQ75" i="41"/>
  <c r="AN74" i="41"/>
  <c r="AN73" i="41"/>
  <c r="AN72" i="41"/>
  <c r="AN71" i="41"/>
  <c r="AN70" i="41"/>
  <c r="AN69" i="41"/>
  <c r="AN68" i="41"/>
  <c r="AN67" i="41"/>
  <c r="AN66" i="41"/>
  <c r="AN65" i="41"/>
  <c r="AN64" i="41"/>
  <c r="AS63" i="41"/>
  <c r="AR63" i="41"/>
  <c r="AQ63" i="41"/>
  <c r="AP63" i="41"/>
  <c r="AO63" i="41"/>
  <c r="AN62" i="41"/>
  <c r="AS60" i="41"/>
  <c r="AS59" i="41" s="1"/>
  <c r="AS102" i="41" s="1"/>
  <c r="AR60" i="41"/>
  <c r="AR59" i="41" s="1"/>
  <c r="AR102" i="41" s="1"/>
  <c r="AQ60" i="41"/>
  <c r="AP60" i="41"/>
  <c r="AN20" i="41"/>
  <c r="AN18" i="41"/>
  <c r="AS15" i="41"/>
  <c r="AS103" i="41" s="1"/>
  <c r="AQ15" i="41"/>
  <c r="AP15" i="41"/>
  <c r="AP103" i="41" s="1"/>
  <c r="AG111" i="41"/>
  <c r="AF111" i="41"/>
  <c r="AE111" i="41"/>
  <c r="AD111" i="41"/>
  <c r="AC111" i="41"/>
  <c r="P58" i="41"/>
  <c r="BD59" i="41" l="1"/>
  <c r="BD102" i="41" s="1"/>
  <c r="BL94" i="41"/>
  <c r="AN87" i="41"/>
  <c r="AQ59" i="41"/>
  <c r="AQ102" i="41" s="1"/>
  <c r="BC59" i="41"/>
  <c r="BC102" i="41" s="1"/>
  <c r="AZ94" i="41"/>
  <c r="BQ59" i="41"/>
  <c r="BQ102" i="41" s="1"/>
  <c r="AN94" i="41"/>
  <c r="BL106" i="41"/>
  <c r="AN106" i="41"/>
  <c r="AN111" i="41"/>
  <c r="BE59" i="41"/>
  <c r="BE102" i="41" s="1"/>
  <c r="BO59" i="41"/>
  <c r="BO102" i="41" s="1"/>
  <c r="AZ106" i="41"/>
  <c r="AN63" i="41"/>
  <c r="BS58" i="41"/>
  <c r="BR58" i="41"/>
  <c r="BQ110" i="41"/>
  <c r="BQ104" i="41"/>
  <c r="BO104" i="41"/>
  <c r="BO110" i="41"/>
  <c r="BL107" i="41"/>
  <c r="BP104" i="41"/>
  <c r="BN110" i="41"/>
  <c r="BE110" i="41"/>
  <c r="BE104" i="41"/>
  <c r="BC104" i="41"/>
  <c r="BC110" i="41"/>
  <c r="AZ107" i="41"/>
  <c r="BD104" i="41"/>
  <c r="BB110" i="41"/>
  <c r="AS110" i="41"/>
  <c r="AS104" i="41"/>
  <c r="AQ104" i="41"/>
  <c r="AQ110" i="41"/>
  <c r="AO85" i="41"/>
  <c r="AR104" i="41"/>
  <c r="AP107" i="41"/>
  <c r="AN107" i="41" s="1"/>
  <c r="AP110" i="41"/>
  <c r="AQ103" i="41"/>
  <c r="AO110" i="41" l="1"/>
  <c r="AN110" i="41" s="1"/>
  <c r="AN85" i="41"/>
  <c r="AO104" i="41"/>
  <c r="BK55" i="41"/>
  <c r="AY55" i="41"/>
  <c r="AM55" i="41"/>
  <c r="AA55" i="41"/>
  <c r="BV83" i="41"/>
  <c r="BW83" i="41"/>
  <c r="BK75" i="41"/>
  <c r="BK63" i="41"/>
  <c r="BK59" i="41"/>
  <c r="AY75" i="41"/>
  <c r="AY59" i="41" s="1"/>
  <c r="AY63" i="41"/>
  <c r="AM75" i="41"/>
  <c r="AM63" i="41"/>
  <c r="AM59" i="41" s="1"/>
  <c r="AE94" i="41"/>
  <c r="AB95" i="41"/>
  <c r="U94" i="41"/>
  <c r="BK94" i="41"/>
  <c r="AY94" i="41"/>
  <c r="AM94" i="41"/>
  <c r="AG94" i="41"/>
  <c r="AF94" i="41"/>
  <c r="AD94" i="41"/>
  <c r="AC94" i="41"/>
  <c r="AA94" i="41"/>
  <c r="AG63" i="41"/>
  <c r="AF63" i="41"/>
  <c r="AE63" i="41"/>
  <c r="AD63" i="41"/>
  <c r="AC63" i="41"/>
  <c r="AA63" i="41"/>
  <c r="BK87" i="41"/>
  <c r="BK85" i="41" s="1"/>
  <c r="AY87" i="41"/>
  <c r="AY85" i="41" s="1"/>
  <c r="AM87" i="41"/>
  <c r="AM85" i="41" s="1"/>
  <c r="AG87" i="41"/>
  <c r="AG85" i="41" s="1"/>
  <c r="AG110" i="41" s="1"/>
  <c r="AF87" i="41"/>
  <c r="AF85" i="41" s="1"/>
  <c r="AF110" i="41" s="1"/>
  <c r="AE87" i="41"/>
  <c r="AE85" i="41" s="1"/>
  <c r="AE110" i="41" s="1"/>
  <c r="AD87" i="41"/>
  <c r="AC87" i="41"/>
  <c r="AC85" i="41" s="1"/>
  <c r="AC110" i="41" s="1"/>
  <c r="AB86" i="41"/>
  <c r="AA87" i="41"/>
  <c r="AA85" i="41" s="1"/>
  <c r="U87" i="41"/>
  <c r="AB67" i="41"/>
  <c r="AB68" i="41"/>
  <c r="BK42" i="41"/>
  <c r="AY42" i="41"/>
  <c r="AM42" i="41"/>
  <c r="AA42" i="41"/>
  <c r="BK39" i="41"/>
  <c r="AY39" i="41"/>
  <c r="AM39" i="41"/>
  <c r="AA39" i="41"/>
  <c r="BK26" i="41"/>
  <c r="BK22" i="41"/>
  <c r="AY26" i="41"/>
  <c r="AY22" i="41"/>
  <c r="AM26" i="41"/>
  <c r="AM22" i="41"/>
  <c r="AA26" i="41"/>
  <c r="AA22" i="41"/>
  <c r="P57" i="41" l="1"/>
  <c r="U22" i="41"/>
  <c r="Q26" i="41"/>
  <c r="T55" i="41"/>
  <c r="U26" i="41"/>
  <c r="R22" i="41"/>
  <c r="T22" i="41"/>
  <c r="T26" i="41"/>
  <c r="Q55" i="41"/>
  <c r="P56" i="41"/>
  <c r="S55" i="41"/>
  <c r="Q22" i="41"/>
  <c r="S22" i="41"/>
  <c r="S26" i="41"/>
  <c r="R55" i="41"/>
  <c r="R26" i="41"/>
  <c r="U55" i="41"/>
  <c r="AN104" i="41"/>
  <c r="R94" i="41"/>
  <c r="BU68" i="41"/>
  <c r="S94" i="41"/>
  <c r="BU86" i="41"/>
  <c r="BW86" i="41"/>
  <c r="BW67" i="41"/>
  <c r="P98" i="41"/>
  <c r="P97" i="41"/>
  <c r="T94" i="41"/>
  <c r="P95" i="41"/>
  <c r="P96" i="41"/>
  <c r="Q94" i="41"/>
  <c r="R87" i="41"/>
  <c r="R85" i="41" s="1"/>
  <c r="T87" i="41"/>
  <c r="T85" i="41" s="1"/>
  <c r="S87" i="41"/>
  <c r="S85" i="41" s="1"/>
  <c r="P67" i="41"/>
  <c r="U85" i="41"/>
  <c r="P86" i="41"/>
  <c r="Q87" i="41"/>
  <c r="AB87" i="41"/>
  <c r="BU87" i="41" s="1"/>
  <c r="BV86" i="41"/>
  <c r="AD85" i="41"/>
  <c r="BV68" i="41"/>
  <c r="BU67" i="41"/>
  <c r="BV67" i="41"/>
  <c r="BW68" i="41"/>
  <c r="P68" i="41"/>
  <c r="P50" i="41"/>
  <c r="P48" i="41"/>
  <c r="P49" i="41"/>
  <c r="P46" i="41"/>
  <c r="P28" i="41"/>
  <c r="P25" i="41"/>
  <c r="P27" i="41"/>
  <c r="P41" i="41"/>
  <c r="P24" i="41"/>
  <c r="P23" i="41"/>
  <c r="BS97" i="41" l="1"/>
  <c r="BR97" i="41"/>
  <c r="AB85" i="41"/>
  <c r="AD110" i="41"/>
  <c r="BS96" i="41"/>
  <c r="BR96" i="41"/>
  <c r="BS98" i="41"/>
  <c r="BR98" i="41"/>
  <c r="BR95" i="41"/>
  <c r="BS95" i="41"/>
  <c r="BT86" i="41"/>
  <c r="BS86" i="41"/>
  <c r="BR86" i="41"/>
  <c r="BR27" i="41"/>
  <c r="BS27" i="41"/>
  <c r="BS56" i="41"/>
  <c r="BR56" i="41"/>
  <c r="BS41" i="41"/>
  <c r="BR41" i="41"/>
  <c r="BR25" i="41"/>
  <c r="BS25" i="41"/>
  <c r="BS49" i="41"/>
  <c r="BR49" i="41"/>
  <c r="BS57" i="41"/>
  <c r="BR57" i="41"/>
  <c r="BS23" i="41"/>
  <c r="BR23" i="41"/>
  <c r="BS24" i="41"/>
  <c r="BR24" i="41"/>
  <c r="BR28" i="41"/>
  <c r="BS28" i="41"/>
  <c r="BR48" i="41"/>
  <c r="BS48" i="41"/>
  <c r="BR46" i="41"/>
  <c r="BS46" i="41"/>
  <c r="BR50" i="41"/>
  <c r="BS50" i="41"/>
  <c r="BT68" i="41"/>
  <c r="BR68" i="41"/>
  <c r="BS68" i="41"/>
  <c r="BT67" i="41"/>
  <c r="BR67" i="41"/>
  <c r="BS67" i="41"/>
  <c r="P94" i="41"/>
  <c r="P87" i="41"/>
  <c r="Q85" i="41"/>
  <c r="P85" i="41" s="1"/>
  <c r="BR94" i="41" l="1"/>
  <c r="BS94" i="41"/>
  <c r="BR85" i="41"/>
  <c r="BS85" i="41"/>
  <c r="BT87" i="41"/>
  <c r="BR87" i="41"/>
  <c r="BS87" i="41"/>
  <c r="P9" i="41"/>
  <c r="BK111" i="41"/>
  <c r="BK107" i="41"/>
  <c r="BK106" i="41"/>
  <c r="BK105" i="41"/>
  <c r="BK110" i="41"/>
  <c r="BK102" i="41"/>
  <c r="BK34" i="41"/>
  <c r="BK38" i="41" s="1"/>
  <c r="BK29" i="41"/>
  <c r="BK21" i="41" s="1"/>
  <c r="BK101" i="41" s="1"/>
  <c r="BK15" i="41"/>
  <c r="BK103" i="41" s="1"/>
  <c r="AY111" i="41"/>
  <c r="AY107" i="41"/>
  <c r="AY106" i="41"/>
  <c r="AY105" i="41"/>
  <c r="AY102" i="41"/>
  <c r="AY34" i="41"/>
  <c r="AY38" i="41" s="1"/>
  <c r="AY29" i="41"/>
  <c r="AY15" i="41"/>
  <c r="AY103" i="41" s="1"/>
  <c r="AM111" i="41"/>
  <c r="AM107" i="41"/>
  <c r="AM106" i="41"/>
  <c r="AM105" i="41"/>
  <c r="AM110" i="41"/>
  <c r="AM102" i="41"/>
  <c r="AM34" i="41"/>
  <c r="AM38" i="41" s="1"/>
  <c r="AM29" i="41"/>
  <c r="AM21" i="41" s="1"/>
  <c r="AM101" i="41" s="1"/>
  <c r="AM15" i="41"/>
  <c r="AM103" i="41" s="1"/>
  <c r="AD106" i="41"/>
  <c r="AE106" i="41"/>
  <c r="AF106" i="41"/>
  <c r="AG106" i="41"/>
  <c r="AD107" i="41"/>
  <c r="AE107" i="41"/>
  <c r="AF107" i="41"/>
  <c r="AG107" i="41"/>
  <c r="AE75" i="41"/>
  <c r="AF75" i="41"/>
  <c r="AG75" i="41"/>
  <c r="AD60" i="41"/>
  <c r="AE60" i="41"/>
  <c r="AF60" i="41"/>
  <c r="AF59" i="41" s="1"/>
  <c r="AG60" i="41"/>
  <c r="AD15" i="41"/>
  <c r="AE15" i="41"/>
  <c r="AE103" i="41" s="1"/>
  <c r="AG15" i="41"/>
  <c r="AG103" i="41" s="1"/>
  <c r="AB100" i="41"/>
  <c r="AB98" i="41"/>
  <c r="AB97" i="41"/>
  <c r="AB96" i="41"/>
  <c r="AB94" i="41"/>
  <c r="AB93" i="41"/>
  <c r="AB89" i="41"/>
  <c r="AB88" i="41"/>
  <c r="AB84" i="41"/>
  <c r="AB83" i="41"/>
  <c r="BU83" i="41" s="1"/>
  <c r="AB82" i="41"/>
  <c r="AB77" i="41"/>
  <c r="AB74" i="41"/>
  <c r="AB73" i="41"/>
  <c r="AB72" i="41"/>
  <c r="AB71" i="41"/>
  <c r="AB70" i="41"/>
  <c r="AB69" i="41"/>
  <c r="AB66" i="41"/>
  <c r="AB65" i="41"/>
  <c r="AB62" i="41"/>
  <c r="AB20" i="41"/>
  <c r="AB18" i="41"/>
  <c r="P89" i="41"/>
  <c r="P71" i="41"/>
  <c r="P72" i="41"/>
  <c r="P73" i="41"/>
  <c r="P74" i="41"/>
  <c r="P82" i="41"/>
  <c r="P83" i="41"/>
  <c r="P84" i="41"/>
  <c r="P53" i="41"/>
  <c r="AA107" i="41"/>
  <c r="AA105" i="41"/>
  <c r="AA106" i="41"/>
  <c r="AA75" i="41"/>
  <c r="AA59" i="41" s="1"/>
  <c r="AA34" i="41"/>
  <c r="AA38" i="41" s="1"/>
  <c r="AA29" i="41"/>
  <c r="AA21" i="41" s="1"/>
  <c r="AA15" i="41"/>
  <c r="AA103" i="41" s="1"/>
  <c r="T106" i="41"/>
  <c r="U106" i="41"/>
  <c r="T107" i="41"/>
  <c r="U107" i="41"/>
  <c r="AD35" i="41"/>
  <c r="AP35" i="41" s="1"/>
  <c r="AE35" i="41"/>
  <c r="AQ35" i="41" s="1"/>
  <c r="AF35" i="41"/>
  <c r="AR35" i="41" s="1"/>
  <c r="AG35" i="41"/>
  <c r="AS35" i="41" s="1"/>
  <c r="AD36" i="41"/>
  <c r="AP36" i="41" s="1"/>
  <c r="BB36" i="41" s="1"/>
  <c r="BN36" i="41" s="1"/>
  <c r="AE36" i="41"/>
  <c r="AQ36" i="41" s="1"/>
  <c r="BC36" i="41" s="1"/>
  <c r="BO36" i="41" s="1"/>
  <c r="AF36" i="41"/>
  <c r="AR36" i="41" s="1"/>
  <c r="BD36" i="41" s="1"/>
  <c r="BP36" i="41" s="1"/>
  <c r="AG36" i="41"/>
  <c r="AS36" i="41" s="1"/>
  <c r="BE36" i="41" s="1"/>
  <c r="BQ36" i="41" s="1"/>
  <c r="AD37" i="41"/>
  <c r="AP37" i="41" s="1"/>
  <c r="BB37" i="41" s="1"/>
  <c r="BN37" i="41" s="1"/>
  <c r="AE37" i="41"/>
  <c r="AQ37" i="41" s="1"/>
  <c r="BC37" i="41" s="1"/>
  <c r="BO37" i="41" s="1"/>
  <c r="AF37" i="41"/>
  <c r="AR37" i="41" s="1"/>
  <c r="BD37" i="41" s="1"/>
  <c r="BP37" i="41" s="1"/>
  <c r="AG37" i="41"/>
  <c r="AS37" i="41" s="1"/>
  <c r="BE37" i="41" s="1"/>
  <c r="BQ37" i="41" s="1"/>
  <c r="R39" i="41"/>
  <c r="S39" i="41"/>
  <c r="T39" i="41"/>
  <c r="U39" i="41"/>
  <c r="AE59" i="41" l="1"/>
  <c r="AE102" i="41" s="1"/>
  <c r="AG59" i="41"/>
  <c r="AG102" i="41" s="1"/>
  <c r="BS89" i="41"/>
  <c r="BR89" i="41"/>
  <c r="BR53" i="41"/>
  <c r="BS53" i="41"/>
  <c r="BS74" i="41"/>
  <c r="BR74" i="41"/>
  <c r="BR84" i="41"/>
  <c r="BS84" i="41"/>
  <c r="BR73" i="41"/>
  <c r="BS73" i="41"/>
  <c r="BT83" i="41"/>
  <c r="BR83" i="41"/>
  <c r="BS83" i="41"/>
  <c r="BR72" i="41"/>
  <c r="BS72" i="41"/>
  <c r="BS82" i="41"/>
  <c r="BR82" i="41"/>
  <c r="BR71" i="41"/>
  <c r="BS71" i="41"/>
  <c r="BS9" i="41"/>
  <c r="BR9" i="41"/>
  <c r="AP34" i="41"/>
  <c r="BB35" i="41"/>
  <c r="BE35" i="41"/>
  <c r="AS34" i="41"/>
  <c r="AS38" i="41" s="1"/>
  <c r="U105" i="41"/>
  <c r="AG92" i="41"/>
  <c r="BD35" i="41"/>
  <c r="AR34" i="41"/>
  <c r="AR38" i="41" s="1"/>
  <c r="BC35" i="41"/>
  <c r="AQ34" i="41"/>
  <c r="AQ38" i="41" s="1"/>
  <c r="BW88" i="41"/>
  <c r="U15" i="41"/>
  <c r="U103" i="41" s="1"/>
  <c r="BU88" i="41"/>
  <c r="BV88" i="41"/>
  <c r="AY21" i="41"/>
  <c r="AY101" i="41" s="1"/>
  <c r="BU70" i="41"/>
  <c r="BV69" i="41"/>
  <c r="BW69" i="41"/>
  <c r="BU69" i="41"/>
  <c r="T42" i="41"/>
  <c r="S42" i="41"/>
  <c r="U42" i="41"/>
  <c r="R42" i="41"/>
  <c r="BW18" i="41"/>
  <c r="AG104" i="41"/>
  <c r="AF104" i="41"/>
  <c r="AF102" i="41"/>
  <c r="AD103" i="41"/>
  <c r="AM104" i="41"/>
  <c r="U60" i="41"/>
  <c r="P62" i="41"/>
  <c r="T60" i="41"/>
  <c r="P88" i="41"/>
  <c r="R75" i="41"/>
  <c r="P45" i="41"/>
  <c r="T75" i="41"/>
  <c r="AG34" i="41"/>
  <c r="AG38" i="41" s="1"/>
  <c r="AF34" i="41"/>
  <c r="AF38" i="41" s="1"/>
  <c r="T29" i="41"/>
  <c r="S34" i="41"/>
  <c r="S38" i="41" s="1"/>
  <c r="S29" i="41"/>
  <c r="U75" i="41"/>
  <c r="U110" i="41"/>
  <c r="R34" i="41"/>
  <c r="R29" i="41"/>
  <c r="U34" i="41"/>
  <c r="U38" i="41" s="1"/>
  <c r="U29" i="41"/>
  <c r="S75" i="41"/>
  <c r="T34" i="41"/>
  <c r="T38" i="41" s="1"/>
  <c r="S63" i="41"/>
  <c r="BK104" i="41"/>
  <c r="BK99" i="41" s="1"/>
  <c r="AY110" i="41"/>
  <c r="AY104" i="41"/>
  <c r="AM99" i="41"/>
  <c r="AA104" i="41"/>
  <c r="AA101" i="41"/>
  <c r="BT88" i="41" l="1"/>
  <c r="BS88" i="41"/>
  <c r="BR88" i="41"/>
  <c r="BR62" i="41"/>
  <c r="BS62" i="41"/>
  <c r="BR45" i="41"/>
  <c r="BS45" i="41"/>
  <c r="AS92" i="41"/>
  <c r="AG105" i="41"/>
  <c r="BO35" i="41"/>
  <c r="BO34" i="41" s="1"/>
  <c r="BO38" i="41" s="1"/>
  <c r="BC34" i="41"/>
  <c r="BC38" i="41" s="1"/>
  <c r="BP35" i="41"/>
  <c r="BP34" i="41" s="1"/>
  <c r="BP38" i="41" s="1"/>
  <c r="BD34" i="41"/>
  <c r="BD38" i="41" s="1"/>
  <c r="BQ35" i="41"/>
  <c r="BQ34" i="41" s="1"/>
  <c r="BQ38" i="41" s="1"/>
  <c r="BE34" i="41"/>
  <c r="BE38" i="41" s="1"/>
  <c r="BN35" i="41"/>
  <c r="BN34" i="41" s="1"/>
  <c r="BB34" i="41"/>
  <c r="T21" i="41"/>
  <c r="T101" i="41" s="1"/>
  <c r="U21" i="41"/>
  <c r="U101" i="41" s="1"/>
  <c r="AY99" i="41"/>
  <c r="AY109" i="41" s="1"/>
  <c r="AY112" i="41" s="1"/>
  <c r="R21" i="41"/>
  <c r="S21" i="41"/>
  <c r="U104" i="41"/>
  <c r="T110" i="41"/>
  <c r="T104" i="41"/>
  <c r="AD34" i="41"/>
  <c r="AE34" i="41"/>
  <c r="AE38" i="41" s="1"/>
  <c r="BK109" i="41"/>
  <c r="BK112" i="41" s="1"/>
  <c r="AM109" i="41"/>
  <c r="AM112" i="41" s="1"/>
  <c r="AA110" i="41"/>
  <c r="AA102" i="41"/>
  <c r="AA99" i="41" s="1"/>
  <c r="AA111" i="41"/>
  <c r="AH126" i="41" l="1"/>
  <c r="BF126" i="41"/>
  <c r="BE92" i="41"/>
  <c r="AS105" i="41"/>
  <c r="U63" i="41"/>
  <c r="T111" i="41"/>
  <c r="T63" i="41"/>
  <c r="U111" i="41"/>
  <c r="AA109" i="41"/>
  <c r="AA112" i="41" s="1"/>
  <c r="AT126" i="41" l="1"/>
  <c r="BQ92" i="41"/>
  <c r="BQ105" i="41" s="1"/>
  <c r="BE105" i="41"/>
  <c r="T59" i="41"/>
  <c r="T102" i="41" s="1"/>
  <c r="U59" i="41"/>
  <c r="U102" i="41" s="1"/>
  <c r="U99" i="41" s="1"/>
  <c r="U109" i="41" l="1"/>
  <c r="U112" i="41" s="1"/>
  <c r="E34" i="42" l="1"/>
  <c r="V126" i="41" l="1"/>
  <c r="P69" i="41" l="1"/>
  <c r="BT69" i="41" l="1"/>
  <c r="BS69" i="41"/>
  <c r="BR69" i="41"/>
  <c r="G45" i="20" l="1"/>
  <c r="H45" i="20" s="1"/>
  <c r="G42" i="20"/>
  <c r="H42" i="20" s="1"/>
  <c r="G39" i="20"/>
  <c r="H39" i="20" s="1"/>
  <c r="L16" i="20" l="1"/>
  <c r="L21" i="20"/>
  <c r="O16" i="20" l="1"/>
  <c r="J16" i="20"/>
  <c r="J17" i="20" s="1"/>
  <c r="K16" i="20"/>
  <c r="K17" i="20" s="1"/>
  <c r="O21" i="20"/>
  <c r="J21" i="20"/>
  <c r="J22" i="20" s="1"/>
  <c r="K21" i="20"/>
  <c r="K22" i="20" s="1"/>
  <c r="P55" i="41"/>
  <c r="J42" i="20"/>
  <c r="J45" i="20"/>
  <c r="BR55" i="41" l="1"/>
  <c r="BS55" i="41"/>
  <c r="L17" i="20"/>
  <c r="R16" i="20"/>
  <c r="N16" i="20"/>
  <c r="N17" i="20" s="1"/>
  <c r="M16" i="20"/>
  <c r="M17" i="20" s="1"/>
  <c r="L22" i="20"/>
  <c r="R21" i="20"/>
  <c r="N21" i="20"/>
  <c r="N22" i="20" s="1"/>
  <c r="M21" i="20"/>
  <c r="M22" i="20" s="1"/>
  <c r="N93" i="42" l="1"/>
  <c r="Q16" i="20"/>
  <c r="Q17" i="20" s="1"/>
  <c r="P16" i="20"/>
  <c r="P17" i="20" s="1"/>
  <c r="O17" i="20"/>
  <c r="O22" i="20"/>
  <c r="Q21" i="20"/>
  <c r="Q22" i="20" s="1"/>
  <c r="P21" i="20"/>
  <c r="P22" i="20" s="1"/>
  <c r="R22" i="20" s="1"/>
  <c r="R17" i="20" l="1"/>
  <c r="R93" i="42"/>
  <c r="V93" i="42" l="1"/>
  <c r="Z93" i="42" l="1"/>
  <c r="BW121" i="41" l="1"/>
  <c r="BV121" i="41"/>
  <c r="BU121" i="41"/>
  <c r="BT121" i="41"/>
  <c r="BW14" i="41"/>
  <c r="BV14" i="41"/>
  <c r="BU14" i="41"/>
  <c r="BT14" i="41"/>
  <c r="BW10" i="41"/>
  <c r="BV10" i="41"/>
  <c r="BU10" i="41"/>
  <c r="BT10" i="41"/>
  <c r="BU95" i="41" l="1"/>
  <c r="BU100" i="41"/>
  <c r="BV94" i="41"/>
  <c r="BV98" i="41"/>
  <c r="BW93" i="41"/>
  <c r="BW97" i="41"/>
  <c r="BU98" i="41"/>
  <c r="BV93" i="41"/>
  <c r="BV97" i="41"/>
  <c r="BW96" i="41"/>
  <c r="BU96" i="41"/>
  <c r="BV95" i="41"/>
  <c r="BV100" i="41"/>
  <c r="BW94" i="41"/>
  <c r="BW98" i="41"/>
  <c r="BU93" i="41"/>
  <c r="BU97" i="41"/>
  <c r="BV96" i="41"/>
  <c r="BW95" i="41"/>
  <c r="BW100" i="41"/>
  <c r="BU62" i="41"/>
  <c r="BU89" i="41"/>
  <c r="BW62" i="41"/>
  <c r="BV71" i="41"/>
  <c r="BV84" i="41"/>
  <c r="BW89" i="41"/>
  <c r="BV72" i="41"/>
  <c r="BU74" i="41"/>
  <c r="BW71" i="41"/>
  <c r="BU71" i="41"/>
  <c r="BV62" i="41"/>
  <c r="BW72" i="41"/>
  <c r="BW84" i="41"/>
  <c r="BU72" i="41"/>
  <c r="BU84" i="41"/>
  <c r="BV74" i="41"/>
  <c r="BV89" i="41"/>
  <c r="BW74" i="41"/>
  <c r="BT98" i="41" l="1"/>
  <c r="BT97" i="41"/>
  <c r="BT96" i="41"/>
  <c r="BT95" i="41"/>
  <c r="BT84" i="41"/>
  <c r="BT74" i="41"/>
  <c r="BT72" i="41"/>
  <c r="BT71" i="41"/>
  <c r="BT62" i="41"/>
  <c r="BS13" i="41" l="1"/>
  <c r="BR13" i="41"/>
  <c r="P54" i="41"/>
  <c r="BR54" i="41" l="1"/>
  <c r="BS54" i="41"/>
  <c r="D7" i="20"/>
  <c r="D12" i="20" s="1"/>
  <c r="D33" i="20" s="1"/>
  <c r="P47" i="41" l="1"/>
  <c r="BS47" i="41" l="1"/>
  <c r="BR47" i="41"/>
  <c r="E15" i="42"/>
  <c r="J13" i="42" l="1"/>
  <c r="P40" i="41" l="1"/>
  <c r="Q39" i="41"/>
  <c r="J14" i="4"/>
  <c r="L2" i="20" s="1"/>
  <c r="F100" i="20"/>
  <c r="E105" i="20" s="1"/>
  <c r="L89" i="20"/>
  <c r="BR40" i="41" l="1"/>
  <c r="BS40" i="41"/>
  <c r="L133" i="20"/>
  <c r="L34" i="20"/>
  <c r="K165" i="20"/>
  <c r="E109" i="20"/>
  <c r="I10" i="4"/>
  <c r="I100" i="20" s="1"/>
  <c r="AB9" i="41"/>
  <c r="BT9" i="41" s="1"/>
  <c r="K14" i="4"/>
  <c r="O2" i="20" s="1"/>
  <c r="K12" i="4"/>
  <c r="K9" i="4"/>
  <c r="O89" i="20" s="1"/>
  <c r="F107" i="20" l="1"/>
  <c r="G109" i="20"/>
  <c r="H109" i="20" s="1"/>
  <c r="J109" i="20" s="1"/>
  <c r="K166" i="20"/>
  <c r="L166" i="20" s="1"/>
  <c r="L165" i="20" s="1"/>
  <c r="M165" i="20"/>
  <c r="L162" i="20"/>
  <c r="O133" i="20"/>
  <c r="O34" i="20"/>
  <c r="K48" i="20"/>
  <c r="M48" i="20" s="1"/>
  <c r="K57" i="20"/>
  <c r="K67" i="20"/>
  <c r="K79" i="20"/>
  <c r="K51" i="20"/>
  <c r="K70" i="20"/>
  <c r="K82" i="20"/>
  <c r="K73" i="20"/>
  <c r="K54" i="20"/>
  <c r="K85" i="20"/>
  <c r="K60" i="20"/>
  <c r="K76" i="20"/>
  <c r="K64" i="20"/>
  <c r="K45" i="20"/>
  <c r="M45" i="20" s="1"/>
  <c r="K42" i="20"/>
  <c r="E113" i="20"/>
  <c r="E126" i="20" s="1"/>
  <c r="E127" i="20" s="1"/>
  <c r="F127" i="20" s="1"/>
  <c r="G105" i="20"/>
  <c r="E130" i="20"/>
  <c r="K158" i="20"/>
  <c r="K155" i="20"/>
  <c r="K137" i="20"/>
  <c r="M137" i="20" s="1"/>
  <c r="N137" i="20" s="1"/>
  <c r="K146" i="20"/>
  <c r="K140" i="20"/>
  <c r="K143" i="20"/>
  <c r="K152" i="20"/>
  <c r="K149" i="20"/>
  <c r="L14" i="4"/>
  <c r="R2" i="20" s="1"/>
  <c r="R89" i="20"/>
  <c r="L100" i="20"/>
  <c r="AN9" i="41"/>
  <c r="BU9" i="41" s="1"/>
  <c r="M42" i="20"/>
  <c r="F126" i="20" l="1"/>
  <c r="T19" i="41"/>
  <c r="E114" i="20"/>
  <c r="F114" i="20" s="1"/>
  <c r="E118" i="20"/>
  <c r="N45" i="20"/>
  <c r="P45" i="20" s="1"/>
  <c r="M152" i="20"/>
  <c r="K153" i="20"/>
  <c r="L153" i="20" s="1"/>
  <c r="L152" i="20" s="1"/>
  <c r="P137" i="20"/>
  <c r="O134" i="20"/>
  <c r="H105" i="20"/>
  <c r="G130" i="20"/>
  <c r="G131" i="20" s="1"/>
  <c r="G113" i="20"/>
  <c r="M64" i="20"/>
  <c r="K65" i="20"/>
  <c r="L65" i="20" s="1"/>
  <c r="L64" i="20" s="1"/>
  <c r="M54" i="20"/>
  <c r="K55" i="20"/>
  <c r="L55" i="20" s="1"/>
  <c r="L54" i="20" s="1"/>
  <c r="M51" i="20"/>
  <c r="K52" i="20"/>
  <c r="L52" i="20" s="1"/>
  <c r="L51" i="20" s="1"/>
  <c r="N48" i="20"/>
  <c r="P48" i="20" s="1"/>
  <c r="N165" i="20"/>
  <c r="M166" i="20"/>
  <c r="M143" i="20"/>
  <c r="K144" i="20"/>
  <c r="L144" i="20" s="1"/>
  <c r="L143" i="20" s="1"/>
  <c r="M155" i="20"/>
  <c r="K156" i="20"/>
  <c r="L156" i="20" s="1"/>
  <c r="L155" i="20" s="1"/>
  <c r="K77" i="20"/>
  <c r="L77" i="20" s="1"/>
  <c r="L76" i="20" s="1"/>
  <c r="M76" i="20"/>
  <c r="M73" i="20"/>
  <c r="K74" i="20"/>
  <c r="L74" i="20" s="1"/>
  <c r="L73" i="20" s="1"/>
  <c r="K80" i="20"/>
  <c r="L80" i="20" s="1"/>
  <c r="L79" i="20" s="1"/>
  <c r="M79" i="20"/>
  <c r="M140" i="20"/>
  <c r="K141" i="20"/>
  <c r="L141" i="20" s="1"/>
  <c r="L140" i="20" s="1"/>
  <c r="M158" i="20"/>
  <c r="K159" i="20"/>
  <c r="L159" i="20" s="1"/>
  <c r="L158" i="20" s="1"/>
  <c r="M60" i="20"/>
  <c r="K61" i="20"/>
  <c r="L61" i="20" s="1"/>
  <c r="L60" i="20" s="1"/>
  <c r="K83" i="20"/>
  <c r="L83" i="20" s="1"/>
  <c r="L82" i="20" s="1"/>
  <c r="M82" i="20"/>
  <c r="K68" i="20"/>
  <c r="L68" i="20" s="1"/>
  <c r="L67" i="20" s="1"/>
  <c r="M67" i="20"/>
  <c r="K109" i="20"/>
  <c r="M109" i="20" s="1"/>
  <c r="R133" i="20"/>
  <c r="R34" i="20"/>
  <c r="M149" i="20"/>
  <c r="K150" i="20"/>
  <c r="L150" i="20" s="1"/>
  <c r="L149" i="20" s="1"/>
  <c r="M146" i="20"/>
  <c r="K147" i="20"/>
  <c r="L147" i="20" s="1"/>
  <c r="L146" i="20" s="1"/>
  <c r="E131" i="20"/>
  <c r="F131" i="20" s="1"/>
  <c r="F130" i="20" s="1"/>
  <c r="F128" i="20"/>
  <c r="M85" i="20"/>
  <c r="K86" i="20"/>
  <c r="L86" i="20" s="1"/>
  <c r="L85" i="20" s="1"/>
  <c r="K71" i="20"/>
  <c r="L71" i="20" s="1"/>
  <c r="L70" i="20" s="1"/>
  <c r="M70" i="20"/>
  <c r="M57" i="20"/>
  <c r="K58" i="20"/>
  <c r="L58" i="20" s="1"/>
  <c r="L57" i="20" s="1"/>
  <c r="N42" i="20"/>
  <c r="P42" i="20" s="1"/>
  <c r="K8" i="4"/>
  <c r="BA90" i="41" s="1"/>
  <c r="BA70" i="41" s="1"/>
  <c r="K10" i="4"/>
  <c r="O100" i="20" s="1"/>
  <c r="BW20" i="41"/>
  <c r="BW125" i="41"/>
  <c r="P76" i="41"/>
  <c r="T15" i="41" l="1"/>
  <c r="G114" i="20"/>
  <c r="G118" i="20"/>
  <c r="G119" i="20" s="1"/>
  <c r="G126" i="20"/>
  <c r="G127" i="20" s="1"/>
  <c r="BA111" i="41"/>
  <c r="AZ111" i="41" s="1"/>
  <c r="BA63" i="41"/>
  <c r="AZ63" i="41" s="1"/>
  <c r="AZ70" i="41"/>
  <c r="BV70" i="41" s="1"/>
  <c r="F113" i="20"/>
  <c r="E119" i="20"/>
  <c r="BA87" i="41"/>
  <c r="AZ90" i="41"/>
  <c r="BR76" i="41"/>
  <c r="BS76" i="41"/>
  <c r="O31" i="20"/>
  <c r="O26" i="20"/>
  <c r="Q45" i="20"/>
  <c r="Q42" i="20"/>
  <c r="M61" i="20"/>
  <c r="N60" i="20"/>
  <c r="N140" i="20"/>
  <c r="M141" i="20"/>
  <c r="N51" i="20"/>
  <c r="M52" i="20"/>
  <c r="M65" i="20"/>
  <c r="N64" i="20"/>
  <c r="M58" i="20"/>
  <c r="N57" i="20"/>
  <c r="M86" i="20"/>
  <c r="N85" i="20"/>
  <c r="N146" i="20"/>
  <c r="M147" i="20"/>
  <c r="N82" i="20"/>
  <c r="M83" i="20"/>
  <c r="M74" i="20"/>
  <c r="N73" i="20"/>
  <c r="N155" i="20"/>
  <c r="M156" i="20"/>
  <c r="N166" i="20"/>
  <c r="O166" i="20" s="1"/>
  <c r="O165" i="20" s="1"/>
  <c r="P165" i="20"/>
  <c r="O162" i="20"/>
  <c r="Q137" i="20"/>
  <c r="AZ9" i="41"/>
  <c r="BV9" i="41" s="1"/>
  <c r="M71" i="20"/>
  <c r="N70" i="20"/>
  <c r="N109" i="20"/>
  <c r="P109" i="20" s="1"/>
  <c r="N158" i="20"/>
  <c r="M159" i="20"/>
  <c r="N79" i="20"/>
  <c r="M80" i="20"/>
  <c r="N76" i="20"/>
  <c r="M77" i="20"/>
  <c r="Q48" i="20"/>
  <c r="N54" i="20"/>
  <c r="M55" i="20"/>
  <c r="N149" i="20"/>
  <c r="M150" i="20"/>
  <c r="N67" i="20"/>
  <c r="M68" i="20"/>
  <c r="N143" i="20"/>
  <c r="M144" i="20"/>
  <c r="J105" i="20"/>
  <c r="H113" i="20"/>
  <c r="H130" i="20"/>
  <c r="N152" i="20"/>
  <c r="M153" i="20"/>
  <c r="L8" i="4"/>
  <c r="BL9" i="41" s="1"/>
  <c r="BW9" i="41" s="1"/>
  <c r="L10" i="4"/>
  <c r="R100" i="20" s="1"/>
  <c r="P90" i="41"/>
  <c r="BW107" i="41"/>
  <c r="G122" i="20" l="1"/>
  <c r="H114" i="20"/>
  <c r="I114" i="20" s="1"/>
  <c r="I113" i="20" s="1"/>
  <c r="H126" i="20"/>
  <c r="H127" i="20" s="1"/>
  <c r="I127" i="20" s="1"/>
  <c r="H118" i="20"/>
  <c r="H119" i="20" s="1"/>
  <c r="H122" i="20" s="1"/>
  <c r="T103" i="41"/>
  <c r="F119" i="20"/>
  <c r="F209" i="20" s="1"/>
  <c r="E122" i="20"/>
  <c r="AZ87" i="41"/>
  <c r="BV87" i="41" s="1"/>
  <c r="BA85" i="41"/>
  <c r="BM90" i="41"/>
  <c r="BM70" i="41" s="1"/>
  <c r="BS90" i="41"/>
  <c r="BR90" i="41"/>
  <c r="N26" i="20"/>
  <c r="M26" i="20"/>
  <c r="M27" i="20" s="1"/>
  <c r="R26" i="20"/>
  <c r="R31" i="20"/>
  <c r="M31" i="20"/>
  <c r="M32" i="20" s="1"/>
  <c r="N31" i="20"/>
  <c r="I128" i="20"/>
  <c r="H131" i="20"/>
  <c r="I131" i="20" s="1"/>
  <c r="I130" i="20" s="1"/>
  <c r="P143" i="20"/>
  <c r="N144" i="20"/>
  <c r="O144" i="20" s="1"/>
  <c r="O143" i="20" s="1"/>
  <c r="P149" i="20"/>
  <c r="N150" i="20"/>
  <c r="O150" i="20" s="1"/>
  <c r="O149" i="20" s="1"/>
  <c r="Q138" i="20"/>
  <c r="R134" i="20"/>
  <c r="P85" i="20"/>
  <c r="N86" i="20"/>
  <c r="O86" i="20" s="1"/>
  <c r="O85" i="20" s="1"/>
  <c r="P64" i="20"/>
  <c r="N65" i="20"/>
  <c r="O65" i="20" s="1"/>
  <c r="O64" i="20" s="1"/>
  <c r="N77" i="20"/>
  <c r="O77" i="20" s="1"/>
  <c r="O76" i="20" s="1"/>
  <c r="P76" i="20"/>
  <c r="P158" i="20"/>
  <c r="N159" i="20"/>
  <c r="O159" i="20" s="1"/>
  <c r="O158" i="20" s="1"/>
  <c r="N27" i="20"/>
  <c r="P155" i="20"/>
  <c r="N156" i="20"/>
  <c r="O156" i="20" s="1"/>
  <c r="O155" i="20" s="1"/>
  <c r="P82" i="20"/>
  <c r="N83" i="20"/>
  <c r="O83" i="20" s="1"/>
  <c r="O82" i="20" s="1"/>
  <c r="P140" i="20"/>
  <c r="N141" i="20"/>
  <c r="O141" i="20" s="1"/>
  <c r="O140" i="20" s="1"/>
  <c r="J130" i="20"/>
  <c r="J131" i="20" s="1"/>
  <c r="J113" i="20"/>
  <c r="K105" i="20"/>
  <c r="P67" i="20"/>
  <c r="N68" i="20"/>
  <c r="O68" i="20" s="1"/>
  <c r="O67" i="20" s="1"/>
  <c r="P54" i="20"/>
  <c r="N55" i="20"/>
  <c r="O55" i="20" s="1"/>
  <c r="O54" i="20" s="1"/>
  <c r="Q109" i="20"/>
  <c r="N32" i="20"/>
  <c r="O32" i="20" s="1"/>
  <c r="P166" i="20"/>
  <c r="Q165" i="20"/>
  <c r="N74" i="20"/>
  <c r="O74" i="20" s="1"/>
  <c r="O73" i="20" s="1"/>
  <c r="P73" i="20"/>
  <c r="P57" i="20"/>
  <c r="N58" i="20"/>
  <c r="O58" i="20" s="1"/>
  <c r="O57" i="20" s="1"/>
  <c r="P60" i="20"/>
  <c r="N61" i="20"/>
  <c r="O61" i="20" s="1"/>
  <c r="O60" i="20" s="1"/>
  <c r="P152" i="20"/>
  <c r="N153" i="20"/>
  <c r="O153" i="20" s="1"/>
  <c r="O152" i="20" s="1"/>
  <c r="P79" i="20"/>
  <c r="N80" i="20"/>
  <c r="O80" i="20" s="1"/>
  <c r="O79" i="20" s="1"/>
  <c r="N71" i="20"/>
  <c r="O71" i="20" s="1"/>
  <c r="O70" i="20" s="1"/>
  <c r="P70" i="20"/>
  <c r="P146" i="20"/>
  <c r="N147" i="20"/>
  <c r="O147" i="20" s="1"/>
  <c r="O146" i="20" s="1"/>
  <c r="N52" i="20"/>
  <c r="O52" i="20" s="1"/>
  <c r="O51" i="20" s="1"/>
  <c r="P51" i="20"/>
  <c r="P43" i="41"/>
  <c r="I126" i="20" l="1"/>
  <c r="AF19" i="41"/>
  <c r="T105" i="41"/>
  <c r="T99" i="41" s="1"/>
  <c r="J114" i="20"/>
  <c r="J126" i="20"/>
  <c r="J127" i="20" s="1"/>
  <c r="J118" i="20"/>
  <c r="J119" i="20" s="1"/>
  <c r="I119" i="20"/>
  <c r="BM111" i="41"/>
  <c r="BL111" i="41" s="1"/>
  <c r="BM63" i="41"/>
  <c r="BL63" i="41" s="1"/>
  <c r="BL70" i="41"/>
  <c r="BW70" i="41" s="1"/>
  <c r="F118" i="20"/>
  <c r="O27" i="20"/>
  <c r="BM87" i="41"/>
  <c r="BL90" i="41"/>
  <c r="AZ85" i="41"/>
  <c r="BA104" i="41"/>
  <c r="AZ104" i="41" s="1"/>
  <c r="BA110" i="41"/>
  <c r="AZ110" i="41" s="1"/>
  <c r="BR43" i="41"/>
  <c r="BS43" i="41"/>
  <c r="Q31" i="20"/>
  <c r="P31" i="20"/>
  <c r="Q26" i="20"/>
  <c r="P26" i="20"/>
  <c r="P27" i="20" s="1"/>
  <c r="Q149" i="20"/>
  <c r="Q150" i="20" s="1"/>
  <c r="P150" i="20"/>
  <c r="Q152" i="20"/>
  <c r="Q153" i="20" s="1"/>
  <c r="P153" i="20"/>
  <c r="Q57" i="20"/>
  <c r="Q58" i="20" s="1"/>
  <c r="P58" i="20"/>
  <c r="K130" i="20"/>
  <c r="K113" i="20"/>
  <c r="M105" i="20"/>
  <c r="Q140" i="20"/>
  <c r="Q141" i="20" s="1"/>
  <c r="P141" i="20"/>
  <c r="Q155" i="20"/>
  <c r="Q156" i="20" s="1"/>
  <c r="P156" i="20"/>
  <c r="Q158" i="20"/>
  <c r="Q159" i="20" s="1"/>
  <c r="P159" i="20"/>
  <c r="P65" i="20"/>
  <c r="Q64" i="20"/>
  <c r="Q65" i="20" s="1"/>
  <c r="P68" i="20"/>
  <c r="Q67" i="20"/>
  <c r="Q68" i="20" s="1"/>
  <c r="Q73" i="20"/>
  <c r="Q74" i="20" s="1"/>
  <c r="P74" i="20"/>
  <c r="Q54" i="20"/>
  <c r="Q55" i="20" s="1"/>
  <c r="P55" i="20"/>
  <c r="Q27" i="20"/>
  <c r="P77" i="20"/>
  <c r="Q76" i="20"/>
  <c r="Q77" i="20" s="1"/>
  <c r="Q143" i="20"/>
  <c r="Q144" i="20" s="1"/>
  <c r="P144" i="20"/>
  <c r="Q51" i="20"/>
  <c r="Q52" i="20" s="1"/>
  <c r="P52" i="20"/>
  <c r="P71" i="20"/>
  <c r="Q70" i="20"/>
  <c r="Q71" i="20" s="1"/>
  <c r="Q166" i="20"/>
  <c r="R166" i="20" s="1"/>
  <c r="R165" i="20" s="1"/>
  <c r="R162" i="20"/>
  <c r="Q146" i="20"/>
  <c r="Q147" i="20" s="1"/>
  <c r="P147" i="20"/>
  <c r="Q79" i="20"/>
  <c r="Q80" i="20" s="1"/>
  <c r="P80" i="20"/>
  <c r="P61" i="20"/>
  <c r="Q60" i="20"/>
  <c r="Q61" i="20" s="1"/>
  <c r="Q32" i="20"/>
  <c r="P32" i="20"/>
  <c r="P83" i="20"/>
  <c r="Q82" i="20"/>
  <c r="Q83" i="20" s="1"/>
  <c r="Q85" i="20"/>
  <c r="Q86" i="20" s="1"/>
  <c r="P86" i="20"/>
  <c r="P44" i="41"/>
  <c r="Q42" i="41"/>
  <c r="H6" i="44"/>
  <c r="G13" i="44"/>
  <c r="AF15" i="41" l="1"/>
  <c r="AF103" i="41" s="1"/>
  <c r="T125" i="41"/>
  <c r="T109" i="41"/>
  <c r="I31" i="42" s="1"/>
  <c r="I43" i="42" s="1"/>
  <c r="K114" i="20"/>
  <c r="L114" i="20" s="1"/>
  <c r="L113" i="20" s="1"/>
  <c r="K126" i="20"/>
  <c r="K127" i="20" s="1"/>
  <c r="L127" i="20" s="1"/>
  <c r="K118" i="20"/>
  <c r="K119" i="20" s="1"/>
  <c r="K122" i="20" s="1"/>
  <c r="J122" i="20"/>
  <c r="I208" i="20"/>
  <c r="I209" i="20" s="1"/>
  <c r="I122" i="20"/>
  <c r="I118" i="20"/>
  <c r="BL87" i="41"/>
  <c r="BW87" i="41" s="1"/>
  <c r="BM85" i="41"/>
  <c r="BS44" i="41"/>
  <c r="BR44" i="41"/>
  <c r="R32" i="20"/>
  <c r="R83" i="20"/>
  <c r="R82" i="20" s="1"/>
  <c r="R61" i="20"/>
  <c r="R60" i="20" s="1"/>
  <c r="R71" i="20"/>
  <c r="R70" i="20" s="1"/>
  <c r="R65" i="20"/>
  <c r="R64" i="20" s="1"/>
  <c r="R58" i="20"/>
  <c r="R57" i="20" s="1"/>
  <c r="R150" i="20"/>
  <c r="R149" i="20" s="1"/>
  <c r="R153" i="20"/>
  <c r="R152" i="20" s="1"/>
  <c r="R86" i="20"/>
  <c r="R85" i="20" s="1"/>
  <c r="R80" i="20"/>
  <c r="R79" i="20" s="1"/>
  <c r="R52" i="20"/>
  <c r="R51" i="20" s="1"/>
  <c r="R55" i="20"/>
  <c r="R54" i="20" s="1"/>
  <c r="R159" i="20"/>
  <c r="R158" i="20" s="1"/>
  <c r="Q160" i="20"/>
  <c r="R77" i="20"/>
  <c r="R76" i="20" s="1"/>
  <c r="R68" i="20"/>
  <c r="R67" i="20" s="1"/>
  <c r="R141" i="20"/>
  <c r="R140" i="20" s="1"/>
  <c r="K131" i="20"/>
  <c r="L131" i="20" s="1"/>
  <c r="L128" i="20"/>
  <c r="R147" i="20"/>
  <c r="R146" i="20" s="1"/>
  <c r="R144" i="20"/>
  <c r="R143" i="20" s="1"/>
  <c r="R27" i="20"/>
  <c r="R74" i="20"/>
  <c r="R73" i="20" s="1"/>
  <c r="R156" i="20"/>
  <c r="R155" i="20" s="1"/>
  <c r="M113" i="20"/>
  <c r="N105" i="20"/>
  <c r="M130" i="20"/>
  <c r="M131" i="20" s="1"/>
  <c r="H5" i="44"/>
  <c r="L119" i="20" l="1"/>
  <c r="T112" i="41"/>
  <c r="L208" i="20"/>
  <c r="L209" i="20" s="1"/>
  <c r="L122" i="20"/>
  <c r="L118" i="20"/>
  <c r="M114" i="20"/>
  <c r="M126" i="20"/>
  <c r="M127" i="20" s="1"/>
  <c r="M118" i="20"/>
  <c r="M119" i="20" s="1"/>
  <c r="L126" i="20"/>
  <c r="AR19" i="41"/>
  <c r="AR15" i="41" s="1"/>
  <c r="AR103" i="41" s="1"/>
  <c r="L130" i="20"/>
  <c r="BM110" i="41"/>
  <c r="BL110" i="41" s="1"/>
  <c r="BL85" i="41"/>
  <c r="BM104" i="41"/>
  <c r="BL104" i="41" s="1"/>
  <c r="N113" i="20"/>
  <c r="N130" i="20"/>
  <c r="P105" i="20"/>
  <c r="H43" i="42" l="1"/>
  <c r="H31" i="42" s="1"/>
  <c r="J31" i="42"/>
  <c r="I45" i="42"/>
  <c r="J43" i="42"/>
  <c r="I33" i="42"/>
  <c r="J33" i="42" s="1"/>
  <c r="N114" i="20"/>
  <c r="O114" i="20" s="1"/>
  <c r="O113" i="20" s="1"/>
  <c r="N126" i="20"/>
  <c r="N127" i="20" s="1"/>
  <c r="O127" i="20" s="1"/>
  <c r="N118" i="20"/>
  <c r="N119" i="20" s="1"/>
  <c r="N122" i="20" s="1"/>
  <c r="M122" i="20"/>
  <c r="Q105" i="20"/>
  <c r="P130" i="20"/>
  <c r="P131" i="20" s="1"/>
  <c r="P113" i="20"/>
  <c r="N131" i="20"/>
  <c r="O131" i="20" s="1"/>
  <c r="O130" i="20" s="1"/>
  <c r="O128" i="20"/>
  <c r="Q107" i="41"/>
  <c r="O119" i="20" l="1"/>
  <c r="H45" i="42"/>
  <c r="J45" i="42"/>
  <c r="O126" i="20"/>
  <c r="BD19" i="41"/>
  <c r="BD15" i="41" s="1"/>
  <c r="BD103" i="41" s="1"/>
  <c r="O208" i="20"/>
  <c r="O209" i="20" s="1"/>
  <c r="O118" i="20"/>
  <c r="O122" i="20"/>
  <c r="P114" i="20"/>
  <c r="P126" i="20"/>
  <c r="P127" i="20" s="1"/>
  <c r="P118" i="20"/>
  <c r="P119" i="20" s="1"/>
  <c r="Q130" i="20"/>
  <c r="Q113" i="20"/>
  <c r="D33" i="44"/>
  <c r="H18" i="44"/>
  <c r="G18" i="44"/>
  <c r="G14" i="44"/>
  <c r="H14" i="44"/>
  <c r="G15" i="44"/>
  <c r="H15" i="44"/>
  <c r="G16" i="44"/>
  <c r="H16" i="44"/>
  <c r="G17" i="44"/>
  <c r="H17" i="44"/>
  <c r="H13" i="44"/>
  <c r="F13" i="44" s="1"/>
  <c r="H22" i="44"/>
  <c r="G22" i="44"/>
  <c r="D22" i="44"/>
  <c r="H46" i="42" l="1"/>
  <c r="K45" i="42"/>
  <c r="K43" i="42" s="1"/>
  <c r="K46" i="42"/>
  <c r="Q114" i="20"/>
  <c r="R114" i="20" s="1"/>
  <c r="R113" i="20" s="1"/>
  <c r="Q126" i="20"/>
  <c r="Q127" i="20" s="1"/>
  <c r="R127" i="20" s="1"/>
  <c r="Q118" i="20"/>
  <c r="Q119" i="20" s="1"/>
  <c r="Q122" i="20" s="1"/>
  <c r="P122" i="20"/>
  <c r="R128" i="20"/>
  <c r="Q131" i="20"/>
  <c r="R131" i="20" s="1"/>
  <c r="R130" i="20" s="1"/>
  <c r="F16" i="44"/>
  <c r="F14" i="44"/>
  <c r="F17" i="44"/>
  <c r="F15" i="44"/>
  <c r="I12" i="44"/>
  <c r="H12" i="44"/>
  <c r="G12" i="44"/>
  <c r="G28" i="44"/>
  <c r="K28" i="44" s="1"/>
  <c r="H28" i="44"/>
  <c r="L28" i="44" s="1"/>
  <c r="G29" i="44"/>
  <c r="K29" i="44" s="1"/>
  <c r="H29" i="44"/>
  <c r="L29" i="44" s="1"/>
  <c r="H27" i="44"/>
  <c r="L27" i="44" s="1"/>
  <c r="G27" i="44"/>
  <c r="K27" i="44" s="1"/>
  <c r="M3" i="44"/>
  <c r="I23" i="44"/>
  <c r="C24" i="44"/>
  <c r="H23" i="44"/>
  <c r="G23" i="44"/>
  <c r="E23" i="44"/>
  <c r="D23" i="44"/>
  <c r="F22" i="44"/>
  <c r="F21" i="44"/>
  <c r="F19" i="44"/>
  <c r="F11" i="44"/>
  <c r="C10" i="44"/>
  <c r="C9" i="44"/>
  <c r="C8" i="44"/>
  <c r="F6" i="44"/>
  <c r="K31" i="42" l="1"/>
  <c r="K33" i="42"/>
  <c r="K34" i="42" s="1"/>
  <c r="H34" i="42"/>
  <c r="R119" i="20"/>
  <c r="R126" i="20"/>
  <c r="BP19" i="41"/>
  <c r="BP15" i="41" s="1"/>
  <c r="BP103" i="41" s="1"/>
  <c r="I4" i="44"/>
  <c r="L30" i="44"/>
  <c r="G30" i="44"/>
  <c r="H30" i="44"/>
  <c r="F23" i="44"/>
  <c r="F12" i="44"/>
  <c r="J28" i="44"/>
  <c r="J29" i="44"/>
  <c r="F20" i="44"/>
  <c r="F24" i="44"/>
  <c r="F18" i="44"/>
  <c r="F27" i="44"/>
  <c r="F28" i="44"/>
  <c r="F29" i="44"/>
  <c r="R208" i="20" l="1"/>
  <c r="R209" i="20" s="1"/>
  <c r="R122" i="20"/>
  <c r="R118" i="20"/>
  <c r="F30" i="44"/>
  <c r="K30" i="44"/>
  <c r="J30" i="44" s="1"/>
  <c r="J27" i="44"/>
  <c r="G15" i="4" l="1"/>
  <c r="F15" i="4"/>
  <c r="E15" i="4"/>
  <c r="P66" i="41" l="1"/>
  <c r="P65" i="41"/>
  <c r="P52" i="41"/>
  <c r="E22" i="44"/>
  <c r="E18" i="44"/>
  <c r="D18" i="44"/>
  <c r="P36" i="41"/>
  <c r="P37" i="41"/>
  <c r="P35" i="41"/>
  <c r="E28" i="44"/>
  <c r="E29" i="44"/>
  <c r="E9" i="44"/>
  <c r="E10" i="44"/>
  <c r="E14" i="44"/>
  <c r="E15" i="44"/>
  <c r="E16" i="44"/>
  <c r="E17" i="44"/>
  <c r="E13" i="44"/>
  <c r="D14" i="44"/>
  <c r="D15" i="44"/>
  <c r="D16" i="44"/>
  <c r="D17" i="44"/>
  <c r="D13" i="44"/>
  <c r="D28" i="44"/>
  <c r="D29" i="44"/>
  <c r="D27" i="44"/>
  <c r="D9" i="44"/>
  <c r="D10" i="44"/>
  <c r="D6" i="44"/>
  <c r="BR36" i="41" l="1"/>
  <c r="BS36" i="41"/>
  <c r="BR52" i="41"/>
  <c r="BS52" i="41"/>
  <c r="BR64" i="41"/>
  <c r="BS64" i="41"/>
  <c r="BR35" i="41"/>
  <c r="BS35" i="41"/>
  <c r="BR65" i="41"/>
  <c r="BS65" i="41"/>
  <c r="BR37" i="41"/>
  <c r="BS37" i="41"/>
  <c r="BS66" i="41"/>
  <c r="BR66" i="41"/>
  <c r="D5" i="44"/>
  <c r="D8" i="44"/>
  <c r="D7" i="44" s="1"/>
  <c r="J15" i="4"/>
  <c r="L3" i="20" s="1"/>
  <c r="E27" i="44"/>
  <c r="E30" i="44" s="1"/>
  <c r="BT66" i="41"/>
  <c r="E8" i="44"/>
  <c r="E7" i="44" s="1"/>
  <c r="N13" i="42"/>
  <c r="E5" i="44"/>
  <c r="E6" i="44"/>
  <c r="D12" i="44"/>
  <c r="D30" i="44"/>
  <c r="E12" i="44"/>
  <c r="P79" i="41"/>
  <c r="P20" i="41"/>
  <c r="BT125" i="41"/>
  <c r="A116" i="41"/>
  <c r="S107" i="41"/>
  <c r="R107" i="41"/>
  <c r="S106" i="41"/>
  <c r="S60" i="41"/>
  <c r="S59" i="41" s="1"/>
  <c r="R60" i="41"/>
  <c r="P39" i="41"/>
  <c r="D11" i="44"/>
  <c r="AB13" i="41"/>
  <c r="AB12" i="41"/>
  <c r="BS20" i="41" l="1"/>
  <c r="BR20" i="41"/>
  <c r="BR39" i="41"/>
  <c r="BS39" i="41"/>
  <c r="BR79" i="41"/>
  <c r="BS79" i="41"/>
  <c r="D1" i="44"/>
  <c r="BT12" i="41"/>
  <c r="AN12" i="41"/>
  <c r="BU12" i="41" s="1"/>
  <c r="BT13" i="41"/>
  <c r="AN13" i="41"/>
  <c r="P107" i="41"/>
  <c r="D31" i="44"/>
  <c r="G31" i="44" s="1"/>
  <c r="H31" i="44" s="1"/>
  <c r="K15" i="4"/>
  <c r="O3" i="20" s="1"/>
  <c r="BU120" i="41"/>
  <c r="BT120" i="41"/>
  <c r="BT89" i="41"/>
  <c r="BT119" i="41"/>
  <c r="BU125" i="41"/>
  <c r="BV125" i="41"/>
  <c r="E31" i="44"/>
  <c r="R13" i="42"/>
  <c r="D4" i="44"/>
  <c r="D35" i="44" s="1"/>
  <c r="AC11" i="41"/>
  <c r="AD11" i="41"/>
  <c r="AD8" i="41" s="1"/>
  <c r="AD21" i="41" s="1"/>
  <c r="AC35" i="41"/>
  <c r="AO35" i="41" s="1"/>
  <c r="Q34" i="41"/>
  <c r="P34" i="41" s="1"/>
  <c r="AC37" i="41"/>
  <c r="AO37" i="41" s="1"/>
  <c r="AB79" i="41"/>
  <c r="AC36" i="41"/>
  <c r="AO36" i="41" s="1"/>
  <c r="BT64" i="41"/>
  <c r="BT118" i="41"/>
  <c r="BR107" i="41" l="1"/>
  <c r="BS107" i="41"/>
  <c r="BS34" i="41"/>
  <c r="BR34" i="41"/>
  <c r="AD57" i="41"/>
  <c r="AD52" i="41"/>
  <c r="AD48" i="41"/>
  <c r="AD44" i="41"/>
  <c r="AD33" i="41"/>
  <c r="AD78" i="41" s="1"/>
  <c r="AD27" i="41"/>
  <c r="AD56" i="41"/>
  <c r="AD51" i="41"/>
  <c r="AD47" i="41"/>
  <c r="AD43" i="41"/>
  <c r="AD32" i="41"/>
  <c r="AD25" i="41"/>
  <c r="AD54" i="41"/>
  <c r="AD50" i="41"/>
  <c r="AD46" i="41"/>
  <c r="AD41" i="41"/>
  <c r="AD31" i="41"/>
  <c r="AD76" i="41" s="1"/>
  <c r="AD75" i="41" s="1"/>
  <c r="AD59" i="41" s="1"/>
  <c r="AD102" i="41" s="1"/>
  <c r="AD24" i="41"/>
  <c r="AD58" i="41"/>
  <c r="AD53" i="41"/>
  <c r="AD49" i="41"/>
  <c r="AD45" i="41"/>
  <c r="AD40" i="41"/>
  <c r="AD28" i="41"/>
  <c r="AD23" i="41"/>
  <c r="BA36" i="41"/>
  <c r="BM36" i="41" s="1"/>
  <c r="AN36" i="41"/>
  <c r="AO34" i="41"/>
  <c r="BA35" i="41"/>
  <c r="AN35" i="41"/>
  <c r="BA37" i="41"/>
  <c r="AN37" i="41"/>
  <c r="L15" i="4"/>
  <c r="R3" i="20" s="1"/>
  <c r="AP11" i="41"/>
  <c r="AP8" i="41" s="1"/>
  <c r="AP21" i="41" s="1"/>
  <c r="AZ13" i="41"/>
  <c r="BL13" i="41" s="1"/>
  <c r="BN11" i="41" s="1"/>
  <c r="BN8" i="41" s="1"/>
  <c r="AZ12" i="41"/>
  <c r="AO11" i="41"/>
  <c r="AE11" i="41"/>
  <c r="AE8" i="41" s="1"/>
  <c r="AE21" i="41" s="1"/>
  <c r="AF11" i="41"/>
  <c r="AB37" i="41"/>
  <c r="BT37" i="41" s="1"/>
  <c r="AB36" i="41"/>
  <c r="BT36" i="41" s="1"/>
  <c r="AB35" i="41"/>
  <c r="BT35" i="41" s="1"/>
  <c r="G10" i="44"/>
  <c r="G8" i="44"/>
  <c r="G9" i="44"/>
  <c r="S110" i="41"/>
  <c r="BW120" i="41"/>
  <c r="BV120" i="41"/>
  <c r="S104" i="41"/>
  <c r="AC8" i="41"/>
  <c r="BU13" i="41"/>
  <c r="BV107" i="41"/>
  <c r="BT82" i="41"/>
  <c r="BT65" i="41"/>
  <c r="BU119" i="41"/>
  <c r="BU66" i="41"/>
  <c r="R63" i="41"/>
  <c r="R59" i="41" s="1"/>
  <c r="V13" i="42"/>
  <c r="AB11" i="41"/>
  <c r="BT11" i="41" s="1"/>
  <c r="H8" i="44"/>
  <c r="H9" i="44"/>
  <c r="H10" i="44"/>
  <c r="BT117" i="41"/>
  <c r="BU64" i="41"/>
  <c r="AC34" i="41"/>
  <c r="AB34" i="41" s="1"/>
  <c r="BT34" i="41" l="1"/>
  <c r="AN34" i="41"/>
  <c r="BA34" i="41"/>
  <c r="AZ37" i="41"/>
  <c r="BM37" i="41"/>
  <c r="BL37" i="41" s="1"/>
  <c r="AE56" i="41"/>
  <c r="AE51" i="41"/>
  <c r="AE47" i="41"/>
  <c r="AE43" i="41"/>
  <c r="AE32" i="41"/>
  <c r="AE24" i="41"/>
  <c r="AE54" i="41"/>
  <c r="AE50" i="41"/>
  <c r="AE46" i="41"/>
  <c r="AE41" i="41"/>
  <c r="AE31" i="41"/>
  <c r="AE25" i="41"/>
  <c r="AE58" i="41"/>
  <c r="AE53" i="41"/>
  <c r="AE49" i="41"/>
  <c r="AE45" i="41"/>
  <c r="AE40" i="41"/>
  <c r="AE28" i="41"/>
  <c r="AE23" i="41"/>
  <c r="AE57" i="41"/>
  <c r="AE52" i="41"/>
  <c r="AE48" i="41"/>
  <c r="AE44" i="41"/>
  <c r="AE33" i="41"/>
  <c r="AE27" i="41"/>
  <c r="AP56" i="41"/>
  <c r="AP51" i="41"/>
  <c r="AP47" i="41"/>
  <c r="AP43" i="41"/>
  <c r="AP32" i="41"/>
  <c r="AP24" i="41"/>
  <c r="AP23" i="41"/>
  <c r="AP54" i="41"/>
  <c r="AP50" i="41"/>
  <c r="AP46" i="41"/>
  <c r="AP41" i="41"/>
  <c r="AP31" i="41"/>
  <c r="AP76" i="41" s="1"/>
  <c r="AP25" i="41"/>
  <c r="AP58" i="41"/>
  <c r="AP53" i="41"/>
  <c r="AP49" i="41"/>
  <c r="AP45" i="41"/>
  <c r="AP40" i="41"/>
  <c r="AP28" i="41"/>
  <c r="AP57" i="41"/>
  <c r="AP52" i="41"/>
  <c r="AP48" i="41"/>
  <c r="AP44" i="41"/>
  <c r="AP33" i="41"/>
  <c r="AP78" i="41" s="1"/>
  <c r="AP27" i="41"/>
  <c r="BL36" i="41"/>
  <c r="AZ36" i="41"/>
  <c r="BM35" i="41"/>
  <c r="AZ35" i="41"/>
  <c r="AP101" i="41"/>
  <c r="AD55" i="41"/>
  <c r="F10" i="44"/>
  <c r="BB11" i="41"/>
  <c r="BB8" i="41" s="1"/>
  <c r="BB21" i="41" s="1"/>
  <c r="AD42" i="41"/>
  <c r="AD39" i="41"/>
  <c r="BA11" i="41"/>
  <c r="BL12" i="41"/>
  <c r="BM11" i="41" s="1"/>
  <c r="AG11" i="41"/>
  <c r="AG8" i="41" s="1"/>
  <c r="AG21" i="41" s="1"/>
  <c r="AF8" i="41"/>
  <c r="AF21" i="41" s="1"/>
  <c r="AF92" i="41" s="1"/>
  <c r="AQ11" i="41"/>
  <c r="AQ8" i="41" s="1"/>
  <c r="AQ21" i="41" s="1"/>
  <c r="AO8" i="41"/>
  <c r="AN8" i="41" s="1"/>
  <c r="AN11" i="41"/>
  <c r="AR11" i="41"/>
  <c r="BU35" i="41"/>
  <c r="BU37" i="41"/>
  <c r="BU36" i="41"/>
  <c r="BV12" i="41"/>
  <c r="AD29" i="41"/>
  <c r="G7" i="44"/>
  <c r="G4" i="44" s="1"/>
  <c r="F9" i="44"/>
  <c r="R110" i="41"/>
  <c r="R111" i="41"/>
  <c r="S111" i="41"/>
  <c r="BU82" i="41"/>
  <c r="BT79" i="41"/>
  <c r="AB8" i="41"/>
  <c r="BT8" i="41" s="1"/>
  <c r="BU79" i="41"/>
  <c r="BV118" i="41"/>
  <c r="BU118" i="41"/>
  <c r="BV13" i="41"/>
  <c r="BU65" i="41"/>
  <c r="BW119" i="41"/>
  <c r="BV119" i="41"/>
  <c r="BV66" i="41"/>
  <c r="R104" i="41"/>
  <c r="Z13" i="42"/>
  <c r="H7" i="44"/>
  <c r="F8" i="44"/>
  <c r="BV64" i="41"/>
  <c r="BV82" i="41"/>
  <c r="BU117" i="41"/>
  <c r="BB41" i="41" l="1"/>
  <c r="BB40" i="41"/>
  <c r="AF105" i="41"/>
  <c r="AP75" i="41"/>
  <c r="AD26" i="41"/>
  <c r="AD22" i="41" s="1"/>
  <c r="AD38" i="41"/>
  <c r="BU34" i="41"/>
  <c r="BW12" i="41"/>
  <c r="BB57" i="41"/>
  <c r="BB52" i="41"/>
  <c r="BB48" i="41"/>
  <c r="BB44" i="41"/>
  <c r="BB33" i="41"/>
  <c r="BB78" i="41" s="1"/>
  <c r="BB27" i="41"/>
  <c r="BB56" i="41"/>
  <c r="BB51" i="41"/>
  <c r="BB47" i="41"/>
  <c r="BB43" i="41"/>
  <c r="BB32" i="41"/>
  <c r="BB24" i="41"/>
  <c r="BB54" i="41"/>
  <c r="BB50" i="41"/>
  <c r="BB46" i="41"/>
  <c r="BB31" i="41"/>
  <c r="BB76" i="41" s="1"/>
  <c r="BB75" i="41" s="1"/>
  <c r="BB59" i="41" s="1"/>
  <c r="BB102" i="41" s="1"/>
  <c r="BB25" i="41"/>
  <c r="BB58" i="41"/>
  <c r="BB53" i="41"/>
  <c r="BB49" i="41"/>
  <c r="BB45" i="41"/>
  <c r="BB28" i="41"/>
  <c r="BB23" i="41"/>
  <c r="AZ34" i="41"/>
  <c r="AG58" i="41"/>
  <c r="AG53" i="41"/>
  <c r="AG49" i="41"/>
  <c r="AG45" i="41"/>
  <c r="AG40" i="41"/>
  <c r="AG28" i="41"/>
  <c r="AG23" i="41"/>
  <c r="AG57" i="41"/>
  <c r="AG52" i="41"/>
  <c r="AG48" i="41"/>
  <c r="AG44" i="41"/>
  <c r="AG33" i="41"/>
  <c r="AG27" i="41"/>
  <c r="AG56" i="41"/>
  <c r="AG51" i="41"/>
  <c r="AG47" i="41"/>
  <c r="AG43" i="41"/>
  <c r="AG32" i="41"/>
  <c r="AG24" i="41"/>
  <c r="AG54" i="41"/>
  <c r="AG50" i="41"/>
  <c r="AG46" i="41"/>
  <c r="AG41" i="41"/>
  <c r="AG31" i="41"/>
  <c r="AG25" i="41"/>
  <c r="AQ40" i="41"/>
  <c r="AQ54" i="41"/>
  <c r="AQ50" i="41"/>
  <c r="AQ46" i="41"/>
  <c r="AQ41" i="41"/>
  <c r="AQ28" i="41"/>
  <c r="AQ58" i="41"/>
  <c r="AQ53" i="41"/>
  <c r="AQ49" i="41"/>
  <c r="AQ45" i="41"/>
  <c r="AQ33" i="41"/>
  <c r="AQ27" i="41"/>
  <c r="AQ56" i="41"/>
  <c r="AQ51" i="41"/>
  <c r="AQ47" i="41"/>
  <c r="AQ43" i="41"/>
  <c r="AQ31" i="41"/>
  <c r="AQ24" i="41"/>
  <c r="AQ48" i="41"/>
  <c r="AQ23" i="41"/>
  <c r="AQ44" i="41"/>
  <c r="AQ57" i="41"/>
  <c r="AQ32" i="41"/>
  <c r="AQ52" i="41"/>
  <c r="AQ25" i="41"/>
  <c r="BM34" i="41"/>
  <c r="BL35" i="41"/>
  <c r="AF54" i="41"/>
  <c r="AF50" i="41"/>
  <c r="AF46" i="41"/>
  <c r="AF41" i="41"/>
  <c r="AF31" i="41"/>
  <c r="AF25" i="41"/>
  <c r="AF58" i="41"/>
  <c r="AF53" i="41"/>
  <c r="AF49" i="41"/>
  <c r="AF45" i="41"/>
  <c r="AF40" i="41"/>
  <c r="AF28" i="41"/>
  <c r="AF23" i="41"/>
  <c r="AF57" i="41"/>
  <c r="AF52" i="41"/>
  <c r="AF48" i="41"/>
  <c r="AF44" i="41"/>
  <c r="AF33" i="41"/>
  <c r="AF27" i="41"/>
  <c r="AF56" i="41"/>
  <c r="AF51" i="41"/>
  <c r="AF47" i="41"/>
  <c r="AF43" i="41"/>
  <c r="AF32" i="41"/>
  <c r="AF24" i="41"/>
  <c r="AE39" i="41"/>
  <c r="BB101" i="41"/>
  <c r="BN21" i="41"/>
  <c r="AP55" i="41"/>
  <c r="AQ101" i="41"/>
  <c r="AP29" i="41"/>
  <c r="AP38" i="41" s="1"/>
  <c r="AP39" i="41"/>
  <c r="AP22" i="41"/>
  <c r="AE55" i="41"/>
  <c r="AP26" i="41"/>
  <c r="AP42" i="41"/>
  <c r="AE29" i="41"/>
  <c r="AE26" i="41" s="1"/>
  <c r="AE22" i="41" s="1"/>
  <c r="AE42" i="41"/>
  <c r="BO11" i="41"/>
  <c r="BO8" i="41" s="1"/>
  <c r="BL11" i="41"/>
  <c r="BP11" i="41"/>
  <c r="BM8" i="41"/>
  <c r="BL8" i="41" s="1"/>
  <c r="AZ11" i="41"/>
  <c r="BV11" i="41" s="1"/>
  <c r="BC11" i="41"/>
  <c r="BC8" i="41" s="1"/>
  <c r="BC21" i="41" s="1"/>
  <c r="BA8" i="41"/>
  <c r="AZ8" i="41" s="1"/>
  <c r="BV8" i="41" s="1"/>
  <c r="BD11" i="41"/>
  <c r="AS11" i="41"/>
  <c r="AS8" i="41" s="1"/>
  <c r="AS21" i="41" s="1"/>
  <c r="AR8" i="41"/>
  <c r="AR21" i="41" s="1"/>
  <c r="AR92" i="41" s="1"/>
  <c r="BV36" i="41"/>
  <c r="BV37" i="41"/>
  <c r="BV35" i="41"/>
  <c r="S102" i="41"/>
  <c r="F7" i="44"/>
  <c r="F31" i="44" s="1"/>
  <c r="BW118" i="41"/>
  <c r="BV117" i="41"/>
  <c r="BW66" i="41"/>
  <c r="BU8" i="41"/>
  <c r="BU11" i="41"/>
  <c r="BW13" i="41"/>
  <c r="BV65" i="41"/>
  <c r="BV79" i="41"/>
  <c r="BW64" i="41"/>
  <c r="D1" i="41"/>
  <c r="BW82" i="41"/>
  <c r="AP59" i="41" l="1"/>
  <c r="AP102" i="41" s="1"/>
  <c r="AR105" i="41"/>
  <c r="BV34" i="41"/>
  <c r="AR57" i="41"/>
  <c r="AR52" i="41"/>
  <c r="AR48" i="41"/>
  <c r="AR44" i="41"/>
  <c r="AR33" i="41"/>
  <c r="AR27" i="41"/>
  <c r="AR56" i="41"/>
  <c r="AR51" i="41"/>
  <c r="AR47" i="41"/>
  <c r="AR43" i="41"/>
  <c r="AR32" i="41"/>
  <c r="AR24" i="41"/>
  <c r="AR54" i="41"/>
  <c r="AR50" i="41"/>
  <c r="AR46" i="41"/>
  <c r="AR41" i="41"/>
  <c r="AR58" i="41"/>
  <c r="AR53" i="41"/>
  <c r="AR49" i="41"/>
  <c r="AR45" i="41"/>
  <c r="AR40" i="41"/>
  <c r="AR28" i="41"/>
  <c r="AR23" i="41"/>
  <c r="AR31" i="41"/>
  <c r="AR25" i="41"/>
  <c r="BN101" i="41"/>
  <c r="BN57" i="41"/>
  <c r="BN52" i="41"/>
  <c r="BN48" i="41"/>
  <c r="BN44" i="41"/>
  <c r="BN33" i="41"/>
  <c r="BN78" i="41" s="1"/>
  <c r="BN27" i="41"/>
  <c r="BN56" i="41"/>
  <c r="BN51" i="41"/>
  <c r="BN47" i="41"/>
  <c r="BN43" i="41"/>
  <c r="BN32" i="41"/>
  <c r="BN25" i="41"/>
  <c r="BN54" i="41"/>
  <c r="BN50" i="41"/>
  <c r="BN46" i="41"/>
  <c r="BN41" i="41"/>
  <c r="BN31" i="41"/>
  <c r="BN76" i="41" s="1"/>
  <c r="BN75" i="41" s="1"/>
  <c r="BN24" i="41"/>
  <c r="BN58" i="41"/>
  <c r="BN53" i="41"/>
  <c r="BN49" i="41"/>
  <c r="BN45" i="41"/>
  <c r="BN40" i="41"/>
  <c r="BN28" i="41"/>
  <c r="BN23" i="41"/>
  <c r="AS56" i="41"/>
  <c r="AS51" i="41"/>
  <c r="AS47" i="41"/>
  <c r="AS43" i="41"/>
  <c r="AS32" i="41"/>
  <c r="AS24" i="41"/>
  <c r="AS54" i="41"/>
  <c r="AS50" i="41"/>
  <c r="AS46" i="41"/>
  <c r="AS41" i="41"/>
  <c r="AS31" i="41"/>
  <c r="AS25" i="41"/>
  <c r="AS58" i="41"/>
  <c r="AS53" i="41"/>
  <c r="AS49" i="41"/>
  <c r="AS45" i="41"/>
  <c r="AS40" i="41"/>
  <c r="AS28" i="41"/>
  <c r="AS23" i="41"/>
  <c r="AS57" i="41"/>
  <c r="AS52" i="41"/>
  <c r="AS48" i="41"/>
  <c r="AS44" i="41"/>
  <c r="AS33" i="41"/>
  <c r="AS27" i="41"/>
  <c r="BL34" i="41"/>
  <c r="BC56" i="41"/>
  <c r="BC51" i="41"/>
  <c r="BC47" i="41"/>
  <c r="BC43" i="41"/>
  <c r="BC32" i="41"/>
  <c r="BC24" i="41"/>
  <c r="BC54" i="41"/>
  <c r="BC50" i="41"/>
  <c r="BC46" i="41"/>
  <c r="BC41" i="41"/>
  <c r="BC31" i="41"/>
  <c r="BC25" i="41"/>
  <c r="BC58" i="41"/>
  <c r="BC53" i="41"/>
  <c r="BC49" i="41"/>
  <c r="BC45" i="41"/>
  <c r="BC40" i="41"/>
  <c r="BC28" i="41"/>
  <c r="BC23" i="41"/>
  <c r="BC57" i="41"/>
  <c r="BC52" i="41"/>
  <c r="BC48" i="41"/>
  <c r="BC44" i="41"/>
  <c r="BC33" i="41"/>
  <c r="BC27" i="41"/>
  <c r="AR101" i="41"/>
  <c r="AR99" i="41" s="1"/>
  <c r="BC101" i="41"/>
  <c r="BO21" i="41"/>
  <c r="AS101" i="41"/>
  <c r="AS99" i="41" s="1"/>
  <c r="BB42" i="41"/>
  <c r="BB26" i="41"/>
  <c r="BB22" i="41"/>
  <c r="AQ42" i="41"/>
  <c r="AF55" i="41"/>
  <c r="AQ29" i="41"/>
  <c r="BB55" i="41"/>
  <c r="AQ26" i="41"/>
  <c r="AQ22" i="41"/>
  <c r="BB29" i="41"/>
  <c r="BB38" i="41" s="1"/>
  <c r="AQ55" i="41"/>
  <c r="AQ39" i="41"/>
  <c r="AG55" i="41"/>
  <c r="BB39" i="41"/>
  <c r="BW37" i="41"/>
  <c r="AG42" i="41"/>
  <c r="AF42" i="41"/>
  <c r="AF39" i="41"/>
  <c r="AG39" i="41"/>
  <c r="BW36" i="41"/>
  <c r="BE11" i="41"/>
  <c r="BE8" i="41" s="1"/>
  <c r="BE21" i="41" s="1"/>
  <c r="BD8" i="41"/>
  <c r="BD21" i="41" s="1"/>
  <c r="BD92" i="41" s="1"/>
  <c r="AF29" i="41"/>
  <c r="AF26" i="41" s="1"/>
  <c r="AF22" i="41" s="1"/>
  <c r="BQ11" i="41"/>
  <c r="BQ8" i="41" s="1"/>
  <c r="BP8" i="41"/>
  <c r="AG29" i="41"/>
  <c r="AD101" i="41"/>
  <c r="BW35" i="41"/>
  <c r="BW117" i="41"/>
  <c r="BW79" i="41"/>
  <c r="BW65" i="41"/>
  <c r="BW8" i="41"/>
  <c r="BW11" i="41"/>
  <c r="Q31" i="42" l="1"/>
  <c r="Q43" i="42" s="1"/>
  <c r="AR125" i="41"/>
  <c r="BN59" i="41"/>
  <c r="BN102" i="41" s="1"/>
  <c r="BD105" i="41"/>
  <c r="BN29" i="41"/>
  <c r="BN38" i="41" s="1"/>
  <c r="BW34" i="41"/>
  <c r="BD54" i="41"/>
  <c r="BD50" i="41"/>
  <c r="BD46" i="41"/>
  <c r="BD41" i="41"/>
  <c r="BD31" i="41"/>
  <c r="BD25" i="41"/>
  <c r="BD58" i="41"/>
  <c r="BD53" i="41"/>
  <c r="BD49" i="41"/>
  <c r="BD45" i="41"/>
  <c r="BD40" i="41"/>
  <c r="BD28" i="41"/>
  <c r="BD23" i="41"/>
  <c r="BD57" i="41"/>
  <c r="BD52" i="41"/>
  <c r="BD48" i="41"/>
  <c r="BD44" i="41"/>
  <c r="BD33" i="41"/>
  <c r="BD27" i="41"/>
  <c r="BD56" i="41"/>
  <c r="BD51" i="41"/>
  <c r="BD47" i="41"/>
  <c r="BD43" i="41"/>
  <c r="BD32" i="41"/>
  <c r="BD24" i="41"/>
  <c r="BE54" i="41"/>
  <c r="BE50" i="41"/>
  <c r="BE46" i="41"/>
  <c r="BE41" i="41"/>
  <c r="BE28" i="41"/>
  <c r="BE23" i="41"/>
  <c r="BE58" i="41"/>
  <c r="BE53" i="41"/>
  <c r="BE49" i="41"/>
  <c r="BE45" i="41"/>
  <c r="BE40" i="41"/>
  <c r="BE33" i="41"/>
  <c r="BE27" i="41"/>
  <c r="BE57" i="41"/>
  <c r="BE52" i="41"/>
  <c r="BE48" i="41"/>
  <c r="BE44" i="41"/>
  <c r="BE32" i="41"/>
  <c r="BE24" i="41"/>
  <c r="BE56" i="41"/>
  <c r="BE51" i="41"/>
  <c r="BE47" i="41"/>
  <c r="BE43" i="41"/>
  <c r="BE31" i="41"/>
  <c r="BE25" i="41"/>
  <c r="BO101" i="41"/>
  <c r="BO56" i="41"/>
  <c r="BO51" i="41"/>
  <c r="BO47" i="41"/>
  <c r="BO43" i="41"/>
  <c r="BO32" i="41"/>
  <c r="BO24" i="41"/>
  <c r="BO54" i="41"/>
  <c r="BO50" i="41"/>
  <c r="BO46" i="41"/>
  <c r="BO41" i="41"/>
  <c r="BO31" i="41"/>
  <c r="BO25" i="41"/>
  <c r="BO58" i="41"/>
  <c r="BO53" i="41"/>
  <c r="BO49" i="41"/>
  <c r="BO45" i="41"/>
  <c r="BO40" i="41"/>
  <c r="BO28" i="41"/>
  <c r="BO23" i="41"/>
  <c r="BO57" i="41"/>
  <c r="BO52" i="41"/>
  <c r="BO48" i="41"/>
  <c r="BO44" i="41"/>
  <c r="BO33" i="41"/>
  <c r="BO27" i="41"/>
  <c r="BN22" i="41"/>
  <c r="BN55" i="41"/>
  <c r="BN42" i="41"/>
  <c r="Q33" i="42"/>
  <c r="BN39" i="41"/>
  <c r="BD101" i="41"/>
  <c r="BD99" i="41" s="1"/>
  <c r="BP21" i="41"/>
  <c r="BP92" i="41" s="1"/>
  <c r="BP105" i="41" s="1"/>
  <c r="BE101" i="41"/>
  <c r="BE99" i="41" s="1"/>
  <c r="BQ21" i="41"/>
  <c r="AS26" i="41"/>
  <c r="AS42" i="41"/>
  <c r="AR55" i="41"/>
  <c r="AR29" i="41"/>
  <c r="BC39" i="41"/>
  <c r="BC55" i="41"/>
  <c r="AS22" i="41"/>
  <c r="BC29" i="41"/>
  <c r="AR39" i="41"/>
  <c r="BC42" i="41"/>
  <c r="AR26" i="41"/>
  <c r="AS55" i="41"/>
  <c r="AR22" i="41"/>
  <c r="BC22" i="41"/>
  <c r="AS29" i="41"/>
  <c r="BN26" i="41"/>
  <c r="AS109" i="41"/>
  <c r="AS112" i="41" s="1"/>
  <c r="AS39" i="41"/>
  <c r="AR42" i="41"/>
  <c r="BC26" i="41"/>
  <c r="AR109" i="41"/>
  <c r="AR112" i="41" s="1"/>
  <c r="AE101" i="41"/>
  <c r="AF101" i="41"/>
  <c r="AF99" i="41" s="1"/>
  <c r="AG26" i="41"/>
  <c r="AG22" i="41" s="1"/>
  <c r="U31" i="42" l="1"/>
  <c r="U43" i="42" s="1"/>
  <c r="BD125" i="41"/>
  <c r="M31" i="42"/>
  <c r="M43" i="42" s="1"/>
  <c r="L43" i="42" s="1"/>
  <c r="AF125" i="41"/>
  <c r="Q45" i="42"/>
  <c r="O45" i="42" s="1"/>
  <c r="U45" i="42"/>
  <c r="V45" i="42" s="1"/>
  <c r="V43" i="42"/>
  <c r="BO22" i="41"/>
  <c r="BO42" i="41"/>
  <c r="BO29" i="41"/>
  <c r="BO55" i="41"/>
  <c r="BP101" i="41"/>
  <c r="BP99" i="41" s="1"/>
  <c r="BP125" i="41" s="1"/>
  <c r="BP54" i="41"/>
  <c r="BP50" i="41"/>
  <c r="BP46" i="41"/>
  <c r="BP41" i="41"/>
  <c r="BP31" i="41"/>
  <c r="BP25" i="41"/>
  <c r="BP58" i="41"/>
  <c r="BP53" i="41"/>
  <c r="BP49" i="41"/>
  <c r="BP45" i="41"/>
  <c r="BP40" i="41"/>
  <c r="BP28" i="41"/>
  <c r="BP23" i="41"/>
  <c r="BP57" i="41"/>
  <c r="BP52" i="41"/>
  <c r="BP48" i="41"/>
  <c r="BP44" i="41"/>
  <c r="BP33" i="41"/>
  <c r="BP27" i="41"/>
  <c r="BP56" i="41"/>
  <c r="BP51" i="41"/>
  <c r="BP47" i="41"/>
  <c r="BP43" i="41"/>
  <c r="BP32" i="41"/>
  <c r="BP29" i="41" s="1"/>
  <c r="BP24" i="41"/>
  <c r="BQ101" i="41"/>
  <c r="BQ99" i="41" s="1"/>
  <c r="BQ58" i="41"/>
  <c r="BQ53" i="41"/>
  <c r="BQ49" i="41"/>
  <c r="BQ45" i="41"/>
  <c r="BQ40" i="41"/>
  <c r="BQ28" i="41"/>
  <c r="BQ23" i="41"/>
  <c r="BQ57" i="41"/>
  <c r="BQ52" i="41"/>
  <c r="BQ48" i="41"/>
  <c r="BQ44" i="41"/>
  <c r="BQ33" i="41"/>
  <c r="BQ27" i="41"/>
  <c r="BQ56" i="41"/>
  <c r="BQ51" i="41"/>
  <c r="BQ47" i="41"/>
  <c r="BQ43" i="41"/>
  <c r="BQ32" i="41"/>
  <c r="BQ24" i="41"/>
  <c r="BQ54" i="41"/>
  <c r="BQ50" i="41"/>
  <c r="BQ46" i="41"/>
  <c r="BQ41" i="41"/>
  <c r="BQ31" i="41"/>
  <c r="BQ25" i="41"/>
  <c r="M33" i="42"/>
  <c r="N33" i="42" s="1"/>
  <c r="N31" i="42"/>
  <c r="V31" i="42"/>
  <c r="U33" i="42"/>
  <c r="V33" i="42" s="1"/>
  <c r="R31" i="42"/>
  <c r="BO26" i="41"/>
  <c r="BO39" i="41"/>
  <c r="BD42" i="41"/>
  <c r="BD29" i="41"/>
  <c r="BD55" i="41"/>
  <c r="BD22" i="41"/>
  <c r="BE29" i="41"/>
  <c r="BE55" i="41"/>
  <c r="BD39" i="41"/>
  <c r="BE22" i="41"/>
  <c r="BE42" i="41"/>
  <c r="BE109" i="41"/>
  <c r="BE112" i="41" s="1"/>
  <c r="BQ39" i="41"/>
  <c r="BE39" i="41"/>
  <c r="BD26" i="41"/>
  <c r="BE26" i="41"/>
  <c r="BD109" i="41"/>
  <c r="BD112" i="41" s="1"/>
  <c r="AF109" i="41"/>
  <c r="AF112" i="41" s="1"/>
  <c r="AG101" i="41"/>
  <c r="AG99" i="41" s="1"/>
  <c r="BT73" i="41"/>
  <c r="N43" i="42" l="1"/>
  <c r="M45" i="42"/>
  <c r="N45" i="42" s="1"/>
  <c r="R43" i="42"/>
  <c r="O43" i="42"/>
  <c r="O31" i="42" s="1"/>
  <c r="Y31" i="42"/>
  <c r="Y43" i="42" s="1"/>
  <c r="L45" i="42"/>
  <c r="O46" i="42" s="1"/>
  <c r="L31" i="42"/>
  <c r="L33" i="42" s="1"/>
  <c r="O33" i="42" s="1"/>
  <c r="R45" i="42"/>
  <c r="BQ22" i="41"/>
  <c r="BQ29" i="41"/>
  <c r="BP22" i="41"/>
  <c r="BQ42" i="41"/>
  <c r="BP42" i="41"/>
  <c r="BP55" i="41"/>
  <c r="BQ55" i="41"/>
  <c r="BP39" i="41"/>
  <c r="BQ109" i="41"/>
  <c r="BQ112" i="41" s="1"/>
  <c r="BP109" i="41"/>
  <c r="BP112" i="41" s="1"/>
  <c r="BQ26" i="41"/>
  <c r="R33" i="42"/>
  <c r="BP26" i="41"/>
  <c r="AG109" i="41"/>
  <c r="AG112" i="41" s="1"/>
  <c r="BU73" i="41"/>
  <c r="P43" i="42" l="1"/>
  <c r="P31" i="42" s="1"/>
  <c r="P33" i="42" s="1"/>
  <c r="P45" i="42"/>
  <c r="Z31" i="42"/>
  <c r="Y45" i="42"/>
  <c r="Z43" i="42"/>
  <c r="Y33" i="42"/>
  <c r="Z33" i="42" s="1"/>
  <c r="L34" i="42"/>
  <c r="L46" i="42"/>
  <c r="O34" i="42"/>
  <c r="BV73" i="41"/>
  <c r="S45" i="42" l="1"/>
  <c r="P46" i="42"/>
  <c r="W45" i="42"/>
  <c r="Z45" i="42"/>
  <c r="S33" i="42"/>
  <c r="P34" i="42"/>
  <c r="H10" i="20"/>
  <c r="J10" i="20" s="1"/>
  <c r="K10" i="20" s="1"/>
  <c r="H9" i="20"/>
  <c r="O107" i="20"/>
  <c r="BW73" i="41"/>
  <c r="H11" i="20"/>
  <c r="L111" i="20"/>
  <c r="L107" i="20"/>
  <c r="I107" i="20"/>
  <c r="L103" i="20"/>
  <c r="I103" i="20"/>
  <c r="S43" i="42" l="1"/>
  <c r="S46" i="42"/>
  <c r="W43" i="42"/>
  <c r="S34" i="42"/>
  <c r="J9" i="20"/>
  <c r="J29" i="20" s="1"/>
  <c r="H29" i="20"/>
  <c r="H7" i="20"/>
  <c r="G7" i="20"/>
  <c r="E7" i="20"/>
  <c r="E12" i="20" s="1"/>
  <c r="E33" i="20" s="1"/>
  <c r="J8" i="20"/>
  <c r="O103" i="20"/>
  <c r="M10" i="20"/>
  <c r="I134" i="20"/>
  <c r="J11" i="20"/>
  <c r="I111" i="20"/>
  <c r="S31" i="42" l="1"/>
  <c r="T31" i="42" s="1"/>
  <c r="T33" i="42" s="1"/>
  <c r="T34" i="42" s="1"/>
  <c r="T43" i="42"/>
  <c r="T45" i="42" s="1"/>
  <c r="W31" i="42"/>
  <c r="X43" i="42"/>
  <c r="X45" i="42" s="1"/>
  <c r="X46" i="42" s="1"/>
  <c r="W33" i="42"/>
  <c r="K9" i="20"/>
  <c r="M9" i="20" s="1"/>
  <c r="M29" i="20" s="1"/>
  <c r="K29" i="20"/>
  <c r="K8" i="20"/>
  <c r="M8" i="20" s="1"/>
  <c r="J7" i="20"/>
  <c r="N10" i="20"/>
  <c r="P10" i="20" s="1"/>
  <c r="O111" i="20"/>
  <c r="R107" i="20"/>
  <c r="K11" i="20"/>
  <c r="M11" i="20" s="1"/>
  <c r="L134" i="20"/>
  <c r="J39" i="20"/>
  <c r="I35" i="20"/>
  <c r="I5" i="20"/>
  <c r="T46" i="42" l="1"/>
  <c r="W46" i="42"/>
  <c r="X31" i="42"/>
  <c r="W34" i="42"/>
  <c r="K39" i="20"/>
  <c r="M39" i="20" s="1"/>
  <c r="N39" i="20" s="1"/>
  <c r="P39" i="20" s="1"/>
  <c r="Q39" i="20" s="1"/>
  <c r="N9" i="20"/>
  <c r="P9" i="20" s="1"/>
  <c r="N29" i="20"/>
  <c r="N8" i="20"/>
  <c r="P8" i="20" s="1"/>
  <c r="M7" i="20"/>
  <c r="K7" i="20"/>
  <c r="L5" i="20" s="1"/>
  <c r="Q10" i="20"/>
  <c r="N11" i="20"/>
  <c r="P11" i="20" s="1"/>
  <c r="R103" i="20"/>
  <c r="X33" i="42" l="1"/>
  <c r="X34" i="42" s="1"/>
  <c r="R35" i="20"/>
  <c r="O35" i="20"/>
  <c r="P29" i="20"/>
  <c r="Q9" i="20"/>
  <c r="Q29" i="20" s="1"/>
  <c r="P7" i="20"/>
  <c r="N7" i="20"/>
  <c r="Q11" i="20"/>
  <c r="R111" i="20"/>
  <c r="Q8" i="20"/>
  <c r="L35" i="20"/>
  <c r="Q7" i="20" l="1"/>
  <c r="R5" i="20" s="1"/>
  <c r="O5" i="20"/>
  <c r="S10" i="20" l="1"/>
  <c r="S11" i="20" l="1"/>
  <c r="F5" i="20"/>
  <c r="F35" i="20" l="1"/>
  <c r="F134" i="20"/>
  <c r="B135" i="20"/>
  <c r="F103" i="20" l="1"/>
  <c r="F111" i="20" l="1"/>
  <c r="C91" i="20"/>
  <c r="C102" i="20" s="1"/>
  <c r="C135" i="20" s="1"/>
  <c r="C163" i="20" s="1"/>
  <c r="B91" i="20"/>
  <c r="B102" i="20" s="1"/>
  <c r="E106" i="20" l="1"/>
  <c r="E132" i="20" s="1"/>
  <c r="D106" i="20"/>
  <c r="D132" i="20" s="1"/>
  <c r="P43" i="20"/>
  <c r="Q43" i="20"/>
  <c r="M46" i="20"/>
  <c r="N46" i="20"/>
  <c r="K46" i="20"/>
  <c r="J46" i="20"/>
  <c r="E46" i="20"/>
  <c r="D46" i="20"/>
  <c r="P49" i="20"/>
  <c r="Q49" i="20"/>
  <c r="J49" i="20"/>
  <c r="K49" i="20"/>
  <c r="H46" i="20"/>
  <c r="G46" i="20"/>
  <c r="G43" i="20"/>
  <c r="H43" i="20"/>
  <c r="E49" i="20"/>
  <c r="D49" i="20"/>
  <c r="M43" i="20"/>
  <c r="N43" i="20"/>
  <c r="J43" i="20"/>
  <c r="K43" i="20"/>
  <c r="M49" i="20"/>
  <c r="N49" i="20"/>
  <c r="P46" i="20"/>
  <c r="Q46" i="20"/>
  <c r="G49" i="20"/>
  <c r="H49" i="20"/>
  <c r="E43" i="20"/>
  <c r="D43" i="20"/>
  <c r="E110" i="20"/>
  <c r="Q12" i="20"/>
  <c r="Q33" i="20" s="1"/>
  <c r="P12" i="20"/>
  <c r="P33" i="20" s="1"/>
  <c r="P40" i="20"/>
  <c r="Q40" i="20"/>
  <c r="N106" i="20"/>
  <c r="N132" i="20" s="1"/>
  <c r="M106" i="20"/>
  <c r="M132" i="20" s="1"/>
  <c r="Q110" i="20"/>
  <c r="P110" i="20"/>
  <c r="N40" i="20"/>
  <c r="N87" i="20" s="1"/>
  <c r="M40" i="20"/>
  <c r="N12" i="20"/>
  <c r="N33" i="20" s="1"/>
  <c r="M12" i="20"/>
  <c r="M33" i="20" s="1"/>
  <c r="P138" i="20"/>
  <c r="P160" i="20" s="1"/>
  <c r="Q106" i="20"/>
  <c r="Q132" i="20" s="1"/>
  <c r="P106" i="20"/>
  <c r="P132" i="20" s="1"/>
  <c r="N110" i="20"/>
  <c r="M110" i="20"/>
  <c r="M138" i="20"/>
  <c r="M160" i="20" s="1"/>
  <c r="N138" i="20"/>
  <c r="N160" i="20" s="1"/>
  <c r="H12" i="20"/>
  <c r="H33" i="20" s="1"/>
  <c r="G12" i="20"/>
  <c r="G33" i="20" s="1"/>
  <c r="G110" i="20"/>
  <c r="H110" i="20"/>
  <c r="G138" i="20"/>
  <c r="G160" i="20" s="1"/>
  <c r="H40" i="20"/>
  <c r="G40" i="20"/>
  <c r="G106" i="20"/>
  <c r="G132" i="20" s="1"/>
  <c r="H106" i="20"/>
  <c r="H132" i="20" s="1"/>
  <c r="J110" i="20"/>
  <c r="K110" i="20"/>
  <c r="K12" i="20"/>
  <c r="K33" i="20" s="1"/>
  <c r="J12" i="20"/>
  <c r="J33" i="20" s="1"/>
  <c r="K40" i="20"/>
  <c r="J40" i="20"/>
  <c r="J106" i="20"/>
  <c r="J132" i="20" s="1"/>
  <c r="K106" i="20"/>
  <c r="K132" i="20" s="1"/>
  <c r="J138" i="20"/>
  <c r="J160" i="20" s="1"/>
  <c r="D110" i="20"/>
  <c r="M87" i="20" l="1"/>
  <c r="E87" i="20"/>
  <c r="D87" i="20"/>
  <c r="P87" i="20"/>
  <c r="G87" i="20"/>
  <c r="K87" i="20"/>
  <c r="H87" i="20"/>
  <c r="J87" i="20"/>
  <c r="Q87" i="20"/>
  <c r="F106" i="20"/>
  <c r="Q19" i="41" s="1"/>
  <c r="F46" i="20"/>
  <c r="F45" i="20" s="1"/>
  <c r="F40" i="20"/>
  <c r="I43" i="20"/>
  <c r="I42" i="20" s="1"/>
  <c r="I49" i="20"/>
  <c r="I48" i="20" s="1"/>
  <c r="L43" i="20"/>
  <c r="L42" i="20" s="1"/>
  <c r="F43" i="20"/>
  <c r="F42" i="20" s="1"/>
  <c r="O49" i="20"/>
  <c r="O48" i="20" s="1"/>
  <c r="F49" i="20"/>
  <c r="F48" i="20" s="1"/>
  <c r="I46" i="20"/>
  <c r="I45" i="20" s="1"/>
  <c r="L46" i="20"/>
  <c r="L45" i="20" s="1"/>
  <c r="R49" i="20"/>
  <c r="R48" i="20" s="1"/>
  <c r="O46" i="20"/>
  <c r="O45" i="20" s="1"/>
  <c r="R46" i="20"/>
  <c r="R45" i="20" s="1"/>
  <c r="O43" i="20"/>
  <c r="O42" i="20" s="1"/>
  <c r="L49" i="20"/>
  <c r="L48" i="20" s="1"/>
  <c r="R43" i="20"/>
  <c r="R42" i="20" s="1"/>
  <c r="L9" i="20"/>
  <c r="L29" i="20" s="1"/>
  <c r="L11" i="20"/>
  <c r="O9" i="20"/>
  <c r="O29" i="20" s="1"/>
  <c r="R9" i="20"/>
  <c r="R29" i="20" s="1"/>
  <c r="O11" i="20"/>
  <c r="R8" i="20"/>
  <c r="L8" i="20"/>
  <c r="L10" i="20"/>
  <c r="O10" i="20"/>
  <c r="R10" i="20"/>
  <c r="O8" i="20"/>
  <c r="R11" i="20"/>
  <c r="F9" i="20"/>
  <c r="F29" i="20" s="1"/>
  <c r="R40" i="20"/>
  <c r="R138" i="20"/>
  <c r="O40" i="20"/>
  <c r="O110" i="20"/>
  <c r="O138" i="20"/>
  <c r="R106" i="20"/>
  <c r="O12" i="20"/>
  <c r="R110" i="20"/>
  <c r="O106" i="20"/>
  <c r="R12" i="20"/>
  <c r="I106" i="20"/>
  <c r="AC19" i="41" s="1"/>
  <c r="I12" i="20"/>
  <c r="K138" i="20"/>
  <c r="I11" i="20"/>
  <c r="L12" i="20"/>
  <c r="I110" i="20"/>
  <c r="H138" i="20"/>
  <c r="I8" i="20"/>
  <c r="L106" i="20"/>
  <c r="L40" i="20"/>
  <c r="L110" i="20"/>
  <c r="I40" i="20"/>
  <c r="I9" i="20"/>
  <c r="I29" i="20" s="1"/>
  <c r="I10" i="20"/>
  <c r="E138" i="20"/>
  <c r="F10" i="20"/>
  <c r="F12" i="20"/>
  <c r="F11" i="20"/>
  <c r="F110" i="20"/>
  <c r="AO19" i="41" l="1"/>
  <c r="AN19" i="41" s="1"/>
  <c r="BA19" i="41"/>
  <c r="AZ19" i="41" s="1"/>
  <c r="BM19" i="41"/>
  <c r="BL19" i="41" s="1"/>
  <c r="L33" i="20"/>
  <c r="AO16" i="41"/>
  <c r="I132" i="20"/>
  <c r="AB19" i="41"/>
  <c r="O33" i="20"/>
  <c r="BA16" i="41"/>
  <c r="F33" i="20"/>
  <c r="Q16" i="41"/>
  <c r="R33" i="20"/>
  <c r="BM16" i="41"/>
  <c r="Q61" i="41"/>
  <c r="P19" i="41"/>
  <c r="BR19" i="41" s="1"/>
  <c r="L109" i="20"/>
  <c r="AO61" i="41"/>
  <c r="I109" i="20"/>
  <c r="AC61" i="41"/>
  <c r="AB61" i="41" s="1"/>
  <c r="I33" i="20"/>
  <c r="AC16" i="41"/>
  <c r="AB16" i="41" s="1"/>
  <c r="R109" i="20"/>
  <c r="BM61" i="41"/>
  <c r="O109" i="20"/>
  <c r="BA61" i="41"/>
  <c r="L87" i="20"/>
  <c r="I87" i="20"/>
  <c r="R87" i="20"/>
  <c r="O87" i="20"/>
  <c r="F138" i="20"/>
  <c r="E160" i="20"/>
  <c r="I138" i="20"/>
  <c r="I160" i="20" s="1"/>
  <c r="H160" i="20"/>
  <c r="L138" i="20"/>
  <c r="K160" i="20"/>
  <c r="O105" i="20"/>
  <c r="O132" i="20"/>
  <c r="O137" i="20"/>
  <c r="O160" i="20"/>
  <c r="L105" i="20"/>
  <c r="L132" i="20"/>
  <c r="R105" i="20"/>
  <c r="R132" i="20"/>
  <c r="R137" i="20"/>
  <c r="R160" i="20"/>
  <c r="F105" i="20"/>
  <c r="F132" i="20"/>
  <c r="F39" i="20"/>
  <c r="F87" i="20"/>
  <c r="L7" i="20"/>
  <c r="R39" i="20"/>
  <c r="O39" i="20"/>
  <c r="I105" i="20"/>
  <c r="R7" i="20"/>
  <c r="O7" i="20"/>
  <c r="F7" i="20"/>
  <c r="F109" i="20"/>
  <c r="P61" i="41"/>
  <c r="I7" i="20"/>
  <c r="I39" i="20"/>
  <c r="L39" i="20"/>
  <c r="R15" i="41"/>
  <c r="P16" i="41"/>
  <c r="AN16" i="41" l="1"/>
  <c r="BS19" i="41"/>
  <c r="BM60" i="41"/>
  <c r="BL60" i="41" s="1"/>
  <c r="BL61" i="41"/>
  <c r="AN61" i="41"/>
  <c r="BU61" i="41" s="1"/>
  <c r="AO60" i="41"/>
  <c r="BL16" i="41"/>
  <c r="AZ16" i="41"/>
  <c r="BU16" i="41"/>
  <c r="R103" i="41"/>
  <c r="AZ61" i="41"/>
  <c r="BW61" i="41" s="1"/>
  <c r="BA60" i="41"/>
  <c r="BR16" i="41"/>
  <c r="BS16" i="41"/>
  <c r="BS61" i="41"/>
  <c r="BR61" i="41"/>
  <c r="I137" i="20"/>
  <c r="L137" i="20"/>
  <c r="L160" i="20"/>
  <c r="F137" i="20"/>
  <c r="F160" i="20"/>
  <c r="BU18" i="41"/>
  <c r="BV18" i="41"/>
  <c r="BT16" i="41"/>
  <c r="BT61" i="41"/>
  <c r="BV19" i="41"/>
  <c r="BU20" i="41"/>
  <c r="BV20" i="41"/>
  <c r="BU19" i="41"/>
  <c r="Q60" i="41"/>
  <c r="AC60" i="41"/>
  <c r="AN60" i="41" l="1"/>
  <c r="BV61" i="41"/>
  <c r="BW16" i="41"/>
  <c r="BV16" i="41"/>
  <c r="AZ60" i="41"/>
  <c r="BW60" i="41" s="1"/>
  <c r="AB60" i="41"/>
  <c r="P60" i="41"/>
  <c r="P18" i="41"/>
  <c r="BW19" i="41"/>
  <c r="BU60" i="41"/>
  <c r="S15" i="41"/>
  <c r="BT20" i="41"/>
  <c r="BT19" i="41"/>
  <c r="S103" i="41" l="1"/>
  <c r="S92" i="41"/>
  <c r="BT60" i="41"/>
  <c r="BV60" i="41"/>
  <c r="BR60" i="41"/>
  <c r="BS60" i="41"/>
  <c r="BT18" i="41"/>
  <c r="BR18" i="41"/>
  <c r="BS18" i="41"/>
  <c r="F5" i="44"/>
  <c r="F4" i="44" s="1"/>
  <c r="H4" i="44"/>
  <c r="AE92" i="41" l="1"/>
  <c r="S105" i="41"/>
  <c r="D36" i="44"/>
  <c r="L5" i="44" s="1"/>
  <c r="AQ92" i="41" l="1"/>
  <c r="AE105" i="41"/>
  <c r="M24" i="44"/>
  <c r="M5" i="44"/>
  <c r="L24" i="44"/>
  <c r="L23" i="44" s="1"/>
  <c r="L18" i="44"/>
  <c r="K13" i="44"/>
  <c r="M6" i="44"/>
  <c r="K16" i="44"/>
  <c r="L20" i="44"/>
  <c r="M14" i="44"/>
  <c r="K19" i="44"/>
  <c r="K21" i="44"/>
  <c r="K11" i="44"/>
  <c r="L16" i="44"/>
  <c r="K17" i="44"/>
  <c r="K6" i="44"/>
  <c r="L11" i="44"/>
  <c r="K8" i="44"/>
  <c r="M16" i="44"/>
  <c r="L21" i="44"/>
  <c r="L15" i="44"/>
  <c r="K20" i="44"/>
  <c r="L10" i="44"/>
  <c r="K9" i="44"/>
  <c r="L17" i="44"/>
  <c r="M21" i="44"/>
  <c r="L22" i="44"/>
  <c r="L13" i="44"/>
  <c r="M17" i="44"/>
  <c r="L14" i="44"/>
  <c r="K22" i="44"/>
  <c r="M8" i="44"/>
  <c r="M20" i="44"/>
  <c r="L6" i="44"/>
  <c r="L9" i="44"/>
  <c r="K18" i="44"/>
  <c r="M22" i="44"/>
  <c r="K14" i="44"/>
  <c r="J14" i="44" s="1"/>
  <c r="M11" i="44"/>
  <c r="M18" i="44"/>
  <c r="M19" i="44"/>
  <c r="M9" i="44"/>
  <c r="K15" i="44"/>
  <c r="L8" i="44"/>
  <c r="M13" i="44"/>
  <c r="M15" i="44"/>
  <c r="K24" i="44"/>
  <c r="K23" i="44" s="1"/>
  <c r="K10" i="44"/>
  <c r="M10" i="44"/>
  <c r="L19" i="44"/>
  <c r="K5" i="44"/>
  <c r="P51" i="41"/>
  <c r="BC92" i="41" l="1"/>
  <c r="AQ105" i="41"/>
  <c r="AQ99" i="41" s="1"/>
  <c r="AQ109" i="41" s="1"/>
  <c r="AQ112" i="41" s="1"/>
  <c r="BR51" i="41"/>
  <c r="BS51" i="41"/>
  <c r="J23" i="44"/>
  <c r="J18" i="44"/>
  <c r="J17" i="44"/>
  <c r="J22" i="44"/>
  <c r="J24" i="44"/>
  <c r="J19" i="44"/>
  <c r="J15" i="44"/>
  <c r="J10" i="44"/>
  <c r="J21" i="44"/>
  <c r="J13" i="44"/>
  <c r="J20" i="44"/>
  <c r="L12" i="44"/>
  <c r="J16" i="44"/>
  <c r="J5" i="44"/>
  <c r="O14" i="44"/>
  <c r="J6" i="44"/>
  <c r="M7" i="44"/>
  <c r="K12" i="44"/>
  <c r="M12" i="44"/>
  <c r="J11" i="44"/>
  <c r="J9" i="44"/>
  <c r="K7" i="44"/>
  <c r="K31" i="44" s="1"/>
  <c r="J8" i="44"/>
  <c r="L7" i="44"/>
  <c r="O15" i="44"/>
  <c r="O16" i="44"/>
  <c r="P22" i="41"/>
  <c r="O5" i="44"/>
  <c r="O13" i="44"/>
  <c r="O18" i="44"/>
  <c r="O17" i="44"/>
  <c r="BO92" i="41" l="1"/>
  <c r="BO105" i="41" s="1"/>
  <c r="BO99" i="41" s="1"/>
  <c r="BO109" i="41" s="1"/>
  <c r="BO112" i="41" s="1"/>
  <c r="BC105" i="41"/>
  <c r="BC99" i="41" s="1"/>
  <c r="BC109" i="41" s="1"/>
  <c r="BC112" i="41" s="1"/>
  <c r="BR22" i="41"/>
  <c r="BS22" i="41"/>
  <c r="M4" i="44"/>
  <c r="J12" i="44"/>
  <c r="K4" i="44"/>
  <c r="L4" i="44"/>
  <c r="L31" i="44"/>
  <c r="P33" i="41"/>
  <c r="S101" i="41"/>
  <c r="O6" i="44"/>
  <c r="J7" i="44"/>
  <c r="J31" i="44" s="1"/>
  <c r="BR33" i="41" l="1"/>
  <c r="BS33" i="41"/>
  <c r="S99" i="41"/>
  <c r="P31" i="41"/>
  <c r="P26" i="41"/>
  <c r="P42" i="41"/>
  <c r="P78" i="41"/>
  <c r="J4" i="44"/>
  <c r="Q5" i="44" s="1"/>
  <c r="BR31" i="41" l="1"/>
  <c r="BS31" i="41"/>
  <c r="BR42" i="41"/>
  <c r="BS42" i="41"/>
  <c r="BS78" i="41"/>
  <c r="BR78" i="41"/>
  <c r="BR26" i="41"/>
  <c r="BS26" i="41"/>
  <c r="S109" i="41"/>
  <c r="S112" i="41" s="1"/>
  <c r="S1" i="41"/>
  <c r="R106" i="41" l="1"/>
  <c r="D94" i="20" l="1"/>
  <c r="E94" i="20"/>
  <c r="F94" i="20" l="1"/>
  <c r="F93" i="20" s="1"/>
  <c r="I93" i="20" s="1"/>
  <c r="L93" i="20" s="1"/>
  <c r="O93" i="20" s="1"/>
  <c r="R93" i="20" s="1"/>
  <c r="Q17" i="41" l="1"/>
  <c r="P17" i="41" s="1"/>
  <c r="G93" i="20" l="1"/>
  <c r="G94" i="20" s="1"/>
  <c r="H93" i="20"/>
  <c r="H94" i="20" s="1"/>
  <c r="BR17" i="41"/>
  <c r="BS17" i="41"/>
  <c r="K93" i="20"/>
  <c r="J93" i="20"/>
  <c r="J94" i="20" s="1"/>
  <c r="Q15" i="41"/>
  <c r="P15" i="41" s="1"/>
  <c r="I90" i="20" l="1"/>
  <c r="I94" i="20"/>
  <c r="AC17" i="41" s="1"/>
  <c r="BR15" i="41"/>
  <c r="BS15" i="41"/>
  <c r="L90" i="20"/>
  <c r="M93" i="20"/>
  <c r="N93" i="20"/>
  <c r="Q103" i="41"/>
  <c r="P103" i="41" s="1"/>
  <c r="K94" i="20"/>
  <c r="L94" i="20" s="1"/>
  <c r="AO17" i="41" s="1"/>
  <c r="AO15" i="41" s="1"/>
  <c r="AB17" i="41" l="1"/>
  <c r="BT17" i="41" s="1"/>
  <c r="AC15" i="41"/>
  <c r="AB15" i="41" s="1"/>
  <c r="AN17" i="41"/>
  <c r="BU17" i="41" s="1"/>
  <c r="BS103" i="41"/>
  <c r="BR103" i="41"/>
  <c r="O90" i="20"/>
  <c r="P93" i="20"/>
  <c r="Q93" i="20"/>
  <c r="M94" i="20"/>
  <c r="AC103" i="41"/>
  <c r="AO103" i="41" l="1"/>
  <c r="AN103" i="41" s="1"/>
  <c r="AN15" i="41"/>
  <c r="R90" i="20"/>
  <c r="AB103" i="41"/>
  <c r="BT103" i="41" s="1"/>
  <c r="BT15" i="41"/>
  <c r="N94" i="20"/>
  <c r="O94" i="20" s="1"/>
  <c r="BA17" i="41" s="1"/>
  <c r="BA15" i="41" s="1"/>
  <c r="AZ17" i="41" l="1"/>
  <c r="BV17" i="41" s="1"/>
  <c r="P94" i="20"/>
  <c r="BU103" i="41"/>
  <c r="BA103" i="41" l="1"/>
  <c r="AZ103" i="41" s="1"/>
  <c r="AZ15" i="41"/>
  <c r="BU15" i="41"/>
  <c r="Q94" i="20"/>
  <c r="R94" i="20" s="1"/>
  <c r="BM17" i="41" s="1"/>
  <c r="BL17" i="41" s="1"/>
  <c r="BW17" i="41" l="1"/>
  <c r="BM15" i="41"/>
  <c r="BL15" i="41" s="1"/>
  <c r="BV15" i="41"/>
  <c r="BV103" i="41"/>
  <c r="BM103" i="41" l="1"/>
  <c r="BL103" i="41" s="1"/>
  <c r="BW103" i="41" s="1"/>
  <c r="BW15" i="41"/>
  <c r="E11" i="44" l="1"/>
  <c r="E4" i="44" s="1"/>
  <c r="J1" i="41" l="1"/>
  <c r="AH1" i="41" l="1"/>
  <c r="AT1" i="41" l="1"/>
  <c r="P32" i="41"/>
  <c r="BR32" i="41" l="1"/>
  <c r="BS32" i="41"/>
  <c r="Q21" i="41"/>
  <c r="AC21" i="41" l="1"/>
  <c r="P21" i="41"/>
  <c r="P75" i="41"/>
  <c r="P77" i="41"/>
  <c r="P29" i="41"/>
  <c r="P38" i="41" s="1"/>
  <c r="AB90" i="41"/>
  <c r="O7" i="44"/>
  <c r="H1" i="44"/>
  <c r="L1" i="44" s="1"/>
  <c r="R101" i="41"/>
  <c r="AC23" i="41" l="1"/>
  <c r="AO21" i="41"/>
  <c r="AC44" i="41"/>
  <c r="AC58" i="41"/>
  <c r="AB58" i="41" s="1"/>
  <c r="BT58" i="41" s="1"/>
  <c r="AC52" i="41"/>
  <c r="AC31" i="41"/>
  <c r="AC76" i="41" s="1"/>
  <c r="AC40" i="41"/>
  <c r="AC33" i="41"/>
  <c r="AC78" i="41" s="1"/>
  <c r="AB78" i="41" s="1"/>
  <c r="AC27" i="41"/>
  <c r="AC49" i="41"/>
  <c r="AC53" i="41"/>
  <c r="AC41" i="41"/>
  <c r="AB41" i="41" s="1"/>
  <c r="BT41" i="41" s="1"/>
  <c r="AC48" i="41"/>
  <c r="AC32" i="41"/>
  <c r="AC46" i="41"/>
  <c r="AC28" i="41"/>
  <c r="AC43" i="41"/>
  <c r="AC25" i="41"/>
  <c r="AC54" i="41"/>
  <c r="AC45" i="41"/>
  <c r="AC47" i="41"/>
  <c r="AC50" i="41"/>
  <c r="AC57" i="41"/>
  <c r="AC24" i="41"/>
  <c r="AC51" i="41"/>
  <c r="AC56" i="41"/>
  <c r="AB56" i="41" s="1"/>
  <c r="BT56" i="41" s="1"/>
  <c r="BR38" i="41"/>
  <c r="BS38" i="41"/>
  <c r="BR21" i="41"/>
  <c r="BS21" i="41"/>
  <c r="BR29" i="41"/>
  <c r="BS29" i="41"/>
  <c r="BR77" i="41"/>
  <c r="BS77" i="41"/>
  <c r="BS75" i="41"/>
  <c r="BR75" i="41"/>
  <c r="AB53" i="41"/>
  <c r="BT53" i="41" s="1"/>
  <c r="AB43" i="41"/>
  <c r="BT43" i="41" s="1"/>
  <c r="AB46" i="41"/>
  <c r="BT46" i="41" s="1"/>
  <c r="AN21" i="41"/>
  <c r="AB21" i="41"/>
  <c r="AB54" i="41"/>
  <c r="BT54" i="41" s="1"/>
  <c r="Q101" i="41"/>
  <c r="P101" i="41" s="1"/>
  <c r="G1" i="44"/>
  <c r="AB28" i="41" l="1"/>
  <c r="BT28" i="41" s="1"/>
  <c r="AB76" i="41"/>
  <c r="AC75" i="41"/>
  <c r="AC42" i="41"/>
  <c r="AB42" i="41" s="1"/>
  <c r="BT42" i="41" s="1"/>
  <c r="BR101" i="41"/>
  <c r="BS101" i="41"/>
  <c r="AO56" i="41"/>
  <c r="AO51" i="41"/>
  <c r="AO47" i="41"/>
  <c r="AO43" i="41"/>
  <c r="AO32" i="41"/>
  <c r="AO24" i="41"/>
  <c r="AO54" i="41"/>
  <c r="AO50" i="41"/>
  <c r="AO46" i="41"/>
  <c r="AO41" i="41"/>
  <c r="AO31" i="41"/>
  <c r="AO76" i="41" s="1"/>
  <c r="AO25" i="41"/>
  <c r="AN25" i="41" s="1"/>
  <c r="AO58" i="41"/>
  <c r="AN58" i="41" s="1"/>
  <c r="BU58" i="41" s="1"/>
  <c r="AO53" i="41"/>
  <c r="AO49" i="41"/>
  <c r="AO45" i="41"/>
  <c r="AO40" i="41"/>
  <c r="AO28" i="41"/>
  <c r="AO23" i="41"/>
  <c r="AO57" i="41"/>
  <c r="AO52" i="41"/>
  <c r="AO48" i="41"/>
  <c r="AO44" i="41"/>
  <c r="AO33" i="41"/>
  <c r="AO78" i="41" s="1"/>
  <c r="AN78" i="41" s="1"/>
  <c r="AO27" i="41"/>
  <c r="AB57" i="41"/>
  <c r="BT57" i="41" s="1"/>
  <c r="AB52" i="41"/>
  <c r="BT52" i="41" s="1"/>
  <c r="AB48" i="41"/>
  <c r="BT48" i="41" s="1"/>
  <c r="AB31" i="41"/>
  <c r="BT31" i="41" s="1"/>
  <c r="AC29" i="41"/>
  <c r="AB51" i="41"/>
  <c r="BT51" i="41" s="1"/>
  <c r="AC39" i="41"/>
  <c r="AB39" i="41" s="1"/>
  <c r="BT39" i="41" s="1"/>
  <c r="AB40" i="41"/>
  <c r="BT40" i="41" s="1"/>
  <c r="AB47" i="41"/>
  <c r="BT47" i="41" s="1"/>
  <c r="AB32" i="41"/>
  <c r="BT32" i="41" s="1"/>
  <c r="BA21" i="41"/>
  <c r="BM21" i="41" s="1"/>
  <c r="BL21" i="41" s="1"/>
  <c r="AO101" i="41"/>
  <c r="AB33" i="41"/>
  <c r="BT33" i="41" s="1"/>
  <c r="AB45" i="41"/>
  <c r="BT45" i="41" s="1"/>
  <c r="AB44" i="41"/>
  <c r="BT44" i="41" s="1"/>
  <c r="AB50" i="41"/>
  <c r="BT50" i="41" s="1"/>
  <c r="AB49" i="41"/>
  <c r="BT49" i="41" s="1"/>
  <c r="AC55" i="41"/>
  <c r="AB55" i="41" s="1"/>
  <c r="BT55" i="41" s="1"/>
  <c r="AC26" i="41"/>
  <c r="AB27" i="41"/>
  <c r="BT27" i="41" s="1"/>
  <c r="BU90" i="41"/>
  <c r="Q11" i="44"/>
  <c r="K1" i="44"/>
  <c r="BT76" i="41"/>
  <c r="AN76" i="41" l="1"/>
  <c r="AO75" i="41"/>
  <c r="AO59" i="41" s="1"/>
  <c r="AO55" i="41"/>
  <c r="AN55" i="41" s="1"/>
  <c r="AN56" i="41"/>
  <c r="BU56" i="41" s="1"/>
  <c r="AB29" i="41"/>
  <c r="AC38" i="41"/>
  <c r="BT90" i="41" s="1"/>
  <c r="BA58" i="41"/>
  <c r="BA53" i="41"/>
  <c r="BA49" i="41"/>
  <c r="BA45" i="41"/>
  <c r="BA40" i="41"/>
  <c r="BA28" i="41"/>
  <c r="BA57" i="41"/>
  <c r="BA52" i="41"/>
  <c r="BA48" i="41"/>
  <c r="BA44" i="41"/>
  <c r="BA33" i="41"/>
  <c r="BA78" i="41" s="1"/>
  <c r="AZ78" i="41" s="1"/>
  <c r="BA27" i="41"/>
  <c r="BA23" i="41"/>
  <c r="BA56" i="41"/>
  <c r="BA51" i="41"/>
  <c r="BA47" i="41"/>
  <c r="BA43" i="41"/>
  <c r="BA32" i="41"/>
  <c r="BA24" i="41"/>
  <c r="BA54" i="41"/>
  <c r="BA50" i="41"/>
  <c r="BA46" i="41"/>
  <c r="BA41" i="41"/>
  <c r="BA31" i="41"/>
  <c r="BA76" i="41" s="1"/>
  <c r="BA25" i="41"/>
  <c r="AZ25" i="41" s="1"/>
  <c r="AO42" i="41"/>
  <c r="AN42" i="41" s="1"/>
  <c r="BU42" i="41" s="1"/>
  <c r="AN43" i="41"/>
  <c r="BU43" i="41" s="1"/>
  <c r="AN23" i="41"/>
  <c r="AO22" i="41"/>
  <c r="AN22" i="41" s="1"/>
  <c r="AN54" i="41"/>
  <c r="BU54" i="41" s="1"/>
  <c r="AN32" i="41"/>
  <c r="BU32" i="41" s="1"/>
  <c r="AN48" i="41"/>
  <c r="BU48" i="41" s="1"/>
  <c r="AN49" i="41"/>
  <c r="BU49" i="41" s="1"/>
  <c r="AN44" i="41"/>
  <c r="BU44" i="41" s="1"/>
  <c r="AN45" i="41"/>
  <c r="BU45" i="41" s="1"/>
  <c r="AN101" i="41"/>
  <c r="AZ58" i="41"/>
  <c r="BV58" i="41" s="1"/>
  <c r="AN46" i="41"/>
  <c r="BU46" i="41" s="1"/>
  <c r="AN50" i="41"/>
  <c r="BU50" i="41" s="1"/>
  <c r="AN47" i="41"/>
  <c r="BU47" i="41" s="1"/>
  <c r="AO29" i="41"/>
  <c r="AO38" i="41" s="1"/>
  <c r="AN31" i="41"/>
  <c r="BU31" i="41" s="1"/>
  <c r="AN53" i="41"/>
  <c r="BU53" i="41" s="1"/>
  <c r="AN24" i="41"/>
  <c r="BU55" i="41"/>
  <c r="AN28" i="41"/>
  <c r="BU28" i="41" s="1"/>
  <c r="AN41" i="41"/>
  <c r="BU41" i="41" s="1"/>
  <c r="AN33" i="41"/>
  <c r="BU33" i="41" s="1"/>
  <c r="BA101" i="41"/>
  <c r="AZ21" i="41"/>
  <c r="AN40" i="41"/>
  <c r="BU40" i="41" s="1"/>
  <c r="AO39" i="41"/>
  <c r="AN39" i="41" s="1"/>
  <c r="BU39" i="41" s="1"/>
  <c r="AN51" i="41"/>
  <c r="BU51" i="41" s="1"/>
  <c r="AN27" i="41"/>
  <c r="BU27" i="41" s="1"/>
  <c r="AO26" i="41"/>
  <c r="AN26" i="41" s="1"/>
  <c r="AN52" i="41"/>
  <c r="BU52" i="41" s="1"/>
  <c r="AN57" i="41"/>
  <c r="BU57" i="41" s="1"/>
  <c r="AB26" i="41"/>
  <c r="BT26" i="41" s="1"/>
  <c r="BV90" i="41"/>
  <c r="BT78" i="41"/>
  <c r="BT77" i="41"/>
  <c r="BU76" i="41"/>
  <c r="AZ76" i="41" l="1"/>
  <c r="BA75" i="41"/>
  <c r="AN75" i="41"/>
  <c r="AB75" i="41"/>
  <c r="BT75" i="41" s="1"/>
  <c r="AC59" i="41"/>
  <c r="AB59" i="41" s="1"/>
  <c r="BA26" i="41"/>
  <c r="AZ26" i="41" s="1"/>
  <c r="AN29" i="41"/>
  <c r="BT29" i="41"/>
  <c r="AB38" i="41"/>
  <c r="BT38" i="41" s="1"/>
  <c r="BM58" i="41"/>
  <c r="BL58" i="41" s="1"/>
  <c r="BW58" i="41" s="1"/>
  <c r="BM53" i="41"/>
  <c r="BM49" i="41"/>
  <c r="BL49" i="41" s="1"/>
  <c r="BM45" i="41"/>
  <c r="BL45" i="41" s="1"/>
  <c r="BM40" i="41"/>
  <c r="BL40" i="41" s="1"/>
  <c r="BM28" i="41"/>
  <c r="BM23" i="41"/>
  <c r="BM57" i="41"/>
  <c r="BL57" i="41" s="1"/>
  <c r="BM52" i="41"/>
  <c r="BL52" i="41" s="1"/>
  <c r="BM48" i="41"/>
  <c r="BM44" i="41"/>
  <c r="BL44" i="41" s="1"/>
  <c r="BM33" i="41"/>
  <c r="BM27" i="41"/>
  <c r="BM56" i="41"/>
  <c r="BM51" i="41"/>
  <c r="BL51" i="41" s="1"/>
  <c r="BM47" i="41"/>
  <c r="BL47" i="41" s="1"/>
  <c r="BM43" i="41"/>
  <c r="BM32" i="41"/>
  <c r="BM24" i="41"/>
  <c r="BL24" i="41" s="1"/>
  <c r="BM54" i="41"/>
  <c r="BL54" i="41" s="1"/>
  <c r="BM50" i="41"/>
  <c r="BL50" i="41" s="1"/>
  <c r="BM46" i="41"/>
  <c r="BM41" i="41"/>
  <c r="BL41" i="41" s="1"/>
  <c r="BM31" i="41"/>
  <c r="BM76" i="41" s="1"/>
  <c r="BM25" i="41"/>
  <c r="BL25" i="41" s="1"/>
  <c r="BA55" i="41"/>
  <c r="AZ55" i="41" s="1"/>
  <c r="BV55" i="41" s="1"/>
  <c r="AZ56" i="41"/>
  <c r="BV56" i="41" s="1"/>
  <c r="AZ52" i="41"/>
  <c r="BV52" i="41" s="1"/>
  <c r="AZ51" i="41"/>
  <c r="BV51" i="41" s="1"/>
  <c r="AZ33" i="41"/>
  <c r="BV33" i="41" s="1"/>
  <c r="BL46" i="41"/>
  <c r="AZ46" i="41"/>
  <c r="BV46" i="41" s="1"/>
  <c r="AZ54" i="41"/>
  <c r="BV54" i="41" s="1"/>
  <c r="BM101" i="41"/>
  <c r="AZ41" i="41"/>
  <c r="BV41" i="41" s="1"/>
  <c r="AZ24" i="41"/>
  <c r="AZ47" i="41"/>
  <c r="BV47" i="41" s="1"/>
  <c r="AZ44" i="41"/>
  <c r="BV44" i="41" s="1"/>
  <c r="BL48" i="41"/>
  <c r="AZ48" i="41"/>
  <c r="BV48" i="41" s="1"/>
  <c r="BA42" i="41"/>
  <c r="AZ42" i="41" s="1"/>
  <c r="BV42" i="41" s="1"/>
  <c r="AZ43" i="41"/>
  <c r="BV43" i="41" s="1"/>
  <c r="AZ57" i="41"/>
  <c r="BV57" i="41" s="1"/>
  <c r="BA39" i="41"/>
  <c r="AZ39" i="41" s="1"/>
  <c r="BV39" i="41" s="1"/>
  <c r="AZ40" i="41"/>
  <c r="BV40" i="41" s="1"/>
  <c r="AZ50" i="41"/>
  <c r="BV50" i="41" s="1"/>
  <c r="AZ49" i="41"/>
  <c r="BV49" i="41" s="1"/>
  <c r="BA22" i="41"/>
  <c r="AZ22" i="41" s="1"/>
  <c r="AZ23" i="41"/>
  <c r="AZ27" i="41"/>
  <c r="BV27" i="41" s="1"/>
  <c r="AZ101" i="41"/>
  <c r="BL28" i="41"/>
  <c r="AZ28" i="41"/>
  <c r="BV28" i="41" s="1"/>
  <c r="BL53" i="41"/>
  <c r="AZ53" i="41"/>
  <c r="BV53" i="41" s="1"/>
  <c r="AZ31" i="41"/>
  <c r="BV31" i="41" s="1"/>
  <c r="BA29" i="41"/>
  <c r="AZ45" i="41"/>
  <c r="BV45" i="41" s="1"/>
  <c r="BL32" i="41"/>
  <c r="AZ32" i="41"/>
  <c r="BV32" i="41" s="1"/>
  <c r="BU26" i="41"/>
  <c r="AB25" i="41"/>
  <c r="BT25" i="41" s="1"/>
  <c r="BW90" i="41"/>
  <c r="BV77" i="41"/>
  <c r="BU78" i="41"/>
  <c r="BV76" i="41"/>
  <c r="BW77" i="41"/>
  <c r="BU77" i="41"/>
  <c r="BV78" i="41"/>
  <c r="AN59" i="41" l="1"/>
  <c r="AO92" i="41" s="1"/>
  <c r="AO102" i="41"/>
  <c r="AN102" i="41" s="1"/>
  <c r="BL76" i="41"/>
  <c r="BW76" i="41" s="1"/>
  <c r="BL33" i="41"/>
  <c r="BM78" i="41"/>
  <c r="BL78" i="41" s="1"/>
  <c r="BW78" i="41" s="1"/>
  <c r="AZ75" i="41"/>
  <c r="BV75" i="41" s="1"/>
  <c r="BA59" i="41"/>
  <c r="AZ29" i="41"/>
  <c r="BA38" i="41"/>
  <c r="BU29" i="41"/>
  <c r="AN38" i="41"/>
  <c r="BU38" i="41" s="1"/>
  <c r="BW44" i="41"/>
  <c r="BW49" i="41"/>
  <c r="BW48" i="41"/>
  <c r="BW47" i="41"/>
  <c r="BW46" i="41"/>
  <c r="BW51" i="41"/>
  <c r="BW33" i="41"/>
  <c r="BW28" i="41"/>
  <c r="BW32" i="41"/>
  <c r="BW53" i="41"/>
  <c r="BW57" i="41"/>
  <c r="BL27" i="41"/>
  <c r="BW27" i="41" s="1"/>
  <c r="BM26" i="41"/>
  <c r="BL26" i="41" s="1"/>
  <c r="BM22" i="41"/>
  <c r="BL22" i="41" s="1"/>
  <c r="BL23" i="41"/>
  <c r="BM42" i="41"/>
  <c r="BL42" i="41" s="1"/>
  <c r="BW42" i="41" s="1"/>
  <c r="BL43" i="41"/>
  <c r="BW43" i="41" s="1"/>
  <c r="BW52" i="41"/>
  <c r="BW41" i="41"/>
  <c r="BW54" i="41"/>
  <c r="BL56" i="41"/>
  <c r="BW56" i="41" s="1"/>
  <c r="BM55" i="41"/>
  <c r="BL55" i="41" s="1"/>
  <c r="BW55" i="41" s="1"/>
  <c r="BW45" i="41"/>
  <c r="BL31" i="41"/>
  <c r="BW31" i="41" s="1"/>
  <c r="BM29" i="41"/>
  <c r="BW50" i="41"/>
  <c r="BM39" i="41"/>
  <c r="BL39" i="41" s="1"/>
  <c r="BW39" i="41" s="1"/>
  <c r="BW40" i="41"/>
  <c r="BL101" i="41"/>
  <c r="AB24" i="41"/>
  <c r="BT24" i="41" s="1"/>
  <c r="BU25" i="41"/>
  <c r="BV26" i="41"/>
  <c r="BU75" i="41"/>
  <c r="BM75" i="41" l="1"/>
  <c r="BM59" i="41"/>
  <c r="AZ59" i="41"/>
  <c r="BA92" i="41" s="1"/>
  <c r="BA102" i="41"/>
  <c r="BL29" i="41"/>
  <c r="BM38" i="41"/>
  <c r="BV29" i="41"/>
  <c r="AZ38" i="41"/>
  <c r="BV38" i="41" s="1"/>
  <c r="BV25" i="41"/>
  <c r="BW26" i="41"/>
  <c r="BU24" i="41"/>
  <c r="AC22" i="41"/>
  <c r="AB23" i="41"/>
  <c r="BT23" i="41" s="1"/>
  <c r="AZ102" i="41" l="1"/>
  <c r="BL75" i="41"/>
  <c r="BW75" i="41" s="1"/>
  <c r="BW29" i="41"/>
  <c r="BL38" i="41"/>
  <c r="BW38" i="41" s="1"/>
  <c r="AB22" i="41"/>
  <c r="BU23" i="41"/>
  <c r="BW25" i="41"/>
  <c r="BV24" i="41"/>
  <c r="BW106" i="41"/>
  <c r="BM102" i="41" l="1"/>
  <c r="BL102" i="41" s="1"/>
  <c r="BL59" i="41"/>
  <c r="BM92" i="41" s="1"/>
  <c r="BT22" i="41"/>
  <c r="BT21" i="41"/>
  <c r="BV23" i="41"/>
  <c r="BW24" i="41"/>
  <c r="AC101" i="41"/>
  <c r="AB101" i="41" s="1"/>
  <c r="BT101" i="41" s="1"/>
  <c r="AC106" i="41"/>
  <c r="AB106" i="41" s="1"/>
  <c r="BU22" i="41" l="1"/>
  <c r="BU21" i="41"/>
  <c r="BW23" i="41"/>
  <c r="BU106" i="41"/>
  <c r="BV106" i="41"/>
  <c r="BV22" i="41" l="1"/>
  <c r="BV21" i="41"/>
  <c r="BU101" i="41"/>
  <c r="BW22" i="41" l="1"/>
  <c r="BW21" i="41"/>
  <c r="BV101" i="41"/>
  <c r="BW101" i="41" l="1"/>
  <c r="R102" i="41"/>
  <c r="AE104" i="41" l="1"/>
  <c r="AE99" i="41" s="1"/>
  <c r="AE109" i="41" l="1"/>
  <c r="AE112" i="41" s="1"/>
  <c r="P93" i="41" l="1"/>
  <c r="BR93" i="41" l="1"/>
  <c r="BS93" i="41"/>
  <c r="BT93" i="41"/>
  <c r="Q106" i="41"/>
  <c r="P106" i="41" l="1"/>
  <c r="BT106" i="41" l="1"/>
  <c r="BR106" i="41"/>
  <c r="BS106" i="41"/>
  <c r="Q63" i="41"/>
  <c r="BU94" i="41"/>
  <c r="BT94" i="41"/>
  <c r="Q104" i="41"/>
  <c r="P104" i="41" s="1"/>
  <c r="Q110" i="41"/>
  <c r="P110" i="41" s="1"/>
  <c r="Q59" i="41" l="1"/>
  <c r="P59" i="41" s="1"/>
  <c r="P63" i="41"/>
  <c r="BR110" i="41"/>
  <c r="BS110" i="41"/>
  <c r="BR104" i="41"/>
  <c r="BS104" i="41"/>
  <c r="Q111" i="41"/>
  <c r="P111" i="41" s="1"/>
  <c r="P70" i="41"/>
  <c r="AC107" i="41"/>
  <c r="AB107" i="41" s="1"/>
  <c r="BR59" i="41" l="1"/>
  <c r="Q92" i="41"/>
  <c r="P92" i="41"/>
  <c r="P115" i="41" s="1"/>
  <c r="BS59" i="41"/>
  <c r="BS111" i="41"/>
  <c r="BR111" i="41"/>
  <c r="BT70" i="41"/>
  <c r="BS70" i="41"/>
  <c r="BR70" i="41"/>
  <c r="BS63" i="41"/>
  <c r="BR63" i="41"/>
  <c r="Q102" i="41"/>
  <c r="P102" i="41" s="1"/>
  <c r="BT107" i="41" l="1"/>
  <c r="BU107" i="41"/>
  <c r="BR102" i="41" l="1"/>
  <c r="BS102" i="41"/>
  <c r="AD104" i="41"/>
  <c r="BW110" i="41" l="1"/>
  <c r="BW104" i="41"/>
  <c r="BV104" i="41"/>
  <c r="BV110" i="41"/>
  <c r="BW85" i="41"/>
  <c r="BV85" i="41"/>
  <c r="BV111" i="41" l="1"/>
  <c r="BW111" i="41"/>
  <c r="BV63" i="41" l="1"/>
  <c r="BW63" i="41"/>
  <c r="BV59" i="41" l="1"/>
  <c r="BW59" i="41"/>
  <c r="BW102" i="41" l="1"/>
  <c r="BV102" i="41"/>
  <c r="BF1" i="41" l="1"/>
  <c r="AC104" i="41" l="1"/>
  <c r="AB104" i="41" s="1"/>
  <c r="AB110" i="41"/>
  <c r="BU104" i="41" l="1"/>
  <c r="BT104" i="41"/>
  <c r="BT85" i="41"/>
  <c r="BU85" i="41"/>
  <c r="AB111" i="41"/>
  <c r="AB63" i="41"/>
  <c r="BU110" i="41" l="1"/>
  <c r="BT110" i="41"/>
  <c r="BU111" i="41"/>
  <c r="BT111" i="41"/>
  <c r="AC92" i="41" l="1"/>
  <c r="AC102" i="41"/>
  <c r="AB102" i="41" s="1"/>
  <c r="BT63" i="41"/>
  <c r="BU63" i="41"/>
  <c r="BT59" i="41" l="1"/>
  <c r="BU59" i="41"/>
  <c r="BT102" i="41" l="1"/>
  <c r="BU102" i="41"/>
  <c r="AC105" i="41" l="1"/>
  <c r="Q105" i="41"/>
  <c r="AC99" i="41" l="1"/>
  <c r="AO105" i="41"/>
  <c r="Q99" i="41"/>
  <c r="AC124" i="41" l="1"/>
  <c r="Q124" i="41"/>
  <c r="P122" i="41" s="1"/>
  <c r="BA105" i="41"/>
  <c r="BA99" i="41" s="1"/>
  <c r="AC109" i="41"/>
  <c r="AO99" i="41"/>
  <c r="Q1" i="41"/>
  <c r="Q109" i="41"/>
  <c r="AB122" i="41" l="1"/>
  <c r="AO124" i="41"/>
  <c r="BR122" i="41"/>
  <c r="AO109" i="41"/>
  <c r="AC112" i="41"/>
  <c r="BM105" i="41"/>
  <c r="Q112" i="41"/>
  <c r="BA124" i="41" l="1"/>
  <c r="AN122" i="41"/>
  <c r="BT122" i="41"/>
  <c r="BS122" i="41"/>
  <c r="AO112" i="41"/>
  <c r="BA109" i="41"/>
  <c r="AD92" i="41"/>
  <c r="R105" i="41"/>
  <c r="R99" i="41" s="1"/>
  <c r="BM99" i="41"/>
  <c r="V1" i="41"/>
  <c r="P100" i="41"/>
  <c r="BM124" i="41" l="1"/>
  <c r="AZ122" i="41"/>
  <c r="BT100" i="41"/>
  <c r="BS100" i="41"/>
  <c r="BR100" i="41"/>
  <c r="BR92" i="41"/>
  <c r="BS92" i="41"/>
  <c r="AP92" i="41"/>
  <c r="AD105" i="41"/>
  <c r="AD99" i="41" s="1"/>
  <c r="AB99" i="41" s="1"/>
  <c r="AB92" i="41"/>
  <c r="AB115" i="41" s="1"/>
  <c r="BA112" i="41"/>
  <c r="P105" i="41"/>
  <c r="BM109" i="41"/>
  <c r="BU122" i="41"/>
  <c r="BL122" i="41" l="1"/>
  <c r="BS105" i="41"/>
  <c r="BR105" i="41"/>
  <c r="BR115" i="41"/>
  <c r="BS115" i="41"/>
  <c r="R1" i="41"/>
  <c r="P126" i="41"/>
  <c r="P123" i="41"/>
  <c r="P114" i="41"/>
  <c r="R109" i="41"/>
  <c r="P99" i="41"/>
  <c r="I6" i="42" s="1"/>
  <c r="BT115" i="41"/>
  <c r="BT92" i="41"/>
  <c r="BM112" i="41"/>
  <c r="M12" i="42"/>
  <c r="AB105" i="41"/>
  <c r="BT105" i="41" s="1"/>
  <c r="BV122" i="41"/>
  <c r="BB92" i="41"/>
  <c r="AP105" i="41"/>
  <c r="AN92" i="41"/>
  <c r="AN115" i="41" s="1"/>
  <c r="I8" i="42" l="1"/>
  <c r="AB126" i="41"/>
  <c r="BT126" i="41" s="1"/>
  <c r="R124" i="41"/>
  <c r="G94" i="42"/>
  <c r="BR126" i="41"/>
  <c r="BS126" i="41"/>
  <c r="BR114" i="41"/>
  <c r="BS114" i="41"/>
  <c r="BR123" i="41"/>
  <c r="BS123" i="41"/>
  <c r="P1" i="41"/>
  <c r="BR99" i="41"/>
  <c r="BS99" i="41"/>
  <c r="AB114" i="41"/>
  <c r="BT114" i="41" s="1"/>
  <c r="AB123" i="41"/>
  <c r="BU115" i="41"/>
  <c r="BU92" i="41"/>
  <c r="P109" i="41"/>
  <c r="R112" i="41"/>
  <c r="I12" i="42" s="1"/>
  <c r="AP99" i="41"/>
  <c r="AN105" i="41"/>
  <c r="BU105" i="41" s="1"/>
  <c r="BW122" i="41"/>
  <c r="BN92" i="41"/>
  <c r="BB105" i="41"/>
  <c r="AZ92" i="41"/>
  <c r="AZ115" i="41" s="1"/>
  <c r="AD109" i="41"/>
  <c r="M6" i="42"/>
  <c r="Q12" i="42" l="1"/>
  <c r="Q92" i="42" s="1"/>
  <c r="AN99" i="41"/>
  <c r="H12" i="42"/>
  <c r="I14" i="42"/>
  <c r="J14" i="42" s="1"/>
  <c r="BT99" i="41"/>
  <c r="M8" i="42"/>
  <c r="P124" i="41"/>
  <c r="P129" i="41" s="1"/>
  <c r="P112" i="41"/>
  <c r="BS112" i="41" s="1"/>
  <c r="AN126" i="41"/>
  <c r="BU126" i="41" s="1"/>
  <c r="BT123" i="41"/>
  <c r="AD124" i="41"/>
  <c r="AB124" i="41" s="1"/>
  <c r="BR109" i="41"/>
  <c r="BS109" i="41"/>
  <c r="AN114" i="41"/>
  <c r="BU114" i="41" s="1"/>
  <c r="AN123" i="41"/>
  <c r="BV115" i="41"/>
  <c r="BV92" i="41"/>
  <c r="AP109" i="41"/>
  <c r="BB99" i="41"/>
  <c r="U12" i="42" s="1"/>
  <c r="U92" i="42" s="1"/>
  <c r="AZ105" i="41"/>
  <c r="BV105" i="41" s="1"/>
  <c r="BN105" i="41"/>
  <c r="BL92" i="41"/>
  <c r="BL115" i="41" s="1"/>
  <c r="AD112" i="41"/>
  <c r="AB112" i="41" s="1"/>
  <c r="AB109" i="41"/>
  <c r="BT112" i="41" l="1"/>
  <c r="AB128" i="41"/>
  <c r="BR112" i="41"/>
  <c r="H14" i="42"/>
  <c r="H26" i="42" s="1"/>
  <c r="H92" i="42"/>
  <c r="H6" i="42"/>
  <c r="H8" i="42" s="1"/>
  <c r="BR124" i="41"/>
  <c r="BS124" i="41"/>
  <c r="BU99" i="41"/>
  <c r="Q6" i="42"/>
  <c r="Q8" i="42" s="1"/>
  <c r="R8" i="42" s="1"/>
  <c r="I92" i="42"/>
  <c r="AZ126" i="41"/>
  <c r="BV126" i="41" s="1"/>
  <c r="Q14" i="42"/>
  <c r="BU123" i="41"/>
  <c r="AP124" i="41"/>
  <c r="AN124" i="41" s="1"/>
  <c r="BT124" i="41"/>
  <c r="AZ114" i="41"/>
  <c r="BV114" i="41" s="1"/>
  <c r="AZ123" i="41"/>
  <c r="BW115" i="41"/>
  <c r="BW92" i="41"/>
  <c r="R6" i="42"/>
  <c r="BN99" i="41"/>
  <c r="Y12" i="42" s="1"/>
  <c r="Y92" i="42" s="1"/>
  <c r="BL105" i="41"/>
  <c r="BW105" i="41" s="1"/>
  <c r="BT109" i="41"/>
  <c r="AP112" i="41"/>
  <c r="AN112" i="41" s="1"/>
  <c r="BU112" i="41" s="1"/>
  <c r="AN109" i="41"/>
  <c r="BU109" i="41" s="1"/>
  <c r="BB109" i="41"/>
  <c r="AZ99" i="41"/>
  <c r="H24" i="42" l="1"/>
  <c r="H27" i="42"/>
  <c r="BV99" i="41"/>
  <c r="U6" i="42"/>
  <c r="U8" i="42" s="1"/>
  <c r="V8" i="42" s="1"/>
  <c r="I94" i="42"/>
  <c r="H94" i="42"/>
  <c r="H95" i="42" s="1"/>
  <c r="Y14" i="42"/>
  <c r="BL126" i="41"/>
  <c r="BW126" i="41" s="1"/>
  <c r="U14" i="42"/>
  <c r="V14" i="42" s="1"/>
  <c r="BV123" i="41"/>
  <c r="BB124" i="41"/>
  <c r="AZ124" i="41" s="1"/>
  <c r="BU124" i="41"/>
  <c r="BL114" i="41"/>
  <c r="BW114" i="41" s="1"/>
  <c r="BL123" i="41"/>
  <c r="Q94" i="42"/>
  <c r="V6" i="42"/>
  <c r="BN109" i="41"/>
  <c r="BL99" i="41"/>
  <c r="BB112" i="41"/>
  <c r="AZ112" i="41" s="1"/>
  <c r="BV112" i="41" s="1"/>
  <c r="AZ109" i="41"/>
  <c r="BV109" i="41" s="1"/>
  <c r="I24" i="42" l="1"/>
  <c r="I26" i="42" s="1"/>
  <c r="H18" i="42"/>
  <c r="BW99" i="41"/>
  <c r="Y6" i="42"/>
  <c r="Z6" i="42" s="1"/>
  <c r="V12" i="42"/>
  <c r="BW123" i="41"/>
  <c r="BN124" i="41"/>
  <c r="BL124" i="41" s="1"/>
  <c r="BW124" i="41" s="1"/>
  <c r="BV124" i="41"/>
  <c r="BN112" i="41"/>
  <c r="BL112" i="41" s="1"/>
  <c r="BW112" i="41" s="1"/>
  <c r="BL109" i="41"/>
  <c r="BW109" i="41" s="1"/>
  <c r="V92" i="42"/>
  <c r="U94" i="42"/>
  <c r="V94" i="42" s="1"/>
  <c r="Z14" i="42"/>
  <c r="Z12" i="42"/>
  <c r="Y8" i="42" l="1"/>
  <c r="Z8" i="42" s="1"/>
  <c r="I110" i="42"/>
  <c r="I108" i="42" s="1"/>
  <c r="J108" i="42" s="1"/>
  <c r="H20" i="42"/>
  <c r="H21" i="42" s="1"/>
  <c r="I18" i="42"/>
  <c r="I20" i="42" s="1"/>
  <c r="Z92" i="42"/>
  <c r="Y94" i="42"/>
  <c r="Z94" i="42" s="1"/>
  <c r="J110" i="42" l="1"/>
  <c r="J113" i="42"/>
  <c r="K113" i="42" s="1"/>
  <c r="K108" i="42" s="1"/>
  <c r="J6" i="42"/>
  <c r="N6" i="42"/>
  <c r="N8" i="42"/>
  <c r="J12" i="42" l="1"/>
  <c r="J8" i="42"/>
  <c r="H9" i="42" l="1"/>
  <c r="H15" i="42"/>
  <c r="R12" i="42" l="1"/>
  <c r="M92" i="42"/>
  <c r="M14" i="42"/>
  <c r="N12" i="42"/>
  <c r="K20" i="42" l="1"/>
  <c r="K26" i="42"/>
  <c r="K14" i="42"/>
  <c r="M94" i="42"/>
  <c r="N92" i="42"/>
  <c r="R92" i="42"/>
  <c r="R14" i="42"/>
  <c r="N14" i="42"/>
  <c r="K15" i="42" l="1"/>
  <c r="K12" i="42"/>
  <c r="K27" i="42"/>
  <c r="K24" i="42"/>
  <c r="K21" i="42"/>
  <c r="K18" i="42"/>
  <c r="R94" i="42"/>
  <c r="N94" i="42"/>
  <c r="K92" i="42" l="1"/>
  <c r="K94" i="42" s="1"/>
  <c r="K95" i="42" s="1"/>
  <c r="K6" i="42"/>
  <c r="K8" i="42" s="1"/>
  <c r="K9" i="42" s="1"/>
  <c r="L12" i="42"/>
  <c r="L14" i="42" l="1"/>
  <c r="L6" i="42"/>
  <c r="L8" i="42" s="1"/>
  <c r="L92" i="42"/>
  <c r="L94" i="42" s="1"/>
  <c r="L95" i="42" s="1"/>
  <c r="L26" i="42" l="1"/>
  <c r="L15" i="42"/>
  <c r="O14" i="42"/>
  <c r="O12" i="42" l="1"/>
  <c r="O15" i="42"/>
  <c r="P12" i="42" l="1"/>
  <c r="O6" i="42"/>
  <c r="O8" i="42" s="1"/>
  <c r="O9" i="42" s="1"/>
  <c r="O92" i="42"/>
  <c r="O94" i="42" s="1"/>
  <c r="O95" i="42" s="1"/>
  <c r="P6" i="42" l="1"/>
  <c r="P8" i="42" s="1"/>
  <c r="P14" i="42"/>
  <c r="P92" i="42"/>
  <c r="P94" i="42" s="1"/>
  <c r="P95" i="42" s="1"/>
  <c r="L9" i="42"/>
  <c r="S14" i="42" l="1"/>
  <c r="P26" i="42"/>
  <c r="P15" i="42"/>
  <c r="P9" i="42"/>
  <c r="S26" i="42" l="1"/>
  <c r="P24" i="42"/>
  <c r="S12" i="42"/>
  <c r="S15" i="42"/>
  <c r="S92" i="42" l="1"/>
  <c r="S94" i="42" s="1"/>
  <c r="S95" i="42" s="1"/>
  <c r="T12" i="42"/>
  <c r="S6" i="42"/>
  <c r="S8" i="42" s="1"/>
  <c r="S9" i="42" s="1"/>
  <c r="S24" i="42"/>
  <c r="S27" i="42"/>
  <c r="T14" i="42" l="1"/>
  <c r="T6" i="42"/>
  <c r="T8" i="42" s="1"/>
  <c r="T92" i="42"/>
  <c r="T94" i="42" s="1"/>
  <c r="T95" i="42" s="1"/>
  <c r="W8" i="42" l="1"/>
  <c r="T9" i="42"/>
  <c r="T26" i="42"/>
  <c r="W14" i="42"/>
  <c r="T15" i="42"/>
  <c r="L27" i="42"/>
  <c r="O26" i="42"/>
  <c r="O24" i="42"/>
  <c r="Q24" i="42" s="1"/>
  <c r="L24" i="42"/>
  <c r="P27" i="42" l="1"/>
  <c r="O27" i="42"/>
  <c r="W26" i="42"/>
  <c r="T24" i="42"/>
  <c r="U24" i="42" s="1"/>
  <c r="T27" i="42"/>
  <c r="W15" i="42"/>
  <c r="W12" i="42"/>
  <c r="W9" i="42"/>
  <c r="W6" i="42"/>
  <c r="X6" i="42" s="1"/>
  <c r="X8" i="42" s="1"/>
  <c r="X9" i="42" s="1"/>
  <c r="M24" i="42"/>
  <c r="N24" i="42" s="1"/>
  <c r="R24" i="42"/>
  <c r="Q26" i="42"/>
  <c r="Q18" i="42"/>
  <c r="M26" i="42"/>
  <c r="N26" i="42" s="1"/>
  <c r="M18" i="42"/>
  <c r="U18" i="42" l="1"/>
  <c r="U20" i="42" s="1"/>
  <c r="U26" i="42"/>
  <c r="W92" i="42"/>
  <c r="W94" i="42" s="1"/>
  <c r="W95" i="42" s="1"/>
  <c r="X12" i="42"/>
  <c r="W27" i="42"/>
  <c r="W24" i="42"/>
  <c r="V24" i="42"/>
  <c r="R18" i="42"/>
  <c r="V18" i="42"/>
  <c r="Q20" i="42"/>
  <c r="R26" i="42"/>
  <c r="V26" i="42"/>
  <c r="N18" i="42"/>
  <c r="M20" i="42"/>
  <c r="N20" i="42" s="1"/>
  <c r="L18" i="42"/>
  <c r="X92" i="42" l="1"/>
  <c r="X94" i="42" s="1"/>
  <c r="X95" i="42" s="1"/>
  <c r="X14" i="42"/>
  <c r="V20" i="42"/>
  <c r="R20" i="42"/>
  <c r="N110" i="42"/>
  <c r="N108" i="42" s="1"/>
  <c r="O108" i="42" s="1"/>
  <c r="L20" i="42"/>
  <c r="X26" i="42" l="1"/>
  <c r="X15" i="42"/>
  <c r="O20" i="42"/>
  <c r="O21" i="42" s="1"/>
  <c r="L21" i="42"/>
  <c r="O113" i="42"/>
  <c r="P113" i="42" s="1"/>
  <c r="P108" i="42" s="1"/>
  <c r="O110" i="42"/>
  <c r="O18" i="42" l="1"/>
  <c r="P18" i="42" s="1"/>
  <c r="P20" i="42" s="1"/>
  <c r="P21" i="42" l="1"/>
  <c r="S21" i="42"/>
  <c r="T18" i="42" l="1"/>
  <c r="T20" i="42" s="1"/>
  <c r="W20" i="42" s="1"/>
  <c r="W21" i="42" l="1"/>
  <c r="W18" i="42"/>
  <c r="T21" i="42"/>
  <c r="X27" i="42"/>
  <c r="X24" i="42"/>
  <c r="Y24" i="42" s="1"/>
  <c r="Y18" i="42" l="1"/>
  <c r="Y26" i="42"/>
  <c r="Z26" i="42" s="1"/>
  <c r="Z24" i="42"/>
  <c r="Z18" i="42" l="1"/>
  <c r="X18" i="42"/>
  <c r="X20" i="42" s="1"/>
  <c r="X21" i="42" s="1"/>
  <c r="Y20" i="42"/>
  <c r="Z20" i="42" s="1"/>
</calcChain>
</file>

<file path=xl/comments1.xml><?xml version="1.0" encoding="utf-8"?>
<comments xmlns="http://schemas.openxmlformats.org/spreadsheetml/2006/main">
  <authors>
    <author>Ivanovskaya</author>
  </authors>
  <commentList>
    <comment ref="E49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379-р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363-р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364-р</t>
        </r>
      </text>
    </comment>
    <comment ref="G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371-р</t>
        </r>
      </text>
    </comment>
    <comment ref="G68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тыс. руб./Гкал/ч в мес.
</t>
        </r>
      </text>
    </comment>
  </commentList>
</comments>
</file>

<file path=xl/comments2.xml><?xml version="1.0" encoding="utf-8"?>
<comments xmlns="http://schemas.openxmlformats.org/spreadsheetml/2006/main">
  <authors>
    <author>Носова Ангелина Павловна</author>
  </authors>
  <commentList>
    <comment ref="F14" authorId="0">
      <text>
        <r>
          <rPr>
            <b/>
            <sz val="9"/>
            <color indexed="81"/>
            <rFont val="Tahoma"/>
            <family val="2"/>
            <charset val="204"/>
          </rPr>
          <t>нет данных</t>
        </r>
      </text>
    </comment>
  </commentList>
</comments>
</file>

<file path=xl/sharedStrings.xml><?xml version="1.0" encoding="utf-8"?>
<sst xmlns="http://schemas.openxmlformats.org/spreadsheetml/2006/main" count="3070" uniqueCount="642">
  <si>
    <t>Топливо на технологические цели</t>
  </si>
  <si>
    <t>тыс. руб.</t>
  </si>
  <si>
    <t>Вода на технологические цели</t>
  </si>
  <si>
    <t>%</t>
  </si>
  <si>
    <t>Средний одноставочный тариф</t>
  </si>
  <si>
    <t xml:space="preserve"> руб./Гкал</t>
  </si>
  <si>
    <t>Численность ППП</t>
  </si>
  <si>
    <t>Общая численность</t>
  </si>
  <si>
    <t>Средняя заработная плата</t>
  </si>
  <si>
    <t>руб./чел. в мес.</t>
  </si>
  <si>
    <t>Показатель</t>
  </si>
  <si>
    <t>Ед.изм.</t>
  </si>
  <si>
    <t>руб./Гкал</t>
  </si>
  <si>
    <t>Гкал</t>
  </si>
  <si>
    <t>Индексы</t>
  </si>
  <si>
    <t>Индекс потребительских цен</t>
  </si>
  <si>
    <t>Газ</t>
  </si>
  <si>
    <t>Электрическая энергия</t>
  </si>
  <si>
    <t>Тепловая энергия</t>
  </si>
  <si>
    <t>руб./куб.м</t>
  </si>
  <si>
    <t>Итого затраты на топливо</t>
  </si>
  <si>
    <t>тыс.руб.</t>
  </si>
  <si>
    <t>тыс.кВтч</t>
  </si>
  <si>
    <t>руб./кВтч</t>
  </si>
  <si>
    <t>Объем электроэнергии</t>
  </si>
  <si>
    <t>Цена</t>
  </si>
  <si>
    <t>Затраты</t>
  </si>
  <si>
    <t>Электрическая энергия на технологические цели</t>
  </si>
  <si>
    <t>Объем водоснабжения</t>
  </si>
  <si>
    <t>куб.м</t>
  </si>
  <si>
    <t>Затраты на покупку воды</t>
  </si>
  <si>
    <t>Объем водоотведения</t>
  </si>
  <si>
    <t>Затраты на водоотведение</t>
  </si>
  <si>
    <t>Справочно:</t>
  </si>
  <si>
    <t>Полезный отпуск</t>
  </si>
  <si>
    <t>Структура полезного отпуска</t>
  </si>
  <si>
    <t xml:space="preserve">Всего </t>
  </si>
  <si>
    <t>7</t>
  </si>
  <si>
    <t>Мазут</t>
  </si>
  <si>
    <t>6</t>
  </si>
  <si>
    <t>Численность цехового персонала</t>
  </si>
  <si>
    <t>Передача</t>
  </si>
  <si>
    <t>1</t>
  </si>
  <si>
    <t>1.1</t>
  </si>
  <si>
    <t>1.2</t>
  </si>
  <si>
    <t>2</t>
  </si>
  <si>
    <t>3</t>
  </si>
  <si>
    <t>5</t>
  </si>
  <si>
    <t>4</t>
  </si>
  <si>
    <t>Расходы на топливо</t>
  </si>
  <si>
    <t>Расходы на холодную воду</t>
  </si>
  <si>
    <t>Расходы на теплоноситель</t>
  </si>
  <si>
    <t>Уголь</t>
  </si>
  <si>
    <t>руб./куб.м.</t>
  </si>
  <si>
    <t>Оптовая цена</t>
  </si>
  <si>
    <t>Снабженческо-сбытовые услуги</t>
  </si>
  <si>
    <t>Спец.надбавка</t>
  </si>
  <si>
    <t>тыс.куб.м</t>
  </si>
  <si>
    <t>ИТОГО</t>
  </si>
  <si>
    <t>Численность АУП</t>
  </si>
  <si>
    <t>8</t>
  </si>
  <si>
    <t>Объем топлива</t>
  </si>
  <si>
    <t>Тариф на транспортировку (услуги ГРО)</t>
  </si>
  <si>
    <t>Покупная тепловая энергия</t>
  </si>
  <si>
    <t>Объем покупной тепловой энергии</t>
  </si>
  <si>
    <t>Итого затраты на покупную тепловую энергию</t>
  </si>
  <si>
    <t>Рост к предложению Организации</t>
  </si>
  <si>
    <t>Передача тепловой энергии</t>
  </si>
  <si>
    <t>административно-управленческий персонал</t>
  </si>
  <si>
    <t xml:space="preserve">расходы на реализацию мероприятий по энергосбережению и повышению энергетической эффективности </t>
  </si>
  <si>
    <t>расходы на подписку на официальные издания (источники официального опубликования правовых актов органов государственной власти Санкт-Петербурга)</t>
  </si>
  <si>
    <t>расходы на публикацию материалов в официальных изданиях (источниках официального опубликования правовых актов органов государственной власти Санкт-Петербурга)</t>
  </si>
  <si>
    <t>Необходимая валовая выручка, всего</t>
  </si>
  <si>
    <t>9</t>
  </si>
  <si>
    <t>10</t>
  </si>
  <si>
    <t>Объем теплоносителя</t>
  </si>
  <si>
    <t>куб.м.</t>
  </si>
  <si>
    <t>Амортизация основных средств и нематериальных активов</t>
  </si>
  <si>
    <t>Расходы на служебные командировки</t>
  </si>
  <si>
    <t>Расходы на обучение персонала</t>
  </si>
  <si>
    <t>Расходы на капитальные вложения (инвестиции)</t>
  </si>
  <si>
    <t>расходы на услуги банков (подконтрольные расходы)</t>
  </si>
  <si>
    <t>Наименование</t>
  </si>
  <si>
    <t>№ п/п</t>
  </si>
  <si>
    <t>Теплоноситель</t>
  </si>
  <si>
    <t>охрана труда и проф.безопасность</t>
  </si>
  <si>
    <t>расходы на приобретение прав</t>
  </si>
  <si>
    <t>расходы на обеспечение связи</t>
  </si>
  <si>
    <t>консультационные и информационные услуги</t>
  </si>
  <si>
    <t>прочие расходы</t>
  </si>
  <si>
    <t>Покупка теплоносителя</t>
  </si>
  <si>
    <t>Производство</t>
  </si>
  <si>
    <t>1.</t>
  </si>
  <si>
    <t>2.</t>
  </si>
  <si>
    <t>3.</t>
  </si>
  <si>
    <t>4.</t>
  </si>
  <si>
    <t>чел.</t>
  </si>
  <si>
    <t>Гкал/ч</t>
  </si>
  <si>
    <t>№ п.п.</t>
  </si>
  <si>
    <t>Наименование статьи</t>
  </si>
  <si>
    <t>Ед. измерения</t>
  </si>
  <si>
    <t>Всего</t>
  </si>
  <si>
    <t>Коэффициент индексации
К инд = (1-ИР)*(1+ИПЦ)*(1+ИКА*Кэл)</t>
  </si>
  <si>
    <t>Индекс потребительских цен на расчетный период регулирования (ИПЦ)</t>
  </si>
  <si>
    <t>Индекс эффективности операционных расходов (ИР)</t>
  </si>
  <si>
    <t>Индекс изменения количества активов (ИКА)</t>
  </si>
  <si>
    <t>установленная тепловая мощность источника тепловой энергии</t>
  </si>
  <si>
    <t>количество условных единиц, относящихся к активам, необходимым для осуществления регулируемой деятельности (передача т/э)</t>
  </si>
  <si>
    <t>у.е.</t>
  </si>
  <si>
    <r>
      <t>Коэффициент эластичности затрат по росту активов (К</t>
    </r>
    <r>
      <rPr>
        <vertAlign val="subscript"/>
        <sz val="12"/>
        <rFont val="Times New Roman"/>
        <family val="1"/>
        <charset val="204"/>
      </rPr>
      <t>эл</t>
    </r>
    <r>
      <rPr>
        <sz val="12"/>
        <rFont val="Times New Roman"/>
        <family val="1"/>
        <charset val="204"/>
      </rPr>
      <t>)</t>
    </r>
  </si>
  <si>
    <t>1.  Расходы на приобретение энергетических ресурсов, холодной воды и теплоносителя</t>
  </si>
  <si>
    <t>Расходы на электрическую энергию</t>
  </si>
  <si>
    <t>Расходы на тепловую энергию</t>
  </si>
  <si>
    <t>Сырье и материалы</t>
  </si>
  <si>
    <t>Ремонт основных средств</t>
  </si>
  <si>
    <t>Оплата труда</t>
  </si>
  <si>
    <t>в т.ч. основной производственный персонал</t>
  </si>
  <si>
    <t>в т.ч.  цеховой персонал</t>
  </si>
  <si>
    <t>ВСЕГО численность</t>
  </si>
  <si>
    <t>численность основного производственного персонала</t>
  </si>
  <si>
    <t>численность цехового персонала</t>
  </si>
  <si>
    <t>численность административно-управленческого персонала</t>
  </si>
  <si>
    <t>Работы и услуги производственного характера, выполняемые по договорам со сторонними организациями</t>
  </si>
  <si>
    <t>проверка</t>
  </si>
  <si>
    <t>Служебные командировки</t>
  </si>
  <si>
    <t>Обучение персонала</t>
  </si>
  <si>
    <t>Лизинговые платежи</t>
  </si>
  <si>
    <t>Арендная плата</t>
  </si>
  <si>
    <t>3.  Расчет неподконтрольных расходов</t>
  </si>
  <si>
    <t>Расходы на оплату услуг, оказываемых организациями, осуществляющими регулируемые виды деятельности, в том числе:</t>
  </si>
  <si>
    <t>Услуги по водоотведению</t>
  </si>
  <si>
    <t>Расходы на уплату налогов, сборов и других обязательных платежей, в том числе:</t>
  </si>
  <si>
    <t>расходы на обязательное страхование</t>
  </si>
  <si>
    <t>налог на имущество</t>
  </si>
  <si>
    <t>транспортный налог</t>
  </si>
  <si>
    <t>налог на прибыль</t>
  </si>
  <si>
    <t>водный налог</t>
  </si>
  <si>
    <t>земельный налог</t>
  </si>
  <si>
    <t>иные расходы</t>
  </si>
  <si>
    <t>Концессионная плата</t>
  </si>
  <si>
    <t>Расходы по сомнительным долгам</t>
  </si>
  <si>
    <t>Отчисления на социальные нужды, в том числе:</t>
  </si>
  <si>
    <t>основной производственный персонал</t>
  </si>
  <si>
    <t>цеховой персонал</t>
  </si>
  <si>
    <t>Выплаты по договорам займа и кредитным договорам, включая проценты по ним</t>
  </si>
  <si>
    <t>Операционные расходы</t>
  </si>
  <si>
    <t>Неподконтрольные расходы</t>
  </si>
  <si>
    <t>Расходы на покупку энергетических ресурсов</t>
  </si>
  <si>
    <t>Прибыль</t>
  </si>
  <si>
    <t>Величина, учитывающая результаты деятельности</t>
  </si>
  <si>
    <t>Корректировка НВВ</t>
  </si>
  <si>
    <t>Итого НВВ (сумма 1 + 2 + 3)</t>
  </si>
  <si>
    <t>Полезный отпуск всего</t>
  </si>
  <si>
    <t xml:space="preserve"> - с коллекторов</t>
  </si>
  <si>
    <t xml:space="preserve"> - через тепловую сеть</t>
  </si>
  <si>
    <t>Потери</t>
  </si>
  <si>
    <t>Стоимость потерь (по тарифу производства без теплоносителя)</t>
  </si>
  <si>
    <t>НВВ передачи (со стоимостью потерь)</t>
  </si>
  <si>
    <t>Итого средний одноставочный тариф на тепловую энергию</t>
  </si>
  <si>
    <t>Ед. изм.</t>
  </si>
  <si>
    <t>рост 2 полугодие / 1 полугодию</t>
  </si>
  <si>
    <t>Необходимая валовая выручка</t>
  </si>
  <si>
    <t>Петростат</t>
  </si>
  <si>
    <t>Расчет уровня операционных расходов (ОР)
(2014 год - базовый)</t>
  </si>
  <si>
    <t>Иные работы и услуги, выполняемые по договорам с организациями</t>
  </si>
  <si>
    <t>Другие расходы, не относящиеся к неподконтрольным расходам, в том числе:</t>
  </si>
  <si>
    <t>Коэффициент изменения объема полезного отпуска</t>
  </si>
  <si>
    <t>Индекс роста потребительских цен</t>
  </si>
  <si>
    <t>Коэффициент снижения расходов</t>
  </si>
  <si>
    <t>Установлено на 2015 год - всего</t>
  </si>
  <si>
    <t>Предложение ТСО на 2016 год</t>
  </si>
  <si>
    <t>Экономически обоснованные расходы по расчетам специалистов на 2016 год</t>
  </si>
  <si>
    <t>Расчет специалистов на 2016 год (с учетом предельного роста подконтрольных расходов)</t>
  </si>
  <si>
    <t>Расчет предельного уровня подконтрольных расходов на 2015 год</t>
  </si>
  <si>
    <t>Предложение Организации на 2019 год</t>
  </si>
  <si>
    <t>Предложение специалистов на 2019 год</t>
  </si>
  <si>
    <t>Предложение Организации на 2020 год</t>
  </si>
  <si>
    <t>Предложение специалистов на 2020 год</t>
  </si>
  <si>
    <t>Предложение Организации на 2021 год</t>
  </si>
  <si>
    <t>Предложение специалистов на 2021 год</t>
  </si>
  <si>
    <t>Рост 2019/2018</t>
  </si>
  <si>
    <t>Рост 2020/2019</t>
  </si>
  <si>
    <t>Рост 2021/2020</t>
  </si>
  <si>
    <t xml:space="preserve">Объем горячего водоснабжения </t>
  </si>
  <si>
    <t>Полезный отпуск через тепловую сеть</t>
  </si>
  <si>
    <t>01.01.2018-30.06.2018</t>
  </si>
  <si>
    <t>01.07.2018-31.12.2018</t>
  </si>
  <si>
    <t>Всего 2018</t>
  </si>
  <si>
    <t>01.01.2019-30.06.2019</t>
  </si>
  <si>
    <t>01.07.2019-31.12.2019</t>
  </si>
  <si>
    <t>Всего 2019</t>
  </si>
  <si>
    <t>01.01.2020-30.06.2020</t>
  </si>
  <si>
    <t>01.07.2020-31.12.2020</t>
  </si>
  <si>
    <t>Всего 2020</t>
  </si>
  <si>
    <t>01.01.2021-30.06.2021</t>
  </si>
  <si>
    <t>01.07.2021-31.12.2021</t>
  </si>
  <si>
    <t>Всего 2021</t>
  </si>
  <si>
    <t>На 2019 год</t>
  </si>
  <si>
    <t>с 01.01.2019 по 30.06.2019</t>
  </si>
  <si>
    <t>с 01.07.2019 по 31.12.2019</t>
  </si>
  <si>
    <t>На 2020 год</t>
  </si>
  <si>
    <t>с 01.01.2020 по 30.06.2020</t>
  </si>
  <si>
    <t>с 01.07.2020 по 31.12.2020</t>
  </si>
  <si>
    <t>На 2021 год</t>
  </si>
  <si>
    <t>с 01.01.2021 по 30.06.2021</t>
  </si>
  <si>
    <t>с 01.07.2021 по 31.12.2021</t>
  </si>
  <si>
    <t>работы и услуги производственного характера</t>
  </si>
  <si>
    <t>Расчетная предпринимательская прибыль</t>
  </si>
  <si>
    <t>текущий ремонт</t>
  </si>
  <si>
    <t>Тариф на питьевую воду</t>
  </si>
  <si>
    <t>Тариф на водоотведение</t>
  </si>
  <si>
    <t>Цена на топливо</t>
  </si>
  <si>
    <t>Покупка питьевой воды  - на открытый ГВС (ГУП "Водоканал СПб")</t>
  </si>
  <si>
    <t>Услугу по водоотведению (ГУП "Водоканал СПб")</t>
  </si>
  <si>
    <t>Плановая объемная теплота сгорания, ккал/куб. м.</t>
  </si>
  <si>
    <t>5. Расчетная предпринимательская прибыль</t>
  </si>
  <si>
    <t>6.  Величина, учитывающая результаты деятельности до перехода к регулированию на основе долгосрочных параметров регулирования</t>
  </si>
  <si>
    <t>7.   Корректировка НВВ</t>
  </si>
  <si>
    <t>8.  Расчет НВВ</t>
  </si>
  <si>
    <t>Процент расчетной предпринимательской прибыли от текущих расходов (за исключением расходов на топливо, расходов на приобретение тепловой энергии (теплоносителя) и услуг по передаче тепловой энергии (теплоносителя), расходов на выплаты по договорам займа и кредитным договорам, включая возврат сумм основного долга и процентов по ним) и расходов на амортизацию основных средств и нематериальных активов</t>
  </si>
  <si>
    <t>Средний тариф на тепловую энергию</t>
  </si>
  <si>
    <t>НВВ без нормативной прибыли и налога на прибыль с нормативной прибыли</t>
  </si>
  <si>
    <t>Налог на прибыль с нормативной прибыли</t>
  </si>
  <si>
    <t>Нормативная прибыль = нормативный уровень прибыли * НВВ без прибыли и налога на прибыль/(100%-нормативный уровень прибыли/(1-20%))</t>
  </si>
  <si>
    <t>уровень нормативной прибыли =
Норматиная прибыль/НВВ</t>
  </si>
  <si>
    <t>Покупка питьевой воды у ГУП "Водоканал СПб"</t>
  </si>
  <si>
    <t>Справочно: предложение ТСО</t>
  </si>
  <si>
    <t>Полезный отпуск, всего</t>
  </si>
  <si>
    <t>Структура полезного отпуска:</t>
  </si>
  <si>
    <t>Производственные и хозяйственные нужды</t>
  </si>
  <si>
    <t>Иные потребители</t>
  </si>
  <si>
    <t>ЭОР НВВ</t>
  </si>
  <si>
    <t>Тарифная выручка</t>
  </si>
  <si>
    <t>Учет итогов</t>
  </si>
  <si>
    <t>Расходы концессионера на осуществление государственного кадастрового учета, государственной регистрации права собственности концедента</t>
  </si>
  <si>
    <t>Предложение Организации на 2022 год</t>
  </si>
  <si>
    <t>Предложение специалистов на 2022 год</t>
  </si>
  <si>
    <t>Рост 2022/2021</t>
  </si>
  <si>
    <t>01.01.2022-30.06.2022</t>
  </si>
  <si>
    <t>01.07.2022-31.12.2022</t>
  </si>
  <si>
    <t>Всего 2022</t>
  </si>
  <si>
    <t>На 2022 год</t>
  </si>
  <si>
    <t>с 01.01.2022 по 30.06.2022</t>
  </si>
  <si>
    <t>с 01.07.2022 по 31.12.2022</t>
  </si>
  <si>
    <t>4. Нормативная прибыль</t>
  </si>
  <si>
    <t>Корректировка с целью учета отклонения фактических значений параметров расчета тарифов от значений, учтенных при установлении тарифов</t>
  </si>
  <si>
    <t>Корректировка необходимой валовой выручки с учетом степени исполнения регулируемой организацией обязательств по созданию и (или)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</t>
  </si>
  <si>
    <t>Корректировка НВВ в связи с изменением (неисполнением) инвестиционной программы</t>
  </si>
  <si>
    <t>Корректировка,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(расчетных)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</t>
  </si>
  <si>
    <t>Расходы на погашение и обслуживание заемных средств, привлекаемых на реализацию мероприятий инвестиционной программы</t>
  </si>
  <si>
    <t>Выплаты, предусмотренные коллективными договорами</t>
  </si>
  <si>
    <t>4.1</t>
  </si>
  <si>
    <t>Установлено Комитетом по тарифам Санкт-Петербурга на 2018 год</t>
  </si>
  <si>
    <t>Предложение Организации на 2023 год</t>
  </si>
  <si>
    <t>Предложение специалистов на 2023 год</t>
  </si>
  <si>
    <t>Рост 2023/2022</t>
  </si>
  <si>
    <t>Установлено КТ СПб на 2018 год</t>
  </si>
  <si>
    <t>01.01.2023-30.06.2023</t>
  </si>
  <si>
    <t>01.07.2023-31.12.2023</t>
  </si>
  <si>
    <t>Всего 2023</t>
  </si>
  <si>
    <t>Итого средний одноставочный тариф на теплоноситель</t>
  </si>
  <si>
    <t>Тариф на теплоноситель</t>
  </si>
  <si>
    <t>На 2023 год</t>
  </si>
  <si>
    <t>с 01.01.2023 по 30.06.2023</t>
  </si>
  <si>
    <t>с 01.07.2023 по 31.12.2023</t>
  </si>
  <si>
    <t>Итоги 2015 года</t>
  </si>
  <si>
    <t>ГВС в закрытой системе</t>
  </si>
  <si>
    <t>вода</t>
  </si>
  <si>
    <t>производство</t>
  </si>
  <si>
    <t>передача</t>
  </si>
  <si>
    <t>пар</t>
  </si>
  <si>
    <t>капитальный ремонт</t>
  </si>
  <si>
    <t>химреагенты</t>
  </si>
  <si>
    <t>материалы на ремонт</t>
  </si>
  <si>
    <t>прочие материалы</t>
  </si>
  <si>
    <t>расходы на оплату услуг связи</t>
  </si>
  <si>
    <t>расходы на оплату вневедомственной охраны</t>
  </si>
  <si>
    <t>расходы на оплату коммунальных услуг</t>
  </si>
  <si>
    <t>расходы на оплату юридических, информационных, аудиторских и консультационных услуг</t>
  </si>
  <si>
    <t>расходы на оплату других работ и услуг</t>
  </si>
  <si>
    <t>расходы на оформление и сопровождение ЭЦП</t>
  </si>
  <si>
    <t>расходы по охране труда и технике безопасности</t>
  </si>
  <si>
    <t>расходы на канцелярские товары</t>
  </si>
  <si>
    <t>Расходы на приобретение сырья и материалов</t>
  </si>
  <si>
    <t>Расходы на ремонт основных средств</t>
  </si>
  <si>
    <t>Расходы на оплату труда</t>
  </si>
  <si>
    <t>Расходы на оплату работ и услуг производственного характера, выполняемых по договорам со сторонними организациями</t>
  </si>
  <si>
    <t>Расходы на оплату иных работ и услуг, выполняемых по договорам с организациями, включая:</t>
  </si>
  <si>
    <t>Лизинговый платеж</t>
  </si>
  <si>
    <t>Нормативная прибыль в отношении объектов, находящихся в государственной или муниципальной собственности и эксплуатируемых регулируемой организацией на основании концессионного соглашения или договора аренды, заключенных в соответствии с законодательством Российской Федерации не ранее 1 января 2014 г.</t>
  </si>
  <si>
    <t>4.2</t>
  </si>
  <si>
    <t>Прочая нормативная прибыль</t>
  </si>
  <si>
    <t>2.  Расчет уровня операционных расходов (ОР)
(2019 год - базовый)</t>
  </si>
  <si>
    <t>в т.ч. административно-управленческий персонал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</si>
  <si>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</si>
  <si>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Арендная плата в части имущества, используемого для осуществления регулируемой деятельности</t>
  </si>
  <si>
    <t>услуги банка</t>
  </si>
  <si>
    <t>Суммарная экономия от снижения ОР и от снижения потребления энергоресурсов, холодной воды и теплоносителя, достигнутая регулируемой организацией в предыдущих долгосрочных периодах регулирования</t>
  </si>
  <si>
    <t>свыше 500</t>
  </si>
  <si>
    <t>от 100 до 500 включительно</t>
  </si>
  <si>
    <t>от 10 до 100 включительно</t>
  </si>
  <si>
    <t>от 1 до 10 включительно</t>
  </si>
  <si>
    <t>от 0,1 до 1 включительно</t>
  </si>
  <si>
    <t>от 0,01 до 0,1 включительно</t>
  </si>
  <si>
    <t>до 0,01 включительно</t>
  </si>
  <si>
    <t>Приказ ФАС России от 15.03.2016 N 246/16</t>
  </si>
  <si>
    <t>Приказ ФСТ России от 28.04.2015 N 108-э/1</t>
  </si>
  <si>
    <t>Распоряжение Комитета по тарифам Санкт-Петербурга от 27.12.2017 N 267-р</t>
  </si>
  <si>
    <t>ВН</t>
  </si>
  <si>
    <t>СН1</t>
  </si>
  <si>
    <t>СН2</t>
  </si>
  <si>
    <t>НН</t>
  </si>
  <si>
    <t>Водоснабжение/водоотведение</t>
  </si>
  <si>
    <t>население</t>
  </si>
  <si>
    <t>прочие</t>
  </si>
  <si>
    <t>ГУП "Водоканал СПб"</t>
  </si>
  <si>
    <t>Иные</t>
  </si>
  <si>
    <t>Тариф на покупку тепловой энергии</t>
  </si>
  <si>
    <t>ГУП "ТЭК СПб"</t>
  </si>
  <si>
    <t>ПАО "ТГК-1"</t>
  </si>
  <si>
    <t>ООО "Петербургтеплоэнерго"</t>
  </si>
  <si>
    <t>с коллекторов</t>
  </si>
  <si>
    <t xml:space="preserve">вода </t>
  </si>
  <si>
    <t>по сетям</t>
  </si>
  <si>
    <t>Тариф на услуги по передаче тепловой энергии</t>
  </si>
  <si>
    <t>АО «ЭКОПРОМ»</t>
  </si>
  <si>
    <t>АО "АТЭК"</t>
  </si>
  <si>
    <t>ООО "Эксплуатационная компания "Арго-Сервис"</t>
  </si>
  <si>
    <t>ООО "ДОЗ № 1"</t>
  </si>
  <si>
    <t>НАО "Энергетический Альянс" (в)</t>
  </si>
  <si>
    <t>ООО "ЭКОЛ"</t>
  </si>
  <si>
    <t>Филиал "Невский водопровод" АО "ЛОКС"</t>
  </si>
  <si>
    <t>ООО "Коммунальное хозяйство"</t>
  </si>
  <si>
    <t>ООО "СК-СИГМА"</t>
  </si>
  <si>
    <t>ООО "Энергоснаб-Красные Зори"</t>
  </si>
  <si>
    <t>ООО "Софийский бульвар" (в)</t>
  </si>
  <si>
    <t>АО "Особые экономические зоны" (АО "ОЭЗ") (в)</t>
  </si>
  <si>
    <t>ООО "Воздушные ворота северной столицы» (ООО "ВВСС") (в)</t>
  </si>
  <si>
    <t>АО "Морской порт Санкт-Петербург" (в)</t>
  </si>
  <si>
    <t>ЗАО "Агентство по реконструкции и застройке нежилой зоны "Шушары"</t>
  </si>
  <si>
    <t>АО "Пролетарский завод"</t>
  </si>
  <si>
    <t>АО «Аэропорт «Пулково» (в)</t>
  </si>
  <si>
    <t>ПАО СЗ "Северная верфь"</t>
  </si>
  <si>
    <t>Октябрьская Дирекция по тепловодоснабжению – структурное подразделение Центральной Дирекции по тепловодоснабжению - филиала  ОАО «РЖД»</t>
  </si>
  <si>
    <t>АО "Водтрансприбор" (в)</t>
  </si>
  <si>
    <t>АО "КировТЭК"</t>
  </si>
  <si>
    <t>АО "ЛОМО"</t>
  </si>
  <si>
    <t>СПб ГБСУ СО "Психоневрологический интернат №6" (СПб ГБСУ СО ПНИ-6)</t>
  </si>
  <si>
    <t>СПб ГУП "Петербургский метрополитен"</t>
  </si>
  <si>
    <t>АО "ГСР Водоканал"</t>
  </si>
  <si>
    <t>ФГБУ "ЦЖКУ" Минобороны России</t>
  </si>
  <si>
    <t>ООО "ГАЗКОМПЛЕКТ"</t>
  </si>
  <si>
    <t>ООО "Адамант"</t>
  </si>
  <si>
    <t>ООО "Северо-Западная управляющая компания" (вместо ООО"Цветочная 6")</t>
  </si>
  <si>
    <t>АО "Компрессор"</t>
  </si>
  <si>
    <t>ОАО "Аккумуляторная компания "Ригель"</t>
  </si>
  <si>
    <t>ООО "Теплоснабжающая сетевая компания" (ООО "ТСК")</t>
  </si>
  <si>
    <t>С/х производственный кооператив "Племзавод "Детскосельский"</t>
  </si>
  <si>
    <t>АО "Особые экономические зоны" (АО "ОЭЗ") (т)</t>
  </si>
  <si>
    <t>ООО "Газпром трансгаз Санкт-Петербург"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</si>
  <si>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 
(ФГБОУ ВО ПГУПС)</t>
  </si>
  <si>
    <t>АО "Морской порт С-Петербург" (т)</t>
  </si>
  <si>
    <t>АО "КИНОСТУДИЯ "ЛЕНФИЛЬМ"</t>
  </si>
  <si>
    <t xml:space="preserve">ООО «Энергосервис» </t>
  </si>
  <si>
    <t>АО "Редэс Лтд"</t>
  </si>
  <si>
    <t>ОАО "НПО ЦКТИ" им. И. И. Ползунова</t>
  </si>
  <si>
    <t>ООО "ЭнергоИнвест"</t>
  </si>
  <si>
    <t>ООО " Энергогазмонтаж" (ЭГМ)</t>
  </si>
  <si>
    <t>ООО "Теплоэнерго"(т)</t>
  </si>
  <si>
    <t>НАО "СВЕЗА Усть-Ижора"</t>
  </si>
  <si>
    <t>ООО "Пром Импульс"</t>
  </si>
  <si>
    <t>ООО "Энергопромсервис"</t>
  </si>
  <si>
    <t>АО "Водтрансприбор" (т)</t>
  </si>
  <si>
    <t>ООО «ЭНЕРГИЯ»</t>
  </si>
  <si>
    <t>ФГБОУ ВО "ГУМРФ имени адмирала С.О.Макарова"</t>
  </si>
  <si>
    <t>ЗАО "Пансионат "Буревестник"</t>
  </si>
  <si>
    <t>ЗАО "ЭЭУК "Авангард-Энерго"</t>
  </si>
  <si>
    <t>АО «ЛОМО» (т)</t>
  </si>
  <si>
    <t>ООО "Фирма "РОСС"</t>
  </si>
  <si>
    <t>ООО "Квартальная котельная"</t>
  </si>
  <si>
    <t>ЗАО "ГСР ТЭЦ"</t>
  </si>
  <si>
    <t>ООО "ЭнергоРесурс 2005"</t>
  </si>
  <si>
    <t>ФГБУ науки Ордена Трудового Красного Знамени Иститут химии силикатов им. И.В.Гребенщикова РАН (ИХС РАН)</t>
  </si>
  <si>
    <t>АО " Компонент"</t>
  </si>
  <si>
    <t>ФБОУ ВПО "СПбГПУ"</t>
  </si>
  <si>
    <t>ООО "Генерирующая компания "Обуховоэнерго"</t>
  </si>
  <si>
    <t>АО "Интер РАО - Электрогенерация" (филиал "Северо-Западная ТЭЦ")</t>
  </si>
  <si>
    <t>АО "Юго-Западная ТЭЦ"</t>
  </si>
  <si>
    <t>АО "Теплосеть Санкт-Петербурга"</t>
  </si>
  <si>
    <t>ЗАО "Тепломагистраль"</t>
  </si>
  <si>
    <t>Отпуск с коллекторов</t>
  </si>
  <si>
    <t>Приказ ФАС России от 03.08.2018 N 1088/18</t>
  </si>
  <si>
    <t>Тариф на транспортировку (услуги ГРО) (ООО "ПетербургГаз")</t>
  </si>
  <si>
    <t>Тариф на транспортировку (услуги ГРО) (ОАО "Газпром газораспределение Ленинградская область")</t>
  </si>
  <si>
    <r>
      <t>Q</t>
    </r>
    <r>
      <rPr>
        <i/>
        <sz val="7"/>
        <color theme="1"/>
        <rFont val="Times New Roman"/>
        <family val="1"/>
        <charset val="204"/>
      </rPr>
      <t>план.</t>
    </r>
    <r>
      <rPr>
        <i/>
        <sz val="10"/>
        <color theme="1"/>
        <rFont val="Times New Roman"/>
        <family val="1"/>
        <charset val="204"/>
      </rPr>
      <t>/Q</t>
    </r>
    <r>
      <rPr>
        <i/>
        <sz val="7"/>
        <color theme="1"/>
        <rFont val="Times New Roman"/>
        <family val="1"/>
        <charset val="204"/>
      </rPr>
      <t>расчет</t>
    </r>
  </si>
  <si>
    <t>ккал/куб. м.</t>
  </si>
  <si>
    <t>Пересчет оптовой цены с учетом плановой объемной теплоты сгорания</t>
  </si>
  <si>
    <t>тариф 1 полугодие 2019</t>
  </si>
  <si>
    <t>тариф 2 полугодие 2019</t>
  </si>
  <si>
    <t>руб./т</t>
  </si>
  <si>
    <t>Диз.топливо</t>
  </si>
  <si>
    <t>Древесно-топливная смесь</t>
  </si>
  <si>
    <t>руб./1000 куб.м</t>
  </si>
  <si>
    <t>БАЛАНСОВЫЕ ПОКАЗАТЕЛИ ПО ПОЛУГОДИЯМ</t>
  </si>
  <si>
    <t>Производственные и хозяйственные нужды, прочие</t>
  </si>
  <si>
    <t>ИКУ</t>
  </si>
  <si>
    <t xml:space="preserve">Отопление </t>
  </si>
  <si>
    <t>Расход условного топлива всего, в том числе:</t>
  </si>
  <si>
    <t>тут</t>
  </si>
  <si>
    <t>газ</t>
  </si>
  <si>
    <t>уголь</t>
  </si>
  <si>
    <t>Доля</t>
  </si>
  <si>
    <t>Переводной коэффициент</t>
  </si>
  <si>
    <t>Расход натурального топлива всего, 
в том числе:</t>
  </si>
  <si>
    <t>тонн</t>
  </si>
  <si>
    <t>Удельный расход условного топлива на отпуск тэ с коллекторов</t>
  </si>
  <si>
    <t>кг ут/Гкал</t>
  </si>
  <si>
    <t>Расход электрической энергии</t>
  </si>
  <si>
    <t>тыс.кВт*ч</t>
  </si>
  <si>
    <t>Удельный расход электрической энергии на отпуск тепловой энергии с коллекторов</t>
  </si>
  <si>
    <t>кВт*ч/Гкал</t>
  </si>
  <si>
    <t xml:space="preserve">Покупка холодной питьевой воды на закрытый ГВС
 у ГУП "Водоканал СПб" </t>
  </si>
  <si>
    <t>Удельный расход воды</t>
  </si>
  <si>
    <t>куб.м/Гкал</t>
  </si>
  <si>
    <t>Удельный расход воды на закрытый ГВС</t>
  </si>
  <si>
    <t xml:space="preserve">Водоотведение 
ГУП "Водоканал СПб" </t>
  </si>
  <si>
    <t>мазут</t>
  </si>
  <si>
    <t>диз.топливо</t>
  </si>
  <si>
    <t>древесно-топливная смесь</t>
  </si>
  <si>
    <t xml:space="preserve">Покупка холодной питьевой воды на открытый ГВС
 у ГУП "Водоканал СПб" </t>
  </si>
  <si>
    <t>Удельный расход воды на открытый ГВС</t>
  </si>
  <si>
    <t>ГВС в открытой системе</t>
  </si>
  <si>
    <t>куб. м</t>
  </si>
  <si>
    <t>Покупка тепловой энергии (вода)</t>
  </si>
  <si>
    <t>Покупка тепловой энергии (пар)</t>
  </si>
  <si>
    <t xml:space="preserve">Покупка тепловой энергии </t>
  </si>
  <si>
    <t xml:space="preserve">Покупка теплоносителя </t>
  </si>
  <si>
    <t>объем</t>
  </si>
  <si>
    <t>цена</t>
  </si>
  <si>
    <r>
      <t xml:space="preserve">Полезный отпуск тепловой энергии, передаваемой по сетям ТСО и </t>
    </r>
    <r>
      <rPr>
        <b/>
        <sz val="12"/>
        <color rgb="FFFF0000"/>
        <rFont val="Times New Roman"/>
        <family val="1"/>
        <charset val="204"/>
      </rPr>
      <t>ГУП "ТЭК СПб"</t>
    </r>
    <r>
      <rPr>
        <b/>
        <sz val="12"/>
        <rFont val="Times New Roman"/>
        <family val="1"/>
        <charset val="204"/>
      </rPr>
      <t xml:space="preserve"> (с учетом компенсации потерь)</t>
    </r>
  </si>
  <si>
    <t>Покупка питьевой воды  - на закрытый ГВС (ГУП "Водоканал СПб")</t>
  </si>
  <si>
    <t>Услуги по передаче тепловой энергии</t>
  </si>
  <si>
    <t>Тариф на услуги по передаче</t>
  </si>
  <si>
    <t>Итого расходы на услуги по передаче</t>
  </si>
  <si>
    <t>Полезный отпуск на открытый ГВС</t>
  </si>
  <si>
    <t>Полезный отпуск на закрытый ГВС</t>
  </si>
  <si>
    <t>для исполнителей коммунальных услуг</t>
  </si>
  <si>
    <t>для прочих потребителей</t>
  </si>
  <si>
    <t>Тариф на теплоноситель в открытой системе</t>
  </si>
  <si>
    <t>Компонент на тепловую энергию</t>
  </si>
  <si>
    <t xml:space="preserve">Электрическая энергия </t>
  </si>
  <si>
    <r>
      <t xml:space="preserve">Водоснабжение, водоотведение  
(ГУП "Водоканал СПб"(прочие))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</si>
  <si>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Водоснабжение, водоотведение  
(ГУП "Водоканал СПб"(население))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</si>
  <si>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оптовая цена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</si>
  <si>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услуги ГРО и ССУ </t>
    </r>
    <r>
      <rPr>
        <i/>
        <sz val="10"/>
        <color theme="1"/>
        <rFont val="Times New Roman"/>
        <family val="1"/>
        <charset val="204"/>
      </rPr>
      <t>(с июля)</t>
    </r>
  </si>
  <si>
    <t>Природный газ (1 полугодие 2019)</t>
  </si>
  <si>
    <t>на 2019 год</t>
  </si>
  <si>
    <t>1 полугодие 2019</t>
  </si>
  <si>
    <t xml:space="preserve">Покупка холодной питьевой воды
 у ГУП "Водоканал СПб" на отопление </t>
  </si>
  <si>
    <t>С коллекторов</t>
  </si>
  <si>
    <t>По сетям</t>
  </si>
  <si>
    <t>Результирующая/Корректировка</t>
  </si>
  <si>
    <t>Комментарии</t>
  </si>
  <si>
    <t>в тарифе на 2017 г.</t>
  </si>
  <si>
    <t>в тарифе на 2018 г.</t>
  </si>
  <si>
    <t>в тарифе на 2019 г.</t>
  </si>
  <si>
    <t>в тарифе на 2020 г.</t>
  </si>
  <si>
    <t>в тарифе на 2021 г.</t>
  </si>
  <si>
    <t>Корректировка НВВ, в том числе:</t>
  </si>
  <si>
    <r>
      <t xml:space="preserve">Итоги 2016 года 
</t>
    </r>
    <r>
      <rPr>
        <sz val="12"/>
        <color rgb="FFFF0000"/>
        <rFont val="Times New Roman"/>
        <family val="1"/>
        <charset val="204"/>
      </rPr>
      <t>(Первый год долгосрока)</t>
    </r>
  </si>
  <si>
    <t>с ИПЦ</t>
  </si>
  <si>
    <r>
      <t xml:space="preserve">Итоги 2017 года 
</t>
    </r>
    <r>
      <rPr>
        <sz val="12"/>
        <color rgb="FFFF0000"/>
        <rFont val="Times New Roman"/>
        <family val="1"/>
        <charset val="204"/>
      </rPr>
      <t>(Второй год долгосрока)</t>
    </r>
  </si>
  <si>
    <t>Итого подлежит учету в, в том числе:</t>
  </si>
  <si>
    <t>Недополученный доход / расходы прошлых периодов</t>
  </si>
  <si>
    <t xml:space="preserve">Объем </t>
  </si>
  <si>
    <t>Компонент на холодную воду</t>
  </si>
  <si>
    <t>Средний одноставочный тариф с теплоносителем на ГВС в открытой системе</t>
  </si>
  <si>
    <t>Тариф на ГВС в закрытой системе</t>
  </si>
  <si>
    <t>1,027</t>
  </si>
  <si>
    <t>Программа энергосбережения и повышения энергетической эффективности</t>
  </si>
  <si>
    <t>Расходы на публикацию материалов в официальных изданиях (источниках официального опубликования правовых актов органов государственной власти Санкт-Петербурга)</t>
  </si>
  <si>
    <t>11</t>
  </si>
  <si>
    <t>12</t>
  </si>
  <si>
    <t>Прочие</t>
  </si>
  <si>
    <t>Остаточная стоимость на 01.01.2018</t>
  </si>
  <si>
    <t>Остаточная стоимость на 01.01.2019</t>
  </si>
  <si>
    <t>Итого</t>
  </si>
  <si>
    <t>согласно расчету без учета планируемого приобретения ОС в 2018 г., 2019 г.</t>
  </si>
  <si>
    <t>исходя из утвержденных на 2018 г.сучетом ИПЦ</t>
  </si>
  <si>
    <t>по заявке организации</t>
  </si>
  <si>
    <t>Остаточная стоимость на 01.01.2020</t>
  </si>
  <si>
    <t>Остаточная стоимость на 01.01.2021</t>
  </si>
  <si>
    <t>Остаточная стоимость на 01.01.2022</t>
  </si>
  <si>
    <t>исходя из факт. расходов за 2017 г. с учетом ИПЦ</t>
  </si>
  <si>
    <t>на основании представленных  полюсов за 2018 г.</t>
  </si>
  <si>
    <t>исходя из фактрасходов в 2018 г. с ИПЦ</t>
  </si>
  <si>
    <t>по расчету</t>
  </si>
  <si>
    <t>Сводная калькуляция производства и передачи тепловой энергии ООО "Квартальная котельная" на 2019-2023 гг.</t>
  </si>
  <si>
    <r>
      <t xml:space="preserve">Расчет </t>
    </r>
    <r>
      <rPr>
        <b/>
        <u/>
        <sz val="18"/>
        <color theme="1"/>
        <rFont val="Times New Roman"/>
        <family val="1"/>
        <charset val="204"/>
      </rPr>
      <t>тарифов на тепловую энергию</t>
    </r>
    <r>
      <rPr>
        <b/>
        <sz val="18"/>
        <color theme="1"/>
        <rFont val="Times New Roman"/>
        <family val="1"/>
        <charset val="204"/>
      </rPr>
      <t xml:space="preserve"> ООО "Квартальная котельная" на территории Санкт-Петербурга на 2019-2023 гг.</t>
    </r>
  </si>
  <si>
    <t>1,0296</t>
  </si>
  <si>
    <t>ПСК, СН-2</t>
  </si>
  <si>
    <t>Разница</t>
  </si>
  <si>
    <t>Прочие потребители</t>
  </si>
  <si>
    <t>Основные средства</t>
  </si>
  <si>
    <t>Первоначальная стоимость</t>
  </si>
  <si>
    <t>Остаточная стоимость на 01.01.2016</t>
  </si>
  <si>
    <t>Амортизация за 2016 год</t>
  </si>
  <si>
    <t>Остаточная стоимость на 01.01.2017</t>
  </si>
  <si>
    <t>Амортизация за 2018 год</t>
  </si>
  <si>
    <t>Здание котельной</t>
  </si>
  <si>
    <t>Сепаратор шлама и газа DN 200 фланцевый</t>
  </si>
  <si>
    <t>Система безопасности котельной</t>
  </si>
  <si>
    <t>Амортизация за 2017 год</t>
  </si>
  <si>
    <t>Амортизация за 2019 год</t>
  </si>
  <si>
    <t>Амортизация за 2020 год</t>
  </si>
  <si>
    <t>Амортизация за 2021 год</t>
  </si>
  <si>
    <t>Учет результатов деятельности ООО "Квартальная котельная" в рамках тарифного регулирования, тыс. руб.</t>
  </si>
  <si>
    <t>в соответствии с протоколом рабочего совещания от 12.11.2017 № 454-ГС</t>
  </si>
  <si>
    <t xml:space="preserve">корректировка не учтена, так как отсутствует заявка ТСО </t>
  </si>
  <si>
    <t>Справочно: средний тариф с теплоносителем для всех групп</t>
  </si>
  <si>
    <t>отпуск по сетям</t>
  </si>
  <si>
    <t>II пг. 2018  года</t>
  </si>
  <si>
    <t>С 01.01.2019 по 30.06.2019</t>
  </si>
  <si>
    <r>
      <rPr>
        <b/>
        <sz val="16"/>
        <rFont val="Cambria"/>
        <family val="1"/>
        <charset val="204"/>
      </rPr>
      <t xml:space="preserve">Горячая вода </t>
    </r>
    <r>
      <rPr>
        <b/>
        <i/>
        <sz val="12"/>
        <color indexed="60"/>
        <rFont val="Cambria"/>
        <family val="1"/>
        <charset val="204"/>
      </rPr>
      <t>(тепловая энергия на отопление, горячее водоснабжение)</t>
    </r>
  </si>
  <si>
    <r>
      <t>Всего</t>
    </r>
    <r>
      <rPr>
        <b/>
        <sz val="12"/>
        <rFont val="Cambria"/>
        <family val="1"/>
        <charset val="204"/>
      </rPr>
      <t xml:space="preserve"> (горячая вода)</t>
    </r>
  </si>
  <si>
    <t>Тепловая энергия на отопление, горячее водоснабжение</t>
  </si>
  <si>
    <t>Стоимость теплоносителя в открытой системе теплоснабжения</t>
  </si>
  <si>
    <t>с учетом стоимости холодной воды</t>
  </si>
  <si>
    <t>без учета стоимости холодной воды</t>
  </si>
  <si>
    <t>Исполнители коммунальных услуг, предоставляемых гражданам</t>
  </si>
  <si>
    <t>Тариф, руб./Гкал</t>
  </si>
  <si>
    <r>
      <t>Тариф, руб./м</t>
    </r>
    <r>
      <rPr>
        <b/>
        <vertAlign val="superscript"/>
        <sz val="11"/>
        <rFont val="Cambria"/>
        <family val="1"/>
        <charset val="204"/>
      </rPr>
      <t>3</t>
    </r>
  </si>
  <si>
    <t>Тариф для населения (с НДС)</t>
  </si>
  <si>
    <t>Полезный отпуск, Гкал</t>
  </si>
  <si>
    <r>
      <t>Полезный отпуск, м</t>
    </r>
    <r>
      <rPr>
        <vertAlign val="superscript"/>
        <sz val="11"/>
        <rFont val="Cambria"/>
        <family val="1"/>
        <charset val="204"/>
      </rPr>
      <t>3</t>
    </r>
  </si>
  <si>
    <t>НВВ,  тыс. руб.</t>
  </si>
  <si>
    <t>Остальные потребители</t>
  </si>
  <si>
    <t>II пг. 2019  года</t>
  </si>
  <si>
    <t>С 01.01.2020 по 30.06.2020</t>
  </si>
  <si>
    <t>Вид услуг</t>
  </si>
  <si>
    <t xml:space="preserve">Всего, </t>
  </si>
  <si>
    <t>Регламентное техническое обслуживание оборудования котельной</t>
  </si>
  <si>
    <t>Сервисное обслуживание системы безопасности котельной</t>
  </si>
  <si>
    <t>Обслуживание тепловых сетей котельной</t>
  </si>
  <si>
    <t>Техническое обслуживание узла учета тепловой энергии</t>
  </si>
  <si>
    <t>ПРИЛОЖЕНИЕ 2
к протоколу заседания правления 
Комитета по тарифам 
Санкт-Петербурга                                                                                        
от 07.12.2018  № ______</t>
  </si>
  <si>
    <r>
      <t xml:space="preserve">Основные показатели для расчета тарифов в сфере теплоснабжения общества с ограниченной ответственностью "Квартальная Котельная"
 на территории Санкт-Петербурга на 2019 - 2023 годы
</t>
    </r>
    <r>
      <rPr>
        <b/>
        <i/>
        <sz val="12"/>
        <color theme="1"/>
        <rFont val="Times New Roman"/>
        <family val="1"/>
        <charset val="204"/>
      </rPr>
      <t>(в соответствии с пунктом 32 Правил регулирования цен (тарифов) в сфере теплоснабжения, утвержденных Постановлением Правительства РФ от 22.10.2012 № 1075)</t>
    </r>
  </si>
  <si>
    <t>Единица измерения</t>
  </si>
  <si>
    <t>Значение</t>
  </si>
  <si>
    <t>2019 год</t>
  </si>
  <si>
    <t>2020 год</t>
  </si>
  <si>
    <t>2021 год</t>
  </si>
  <si>
    <t>2022 год</t>
  </si>
  <si>
    <t>2023 год</t>
  </si>
  <si>
    <t>Объем полезного отпуска тепловой энергии (мощности), на основании которого рассчитаны установленные тарифы</t>
  </si>
  <si>
    <t>Объем договорной тепловой нагрузки, на основании которой рассчитаны установленные тарифы</t>
  </si>
  <si>
    <t xml:space="preserve"> Гкал/ч</t>
  </si>
  <si>
    <t>Индексы роста цен на каждый энергетический ресурс:</t>
  </si>
  <si>
    <t xml:space="preserve">газ </t>
  </si>
  <si>
    <t>электрическая энергия</t>
  </si>
  <si>
    <t>тепловая энергия</t>
  </si>
  <si>
    <t>холодная вода</t>
  </si>
  <si>
    <t>Индекс изменения количества активов</t>
  </si>
  <si>
    <t>Нормативы технологических потерь при передаче тепловой энергии, теплоносителя</t>
  </si>
  <si>
    <t xml:space="preserve"> - </t>
  </si>
  <si>
    <t>Объем технологических потерь при передаче тепловой энергии, теплоносителя, учтенный при расчете необходимой валовой выручки</t>
  </si>
  <si>
    <t>Нормативы удельного расхода условного топлива при производстве тепловой энергии</t>
  </si>
  <si>
    <t>кг у.т./Гкал</t>
  </si>
  <si>
    <t>Удельный расход условного топлива, учтенный при расчете необходимой валовой выручки</t>
  </si>
  <si>
    <t>Нормативы запасов топлива на источниках тепловой энергии</t>
  </si>
  <si>
    <t>Нормативы запасов топлива на источниках тепловой энергии, учтенные при расчете необходимой валовой выручки</t>
  </si>
  <si>
    <t xml:space="preserve">Стоимость и сроки начала строительства (реконструкции) и ввода в эксплуатацию производственных объектов, предусмотренных утвержденной в установленном порядке инвестиционной программой регулируемой организации, а также источники финансирования утвержденной в установленном порядке инвестиционной программы, включая плату за подключение к системе теплоснабжения </t>
  </si>
  <si>
    <t>Объем незавершенных капитальных вложений</t>
  </si>
  <si>
    <t>Величина расходов на топливо, отнесенная на 1 Гкал</t>
  </si>
  <si>
    <t>Коэффициент соотношения установленной тепловой мощности и суммарной договорной (заявленной) тепловой нагрузки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</si>
  <si>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</si>
  <si>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</si>
  <si>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</si>
  <si>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</si>
  <si>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Нормативный уровень прибыли</t>
  </si>
  <si>
    <t xml:space="preserve">Уровень надежности теплоснабжения 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</si>
  <si>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</si>
  <si>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</si>
  <si>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</si>
  <si>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</t>
  </si>
  <si>
    <t>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</si>
  <si>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</si>
  <si>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</si>
  <si>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</si>
  <si>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ед./км</t>
  </si>
  <si>
    <t>ед./(Гкал/час)</t>
  </si>
  <si>
    <t>Гкал/кв.м</t>
  </si>
  <si>
    <t>Поставка тепловой энергии (мощности) потребителям</t>
  </si>
  <si>
    <t>-</t>
  </si>
  <si>
    <t>2015 год</t>
  </si>
  <si>
    <t>2016 год</t>
  </si>
  <si>
    <t>2017 год</t>
  </si>
  <si>
    <t>Величина необходимой валовой выручки, принятая при формировании тарифов в сфере теплоснабжения
общества с ограниченной ответственностью "Квартальная Котельная" на территории Санкт-Петербурга на 2019 - 2023 годы</t>
  </si>
  <si>
    <t>(в соответствии с пунктом 32 Правил регулирования цен (тарифов) в сфере теплоснабжения, утвержденных Постановлением Правительства РФ от 22.10.2012 № 1075)</t>
  </si>
  <si>
    <t>Установлено на 2015 г.</t>
  </si>
  <si>
    <t>Предложение регулируемой организации на 2019 год</t>
  </si>
  <si>
    <t>Принято при установлении тарифов на 2019 год</t>
  </si>
  <si>
    <t xml:space="preserve">Не учтено (исключено)                   при установлении тарифов                             (ст.5-4)  </t>
  </si>
  <si>
    <t xml:space="preserve">Основания, по которым отказано во включении в цены (тарифы) отдельных расходов, предложенных регулируемой организацией
</t>
  </si>
  <si>
    <t>Предложение Организации на 2018 г.</t>
  </si>
  <si>
    <t>Рост 2017/2016</t>
  </si>
  <si>
    <t>Рост 2018/2017</t>
  </si>
  <si>
    <r>
      <t>Коэффициент эластичности затрат по росту активов (К</t>
    </r>
    <r>
      <rPr>
        <vertAlign val="subscript"/>
        <sz val="11"/>
        <rFont val="Times New Roman"/>
        <family val="1"/>
        <charset val="204"/>
      </rPr>
      <t>эл</t>
    </r>
    <r>
      <rPr>
        <sz val="11"/>
        <rFont val="Times New Roman"/>
        <family val="1"/>
        <charset val="204"/>
      </rPr>
      <t>)</t>
    </r>
  </si>
  <si>
    <t>Расходы на приобретение энергетических ресурсов, холодной воды и теплоносителя</t>
  </si>
  <si>
    <t>Операционные расходы
(2015 год - базовый)</t>
  </si>
  <si>
    <t>показатель не должен превышать ИПЦ с учетом изменения объемов (п. 37 Методических указаний)</t>
  </si>
  <si>
    <t>к-т изменения объема</t>
  </si>
  <si>
    <t>прочие работы и услуги производственного характера</t>
  </si>
  <si>
    <t>Иные работы и услуги, выполняемые по договорам с организациями, в том числе:</t>
  </si>
  <si>
    <t>услуги связи</t>
  </si>
  <si>
    <t>юридические, информационные  и консультационные услуги</t>
  </si>
  <si>
    <t>Другие расходы, не относящиеся к неподконтрольным расходам</t>
  </si>
  <si>
    <t>охрана труда и техника безопасности</t>
  </si>
  <si>
    <t>услуги банков</t>
  </si>
  <si>
    <t>канцелярские товары</t>
  </si>
  <si>
    <t>плата за предельно-допустимые выбросы (сбросы)</t>
  </si>
  <si>
    <t>Арендная плата за основное производственное оборудование, относящиеся к регулируемой деятельности</t>
  </si>
  <si>
    <t>Отчисления на социальные нужды</t>
  </si>
  <si>
    <t>Амортизация</t>
  </si>
  <si>
    <t>Суммарная экономия от снижения ОР и от снижения потребления энергоресурсов, холодной воды и теплоносителя</t>
  </si>
  <si>
    <t>Расходы без прибыли</t>
  </si>
  <si>
    <t>Налог на прибыль</t>
  </si>
  <si>
    <t>Справочно: уровень прибыли =
Прибыль (без налога на прибыль) / Расходы без прибыли</t>
  </si>
  <si>
    <t xml:space="preserve">на основании утвержденных балансовых показателей (Распоряжения Комитета по тарифам Санкт-Петербурга от 12.07.2018  №197-ГС )                                                                    (пункт 5. экспертного заключения) </t>
  </si>
  <si>
    <t>недостаточное экономическое обоснование
(пункт 3.1 заключения)</t>
  </si>
  <si>
    <t>недостаточное экономическое обоснование
(пункт 3.3 заключения)</t>
  </si>
  <si>
    <t>недостаточное экономическое обоснование
(пункт 3.4 заключения)</t>
  </si>
  <si>
    <t>недостаточное экономическое обоснование
(пункт 3.5 заключения)</t>
  </si>
  <si>
    <t>недостаточное экономическое обоснование
(пункт 3.7 заключения)</t>
  </si>
  <si>
    <t>недостаточное экономическое обоснование
(пункт 3.8 заключения)</t>
  </si>
  <si>
    <t>недостаточное экономическое обоснование
(пункт 4.3 заключения)</t>
  </si>
  <si>
    <t>недостаточное экономическое обоснование
(пункт 4.4 заключения)</t>
  </si>
  <si>
    <t>недостаточное экономическое обоснование
(пункт 4 заключения)</t>
  </si>
  <si>
    <t xml:space="preserve">ПРИЛОЖЕНИЕ 4
к протоколу заседания правления 
Комитета по тарифам Санкт-Петербурга
от 05.12.2018 № ______
</t>
  </si>
  <si>
    <t>ПРИЛОЖЕНИЕ 3
к протоколу заседания правления 
Комитета по тарифам 
Санкт-Петербурга                                                                                        от 07.12.2018  № 188-р</t>
  </si>
  <si>
    <t>Долгосрочные параметры регулирования тарифов, устанавливаемые на 2019 - 2023 годы для формирования долгосрочных тарифов в сфере теплоснабжения общества 
с ограниченной ответственностью "Квартальная Котельная" на территории Санкт-Петербурга с использованием метода индексации установленных тарифов</t>
  </si>
  <si>
    <t>ПРИЛОЖЕНИЕ 4
к распоряжению
Комитета по тарифам 
Санкт-Петербурга                                                                                        от 07.12.2018  № 188-р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</si>
</sst>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2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р_._-;\-* #,##0.00\ _р_._-;_-* &quot;-&quot;??\ _р_._-;_-@_-"/>
    <numFmt numFmtId="165" formatCode="_-* #,##0.00[$€-1]_-;\-* #,##0.00[$€-1]_-;_-* &quot;-&quot;??[$€-1]_-"/>
    <numFmt numFmtId="166" formatCode="#,##0.000"/>
    <numFmt numFmtId="167" formatCode="0.0%"/>
    <numFmt numFmtId="168" formatCode="0.000"/>
    <numFmt numFmtId="169" formatCode="_-* #,##0.000_р_._-;\-* #,##0.000_р_._-;_-* &quot;-&quot;??_р_._-;_-@_-"/>
    <numFmt numFmtId="170" formatCode="_-* #,##0.0000_р_._-;\-* #,##0.0000_р_._-;_-* &quot;-&quot;??_р_._-;_-@_-"/>
    <numFmt numFmtId="171" formatCode="_(* #,##0.00_);_(* \(#,##0.00\);_(* &quot;-&quot;??_);_(@_)"/>
    <numFmt numFmtId="172" formatCode="#,##0.00_ ;\-#,##0.00\ "/>
    <numFmt numFmtId="173" formatCode="0.0"/>
    <numFmt numFmtId="174" formatCode="#,##0.00_ ;[Red]\-#,##0.00\ "/>
    <numFmt numFmtId="175" formatCode="\(#,##0.0\)"/>
    <numFmt numFmtId="176" formatCode="#,##0\ &quot;?.&quot;;\-#,##0\ &quot;?.&quot;"/>
    <numFmt numFmtId="177" formatCode="#,##0;\(#,##0\)"/>
    <numFmt numFmtId="178" formatCode="_-* #,##0.00\ _$_-;\-* #,##0.00\ _$_-;_-* &quot;-&quot;??\ _$_-;_-@_-"/>
    <numFmt numFmtId="179" formatCode="_(* #,##0_);_(* \(#,##0\);_(* &quot;-&quot;_);_(@_)"/>
    <numFmt numFmtId="180" formatCode="&quot;$&quot;#,##0_);[Red]\(&quot;$&quot;#,##0\)"/>
    <numFmt numFmtId="181" formatCode="\$#,##0\ ;\(\$#,##0\)"/>
    <numFmt numFmtId="182" formatCode="_-* #,##0.0\ _$_-;\-* #,##0.0\ _$_-;_-* &quot;-&quot;??\ _$_-;_-@_-"/>
    <numFmt numFmtId="183" formatCode="#,##0.0_);\(#,##0.0\)"/>
    <numFmt numFmtId="184" formatCode="#,##0_ ;[Red]\-#,##0\ 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#,##0__\ \ \ \ "/>
    <numFmt numFmtId="188" formatCode="_-&quot;?&quot;* #,##0_-;\-&quot;?&quot;* #,##0_-;_-&quot;?&quot;* &quot;-&quot;_-;_-@_-"/>
    <numFmt numFmtId="189" formatCode="_-&quot;?&quot;* #,##0.00_-;\-&quot;?&quot;* #,##0.00_-;_-&quot;?&quot;* &quot;-&quot;??_-;_-@_-"/>
    <numFmt numFmtId="190" formatCode="_-* #,##0\ &quot;Pts&quot;_-;\-* #,##0\ &quot;Pts&quot;_-;_-* &quot;-&quot;\ &quot;Pts&quot;_-;_-@_-"/>
    <numFmt numFmtId="191" formatCode="_-* #,##0.00\ &quot;Pts&quot;_-;\-* #,##0.00\ &quot;Pts&quot;_-;_-* &quot;-&quot;??\ &quot;Pts&quot;_-;_-@_-"/>
    <numFmt numFmtId="192" formatCode="_-&quot;£&quot;* #,##0_-;\-&quot;£&quot;* #,##0_-;_-&quot;£&quot;* &quot;-&quot;_-;_-@_-"/>
    <numFmt numFmtId="193" formatCode="_-&quot;£&quot;* #,##0.00_-;\-&quot;£&quot;* #,##0.00_-;_-&quot;£&quot;* &quot;-&quot;??_-;_-@_-"/>
    <numFmt numFmtId="194" formatCode="#,##0.00&quot;т.р.&quot;;\-#,##0.00&quot;т.р.&quot;"/>
    <numFmt numFmtId="195" formatCode="#,##0.0;[Red]#,##0.0"/>
    <numFmt numFmtId="196" formatCode="#,##0______;;&quot;------------      &quot;"/>
    <numFmt numFmtId="197" formatCode="General_)"/>
    <numFmt numFmtId="198" formatCode="#,##0.000_ ;\-#,##0.000\ "/>
    <numFmt numFmtId="199" formatCode="d\ mmm"/>
    <numFmt numFmtId="200" formatCode="_-* #,##0\ _$_-;\-* #,##0\ _$_-;_-* &quot;-&quot;\ _$_-;_-@_-"/>
    <numFmt numFmtId="201" formatCode="_-* #,##0.000\ _р_._-;\-* #,##0.000\ _р_._-;_-* &quot;-&quot;??\ _р_._-;_-@_-"/>
    <numFmt numFmtId="202" formatCode="0.0000"/>
    <numFmt numFmtId="203" formatCode="_-* #,##0.0000\ _р_._-;\-* #,##0.0000\ _р_._-;_-* &quot;-&quot;??\ _р_._-;_-@_-"/>
    <numFmt numFmtId="204" formatCode="0.000000"/>
    <numFmt numFmtId="205" formatCode="_-* #,##0.000\ _р_._-;\-* #,##0.000\ _р_._-;_-* &quot;-&quot;???\ _р_._-;_-@_-"/>
    <numFmt numFmtId="206" formatCode="#,##0.0000"/>
    <numFmt numFmtId="207" formatCode="0.0%_);\(0.0%\)"/>
    <numFmt numFmtId="208" formatCode="#,##0_);[Red]\(#,##0\)"/>
    <numFmt numFmtId="209" formatCode="#.##0\.00"/>
    <numFmt numFmtId="210" formatCode="#\.00"/>
    <numFmt numFmtId="211" formatCode="\$#\.00"/>
    <numFmt numFmtId="212" formatCode="#\."/>
    <numFmt numFmtId="213" formatCode="_-* #,##0&quot;đ.&quot;_-;\-* #,##0&quot;đ.&quot;_-;_-* &quot;-&quot;&quot;đ.&quot;_-;_-@_-"/>
    <numFmt numFmtId="214" formatCode="_-* #,##0.00&quot;đ.&quot;_-;\-* #,##0.00&quot;đ.&quot;_-;_-* &quot;-&quot;??&quot;đ.&quot;_-;_-@_-"/>
    <numFmt numFmtId="215" formatCode="#,##0_);[Blue]\(#,##0\)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_(* #,##0_);_(* \(#,##0\);_(* &quot;-&quot;??_);_(@_)"/>
    <numFmt numFmtId="221" formatCode="_(* #,##0.000_);_(* \(#,##0.000\);_(* &quot;-&quot;???_);_(@_)"/>
    <numFmt numFmtId="222" formatCode="_(&quot;р.&quot;* #,##0.00_);_(&quot;р.&quot;* \(#,##0.00\);_(&quot;р.&quot;* &quot;-&quot;??_);_(@_)"/>
    <numFmt numFmtId="223" formatCode="#,##0.0"/>
    <numFmt numFmtId="224" formatCode="%#\.00"/>
    <numFmt numFmtId="225" formatCode="#,##0.00_);[Red]\(#,##0.00\);\-_)"/>
    <numFmt numFmtId="226" formatCode="@\ *."/>
    <numFmt numFmtId="227" formatCode="000000"/>
    <numFmt numFmtId="228" formatCode="0000"/>
    <numFmt numFmtId="229" formatCode="##,#0_;\(#,##0\);&quot;-&quot;??_);@"/>
    <numFmt numFmtId="230" formatCode="*(#,##0\);*#\,##0_);&quot;-&quot;??_);@"/>
    <numFmt numFmtId="231" formatCode="_*\(#,##0\);_*#,##0_);&quot;-&quot;??_);@"/>
    <numFmt numFmtId="232" formatCode="* \(#,##0\);* #,##0_);&quot;-&quot;??_);@"/>
    <numFmt numFmtId="233" formatCode="#,##0_);\(#,##0\);&quot;-&quot;??_);@"/>
    <numFmt numFmtId="234" formatCode="* #,##0_);* \(#,##0\);&quot;-&quot;??_);@"/>
    <numFmt numFmtId="235" formatCode="dd\.mm\.yyyy&quot;г.&quot;"/>
    <numFmt numFmtId="236" formatCode="\M\o\n\t\h\ \D.\y\y\y\y"/>
    <numFmt numFmtId="237" formatCode="_(&quot;$&quot;* #,##0_);_(&quot;$&quot;* \(#,##0\);_(&quot;$&quot;* &quot;-&quot;_);_(@_)"/>
    <numFmt numFmtId="238" formatCode="_(&quot;$&quot;* #,##0.00_);_(&quot;$&quot;* \(#,##0.00\);_(&quot;$&quot;* &quot;-&quot;??_);_(@_)"/>
    <numFmt numFmtId="239" formatCode="0.0_)%;\(0.0\)%"/>
    <numFmt numFmtId="240" formatCode="0.00_)%;\(0.00\)%"/>
    <numFmt numFmtId="241" formatCode="0%_);\(0%\)"/>
    <numFmt numFmtId="242" formatCode="* \(#,##0.0\);* #,##0.0_);&quot;-&quot;??_);@"/>
    <numFmt numFmtId="243" formatCode="* \(#,##0.00\);* #,##0.00_);&quot;-&quot;??_);@"/>
    <numFmt numFmtId="244" formatCode="_(* \(#,##0.0\);_(* #,##0.0_);_(* &quot;-&quot;_);_(@_)"/>
    <numFmt numFmtId="245" formatCode="_(* \(#,##0.00\);_(* #,##0.00_);_(* &quot;-&quot;_);_(@_)"/>
    <numFmt numFmtId="246" formatCode="_(* \(#,##0.000\);_(* #,##0.000_);_(* &quot;-&quot;_);_(@_)"/>
    <numFmt numFmtId="247" formatCode="#,##0.000000;[Red]#,##0.000000"/>
    <numFmt numFmtId="248" formatCode="#,"/>
    <numFmt numFmtId="249" formatCode="_ * #,##0_ ;_ * \(#,##0_ ;_ * &quot;-&quot;_ ;_ @_ "/>
    <numFmt numFmtId="250" formatCode="&quot;$&quot;#,##0.000000;[Red]&quot;$&quot;#,##0.000000"/>
    <numFmt numFmtId="251" formatCode="#,##0.0000000_$"/>
    <numFmt numFmtId="252" formatCode="&quot;$&quot;\ #,##0.00"/>
    <numFmt numFmtId="253" formatCode="_ * #,##0_ ;_ * \(#,##0_)\ ;_ * &quot;-&quot;_ ;_ @_ "/>
    <numFmt numFmtId="254" formatCode="&quot;$&quot;\ #,##0"/>
    <numFmt numFmtId="255" formatCode="&quot;$&quot;"/>
    <numFmt numFmtId="256" formatCode="_._.* #,##0_)_%;_._.* \(#,##0\)_%;_._.* \ _)_%"/>
    <numFmt numFmtId="257" formatCode="yyyy"/>
    <numFmt numFmtId="258" formatCode="yyyy\ &quot;год&quot;"/>
    <numFmt numFmtId="259" formatCode="_-* #,##0.00\ _₽_-;\-* #,##0.00\ _₽_-;_-* &quot;-&quot;??\ _₽_-;_-@_-"/>
    <numFmt numFmtId="260" formatCode="_-* #,##0.0000_р_._-;\-* #,##0.0000_р_._-;_-* &quot;-&quot;????_р_._-;_-@_-"/>
  </numFmts>
  <fonts count="302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name val="Times New Roman"/>
      <family val="2"/>
      <charset val="204"/>
    </font>
    <font>
      <sz val="10"/>
      <color theme="1"/>
      <name val="Times New Roman"/>
      <family val="1"/>
      <charset val="204"/>
    </font>
    <font>
      <b/>
      <sz val="9"/>
      <name val="Tahoma"/>
      <family val="2"/>
      <charset val="204"/>
    </font>
    <font>
      <b/>
      <sz val="14"/>
      <name val="Franklin Gothic Medium"/>
      <family val="2"/>
      <charset val="204"/>
    </font>
    <font>
      <sz val="12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0"/>
      <color indexed="12"/>
      <name val="Arial Cyr"/>
      <charset val="204"/>
    </font>
    <font>
      <sz val="9"/>
      <color theme="1"/>
      <name val="Times New Roman"/>
      <family val="2"/>
      <charset val="204"/>
    </font>
    <font>
      <b/>
      <sz val="9"/>
      <color theme="1"/>
      <name val="Times New Roman"/>
      <family val="2"/>
      <charset val="204"/>
    </font>
    <font>
      <sz val="10"/>
      <name val="Helv"/>
      <charset val="204"/>
    </font>
    <font>
      <b/>
      <i/>
      <sz val="12"/>
      <name val="Times New Roman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16"/>
      <name val="Arial Cyr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name val="Tms Rmn"/>
      <charset val="204"/>
    </font>
    <font>
      <i/>
      <sz val="11"/>
      <color indexed="23"/>
      <name val="Calibri"/>
      <family val="2"/>
      <charset val="204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13"/>
      <name val="Arial"/>
      <family val="2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0"/>
      <name val="Arial Cyr"/>
      <family val="2"/>
      <charset val="204"/>
    </font>
    <font>
      <b/>
      <sz val="8"/>
      <name val="Arial CYR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Times New Roman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"/>
      <family val="2"/>
      <charset val="204"/>
    </font>
    <font>
      <sz val="8"/>
      <name val="Arial Cyr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i/>
      <sz val="14"/>
      <color indexed="10"/>
      <name val="Arial Cyr"/>
      <family val="2"/>
      <charset val="204"/>
    </font>
    <font>
      <sz val="12"/>
      <name val="Arial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name val="Times New Roman Cyr"/>
      <charset val="204"/>
    </font>
    <font>
      <sz val="10"/>
      <color indexed="0"/>
      <name val="Arial"/>
      <family val="2"/>
      <charset val="204"/>
    </font>
    <font>
      <sz val="10"/>
      <color theme="1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i/>
      <sz val="1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9"/>
      <name val="Times New Roman"/>
      <family val="2"/>
      <charset val="204"/>
    </font>
    <font>
      <b/>
      <sz val="10"/>
      <name val="Times New Roman"/>
      <family val="2"/>
      <charset val="204"/>
    </font>
    <font>
      <i/>
      <sz val="10"/>
      <name val="Times New Roman"/>
      <family val="2"/>
      <charset val="204"/>
    </font>
    <font>
      <b/>
      <sz val="10"/>
      <name val="Times New Roman"/>
      <family val="1"/>
      <charset val="204"/>
    </font>
    <font>
      <sz val="9"/>
      <color theme="1"/>
      <name val="Tahoma"/>
      <family val="2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vertAlign val="subscript"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2"/>
      <color theme="9" tint="-0.499984740745262"/>
      <name val="Times New Roman"/>
      <family val="1"/>
      <charset val="204"/>
    </font>
    <font>
      <i/>
      <sz val="11"/>
      <color theme="9" tint="-0.499984740745262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i/>
      <sz val="15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8"/>
      <color indexed="12"/>
      <name val="Arial"/>
      <family val="2"/>
      <charset val="204"/>
    </font>
    <font>
      <sz val="10"/>
      <name val="PragmaticaCTT"/>
    </font>
    <font>
      <u/>
      <sz val="10"/>
      <color indexed="12"/>
      <name val="Courier"/>
      <family val="3"/>
    </font>
    <font>
      <b/>
      <sz val="10"/>
      <color indexed="8"/>
      <name val="Arial"/>
      <family val="2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3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i/>
      <sz val="10"/>
      <color indexed="9"/>
      <name val="Arial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b/>
      <sz val="14"/>
      <name val="Franklin Gothic Medium"/>
      <family val="2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sz val="10"/>
      <name val="Arial Cyr"/>
      <charset val="204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8"/>
      <color theme="1"/>
      <name val="Times New Roman"/>
      <family val="1"/>
      <charset val="204"/>
    </font>
    <font>
      <sz val="10"/>
      <color rgb="FFFF0000"/>
      <name val="Times New Roman"/>
      <family val="2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5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0" tint="-0.34998626667073579"/>
      <name val="Times New Roman"/>
      <family val="1"/>
      <charset val="204"/>
    </font>
    <font>
      <i/>
      <sz val="7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i/>
      <sz val="14"/>
      <color theme="1"/>
      <name val="Times New Roman"/>
      <family val="1"/>
      <charset val="204"/>
    </font>
    <font>
      <b/>
      <sz val="15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name val="Helv"/>
      <family val="2"/>
      <charset val="204"/>
    </font>
    <font>
      <sz val="9"/>
      <name val="Arial MT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b/>
      <sz val="10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i/>
      <u/>
      <sz val="12"/>
      <name val="MS Sans Serif"/>
      <family val="2"/>
      <charset val="204"/>
    </font>
    <font>
      <b/>
      <sz val="10"/>
      <name val="MS Sans Serif"/>
      <family val="2"/>
      <charset val="204"/>
    </font>
    <font>
      <b/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2"/>
      <name val="MS Sans Serif"/>
      <family val="2"/>
      <charset val="204"/>
    </font>
    <font>
      <b/>
      <sz val="10"/>
      <color indexed="10"/>
      <name val="Arial"/>
      <family val="2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u/>
      <sz val="9.3000000000000007"/>
      <color theme="10"/>
      <name val="Arial Cyr"/>
      <charset val="204"/>
    </font>
    <font>
      <b/>
      <sz val="18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b/>
      <sz val="12"/>
      <color rgb="FF00B0F0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b/>
      <sz val="14"/>
      <color rgb="FFFF0000"/>
      <name val="Times New Roman"/>
      <family val="1"/>
      <charset val="204"/>
    </font>
    <font>
      <b/>
      <sz val="12"/>
      <name val="Cambria"/>
      <family val="1"/>
      <charset val="204"/>
    </font>
    <font>
      <b/>
      <sz val="14"/>
      <name val="Cambria"/>
      <family val="1"/>
      <charset val="204"/>
    </font>
    <font>
      <b/>
      <sz val="12"/>
      <color indexed="12"/>
      <name val="Cambria"/>
      <family val="1"/>
      <charset val="204"/>
    </font>
    <font>
      <b/>
      <sz val="16"/>
      <name val="Cambria"/>
      <family val="1"/>
      <charset val="204"/>
    </font>
    <font>
      <b/>
      <i/>
      <sz val="12"/>
      <color indexed="60"/>
      <name val="Cambria"/>
      <family val="1"/>
      <charset val="204"/>
    </font>
    <font>
      <b/>
      <i/>
      <sz val="12"/>
      <name val="Cambria"/>
      <family val="1"/>
      <charset val="204"/>
    </font>
    <font>
      <b/>
      <sz val="11"/>
      <name val="Cambria"/>
      <family val="1"/>
      <charset val="204"/>
    </font>
    <font>
      <b/>
      <sz val="11.5"/>
      <name val="Cambria"/>
      <family val="1"/>
      <charset val="204"/>
    </font>
    <font>
      <b/>
      <sz val="11.5"/>
      <color rgb="FF002060"/>
      <name val="Cambria"/>
      <family val="1"/>
      <charset val="204"/>
    </font>
    <font>
      <b/>
      <sz val="11.5"/>
      <color indexed="12"/>
      <name val="Cambria"/>
      <family val="1"/>
      <charset val="204"/>
    </font>
    <font>
      <b/>
      <vertAlign val="superscript"/>
      <sz val="11"/>
      <name val="Cambria"/>
      <family val="1"/>
      <charset val="204"/>
    </font>
    <font>
      <b/>
      <sz val="11.5"/>
      <color rgb="FF323F19"/>
      <name val="Cambria"/>
      <family val="1"/>
      <charset val="204"/>
    </font>
    <font>
      <sz val="11"/>
      <name val="Cambria"/>
      <family val="1"/>
      <charset val="204"/>
    </font>
    <font>
      <sz val="11.5"/>
      <name val="Cambria"/>
      <family val="1"/>
      <charset val="204"/>
    </font>
    <font>
      <vertAlign val="superscript"/>
      <sz val="11"/>
      <name val="Cambria"/>
      <family val="1"/>
      <charset val="204"/>
    </font>
    <font>
      <i/>
      <sz val="11.5"/>
      <color rgb="FF002060"/>
      <name val="Cambria"/>
      <family val="1"/>
      <charset val="204"/>
    </font>
    <font>
      <i/>
      <sz val="11.5"/>
      <name val="Cambria"/>
      <family val="1"/>
      <charset val="204"/>
    </font>
    <font>
      <b/>
      <i/>
      <sz val="11.5"/>
      <color rgb="FF002060"/>
      <name val="Cambria"/>
      <family val="1"/>
      <charset val="204"/>
    </font>
    <font>
      <b/>
      <i/>
      <sz val="11.5"/>
      <color theme="6" tint="-0.499984740745262"/>
      <name val="Cambria"/>
      <family val="1"/>
      <charset val="204"/>
    </font>
    <font>
      <sz val="9"/>
      <color indexed="8"/>
      <name val="Tahoma"/>
      <family val="2"/>
      <charset val="204"/>
    </font>
    <font>
      <b/>
      <sz val="20"/>
      <color theme="9" tint="-0.249977111117893"/>
      <name val="Cambria"/>
      <family val="1"/>
      <charset val="204"/>
    </font>
    <font>
      <b/>
      <sz val="15"/>
      <color theme="9" tint="-0.249977111117893"/>
      <name val="Cambria"/>
      <family val="1"/>
      <charset val="204"/>
    </font>
    <font>
      <sz val="12"/>
      <name val="Times New Roman"/>
      <family val="2"/>
      <charset val="204"/>
    </font>
    <font>
      <sz val="14"/>
      <name val="Times New Roman"/>
      <family val="2"/>
      <charset val="204"/>
    </font>
    <font>
      <b/>
      <sz val="14"/>
      <name val="Times New Roman"/>
      <family val="2"/>
      <charset val="204"/>
    </font>
    <font>
      <i/>
      <sz val="14"/>
      <name val="Times New Roman"/>
      <family val="2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9"/>
      <color rgb="FFFF0000"/>
      <name val="Times New Roman"/>
      <family val="1"/>
      <charset val="204"/>
    </font>
  </fonts>
  <fills count="10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gray0625">
        <fgColor theme="8" tint="0.39994506668294322"/>
        <bgColor theme="9" tint="0.79998168889431442"/>
      </patternFill>
    </fill>
    <fill>
      <patternFill patternType="gray0625">
        <fgColor theme="8" tint="0.39994506668294322"/>
        <bgColor indexed="65"/>
      </patternFill>
    </fill>
    <fill>
      <patternFill patternType="solid">
        <fgColor rgb="FFFFFFCC"/>
        <bgColor indexed="64"/>
      </patternFill>
    </fill>
    <fill>
      <patternFill patternType="gray0625">
        <fgColor theme="8" tint="0.39994506668294322"/>
        <bgColor theme="0"/>
      </patternFill>
    </fill>
    <fill>
      <patternFill patternType="gray0625">
        <fgColor theme="8" tint="0.39994506668294322"/>
        <bgColor rgb="FFFFFFCC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11"/>
        <bgColor indexed="11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lightGray">
        <fgColor theme="0" tint="-0.34998626667073579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gray0625">
        <fgColor theme="1"/>
        <bgColor theme="8" tint="0.79995117038483843"/>
      </patternFill>
    </fill>
    <fill>
      <patternFill patternType="gray125">
        <fgColor theme="1" tint="0.24994659260841701"/>
        <bgColor indexed="65"/>
      </patternFill>
    </fill>
    <fill>
      <patternFill patternType="gray125">
        <fgColor theme="1" tint="0.24994659260841701"/>
        <bgColor theme="0"/>
      </patternFill>
    </fill>
    <fill>
      <patternFill patternType="gray125">
        <fgColor auto="1"/>
      </patternFill>
    </fill>
    <fill>
      <patternFill patternType="gray125">
        <fgColor theme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theme="0" tint="-0.2499465926084170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Gray">
        <fgColor rgb="FFFFFFCC"/>
        <bgColor theme="0" tint="-0.14996795556505021"/>
      </patternFill>
    </fill>
    <fill>
      <patternFill patternType="lightGray">
        <fgColor theme="0" tint="-0.24994659260841701"/>
        <bgColor rgb="FFFFFF66"/>
      </patternFill>
    </fill>
  </fills>
  <borders count="1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696">
    <xf numFmtId="0" fontId="0" fillId="0" borderId="0"/>
    <xf numFmtId="9" fontId="13" fillId="0" borderId="0" applyFont="0" applyFill="0" applyBorder="0" applyAlignment="0" applyProtection="0"/>
    <xf numFmtId="165" fontId="14" fillId="0" borderId="0" applyNumberFormat="0" applyFont="0" applyFill="0" applyBorder="0" applyAlignment="0" applyProtection="0">
      <alignment vertical="top"/>
    </xf>
    <xf numFmtId="165" fontId="18" fillId="0" borderId="0"/>
    <xf numFmtId="9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20" applyBorder="0">
      <alignment horizontal="center" vertical="center" wrapText="1"/>
    </xf>
    <xf numFmtId="0" fontId="29" fillId="0" borderId="0" applyBorder="0">
      <alignment horizontal="center" vertical="center" wrapText="1"/>
    </xf>
    <xf numFmtId="0" fontId="18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2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2" fillId="0" borderId="0"/>
    <xf numFmtId="0" fontId="36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4" fillId="0" borderId="0"/>
    <xf numFmtId="165" fontId="14" fillId="0" borderId="0"/>
    <xf numFmtId="175" fontId="14" fillId="0" borderId="0" applyFont="0" applyFill="0" applyBorder="0" applyAlignment="0" applyProtection="0"/>
    <xf numFmtId="165" fontId="18" fillId="0" borderId="0"/>
    <xf numFmtId="176" fontId="14" fillId="0" borderId="0" applyFont="0" applyFill="0" applyBorder="0" applyAlignment="0" applyProtection="0"/>
    <xf numFmtId="166" fontId="18" fillId="0" borderId="0"/>
    <xf numFmtId="40" fontId="38" fillId="0" borderId="0" applyFont="0" applyFill="0" applyBorder="0" applyAlignment="0" applyProtection="0"/>
    <xf numFmtId="165" fontId="39" fillId="0" borderId="0"/>
    <xf numFmtId="165" fontId="36" fillId="0" borderId="0"/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165" fontId="40" fillId="0" borderId="0"/>
    <xf numFmtId="165" fontId="36" fillId="0" borderId="0"/>
    <xf numFmtId="165" fontId="36" fillId="0" borderId="0"/>
    <xf numFmtId="165" fontId="40" fillId="0" borderId="0"/>
    <xf numFmtId="165" fontId="40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40" fillId="0" borderId="0"/>
    <xf numFmtId="165" fontId="36" fillId="0" borderId="0"/>
    <xf numFmtId="165" fontId="40" fillId="0" borderId="0"/>
    <xf numFmtId="165" fontId="36" fillId="0" borderId="0"/>
    <xf numFmtId="165" fontId="40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41" fillId="0" borderId="0"/>
    <xf numFmtId="165" fontId="18" fillId="0" borderId="0"/>
    <xf numFmtId="165" fontId="18" fillId="0" borderId="0"/>
    <xf numFmtId="165" fontId="36" fillId="0" borderId="0"/>
    <xf numFmtId="165" fontId="36" fillId="0" borderId="0"/>
    <xf numFmtId="165" fontId="36" fillId="0" borderId="0"/>
    <xf numFmtId="165" fontId="40" fillId="0" borderId="0"/>
    <xf numFmtId="165" fontId="40" fillId="0" borderId="0"/>
    <xf numFmtId="165" fontId="36" fillId="0" borderId="0"/>
    <xf numFmtId="165" fontId="36" fillId="0" borderId="0"/>
    <xf numFmtId="165" fontId="40" fillId="0" borderId="0"/>
    <xf numFmtId="165" fontId="36" fillId="0" borderId="0"/>
    <xf numFmtId="165" fontId="36" fillId="0" borderId="0"/>
    <xf numFmtId="165" fontId="40" fillId="0" borderId="0"/>
    <xf numFmtId="165" fontId="40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40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40" fillId="0" borderId="0"/>
    <xf numFmtId="165" fontId="36" fillId="0" borderId="0"/>
    <xf numFmtId="165" fontId="40" fillId="0" borderId="0"/>
    <xf numFmtId="165" fontId="40" fillId="0" borderId="0"/>
    <xf numFmtId="165" fontId="40" fillId="0" borderId="0"/>
    <xf numFmtId="165" fontId="40" fillId="0" borderId="0"/>
    <xf numFmtId="165" fontId="18" fillId="0" borderId="0"/>
    <xf numFmtId="165" fontId="18" fillId="0" borderId="0"/>
    <xf numFmtId="165" fontId="18" fillId="0" borderId="0"/>
    <xf numFmtId="178" fontId="18" fillId="0" borderId="0" applyFont="0" applyFill="0" applyBorder="0" applyAlignment="0" applyProtection="0"/>
    <xf numFmtId="165" fontId="42" fillId="0" borderId="0">
      <protection locked="0"/>
    </xf>
    <xf numFmtId="165" fontId="42" fillId="0" borderId="0">
      <protection locked="0"/>
    </xf>
    <xf numFmtId="165" fontId="42" fillId="0" borderId="0">
      <protection locked="0"/>
    </xf>
    <xf numFmtId="165" fontId="42" fillId="0" borderId="0">
      <protection locked="0"/>
    </xf>
    <xf numFmtId="165" fontId="42" fillId="0" borderId="0">
      <protection locked="0"/>
    </xf>
    <xf numFmtId="165" fontId="42" fillId="0" borderId="25">
      <protection locked="0"/>
    </xf>
    <xf numFmtId="165" fontId="43" fillId="0" borderId="0">
      <protection locked="0"/>
    </xf>
    <xf numFmtId="165" fontId="43" fillId="0" borderId="0">
      <protection locked="0"/>
    </xf>
    <xf numFmtId="165" fontId="42" fillId="0" borderId="25">
      <protection locked="0"/>
    </xf>
    <xf numFmtId="165" fontId="44" fillId="10" borderId="0"/>
    <xf numFmtId="165" fontId="45" fillId="11" borderId="0" applyNumberFormat="0" applyBorder="0" applyAlignment="0" applyProtection="0"/>
    <xf numFmtId="165" fontId="45" fillId="12" borderId="0" applyNumberFormat="0" applyBorder="0" applyAlignment="0" applyProtection="0"/>
    <xf numFmtId="165" fontId="45" fillId="13" borderId="0" applyNumberFormat="0" applyBorder="0" applyAlignment="0" applyProtection="0"/>
    <xf numFmtId="165" fontId="45" fillId="14" borderId="0" applyNumberFormat="0" applyBorder="0" applyAlignment="0" applyProtection="0"/>
    <xf numFmtId="165" fontId="45" fillId="15" borderId="0" applyNumberFormat="0" applyBorder="0" applyAlignment="0" applyProtection="0"/>
    <xf numFmtId="165" fontId="45" fillId="16" borderId="0" applyNumberFormat="0" applyBorder="0" applyAlignment="0" applyProtection="0"/>
    <xf numFmtId="165" fontId="45" fillId="17" borderId="0" applyNumberFormat="0" applyBorder="0" applyAlignment="0" applyProtection="0"/>
    <xf numFmtId="165" fontId="45" fillId="18" borderId="0" applyNumberFormat="0" applyBorder="0" applyAlignment="0" applyProtection="0"/>
    <xf numFmtId="165" fontId="45" fillId="19" borderId="0" applyNumberFormat="0" applyBorder="0" applyAlignment="0" applyProtection="0"/>
    <xf numFmtId="165" fontId="45" fillId="14" borderId="0" applyNumberFormat="0" applyBorder="0" applyAlignment="0" applyProtection="0"/>
    <xf numFmtId="165" fontId="45" fillId="17" borderId="0" applyNumberFormat="0" applyBorder="0" applyAlignment="0" applyProtection="0"/>
    <xf numFmtId="165" fontId="45" fillId="20" borderId="0" applyNumberFormat="0" applyBorder="0" applyAlignment="0" applyProtection="0"/>
    <xf numFmtId="165" fontId="46" fillId="21" borderId="0" applyNumberFormat="0" applyBorder="0" applyAlignment="0" applyProtection="0"/>
    <xf numFmtId="165" fontId="46" fillId="18" borderId="0" applyNumberFormat="0" applyBorder="0" applyAlignment="0" applyProtection="0"/>
    <xf numFmtId="165" fontId="46" fillId="19" borderId="0" applyNumberFormat="0" applyBorder="0" applyAlignment="0" applyProtection="0"/>
    <xf numFmtId="165" fontId="46" fillId="22" borderId="0" applyNumberFormat="0" applyBorder="0" applyAlignment="0" applyProtection="0"/>
    <xf numFmtId="165" fontId="46" fillId="23" borderId="0" applyNumberFormat="0" applyBorder="0" applyAlignment="0" applyProtection="0"/>
    <xf numFmtId="165" fontId="46" fillId="24" borderId="0" applyNumberFormat="0" applyBorder="0" applyAlignment="0" applyProtection="0"/>
    <xf numFmtId="165" fontId="47" fillId="0" borderId="26"/>
    <xf numFmtId="165" fontId="46" fillId="25" borderId="0" applyNumberFormat="0" applyBorder="0" applyAlignment="0" applyProtection="0"/>
    <xf numFmtId="165" fontId="46" fillId="26" borderId="0" applyNumberFormat="0" applyBorder="0" applyAlignment="0" applyProtection="0"/>
    <xf numFmtId="165" fontId="46" fillId="27" borderId="0" applyNumberFormat="0" applyBorder="0" applyAlignment="0" applyProtection="0"/>
    <xf numFmtId="165" fontId="46" fillId="22" borderId="0" applyNumberFormat="0" applyBorder="0" applyAlignment="0" applyProtection="0"/>
    <xf numFmtId="165" fontId="46" fillId="23" borderId="0" applyNumberFormat="0" applyBorder="0" applyAlignment="0" applyProtection="0"/>
    <xf numFmtId="165" fontId="46" fillId="28" borderId="0" applyNumberFormat="0" applyBorder="0" applyAlignment="0" applyProtection="0"/>
    <xf numFmtId="165" fontId="41" fillId="0" borderId="0"/>
    <xf numFmtId="165" fontId="48" fillId="12" borderId="0" applyNumberFormat="0" applyBorder="0" applyAlignment="0" applyProtection="0"/>
    <xf numFmtId="10" fontId="49" fillId="0" borderId="0" applyNumberFormat="0" applyFill="0" applyBorder="0" applyAlignment="0"/>
    <xf numFmtId="165" fontId="50" fillId="0" borderId="0"/>
    <xf numFmtId="165" fontId="51" fillId="29" borderId="27" applyNumberFormat="0" applyAlignment="0" applyProtection="0"/>
    <xf numFmtId="165" fontId="52" fillId="30" borderId="28" applyNumberFormat="0" applyAlignment="0" applyProtection="0"/>
    <xf numFmtId="165" fontId="53" fillId="0" borderId="10">
      <alignment horizontal="left" vertical="center"/>
    </xf>
    <xf numFmtId="179" fontId="14" fillId="0" borderId="0" applyFont="0" applyFill="0" applyBorder="0" applyAlignment="0" applyProtection="0"/>
    <xf numFmtId="165" fontId="54" fillId="0" borderId="0" applyFont="0" applyFill="0" applyBorder="0" applyAlignment="0" applyProtection="0">
      <alignment horizontal="right"/>
    </xf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>
      <alignment horizontal="right"/>
    </xf>
    <xf numFmtId="165" fontId="54" fillId="0" borderId="0" applyFont="0" applyFill="0" applyBorder="0" applyAlignment="0" applyProtection="0"/>
    <xf numFmtId="171" fontId="14" fillId="0" borderId="0" applyFont="0" applyFill="0" applyBorder="0" applyAlignment="0" applyProtection="0"/>
    <xf numFmtId="3" fontId="55" fillId="0" borderId="0" applyFont="0" applyFill="0" applyBorder="0" applyAlignment="0" applyProtection="0"/>
    <xf numFmtId="180" fontId="44" fillId="0" borderId="0" applyFont="0" applyFill="0" applyBorder="0" applyAlignment="0" applyProtection="0"/>
    <xf numFmtId="165" fontId="54" fillId="0" borderId="0" applyFont="0" applyFill="0" applyBorder="0" applyAlignment="0" applyProtection="0">
      <alignment horizontal="right"/>
    </xf>
    <xf numFmtId="165" fontId="5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181" fontId="55" fillId="0" borderId="0" applyFont="0" applyFill="0" applyBorder="0" applyAlignment="0" applyProtection="0"/>
    <xf numFmtId="165" fontId="54" fillId="0" borderId="0" applyFill="0" applyBorder="0" applyProtection="0">
      <alignment vertical="center"/>
    </xf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5" fontId="54" fillId="0" borderId="29" applyNumberFormat="0" applyFont="0" applyFill="0" applyAlignment="0" applyProtection="0"/>
    <xf numFmtId="165" fontId="56" fillId="0" borderId="0" applyNumberFormat="0" applyFill="0" applyBorder="0" applyAlignment="0" applyProtection="0"/>
    <xf numFmtId="165" fontId="18" fillId="0" borderId="0" applyFont="0" applyFill="0" applyBorder="0" applyAlignment="0" applyProtection="0"/>
    <xf numFmtId="37" fontId="14" fillId="0" borderId="0"/>
    <xf numFmtId="165" fontId="57" fillId="0" borderId="0" applyNumberFormat="0" applyFill="0" applyBorder="0" applyAlignment="0" applyProtection="0"/>
    <xf numFmtId="2" fontId="55" fillId="0" borderId="0" applyFont="0" applyFill="0" applyBorder="0" applyAlignment="0" applyProtection="0"/>
    <xf numFmtId="165" fontId="58" fillId="0" borderId="0">
      <alignment vertical="center"/>
    </xf>
    <xf numFmtId="165" fontId="59" fillId="0" borderId="0" applyNumberFormat="0" applyFill="0" applyBorder="0" applyAlignment="0" applyProtection="0">
      <alignment vertical="top"/>
      <protection locked="0"/>
    </xf>
    <xf numFmtId="165" fontId="60" fillId="0" borderId="0" applyFill="0" applyBorder="0" applyProtection="0">
      <alignment horizontal="left"/>
    </xf>
    <xf numFmtId="165" fontId="61" fillId="13" borderId="0" applyNumberFormat="0" applyBorder="0" applyAlignment="0" applyProtection="0"/>
    <xf numFmtId="167" fontId="62" fillId="7" borderId="10" applyNumberFormat="0" applyFont="0" applyBorder="0" applyAlignment="0" applyProtection="0"/>
    <xf numFmtId="165" fontId="54" fillId="0" borderId="0" applyFont="0" applyFill="0" applyBorder="0" applyAlignment="0" applyProtection="0">
      <alignment horizontal="right"/>
    </xf>
    <xf numFmtId="183" fontId="63" fillId="7" borderId="0" applyNumberFormat="0" applyFont="0" applyAlignment="0"/>
    <xf numFmtId="165" fontId="64" fillId="0" borderId="0" applyProtection="0">
      <alignment horizontal="right"/>
    </xf>
    <xf numFmtId="2" fontId="65" fillId="31" borderId="0" applyAlignment="0">
      <alignment horizontal="right"/>
      <protection locked="0"/>
    </xf>
    <xf numFmtId="165" fontId="66" fillId="0" borderId="30" applyNumberFormat="0" applyFill="0" applyAlignment="0" applyProtection="0"/>
    <xf numFmtId="165" fontId="67" fillId="0" borderId="0" applyProtection="0">
      <alignment horizontal="left"/>
    </xf>
    <xf numFmtId="165" fontId="68" fillId="0" borderId="0" applyProtection="0">
      <alignment horizontal="left"/>
    </xf>
    <xf numFmtId="165" fontId="69" fillId="0" borderId="0" applyNumberFormat="0" applyFill="0" applyBorder="0" applyAlignment="0" applyProtection="0"/>
    <xf numFmtId="165" fontId="33" fillId="0" borderId="0" applyNumberFormat="0" applyFill="0" applyBorder="0" applyAlignment="0" applyProtection="0">
      <alignment vertical="top"/>
      <protection locked="0"/>
    </xf>
    <xf numFmtId="165" fontId="14" fillId="0" borderId="0"/>
    <xf numFmtId="184" fontId="70" fillId="0" borderId="10">
      <alignment horizontal="center" vertical="center" wrapText="1"/>
    </xf>
    <xf numFmtId="165" fontId="71" fillId="0" borderId="0" applyFill="0" applyBorder="0" applyProtection="0">
      <alignment vertical="center"/>
    </xf>
    <xf numFmtId="165" fontId="71" fillId="0" borderId="0" applyFill="0" applyBorder="0" applyProtection="0">
      <alignment vertical="center"/>
    </xf>
    <xf numFmtId="165" fontId="71" fillId="0" borderId="0" applyFill="0" applyBorder="0" applyProtection="0">
      <alignment vertical="center"/>
    </xf>
    <xf numFmtId="165" fontId="71" fillId="0" borderId="0" applyFill="0" applyBorder="0" applyProtection="0">
      <alignment vertical="center"/>
    </xf>
    <xf numFmtId="165" fontId="71" fillId="0" borderId="0" applyFill="0" applyBorder="0" applyProtection="0">
      <alignment vertical="center"/>
    </xf>
    <xf numFmtId="165" fontId="72" fillId="0" borderId="31" applyNumberFormat="0" applyFill="0" applyAlignment="0" applyProtection="0"/>
    <xf numFmtId="185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74" fillId="0" borderId="10">
      <alignment horizontal="right"/>
      <protection locked="0"/>
    </xf>
    <xf numFmtId="188" fontId="75" fillId="0" borderId="0" applyFont="0" applyFill="0" applyBorder="0" applyAlignment="0" applyProtection="0"/>
    <xf numFmtId="189" fontId="75" fillId="0" borderId="0" applyFont="0" applyFill="0" applyBorder="0" applyAlignment="0" applyProtection="0"/>
    <xf numFmtId="19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2" fontId="73" fillId="0" borderId="0" applyFont="0" applyFill="0" applyBorder="0" applyAlignment="0" applyProtection="0"/>
    <xf numFmtId="193" fontId="73" fillId="0" borderId="0" applyFont="0" applyFill="0" applyBorder="0" applyAlignment="0" applyProtection="0"/>
    <xf numFmtId="165" fontId="54" fillId="0" borderId="0" applyFont="0" applyFill="0" applyBorder="0" applyAlignment="0" applyProtection="0">
      <alignment horizontal="right"/>
    </xf>
    <xf numFmtId="165" fontId="54" fillId="0" borderId="0" applyFill="0" applyBorder="0" applyProtection="0">
      <alignment vertical="center"/>
    </xf>
    <xf numFmtId="165" fontId="54" fillId="0" borderId="0" applyFont="0" applyFill="0" applyBorder="0" applyAlignment="0" applyProtection="0">
      <alignment horizontal="right"/>
    </xf>
    <xf numFmtId="3" fontId="18" fillId="0" borderId="32" applyFont="0" applyBorder="0">
      <alignment horizontal="center" vertical="center"/>
    </xf>
    <xf numFmtId="165" fontId="76" fillId="32" borderId="0" applyNumberFormat="0" applyBorder="0" applyAlignment="0" applyProtection="0"/>
    <xf numFmtId="165" fontId="44" fillId="0" borderId="33"/>
    <xf numFmtId="194" fontId="18" fillId="0" borderId="0"/>
    <xf numFmtId="165" fontId="77" fillId="0" borderId="0">
      <alignment horizontal="right"/>
    </xf>
    <xf numFmtId="0" fontId="78" fillId="0" borderId="0"/>
    <xf numFmtId="165" fontId="54" fillId="0" borderId="0" applyFill="0" applyBorder="0" applyProtection="0">
      <alignment vertical="center"/>
    </xf>
    <xf numFmtId="165" fontId="79" fillId="0" borderId="0"/>
    <xf numFmtId="165" fontId="14" fillId="0" borderId="0"/>
    <xf numFmtId="165" fontId="36" fillId="0" borderId="0"/>
    <xf numFmtId="165" fontId="18" fillId="33" borderId="34" applyNumberFormat="0" applyFont="0" applyAlignment="0" applyProtection="0"/>
    <xf numFmtId="195" fontId="18" fillId="0" borderId="0" applyFont="0" applyAlignment="0">
      <alignment horizontal="center"/>
    </xf>
    <xf numFmtId="165" fontId="62" fillId="0" borderId="0"/>
    <xf numFmtId="175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165" fontId="80" fillId="29" borderId="35" applyNumberFormat="0" applyAlignment="0" applyProtection="0"/>
    <xf numFmtId="1" fontId="81" fillId="0" borderId="0" applyProtection="0">
      <alignment horizontal="right" vertical="center"/>
    </xf>
    <xf numFmtId="49" fontId="82" fillId="0" borderId="36" applyFill="0" applyProtection="0">
      <alignment vertical="center"/>
    </xf>
    <xf numFmtId="9" fontId="14" fillId="0" borderId="0" applyNumberFormat="0" applyFill="0" applyBorder="0" applyAlignment="0" applyProtection="0"/>
    <xf numFmtId="165" fontId="54" fillId="0" borderId="0" applyFill="0" applyBorder="0" applyProtection="0">
      <alignment vertical="center"/>
    </xf>
    <xf numFmtId="37" fontId="83" fillId="9" borderId="37"/>
    <xf numFmtId="37" fontId="83" fillId="9" borderId="37"/>
    <xf numFmtId="0" fontId="84" fillId="0" borderId="0" applyNumberFormat="0">
      <alignment horizontal="left"/>
    </xf>
    <xf numFmtId="196" fontId="85" fillId="0" borderId="38" applyBorder="0">
      <alignment horizontal="right"/>
      <protection locked="0"/>
    </xf>
    <xf numFmtId="49" fontId="86" fillId="0" borderId="10" applyNumberFormat="0">
      <alignment horizontal="left" vertical="center"/>
    </xf>
    <xf numFmtId="165" fontId="87" fillId="0" borderId="39">
      <alignment vertical="center"/>
    </xf>
    <xf numFmtId="165" fontId="88" fillId="0" borderId="0">
      <alignment horizontal="left" vertical="center" wrapText="1"/>
    </xf>
    <xf numFmtId="165" fontId="14" fillId="0" borderId="0"/>
    <xf numFmtId="165" fontId="89" fillId="0" borderId="0" applyBorder="0" applyProtection="0">
      <alignment vertical="center"/>
    </xf>
    <xf numFmtId="165" fontId="89" fillId="0" borderId="36" applyBorder="0" applyProtection="0">
      <alignment horizontal="right" vertical="center"/>
    </xf>
    <xf numFmtId="165" fontId="90" fillId="34" borderId="0" applyBorder="0" applyProtection="0">
      <alignment horizontal="centerContinuous" vertical="center"/>
    </xf>
    <xf numFmtId="165" fontId="90" fillId="35" borderId="36" applyBorder="0" applyProtection="0">
      <alignment horizontal="centerContinuous" vertical="center"/>
    </xf>
    <xf numFmtId="165" fontId="91" fillId="0" borderId="0"/>
    <xf numFmtId="165" fontId="92" fillId="0" borderId="0" applyBorder="0" applyProtection="0">
      <alignment horizontal="left"/>
    </xf>
    <xf numFmtId="165" fontId="79" fillId="0" borderId="0"/>
    <xf numFmtId="165" fontId="93" fillId="0" borderId="0" applyFill="0" applyBorder="0" applyProtection="0">
      <alignment horizontal="left"/>
    </xf>
    <xf numFmtId="165" fontId="60" fillId="0" borderId="24" applyFill="0" applyBorder="0" applyProtection="0">
      <alignment horizontal="left" vertical="top"/>
    </xf>
    <xf numFmtId="165" fontId="94" fillId="0" borderId="0">
      <alignment horizontal="centerContinuous"/>
    </xf>
    <xf numFmtId="165" fontId="95" fillId="0" borderId="24" applyFill="0" applyBorder="0" applyProtection="0"/>
    <xf numFmtId="165" fontId="95" fillId="0" borderId="0"/>
    <xf numFmtId="165" fontId="96" fillId="0" borderId="0" applyFill="0" applyBorder="0" applyProtection="0"/>
    <xf numFmtId="165" fontId="97" fillId="0" borderId="0"/>
    <xf numFmtId="165" fontId="96" fillId="0" borderId="0" applyFill="0" applyBorder="0" applyProtection="0"/>
    <xf numFmtId="165" fontId="95" fillId="0" borderId="24" applyFill="0" applyBorder="0" applyProtection="0"/>
    <xf numFmtId="1" fontId="98" fillId="36" borderId="0">
      <alignment horizontal="center"/>
    </xf>
    <xf numFmtId="165" fontId="99" fillId="0" borderId="0" applyFill="0" applyBorder="0" applyProtection="0">
      <alignment vertical="center"/>
    </xf>
    <xf numFmtId="165" fontId="99" fillId="0" borderId="29" applyFill="0" applyBorder="0" applyProtection="0">
      <alignment vertical="center"/>
    </xf>
    <xf numFmtId="165" fontId="100" fillId="0" borderId="0">
      <alignment horizontal="fill"/>
    </xf>
    <xf numFmtId="165" fontId="62" fillId="0" borderId="0"/>
    <xf numFmtId="165" fontId="101" fillId="0" borderId="0" applyNumberFormat="0" applyFill="0" applyBorder="0" applyAlignment="0" applyProtection="0"/>
    <xf numFmtId="165" fontId="102" fillId="0" borderId="36" applyBorder="0" applyProtection="0">
      <alignment horizontal="right"/>
    </xf>
    <xf numFmtId="197" fontId="103" fillId="0" borderId="40">
      <protection locked="0"/>
    </xf>
    <xf numFmtId="3" fontId="104" fillId="0" borderId="0">
      <alignment horizontal="center" vertical="center" textRotation="90" wrapText="1"/>
    </xf>
    <xf numFmtId="198" fontId="103" fillId="0" borderId="10">
      <alignment vertical="top" wrapText="1"/>
    </xf>
    <xf numFmtId="165" fontId="105" fillId="0" borderId="0" applyNumberFormat="0" applyFill="0" applyBorder="0" applyAlignment="0" applyProtection="0">
      <alignment vertical="top"/>
      <protection locked="0"/>
    </xf>
    <xf numFmtId="165" fontId="106" fillId="0" borderId="0" applyNumberFormat="0" applyFill="0" applyBorder="0" applyAlignment="0" applyProtection="0">
      <alignment vertical="top"/>
      <protection locked="0"/>
    </xf>
    <xf numFmtId="165" fontId="106" fillId="0" borderId="0" applyNumberFormat="0" applyFill="0" applyBorder="0" applyAlignment="0" applyProtection="0">
      <alignment vertical="top"/>
      <protection locked="0"/>
    </xf>
    <xf numFmtId="165" fontId="18" fillId="0" borderId="0" applyBorder="0"/>
    <xf numFmtId="174" fontId="107" fillId="0" borderId="10">
      <alignment vertical="top" wrapText="1"/>
    </xf>
    <xf numFmtId="4" fontId="108" fillId="0" borderId="10">
      <alignment horizontal="left" vertical="center"/>
    </xf>
    <xf numFmtId="4" fontId="108" fillId="0" borderId="10"/>
    <xf numFmtId="4" fontId="108" fillId="37" borderId="10"/>
    <xf numFmtId="4" fontId="108" fillId="38" borderId="10"/>
    <xf numFmtId="4" fontId="109" fillId="39" borderId="10"/>
    <xf numFmtId="4" fontId="110" fillId="40" borderId="10"/>
    <xf numFmtId="4" fontId="111" fillId="0" borderId="10">
      <alignment horizontal="center" wrapText="1"/>
    </xf>
    <xf numFmtId="174" fontId="108" fillId="0" borderId="10"/>
    <xf numFmtId="174" fontId="107" fillId="0" borderId="10">
      <alignment horizontal="center" vertical="center" wrapText="1"/>
    </xf>
    <xf numFmtId="165" fontId="112" fillId="0" borderId="41" applyNumberFormat="0" applyFont="0" applyFill="0" applyBorder="0" applyAlignment="0" applyProtection="0">
      <alignment horizontal="center"/>
    </xf>
    <xf numFmtId="14" fontId="113" fillId="0" borderId="0"/>
    <xf numFmtId="44" fontId="18" fillId="0" borderId="0" applyFont="0" applyFill="0" applyBorder="0" applyAlignment="0" applyProtection="0"/>
    <xf numFmtId="199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165" fontId="66" fillId="0" borderId="30" applyNumberFormat="0" applyFill="0" applyAlignment="0" applyProtection="0"/>
    <xf numFmtId="197" fontId="114" fillId="41" borderId="40"/>
    <xf numFmtId="4" fontId="115" fillId="9" borderId="10" applyBorder="0">
      <alignment horizontal="right"/>
    </xf>
    <xf numFmtId="168" fontId="116" fillId="0" borderId="10"/>
    <xf numFmtId="165" fontId="18" fillId="0" borderId="0">
      <alignment wrapText="1"/>
    </xf>
    <xf numFmtId="0" fontId="117" fillId="7" borderId="0" applyFill="0">
      <alignment wrapText="1"/>
    </xf>
    <xf numFmtId="165" fontId="118" fillId="40" borderId="42" applyNumberFormat="0">
      <alignment vertical="top"/>
    </xf>
    <xf numFmtId="0" fontId="119" fillId="0" borderId="0">
      <alignment horizontal="center" vertical="top" wrapText="1"/>
    </xf>
    <xf numFmtId="0" fontId="120" fillId="0" borderId="0">
      <alignment horizontal="centerContinuous" vertical="center" wrapText="1"/>
    </xf>
    <xf numFmtId="0" fontId="121" fillId="42" borderId="36">
      <alignment vertical="center"/>
    </xf>
    <xf numFmtId="165" fontId="18" fillId="0" borderId="0" applyNumberFormat="0" applyFont="0" applyFill="0" applyBorder="0" applyAlignment="0" applyProtection="0"/>
    <xf numFmtId="7" fontId="122" fillId="0" borderId="0"/>
    <xf numFmtId="49" fontId="104" fillId="0" borderId="10">
      <alignment horizontal="right" vertical="top" wrapText="1"/>
    </xf>
    <xf numFmtId="173" fontId="123" fillId="0" borderId="0">
      <alignment horizontal="right" vertical="top" wrapText="1"/>
    </xf>
    <xf numFmtId="165" fontId="18" fillId="0" borderId="0"/>
    <xf numFmtId="165" fontId="18" fillId="0" borderId="0"/>
    <xf numFmtId="165" fontId="14" fillId="0" borderId="0"/>
    <xf numFmtId="165" fontId="14" fillId="0" borderId="0" applyNumberFormat="0" applyFont="0" applyFill="0" applyBorder="0" applyAlignment="0" applyProtection="0">
      <alignment vertical="top"/>
    </xf>
    <xf numFmtId="165" fontId="14" fillId="0" borderId="0" applyNumberFormat="0" applyFont="0" applyFill="0" applyBorder="0" applyAlignment="0" applyProtection="0">
      <alignment vertical="top"/>
    </xf>
    <xf numFmtId="165" fontId="11" fillId="0" borderId="0"/>
    <xf numFmtId="165" fontId="11" fillId="0" borderId="0"/>
    <xf numFmtId="165" fontId="11" fillId="0" borderId="0"/>
    <xf numFmtId="0" fontId="11" fillId="0" borderId="0"/>
    <xf numFmtId="165" fontId="14" fillId="0" borderId="0"/>
    <xf numFmtId="165" fontId="18" fillId="0" borderId="0"/>
    <xf numFmtId="165" fontId="124" fillId="0" borderId="0"/>
    <xf numFmtId="0" fontId="11" fillId="0" borderId="0"/>
    <xf numFmtId="165" fontId="14" fillId="0" borderId="0"/>
    <xf numFmtId="165" fontId="14" fillId="0" borderId="0"/>
    <xf numFmtId="165" fontId="14" fillId="0" borderId="0"/>
    <xf numFmtId="165" fontId="18" fillId="0" borderId="0"/>
    <xf numFmtId="165" fontId="14" fillId="0" borderId="0"/>
    <xf numFmtId="165" fontId="14" fillId="0" borderId="0"/>
    <xf numFmtId="0" fontId="14" fillId="0" borderId="0"/>
    <xf numFmtId="165" fontId="14" fillId="0" borderId="0"/>
    <xf numFmtId="165" fontId="14" fillId="0" borderId="0"/>
    <xf numFmtId="0" fontId="14" fillId="0" borderId="0"/>
    <xf numFmtId="165" fontId="14" fillId="0" borderId="0"/>
    <xf numFmtId="165" fontId="14" fillId="0" borderId="0"/>
    <xf numFmtId="0" fontId="18" fillId="0" borderId="0"/>
    <xf numFmtId="165" fontId="14" fillId="0" borderId="0"/>
    <xf numFmtId="165" fontId="14" fillId="0" borderId="0"/>
    <xf numFmtId="0" fontId="125" fillId="0" borderId="0"/>
    <xf numFmtId="165" fontId="18" fillId="0" borderId="0"/>
    <xf numFmtId="165" fontId="18" fillId="0" borderId="0"/>
    <xf numFmtId="165" fontId="18" fillId="0" borderId="0"/>
    <xf numFmtId="0" fontId="22" fillId="0" borderId="0"/>
    <xf numFmtId="165" fontId="14" fillId="0" borderId="0"/>
    <xf numFmtId="165" fontId="18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165" fontId="14" fillId="0" borderId="0"/>
    <xf numFmtId="0" fontId="14" fillId="0" borderId="0" applyNumberFormat="0" applyFont="0" applyFill="0" applyBorder="0" applyAlignment="0" applyProtection="0">
      <alignment vertical="top"/>
    </xf>
    <xf numFmtId="0" fontId="18" fillId="0" borderId="0"/>
    <xf numFmtId="0" fontId="11" fillId="0" borderId="0"/>
    <xf numFmtId="0" fontId="14" fillId="0" borderId="0" applyNumberFormat="0" applyFont="0" applyFill="0" applyBorder="0" applyAlignment="0" applyProtection="0">
      <alignment vertical="top"/>
    </xf>
    <xf numFmtId="0" fontId="14" fillId="0" borderId="0"/>
    <xf numFmtId="165" fontId="14" fillId="0" borderId="0"/>
    <xf numFmtId="165" fontId="11" fillId="0" borderId="0"/>
    <xf numFmtId="165" fontId="126" fillId="0" borderId="0"/>
    <xf numFmtId="165" fontId="45" fillId="0" borderId="0"/>
    <xf numFmtId="0" fontId="126" fillId="0" borderId="0"/>
    <xf numFmtId="165" fontId="14" fillId="0" borderId="0" applyNumberFormat="0" applyFont="0" applyFill="0" applyBorder="0" applyAlignment="0" applyProtection="0">
      <alignment vertical="top"/>
    </xf>
    <xf numFmtId="0" fontId="11" fillId="0" borderId="0"/>
    <xf numFmtId="165" fontId="14" fillId="0" borderId="0"/>
    <xf numFmtId="0" fontId="11" fillId="0" borderId="0"/>
    <xf numFmtId="165" fontId="14" fillId="0" borderId="0"/>
    <xf numFmtId="165" fontId="23" fillId="0" borderId="0"/>
    <xf numFmtId="1" fontId="127" fillId="0" borderId="10">
      <alignment horizontal="left" vertical="center"/>
    </xf>
    <xf numFmtId="174" fontId="128" fillId="0" borderId="10">
      <alignment vertical="top"/>
    </xf>
    <xf numFmtId="173" fontId="129" fillId="9" borderId="37" applyNumberFormat="0" applyBorder="0" applyAlignment="0">
      <alignment vertical="center"/>
      <protection locked="0"/>
    </xf>
    <xf numFmtId="49" fontId="109" fillId="0" borderId="23">
      <alignment horizontal="left" vertical="center"/>
    </xf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3" fillId="0" borderId="0" applyFont="0" applyFill="0" applyBorder="0" applyAlignment="0" applyProtection="0"/>
    <xf numFmtId="165" fontId="131" fillId="0" borderId="43" applyNumberFormat="0" applyFont="0" applyFill="0" applyBorder="0" applyAlignment="0" applyProtection="0"/>
    <xf numFmtId="168" fontId="132" fillId="0" borderId="10"/>
    <xf numFmtId="165" fontId="18" fillId="0" borderId="10" applyNumberFormat="0" applyFont="0" applyFill="0" applyAlignment="0" applyProtection="0"/>
    <xf numFmtId="3" fontId="133" fillId="43" borderId="23">
      <alignment horizontal="justify" vertical="center"/>
    </xf>
    <xf numFmtId="0" fontId="40" fillId="0" borderId="0"/>
    <xf numFmtId="165" fontId="40" fillId="0" borderId="0"/>
    <xf numFmtId="165" fontId="40" fillId="0" borderId="0"/>
    <xf numFmtId="165" fontId="36" fillId="0" borderId="0"/>
    <xf numFmtId="2" fontId="15" fillId="0" borderId="10" applyNumberFormat="0">
      <alignment vertical="center"/>
    </xf>
    <xf numFmtId="49" fontId="123" fillId="0" borderId="0"/>
    <xf numFmtId="49" fontId="134" fillId="0" borderId="0">
      <alignment vertical="top"/>
    </xf>
    <xf numFmtId="3" fontId="135" fillId="0" borderId="0"/>
    <xf numFmtId="49" fontId="117" fillId="0" borderId="0">
      <alignment horizontal="center"/>
    </xf>
    <xf numFmtId="49" fontId="117" fillId="0" borderId="0">
      <alignment horizontal="center"/>
    </xf>
    <xf numFmtId="171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200" fontId="18" fillId="0" borderId="0" applyFont="0" applyFill="0" applyBorder="0" applyAlignment="0" applyProtection="0"/>
    <xf numFmtId="4" fontId="115" fillId="7" borderId="0" applyBorder="0">
      <alignment horizontal="right"/>
    </xf>
    <xf numFmtId="4" fontId="115" fillId="44" borderId="1" applyBorder="0">
      <alignment horizontal="right"/>
    </xf>
    <xf numFmtId="4" fontId="115" fillId="44" borderId="1" applyBorder="0">
      <alignment horizontal="right"/>
    </xf>
    <xf numFmtId="4" fontId="115" fillId="7" borderId="10" applyFont="0" applyBorder="0">
      <alignment horizontal="right"/>
    </xf>
    <xf numFmtId="172" fontId="103" fillId="0" borderId="23">
      <alignment vertical="top" wrapText="1"/>
    </xf>
    <xf numFmtId="3" fontId="18" fillId="0" borderId="0" applyFont="0" applyBorder="0">
      <alignment horizontal="center"/>
    </xf>
    <xf numFmtId="165" fontId="42" fillId="0" borderId="0">
      <protection locked="0"/>
    </xf>
    <xf numFmtId="49" fontId="107" fillId="0" borderId="10">
      <alignment horizontal="center" vertical="center" wrapText="1"/>
    </xf>
    <xf numFmtId="165" fontId="131" fillId="7" borderId="41" applyNumberFormat="0" applyFont="0" applyFill="0" applyBorder="0" applyAlignment="0" applyProtection="0">
      <alignment horizontal="center"/>
    </xf>
    <xf numFmtId="49" fontId="88" fillId="0" borderId="10" applyNumberFormat="0" applyFill="0" applyAlignment="0" applyProtection="0"/>
    <xf numFmtId="166" fontId="18" fillId="0" borderId="0"/>
    <xf numFmtId="165" fontId="14" fillId="0" borderId="0"/>
    <xf numFmtId="0" fontId="142" fillId="0" borderId="0"/>
    <xf numFmtId="0" fontId="10" fillId="0" borderId="0"/>
    <xf numFmtId="0" fontId="9" fillId="0" borderId="0"/>
    <xf numFmtId="0" fontId="40" fillId="0" borderId="0"/>
    <xf numFmtId="0" fontId="14" fillId="0" borderId="0"/>
    <xf numFmtId="167" fontId="112" fillId="0" borderId="0">
      <alignment vertical="top"/>
    </xf>
    <xf numFmtId="167" fontId="167" fillId="0" borderId="0">
      <alignment vertical="top"/>
    </xf>
    <xf numFmtId="207" fontId="167" fillId="40" borderId="0">
      <alignment vertical="top"/>
    </xf>
    <xf numFmtId="167" fontId="167" fillId="7" borderId="0">
      <alignment vertical="top"/>
    </xf>
    <xf numFmtId="0" fontId="36" fillId="0" borderId="0"/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0" fontId="40" fillId="0" borderId="0"/>
    <xf numFmtId="0" fontId="36" fillId="0" borderId="0"/>
    <xf numFmtId="165" fontId="36" fillId="0" borderId="0"/>
    <xf numFmtId="0" fontId="36" fillId="0" borderId="0"/>
    <xf numFmtId="165" fontId="36" fillId="0" borderId="0"/>
    <xf numFmtId="0" fontId="36" fillId="0" borderId="0"/>
    <xf numFmtId="165" fontId="36" fillId="0" borderId="0"/>
    <xf numFmtId="0" fontId="36" fillId="0" borderId="0"/>
    <xf numFmtId="165" fontId="36" fillId="0" borderId="0"/>
    <xf numFmtId="0" fontId="41" fillId="0" borderId="0"/>
    <xf numFmtId="0" fontId="36" fillId="0" borderId="0"/>
    <xf numFmtId="0" fontId="40" fillId="0" borderId="0"/>
    <xf numFmtId="165" fontId="40" fillId="0" borderId="0"/>
    <xf numFmtId="0" fontId="40" fillId="0" borderId="0"/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0" fontId="40" fillId="0" borderId="0"/>
    <xf numFmtId="165" fontId="40" fillId="0" borderId="0"/>
    <xf numFmtId="0" fontId="40" fillId="0" borderId="0"/>
    <xf numFmtId="165" fontId="40" fillId="0" borderId="0"/>
    <xf numFmtId="0" fontId="36" fillId="0" borderId="0"/>
    <xf numFmtId="165" fontId="36" fillId="0" borderId="0"/>
    <xf numFmtId="0" fontId="36" fillId="0" borderId="0"/>
    <xf numFmtId="165" fontId="36" fillId="0" borderId="0"/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0" fontId="36" fillId="0" borderId="0"/>
    <xf numFmtId="165" fontId="36" fillId="0" borderId="0"/>
    <xf numFmtId="0" fontId="36" fillId="0" borderId="0"/>
    <xf numFmtId="0" fontId="36" fillId="0" borderId="0"/>
    <xf numFmtId="165" fontId="36" fillId="0" borderId="0"/>
    <xf numFmtId="0" fontId="36" fillId="0" borderId="0"/>
    <xf numFmtId="165" fontId="36" fillId="0" borderId="0"/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0" fontId="40" fillId="0" borderId="0"/>
    <xf numFmtId="0" fontId="36" fillId="0" borderId="0"/>
    <xf numFmtId="165" fontId="36" fillId="0" borderId="0"/>
    <xf numFmtId="0" fontId="36" fillId="0" borderId="0"/>
    <xf numFmtId="0" fontId="40" fillId="0" borderId="0"/>
    <xf numFmtId="165" fontId="40" fillId="0" borderId="0"/>
    <xf numFmtId="0" fontId="40" fillId="0" borderId="0"/>
    <xf numFmtId="165" fontId="40" fillId="0" borderId="0"/>
    <xf numFmtId="0" fontId="36" fillId="0" borderId="0"/>
    <xf numFmtId="165" fontId="36" fillId="0" borderId="0"/>
    <xf numFmtId="0" fontId="40" fillId="0" borderId="0"/>
    <xf numFmtId="165" fontId="40" fillId="0" borderId="0"/>
    <xf numFmtId="0" fontId="40" fillId="0" borderId="0"/>
    <xf numFmtId="165" fontId="40" fillId="0" borderId="0"/>
    <xf numFmtId="0" fontId="18" fillId="0" borderId="0"/>
    <xf numFmtId="0" fontId="36" fillId="0" borderId="0"/>
    <xf numFmtId="165" fontId="36" fillId="0" borderId="0"/>
    <xf numFmtId="209" fontId="42" fillId="0" borderId="0">
      <protection locked="0"/>
    </xf>
    <xf numFmtId="210" fontId="42" fillId="0" borderId="0">
      <protection locked="0"/>
    </xf>
    <xf numFmtId="209" fontId="42" fillId="0" borderId="0">
      <protection locked="0"/>
    </xf>
    <xf numFmtId="209" fontId="42" fillId="0" borderId="0">
      <protection locked="0"/>
    </xf>
    <xf numFmtId="210" fontId="42" fillId="0" borderId="0">
      <protection locked="0"/>
    </xf>
    <xf numFmtId="210" fontId="42" fillId="0" borderId="0">
      <protection locked="0"/>
    </xf>
    <xf numFmtId="211" fontId="42" fillId="0" borderId="0">
      <protection locked="0"/>
    </xf>
    <xf numFmtId="211" fontId="42" fillId="0" borderId="0">
      <protection locked="0"/>
    </xf>
    <xf numFmtId="212" fontId="42" fillId="0" borderId="25">
      <protection locked="0"/>
    </xf>
    <xf numFmtId="212" fontId="43" fillId="0" borderId="0">
      <protection locked="0"/>
    </xf>
    <xf numFmtId="212" fontId="43" fillId="0" borderId="0">
      <protection locked="0"/>
    </xf>
    <xf numFmtId="212" fontId="43" fillId="0" borderId="0">
      <protection locked="0"/>
    </xf>
    <xf numFmtId="212" fontId="43" fillId="0" borderId="0">
      <protection locked="0"/>
    </xf>
    <xf numFmtId="212" fontId="42" fillId="0" borderId="25">
      <protection locked="0"/>
    </xf>
    <xf numFmtId="212" fontId="42" fillId="0" borderId="25">
      <protection locked="0"/>
    </xf>
    <xf numFmtId="0" fontId="44" fillId="10" borderId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4" fontId="168" fillId="0" borderId="10">
      <alignment horizontal="right" vertical="top"/>
    </xf>
    <xf numFmtId="0" fontId="46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4" fontId="168" fillId="0" borderId="10">
      <alignment horizontal="right" vertical="top"/>
    </xf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8" borderId="0" applyNumberFormat="0" applyBorder="0" applyAlignment="0" applyProtection="0"/>
    <xf numFmtId="0" fontId="169" fillId="0" borderId="0" applyNumberFormat="0" applyFill="0" applyBorder="0" applyAlignment="0" applyProtection="0">
      <alignment vertical="top"/>
      <protection locked="0"/>
    </xf>
    <xf numFmtId="0" fontId="41" fillId="0" borderId="0"/>
    <xf numFmtId="197" fontId="103" fillId="0" borderId="40">
      <protection locked="0"/>
    </xf>
    <xf numFmtId="213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0" fontId="48" fillId="12" borderId="0" applyNumberFormat="0" applyBorder="0" applyAlignment="0" applyProtection="0"/>
    <xf numFmtId="0" fontId="58" fillId="53" borderId="0"/>
    <xf numFmtId="0" fontId="170" fillId="53" borderId="0"/>
    <xf numFmtId="0" fontId="51" fillId="29" borderId="27" applyNumberFormat="0" applyAlignment="0" applyProtection="0"/>
    <xf numFmtId="0" fontId="52" fillId="30" borderId="28" applyNumberFormat="0" applyAlignment="0" applyProtection="0"/>
    <xf numFmtId="0" fontId="53" fillId="0" borderId="10">
      <alignment horizontal="left" vertical="center"/>
    </xf>
    <xf numFmtId="0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/>
    <xf numFmtId="197" fontId="114" fillId="41" borderId="4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0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0" fontId="54" fillId="0" borderId="0" applyFill="0" applyBorder="0" applyProtection="0">
      <alignment vertical="center"/>
    </xf>
    <xf numFmtId="0" fontId="58" fillId="54" borderId="0"/>
    <xf numFmtId="0" fontId="170" fillId="55" borderId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14" fontId="171" fillId="0" borderId="0">
      <alignment vertical="top"/>
    </xf>
    <xf numFmtId="0" fontId="54" fillId="0" borderId="29" applyNumberFormat="0" applyFont="0" applyFill="0" applyAlignment="0" applyProtection="0"/>
    <xf numFmtId="0" fontId="56" fillId="0" borderId="0" applyNumberFormat="0" applyFill="0" applyBorder="0" applyAlignment="0" applyProtection="0"/>
    <xf numFmtId="208" fontId="172" fillId="0" borderId="0">
      <alignment vertical="top"/>
    </xf>
    <xf numFmtId="208" fontId="172" fillId="0" borderId="0">
      <alignment vertical="top"/>
    </xf>
    <xf numFmtId="38" fontId="172" fillId="0" borderId="0">
      <alignment vertical="top"/>
    </xf>
    <xf numFmtId="165" fontId="22" fillId="0" borderId="0" applyFont="0" applyFill="0" applyBorder="0" applyAlignment="0" applyProtection="0"/>
    <xf numFmtId="165" fontId="17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73" fontId="173" fillId="0" borderId="0" applyFill="0" applyBorder="0" applyAlignment="0" applyProtection="0"/>
    <xf numFmtId="173" fontId="112" fillId="0" borderId="0" applyFill="0" applyBorder="0" applyAlignment="0" applyProtection="0"/>
    <xf numFmtId="173" fontId="174" fillId="0" borderId="0" applyFill="0" applyBorder="0" applyAlignment="0" applyProtection="0"/>
    <xf numFmtId="173" fontId="175" fillId="0" borderId="0" applyFill="0" applyBorder="0" applyAlignment="0" applyProtection="0"/>
    <xf numFmtId="173" fontId="176" fillId="0" borderId="0" applyFill="0" applyBorder="0" applyAlignment="0" applyProtection="0"/>
    <xf numFmtId="173" fontId="177" fillId="0" borderId="0" applyFill="0" applyBorder="0" applyAlignment="0" applyProtection="0"/>
    <xf numFmtId="173" fontId="178" fillId="0" borderId="0" applyFill="0" applyBorder="0" applyAlignment="0" applyProtection="0"/>
    <xf numFmtId="0" fontId="58" fillId="0" borderId="0">
      <alignment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Fill="0" applyBorder="0" applyProtection="0">
      <alignment horizontal="left"/>
    </xf>
    <xf numFmtId="0" fontId="61" fillId="13" borderId="0" applyNumberFormat="0" applyBorder="0" applyAlignment="0" applyProtection="0"/>
    <xf numFmtId="0" fontId="54" fillId="0" borderId="0" applyFont="0" applyFill="0" applyBorder="0" applyAlignment="0" applyProtection="0">
      <alignment horizontal="right"/>
    </xf>
    <xf numFmtId="0" fontId="64" fillId="0" borderId="0" applyProtection="0">
      <alignment horizontal="right"/>
    </xf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69" fillId="0" borderId="83" applyNumberFormat="0" applyFill="0" applyAlignment="0" applyProtection="0"/>
    <xf numFmtId="0" fontId="69" fillId="0" borderId="0" applyNumberFormat="0" applyFill="0" applyBorder="0" applyAlignment="0" applyProtection="0"/>
    <xf numFmtId="0" fontId="180" fillId="0" borderId="0">
      <alignment vertical="top"/>
    </xf>
    <xf numFmtId="2" fontId="65" fillId="31" borderId="0" applyAlignment="0">
      <alignment horizontal="right"/>
      <protection locked="0"/>
    </xf>
    <xf numFmtId="208" fontId="181" fillId="0" borderId="0">
      <alignment vertical="top"/>
    </xf>
    <xf numFmtId="208" fontId="181" fillId="0" borderId="0">
      <alignment vertical="top"/>
    </xf>
    <xf numFmtId="38" fontId="181" fillId="0" borderId="0">
      <alignment vertical="top"/>
    </xf>
    <xf numFmtId="0" fontId="33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183" fillId="0" borderId="0">
      <alignment vertical="center" wrapText="1"/>
    </xf>
    <xf numFmtId="197" fontId="184" fillId="0" borderId="0"/>
    <xf numFmtId="0" fontId="185" fillId="0" borderId="0" applyNumberFormat="0" applyFill="0" applyBorder="0" applyAlignment="0" applyProtection="0">
      <alignment vertical="top"/>
      <protection locked="0"/>
    </xf>
    <xf numFmtId="0" fontId="186" fillId="16" borderId="27" applyNumberFormat="0" applyAlignment="0" applyProtection="0"/>
    <xf numFmtId="0" fontId="71" fillId="0" borderId="0" applyFill="0" applyBorder="0" applyProtection="0">
      <alignment vertical="center"/>
    </xf>
    <xf numFmtId="0" fontId="71" fillId="0" borderId="0" applyFill="0" applyBorder="0" applyProtection="0">
      <alignment vertical="center"/>
    </xf>
    <xf numFmtId="0" fontId="71" fillId="0" borderId="0" applyFill="0" applyBorder="0" applyProtection="0">
      <alignment vertical="center"/>
    </xf>
    <xf numFmtId="0" fontId="71" fillId="0" borderId="0" applyFill="0" applyBorder="0" applyProtection="0">
      <alignment vertical="center"/>
    </xf>
    <xf numFmtId="208" fontId="167" fillId="0" borderId="0">
      <alignment vertical="top"/>
    </xf>
    <xf numFmtId="208" fontId="167" fillId="40" borderId="0">
      <alignment vertical="top"/>
    </xf>
    <xf numFmtId="208" fontId="167" fillId="40" borderId="0">
      <alignment vertical="top"/>
    </xf>
    <xf numFmtId="38" fontId="167" fillId="40" borderId="0">
      <alignment vertical="top"/>
    </xf>
    <xf numFmtId="208" fontId="167" fillId="0" borderId="0">
      <alignment vertical="top"/>
    </xf>
    <xf numFmtId="208" fontId="167" fillId="0" borderId="0">
      <alignment vertical="top"/>
    </xf>
    <xf numFmtId="215" fontId="167" fillId="7" borderId="0">
      <alignment vertical="top"/>
    </xf>
    <xf numFmtId="38" fontId="167" fillId="0" borderId="0">
      <alignment vertical="top"/>
    </xf>
    <xf numFmtId="0" fontId="72" fillId="0" borderId="31" applyNumberFormat="0" applyFill="0" applyAlignment="0" applyProtection="0"/>
    <xf numFmtId="0" fontId="54" fillId="0" borderId="0" applyFont="0" applyFill="0" applyBorder="0" applyAlignment="0" applyProtection="0">
      <alignment horizontal="right"/>
    </xf>
    <xf numFmtId="0" fontId="54" fillId="0" borderId="0" applyFill="0" applyBorder="0" applyProtection="0">
      <alignment vertical="center"/>
    </xf>
    <xf numFmtId="0" fontId="54" fillId="0" borderId="0" applyFont="0" applyFill="0" applyBorder="0" applyAlignment="0" applyProtection="0">
      <alignment horizontal="right"/>
    </xf>
    <xf numFmtId="0" fontId="76" fillId="32" borderId="0" applyNumberFormat="0" applyBorder="0" applyAlignment="0" applyProtection="0"/>
    <xf numFmtId="0" fontId="44" fillId="0" borderId="33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7" fillId="0" borderId="0">
      <alignment horizontal="right"/>
    </xf>
    <xf numFmtId="0" fontId="78" fillId="0" borderId="0"/>
    <xf numFmtId="0" fontId="54" fillId="0" borderId="0" applyFill="0" applyBorder="0" applyProtection="0">
      <alignment vertical="center"/>
    </xf>
    <xf numFmtId="0" fontId="79" fillId="0" borderId="0"/>
    <xf numFmtId="0" fontId="40" fillId="0" borderId="0"/>
    <xf numFmtId="0" fontId="115" fillId="33" borderId="34" applyNumberFormat="0" applyFont="0" applyAlignment="0" applyProtection="0"/>
    <xf numFmtId="21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0" fontId="62" fillId="0" borderId="0"/>
    <xf numFmtId="0" fontId="80" fillId="29" borderId="35" applyNumberFormat="0" applyAlignment="0" applyProtection="0"/>
    <xf numFmtId="0" fontId="54" fillId="0" borderId="0" applyFill="0" applyBorder="0" applyProtection="0">
      <alignment vertical="center"/>
    </xf>
    <xf numFmtId="220" fontId="187" fillId="56" borderId="10">
      <alignment horizontal="center" vertical="center" wrapText="1"/>
      <protection locked="0"/>
    </xf>
    <xf numFmtId="0" fontId="14" fillId="0" borderId="0">
      <alignment vertical="center"/>
    </xf>
    <xf numFmtId="0" fontId="87" fillId="0" borderId="39">
      <alignment vertical="center"/>
    </xf>
    <xf numFmtId="4" fontId="188" fillId="9" borderId="35" applyNumberFormat="0" applyProtection="0">
      <alignment vertical="center"/>
    </xf>
    <xf numFmtId="4" fontId="189" fillId="9" borderId="35" applyNumberFormat="0" applyProtection="0">
      <alignment vertical="center"/>
    </xf>
    <xf numFmtId="4" fontId="188" fillId="9" borderId="35" applyNumberFormat="0" applyProtection="0">
      <alignment horizontal="left" vertical="center" indent="1"/>
    </xf>
    <xf numFmtId="4" fontId="188" fillId="9" borderId="35" applyNumberFormat="0" applyProtection="0">
      <alignment horizontal="left" vertical="center" indent="1"/>
    </xf>
    <xf numFmtId="0" fontId="14" fillId="57" borderId="35" applyNumberFormat="0" applyProtection="0">
      <alignment horizontal="left" vertical="center" indent="1"/>
    </xf>
    <xf numFmtId="4" fontId="188" fillId="58" borderId="35" applyNumberFormat="0" applyProtection="0">
      <alignment horizontal="right" vertical="center"/>
    </xf>
    <xf numFmtId="4" fontId="188" fillId="59" borderId="35" applyNumberFormat="0" applyProtection="0">
      <alignment horizontal="right" vertical="center"/>
    </xf>
    <xf numFmtId="4" fontId="188" fillId="60" borderId="35" applyNumberFormat="0" applyProtection="0">
      <alignment horizontal="right" vertical="center"/>
    </xf>
    <xf numFmtId="4" fontId="188" fillId="61" borderId="35" applyNumberFormat="0" applyProtection="0">
      <alignment horizontal="right" vertical="center"/>
    </xf>
    <xf numFmtId="4" fontId="188" fillId="62" borderId="35" applyNumberFormat="0" applyProtection="0">
      <alignment horizontal="right" vertical="center"/>
    </xf>
    <xf numFmtId="4" fontId="188" fillId="63" borderId="35" applyNumberFormat="0" applyProtection="0">
      <alignment horizontal="right" vertical="center"/>
    </xf>
    <xf numFmtId="4" fontId="188" fillId="64" borderId="35" applyNumberFormat="0" applyProtection="0">
      <alignment horizontal="right" vertical="center"/>
    </xf>
    <xf numFmtId="4" fontId="188" fillId="65" borderId="35" applyNumberFormat="0" applyProtection="0">
      <alignment horizontal="right" vertical="center"/>
    </xf>
    <xf numFmtId="4" fontId="188" fillId="66" borderId="35" applyNumberFormat="0" applyProtection="0">
      <alignment horizontal="right" vertical="center"/>
    </xf>
    <xf numFmtId="4" fontId="170" fillId="67" borderId="35" applyNumberFormat="0" applyProtection="0">
      <alignment horizontal="left" vertical="center" indent="1"/>
    </xf>
    <xf numFmtId="4" fontId="188" fillId="68" borderId="84" applyNumberFormat="0" applyProtection="0">
      <alignment horizontal="left" vertical="center" indent="1"/>
    </xf>
    <xf numFmtId="4" fontId="190" fillId="69" borderId="0" applyNumberFormat="0" applyProtection="0">
      <alignment horizontal="left" vertical="center" indent="1"/>
    </xf>
    <xf numFmtId="0" fontId="14" fillId="57" borderId="35" applyNumberFormat="0" applyProtection="0">
      <alignment horizontal="left" vertical="center" indent="1"/>
    </xf>
    <xf numFmtId="4" fontId="191" fillId="68" borderId="35" applyNumberFormat="0" applyProtection="0">
      <alignment horizontal="left" vertical="center" indent="1"/>
    </xf>
    <xf numFmtId="4" fontId="191" fillId="70" borderId="35" applyNumberFormat="0" applyProtection="0">
      <alignment horizontal="left" vertical="center" indent="1"/>
    </xf>
    <xf numFmtId="0" fontId="14" fillId="70" borderId="35" applyNumberFormat="0" applyProtection="0">
      <alignment horizontal="left" vertical="center" indent="1"/>
    </xf>
    <xf numFmtId="0" fontId="14" fillId="70" borderId="35" applyNumberFormat="0" applyProtection="0">
      <alignment horizontal="left" vertical="center" indent="1"/>
    </xf>
    <xf numFmtId="0" fontId="14" fillId="71" borderId="35" applyNumberFormat="0" applyProtection="0">
      <alignment horizontal="left" vertical="center" indent="1"/>
    </xf>
    <xf numFmtId="0" fontId="14" fillId="71" borderId="35" applyNumberFormat="0" applyProtection="0">
      <alignment horizontal="left" vertical="center" indent="1"/>
    </xf>
    <xf numFmtId="0" fontId="14" fillId="40" borderId="35" applyNumberFormat="0" applyProtection="0">
      <alignment horizontal="left" vertical="center" indent="1"/>
    </xf>
    <xf numFmtId="0" fontId="14" fillId="40" borderId="35" applyNumberFormat="0" applyProtection="0">
      <alignment horizontal="left" vertical="center" indent="1"/>
    </xf>
    <xf numFmtId="0" fontId="14" fillId="57" borderId="35" applyNumberFormat="0" applyProtection="0">
      <alignment horizontal="left" vertical="center" indent="1"/>
    </xf>
    <xf numFmtId="0" fontId="14" fillId="57" borderId="35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4" fontId="188" fillId="72" borderId="35" applyNumberFormat="0" applyProtection="0">
      <alignment vertical="center"/>
    </xf>
    <xf numFmtId="4" fontId="189" fillId="72" borderId="35" applyNumberFormat="0" applyProtection="0">
      <alignment vertical="center"/>
    </xf>
    <xf numFmtId="4" fontId="188" fillId="72" borderId="35" applyNumberFormat="0" applyProtection="0">
      <alignment horizontal="left" vertical="center" indent="1"/>
    </xf>
    <xf numFmtId="4" fontId="188" fillId="72" borderId="35" applyNumberFormat="0" applyProtection="0">
      <alignment horizontal="left" vertical="center" indent="1"/>
    </xf>
    <xf numFmtId="4" fontId="188" fillId="68" borderId="35" applyNumberFormat="0" applyProtection="0">
      <alignment horizontal="right" vertical="center"/>
    </xf>
    <xf numFmtId="4" fontId="189" fillId="68" borderId="35" applyNumberFormat="0" applyProtection="0">
      <alignment horizontal="right" vertical="center"/>
    </xf>
    <xf numFmtId="0" fontId="14" fillId="57" borderId="35" applyNumberFormat="0" applyProtection="0">
      <alignment horizontal="left" vertical="center" indent="1"/>
    </xf>
    <xf numFmtId="0" fontId="14" fillId="57" borderId="35" applyNumberFormat="0" applyProtection="0">
      <alignment horizontal="left" vertical="center" indent="1"/>
    </xf>
    <xf numFmtId="0" fontId="192" fillId="0" borderId="0"/>
    <xf numFmtId="4" fontId="193" fillId="68" borderId="35" applyNumberFormat="0" applyProtection="0">
      <alignment horizontal="right" vertical="center"/>
    </xf>
    <xf numFmtId="221" fontId="14" fillId="73" borderId="10">
      <alignment vertical="center"/>
    </xf>
    <xf numFmtId="0" fontId="88" fillId="0" borderId="0">
      <alignment horizontal="left" vertical="center" wrapText="1"/>
    </xf>
    <xf numFmtId="0" fontId="40" fillId="0" borderId="0"/>
    <xf numFmtId="0" fontId="89" fillId="0" borderId="0" applyBorder="0" applyProtection="0">
      <alignment vertical="center"/>
    </xf>
    <xf numFmtId="0" fontId="89" fillId="0" borderId="36" applyBorder="0" applyProtection="0">
      <alignment horizontal="right" vertical="center"/>
    </xf>
    <xf numFmtId="0" fontId="90" fillId="34" borderId="0" applyBorder="0" applyProtection="0">
      <alignment horizontal="centerContinuous" vertical="center"/>
    </xf>
    <xf numFmtId="0" fontId="90" fillId="35" borderId="36" applyBorder="0" applyProtection="0">
      <alignment horizontal="centerContinuous" vertical="center"/>
    </xf>
    <xf numFmtId="208" fontId="194" fillId="74" borderId="0">
      <alignment horizontal="right" vertical="top"/>
    </xf>
    <xf numFmtId="208" fontId="194" fillId="74" borderId="0">
      <alignment horizontal="right" vertical="top"/>
    </xf>
    <xf numFmtId="38" fontId="194" fillId="74" borderId="0">
      <alignment horizontal="right" vertical="top"/>
    </xf>
    <xf numFmtId="0" fontId="79" fillId="0" borderId="0"/>
    <xf numFmtId="0" fontId="93" fillId="0" borderId="0" applyFill="0" applyBorder="0" applyProtection="0">
      <alignment horizontal="left"/>
    </xf>
    <xf numFmtId="0" fontId="60" fillId="0" borderId="24" applyFill="0" applyBorder="0" applyProtection="0">
      <alignment horizontal="left" vertical="top"/>
    </xf>
    <xf numFmtId="0" fontId="95" fillId="0" borderId="0"/>
    <xf numFmtId="0" fontId="95" fillId="0" borderId="24" applyFill="0" applyBorder="0" applyProtection="0"/>
    <xf numFmtId="0" fontId="97" fillId="0" borderId="0"/>
    <xf numFmtId="0" fontId="96" fillId="0" borderId="0" applyFill="0" applyBorder="0" applyProtection="0"/>
    <xf numFmtId="0" fontId="195" fillId="0" borderId="0" applyNumberFormat="0" applyFill="0" applyBorder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99" fillId="0" borderId="29" applyFill="0" applyBorder="0" applyProtection="0">
      <alignment vertical="center"/>
    </xf>
    <xf numFmtId="0" fontId="62" fillId="0" borderId="0"/>
    <xf numFmtId="220" fontId="197" fillId="60" borderId="44">
      <alignment horizontal="center" vertical="center"/>
    </xf>
    <xf numFmtId="0" fontId="101" fillId="0" borderId="0" applyNumberFormat="0" applyFill="0" applyBorder="0" applyAlignment="0" applyProtection="0"/>
    <xf numFmtId="0" fontId="102" fillId="0" borderId="36" applyBorder="0" applyProtection="0">
      <alignment horizontal="right"/>
    </xf>
    <xf numFmtId="220" fontId="14" fillId="75" borderId="10" applyNumberFormat="0" applyFill="0" applyBorder="0" applyProtection="0">
      <alignment vertical="center"/>
      <protection locked="0"/>
    </xf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186" fillId="16" borderId="27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80" fillId="29" borderId="35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51" fillId="29" borderId="27" applyNumberFormat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174" fontId="107" fillId="0" borderId="10">
      <alignment vertical="top" wrapText="1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222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66" fillId="0" borderId="30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179" fillId="0" borderId="82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03" fillId="0" borderId="0" applyBorder="0">
      <alignment horizontal="center" vertical="center" wrapText="1"/>
    </xf>
    <xf numFmtId="0" fontId="29" fillId="0" borderId="0" applyBorder="0">
      <alignment horizontal="center" vertical="center" wrapText="1"/>
    </xf>
    <xf numFmtId="0" fontId="134" fillId="0" borderId="0"/>
    <xf numFmtId="0" fontId="119" fillId="0" borderId="0" applyNumberFormat="0" applyFill="0" applyBorder="0" applyAlignment="0" applyProtection="0"/>
    <xf numFmtId="0" fontId="204" fillId="0" borderId="20" applyBorder="0">
      <alignment horizontal="center" vertical="center" wrapText="1"/>
    </xf>
    <xf numFmtId="0" fontId="28" fillId="0" borderId="20" applyBorder="0">
      <alignment horizontal="center" vertical="center" wrapText="1"/>
    </xf>
    <xf numFmtId="49" fontId="205" fillId="0" borderId="0" applyBorder="0">
      <alignment vertical="center"/>
    </xf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0" fontId="196" fillId="0" borderId="85" applyNumberFormat="0" applyFill="0" applyAlignment="0" applyProtection="0"/>
    <xf numFmtId="3" fontId="114" fillId="0" borderId="10" applyBorder="0">
      <alignment vertical="center"/>
    </xf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117" fillId="0" borderId="25" applyNumberFormat="0" applyFill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52" fillId="30" borderId="28" applyNumberFormat="0" applyAlignment="0" applyProtection="0"/>
    <xf numFmtId="0" fontId="18" fillId="0" borderId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7" fillId="7" borderId="0" applyFill="0">
      <alignment wrapText="1"/>
    </xf>
    <xf numFmtId="0" fontId="119" fillId="0" borderId="0">
      <alignment horizontal="center" vertical="top" wrapText="1"/>
    </xf>
    <xf numFmtId="0" fontId="120" fillId="0" borderId="0">
      <alignment horizontal="centerContinuous" vertical="center" wrapText="1"/>
    </xf>
    <xf numFmtId="0" fontId="120" fillId="0" borderId="0">
      <alignment horizontal="centerContinuous" vertical="center" wrapText="1"/>
    </xf>
    <xf numFmtId="165" fontId="119" fillId="0" borderId="0">
      <alignment horizontal="center" vertical="top" wrapText="1"/>
    </xf>
    <xf numFmtId="166" fontId="206" fillId="7" borderId="10">
      <alignment wrapText="1"/>
    </xf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0" fontId="76" fillId="32" borderId="0" applyNumberFormat="0" applyBorder="0" applyAlignment="0" applyProtection="0"/>
    <xf numFmtId="49" fontId="115" fillId="0" borderId="0" applyBorder="0">
      <alignment vertical="top"/>
    </xf>
    <xf numFmtId="49" fontId="115" fillId="0" borderId="0" applyBorder="0">
      <alignment vertical="top"/>
    </xf>
    <xf numFmtId="0" fontId="14" fillId="0" borderId="0"/>
    <xf numFmtId="0" fontId="9" fillId="0" borderId="0"/>
    <xf numFmtId="0" fontId="9" fillId="0" borderId="0"/>
    <xf numFmtId="0" fontId="9" fillId="0" borderId="0"/>
    <xf numFmtId="0" fontId="207" fillId="0" borderId="0"/>
    <xf numFmtId="0" fontId="45" fillId="0" borderId="0"/>
    <xf numFmtId="0" fontId="9" fillId="0" borderId="0"/>
    <xf numFmtId="49" fontId="115" fillId="0" borderId="0" applyBorder="0">
      <alignment vertical="top"/>
    </xf>
    <xf numFmtId="0" fontId="18" fillId="0" borderId="0"/>
    <xf numFmtId="0" fontId="142" fillId="0" borderId="0"/>
    <xf numFmtId="0" fontId="18" fillId="0" borderId="0"/>
    <xf numFmtId="0" fontId="208" fillId="0" borderId="0"/>
    <xf numFmtId="0" fontId="18" fillId="0" borderId="0"/>
    <xf numFmtId="0" fontId="13" fillId="0" borderId="0"/>
    <xf numFmtId="0" fontId="18" fillId="0" borderId="0"/>
    <xf numFmtId="0" fontId="13" fillId="0" borderId="0"/>
    <xf numFmtId="0" fontId="9" fillId="0" borderId="0"/>
    <xf numFmtId="0" fontId="18" fillId="0" borderId="0"/>
    <xf numFmtId="0" fontId="124" fillId="0" borderId="0"/>
    <xf numFmtId="0" fontId="14" fillId="0" borderId="0"/>
    <xf numFmtId="0" fontId="9" fillId="0" borderId="0"/>
    <xf numFmtId="0" fontId="18" fillId="0" borderId="0"/>
    <xf numFmtId="0" fontId="45" fillId="0" borderId="0"/>
    <xf numFmtId="0" fontId="45" fillId="0" borderId="0"/>
    <xf numFmtId="0" fontId="18" fillId="0" borderId="0"/>
    <xf numFmtId="0" fontId="45" fillId="0" borderId="0"/>
    <xf numFmtId="0" fontId="1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1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49" fontId="115" fillId="0" borderId="0">
      <alignment vertical="top"/>
    </xf>
    <xf numFmtId="0" fontId="9" fillId="0" borderId="0"/>
    <xf numFmtId="0" fontId="9" fillId="0" borderId="0"/>
    <xf numFmtId="0" fontId="22" fillId="0" borderId="0"/>
    <xf numFmtId="0" fontId="9" fillId="0" borderId="0"/>
    <xf numFmtId="0" fontId="142" fillId="0" borderId="0"/>
    <xf numFmtId="0" fontId="9" fillId="0" borderId="0"/>
    <xf numFmtId="0" fontId="142" fillId="0" borderId="0"/>
    <xf numFmtId="0" fontId="142" fillId="0" borderId="0"/>
    <xf numFmtId="0" fontId="142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49" fontId="115" fillId="0" borderId="0" applyBorder="0">
      <alignment vertical="top"/>
    </xf>
    <xf numFmtId="49" fontId="115" fillId="0" borderId="0" applyBorder="0">
      <alignment vertical="top"/>
    </xf>
    <xf numFmtId="0" fontId="22" fillId="0" borderId="0"/>
    <xf numFmtId="49" fontId="115" fillId="0" borderId="0" applyBorder="0">
      <alignment vertical="top"/>
    </xf>
    <xf numFmtId="49" fontId="115" fillId="0" borderId="0" applyBorder="0">
      <alignment vertical="top"/>
    </xf>
    <xf numFmtId="49" fontId="115" fillId="0" borderId="0" applyBorder="0">
      <alignment vertical="top"/>
    </xf>
    <xf numFmtId="49" fontId="115" fillId="0" borderId="0" applyBorder="0">
      <alignment vertical="top"/>
    </xf>
    <xf numFmtId="49" fontId="115" fillId="0" borderId="0" applyBorder="0">
      <alignment vertical="top"/>
    </xf>
    <xf numFmtId="49" fontId="115" fillId="0" borderId="0" applyBorder="0">
      <alignment vertical="top"/>
    </xf>
    <xf numFmtId="0" fontId="18" fillId="0" borderId="0"/>
    <xf numFmtId="49" fontId="115" fillId="0" borderId="0" applyBorder="0">
      <alignment vertical="top"/>
    </xf>
    <xf numFmtId="0" fontId="183" fillId="0" borderId="0">
      <alignment vertical="center" wrapText="1"/>
    </xf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18" fillId="0" borderId="0" applyFont="0" applyFill="0" applyBorder="0" applyProtection="0">
      <alignment horizontal="center" vertical="center" wrapText="1"/>
    </xf>
    <xf numFmtId="0" fontId="18" fillId="0" borderId="0" applyFont="0" applyFill="0" applyBorder="0" applyProtection="0">
      <alignment horizontal="center" vertical="center" wrapText="1"/>
    </xf>
    <xf numFmtId="0" fontId="18" fillId="0" borderId="0" applyFont="0" applyFill="0" applyBorder="0" applyProtection="0">
      <alignment horizontal="center" vertical="center" wrapText="1"/>
    </xf>
    <xf numFmtId="0" fontId="18" fillId="0" borderId="0" applyFont="0" applyFill="0" applyBorder="0" applyProtection="0">
      <alignment horizontal="center" vertical="center" wrapText="1"/>
    </xf>
    <xf numFmtId="0" fontId="18" fillId="0" borderId="0" applyNumberFormat="0" applyFont="0" applyFill="0" applyBorder="0" applyProtection="0">
      <alignment horizontal="justify" vertical="center" wrapText="1"/>
    </xf>
    <xf numFmtId="0" fontId="18" fillId="0" borderId="0" applyNumberFormat="0" applyFont="0" applyFill="0" applyBorder="0" applyProtection="0">
      <alignment horizontal="justify" vertical="center" wrapText="1"/>
    </xf>
    <xf numFmtId="0" fontId="18" fillId="0" borderId="0" applyNumberFormat="0" applyFont="0" applyFill="0" applyBorder="0" applyProtection="0">
      <alignment horizontal="justify" vertical="center" wrapText="1"/>
    </xf>
    <xf numFmtId="0" fontId="18" fillId="0" borderId="0" applyNumberFormat="0" applyFont="0" applyFill="0" applyBorder="0" applyProtection="0">
      <alignment horizontal="justify" vertical="center" wrapText="1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0" fontId="14" fillId="33" borderId="3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10" applyNumberFormat="0" applyFon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208" fontId="112" fillId="0" borderId="0">
      <alignment vertical="top"/>
    </xf>
    <xf numFmtId="194" fontId="210" fillId="0" borderId="0">
      <alignment vertical="top"/>
    </xf>
    <xf numFmtId="204" fontId="210" fillId="0" borderId="0">
      <alignment vertical="top"/>
    </xf>
    <xf numFmtId="208" fontId="210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0" fontId="36" fillId="0" borderId="0"/>
    <xf numFmtId="0" fontId="40" fillId="0" borderId="0"/>
    <xf numFmtId="49" fontId="211" fillId="76" borderId="11" applyBorder="0" applyProtection="0">
      <alignment horizontal="left" vertical="center"/>
    </xf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173" fontId="117" fillId="0" borderId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49" fontId="117" fillId="0" borderId="0">
      <alignment horizontal="center"/>
    </xf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2" fontId="117" fillId="0" borderId="0" applyFill="0" applyBorder="0" applyAlignment="0" applyProtection="0"/>
    <xf numFmtId="171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1" fontId="1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9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115" fillId="7" borderId="0" applyBorder="0">
      <alignment horizontal="right"/>
    </xf>
    <xf numFmtId="4" fontId="115" fillId="7" borderId="0" applyBorder="0">
      <alignment horizontal="right"/>
    </xf>
    <xf numFmtId="4" fontId="212" fillId="7" borderId="0" applyBorder="0">
      <alignment horizontal="right"/>
    </xf>
    <xf numFmtId="4" fontId="115" fillId="7" borderId="0" applyBorder="0">
      <alignment horizontal="right"/>
    </xf>
    <xf numFmtId="4" fontId="115" fillId="7" borderId="10" applyFont="0" applyBorder="0">
      <alignment horizontal="right"/>
    </xf>
    <xf numFmtId="4" fontId="115" fillId="7" borderId="10" applyFont="0" applyBorder="0">
      <alignment horizontal="right"/>
    </xf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223" fontId="18" fillId="0" borderId="10" applyFont="0" applyFill="0" applyBorder="0" applyProtection="0">
      <alignment horizontal="center" vertical="center"/>
    </xf>
    <xf numFmtId="223" fontId="18" fillId="0" borderId="10" applyFont="0" applyFill="0" applyBorder="0" applyProtection="0">
      <alignment horizontal="center" vertical="center"/>
    </xf>
    <xf numFmtId="223" fontId="18" fillId="0" borderId="10" applyFont="0" applyFill="0" applyBorder="0" applyProtection="0">
      <alignment horizontal="center" vertical="center"/>
    </xf>
    <xf numFmtId="223" fontId="18" fillId="0" borderId="10" applyFont="0" applyFill="0" applyBorder="0" applyProtection="0">
      <alignment horizontal="center" vertical="center"/>
    </xf>
    <xf numFmtId="224" fontId="42" fillId="0" borderId="0">
      <protection locked="0"/>
    </xf>
    <xf numFmtId="224" fontId="42" fillId="0" borderId="0">
      <protection locked="0"/>
    </xf>
    <xf numFmtId="0" fontId="103" fillId="0" borderId="10" applyBorder="0">
      <alignment horizontal="center" vertical="center" wrapText="1"/>
    </xf>
    <xf numFmtId="49" fontId="107" fillId="0" borderId="10">
      <alignment horizontal="center" vertical="center" wrapText="1"/>
    </xf>
    <xf numFmtId="0" fontId="14" fillId="0" borderId="0"/>
    <xf numFmtId="0" fontId="8" fillId="0" borderId="0"/>
    <xf numFmtId="164" fontId="8" fillId="0" borderId="0" applyFont="0" applyFill="0" applyBorder="0" applyAlignment="0" applyProtection="0"/>
    <xf numFmtId="0" fontId="196" fillId="0" borderId="85" applyNumberFormat="0" applyFill="0" applyAlignment="0" applyProtection="0"/>
    <xf numFmtId="0" fontId="48" fillId="12" borderId="0" applyNumberFormat="0" applyBorder="0" applyAlignment="0" applyProtection="0"/>
    <xf numFmtId="0" fontId="61" fillId="13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3" borderId="34" applyNumberFormat="0" applyFont="0" applyAlignment="0" applyProtection="0"/>
    <xf numFmtId="0" fontId="45" fillId="33" borderId="34" applyNumberFormat="0" applyFont="0" applyAlignment="0" applyProtection="0"/>
    <xf numFmtId="0" fontId="18" fillId="33" borderId="34" applyNumberFormat="0" applyFont="0" applyAlignment="0" applyProtection="0"/>
    <xf numFmtId="0" fontId="18" fillId="0" borderId="0"/>
    <xf numFmtId="0" fontId="76" fillId="32" borderId="0" applyNumberFormat="0" applyBorder="0" applyAlignment="0" applyProtection="0"/>
    <xf numFmtId="0" fontId="45" fillId="0" borderId="0"/>
    <xf numFmtId="0" fontId="45" fillId="0" borderId="0"/>
    <xf numFmtId="0" fontId="46" fillId="24" borderId="0" applyNumberFormat="0" applyBorder="0" applyAlignment="0" applyProtection="0"/>
    <xf numFmtId="0" fontId="72" fillId="0" borderId="31" applyNumberFormat="0" applyFill="0" applyAlignment="0" applyProtection="0"/>
    <xf numFmtId="0" fontId="52" fillId="30" borderId="28" applyNumberFormat="0" applyAlignment="0" applyProtection="0"/>
    <xf numFmtId="0" fontId="101" fillId="0" borderId="0" applyNumberFormat="0" applyFill="0" applyBorder="0" applyAlignment="0" applyProtection="0"/>
    <xf numFmtId="0" fontId="7" fillId="0" borderId="0"/>
    <xf numFmtId="0" fontId="142" fillId="0" borderId="0"/>
    <xf numFmtId="0" fontId="7" fillId="0" borderId="0"/>
    <xf numFmtId="0" fontId="142" fillId="0" borderId="0"/>
    <xf numFmtId="164" fontId="23" fillId="0" borderId="0" applyFont="0" applyFill="0" applyBorder="0" applyAlignment="0" applyProtection="0"/>
    <xf numFmtId="0" fontId="14" fillId="0" borderId="0"/>
    <xf numFmtId="0" fontId="14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231" fillId="0" borderId="0"/>
    <xf numFmtId="0" fontId="36" fillId="0" borderId="0"/>
    <xf numFmtId="0" fontId="36" fillId="0" borderId="0"/>
    <xf numFmtId="0" fontId="36" fillId="0" borderId="0"/>
    <xf numFmtId="0" fontId="231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103" fillId="0" borderId="0"/>
    <xf numFmtId="0" fontId="36" fillId="0" borderId="0"/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36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91" fillId="0" borderId="0">
      <alignment vertical="top"/>
    </xf>
    <xf numFmtId="0" fontId="191" fillId="0" borderId="0">
      <alignment vertical="top"/>
    </xf>
    <xf numFmtId="0" fontId="36" fillId="0" borderId="0"/>
    <xf numFmtId="0" fontId="36" fillId="0" borderId="0"/>
    <xf numFmtId="0" fontId="36" fillId="0" borderId="0"/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177" fontId="14" fillId="9" borderId="23">
      <alignment wrapText="1"/>
      <protection locked="0"/>
    </xf>
    <xf numFmtId="177" fontId="14" fillId="9" borderId="23">
      <alignment wrapText="1"/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191" fillId="0" borderId="0">
      <alignment vertical="top"/>
    </xf>
    <xf numFmtId="0" fontId="40" fillId="0" borderId="0"/>
    <xf numFmtId="0" fontId="191" fillId="0" borderId="0">
      <alignment vertical="top"/>
    </xf>
    <xf numFmtId="0" fontId="40" fillId="0" borderId="0"/>
    <xf numFmtId="0" fontId="36" fillId="0" borderId="0"/>
    <xf numFmtId="0" fontId="40" fillId="0" borderId="0"/>
    <xf numFmtId="0" fontId="191" fillId="0" borderId="0">
      <alignment vertical="top"/>
    </xf>
    <xf numFmtId="0" fontId="191" fillId="0" borderId="0">
      <alignment vertical="top"/>
    </xf>
    <xf numFmtId="0" fontId="40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40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40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40" fillId="0" borderId="0"/>
    <xf numFmtId="0" fontId="36" fillId="0" borderId="0"/>
    <xf numFmtId="0" fontId="40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42" fillId="0" borderId="0">
      <protection locked="0"/>
    </xf>
    <xf numFmtId="0" fontId="42" fillId="0" borderId="0"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31" fillId="0" borderId="0"/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232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40" fillId="0" borderId="0"/>
    <xf numFmtId="0" fontId="18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0" fontId="18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40" fillId="0" borderId="0"/>
    <xf numFmtId="0" fontId="40" fillId="0" borderId="0"/>
    <xf numFmtId="0" fontId="36" fillId="0" borderId="0"/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38" fontId="112" fillId="0" borderId="0">
      <alignment vertical="top"/>
    </xf>
    <xf numFmtId="208" fontId="112" fillId="0" borderId="0">
      <alignment vertical="top"/>
    </xf>
    <xf numFmtId="208" fontId="112" fillId="0" borderId="0">
      <alignment vertical="top"/>
    </xf>
    <xf numFmtId="0" fontId="18" fillId="0" borderId="0"/>
    <xf numFmtId="0" fontId="40" fillId="0" borderId="0"/>
    <xf numFmtId="0" fontId="36" fillId="0" borderId="0"/>
    <xf numFmtId="0" fontId="40" fillId="0" borderId="0"/>
    <xf numFmtId="0" fontId="191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40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225" fontId="14" fillId="0" borderId="33" applyFont="0">
      <alignment shrinkToFit="1"/>
    </xf>
    <xf numFmtId="0" fontId="40" fillId="0" borderId="0"/>
    <xf numFmtId="0" fontId="40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18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40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44" fontId="18" fillId="0" borderId="0">
      <protection locked="0"/>
    </xf>
    <xf numFmtId="44" fontId="18" fillId="0" borderId="0">
      <protection locked="0"/>
    </xf>
    <xf numFmtId="44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25">
      <protection locked="0"/>
    </xf>
    <xf numFmtId="0" fontId="18" fillId="0" borderId="0"/>
    <xf numFmtId="226" fontId="22" fillId="0" borderId="0">
      <alignment horizontal="center"/>
    </xf>
    <xf numFmtId="0" fontId="209" fillId="88" borderId="0" applyNumberFormat="0" applyBorder="0" applyAlignment="0" applyProtection="0"/>
    <xf numFmtId="0" fontId="209" fillId="16" borderId="0" applyNumberFormat="0" applyBorder="0" applyAlignment="0" applyProtection="0"/>
    <xf numFmtId="0" fontId="209" fillId="33" borderId="0" applyNumberFormat="0" applyBorder="0" applyAlignment="0" applyProtection="0"/>
    <xf numFmtId="0" fontId="209" fillId="88" borderId="0" applyNumberFormat="0" applyBorder="0" applyAlignment="0" applyProtection="0"/>
    <xf numFmtId="0" fontId="209" fillId="15" borderId="0" applyNumberFormat="0" applyBorder="0" applyAlignment="0" applyProtection="0"/>
    <xf numFmtId="0" fontId="209" fillId="16" borderId="0" applyNumberFormat="0" applyBorder="0" applyAlignment="0" applyProtection="0"/>
    <xf numFmtId="0" fontId="209" fillId="29" borderId="0" applyNumberFormat="0" applyBorder="0" applyAlignment="0" applyProtection="0"/>
    <xf numFmtId="0" fontId="209" fillId="18" borderId="0" applyNumberFormat="0" applyBorder="0" applyAlignment="0" applyProtection="0"/>
    <xf numFmtId="0" fontId="209" fillId="32" borderId="0" applyNumberFormat="0" applyBorder="0" applyAlignment="0" applyProtection="0"/>
    <xf numFmtId="0" fontId="209" fillId="29" borderId="0" applyNumberFormat="0" applyBorder="0" applyAlignment="0" applyProtection="0"/>
    <xf numFmtId="0" fontId="209" fillId="17" borderId="0" applyNumberFormat="0" applyBorder="0" applyAlignment="0" applyProtection="0"/>
    <xf numFmtId="0" fontId="209" fillId="16" borderId="0" applyNumberFormat="0" applyBorder="0" applyAlignment="0" applyProtection="0"/>
    <xf numFmtId="4" fontId="168" fillId="0" borderId="99">
      <alignment horizontal="right" vertical="top"/>
    </xf>
    <xf numFmtId="0" fontId="233" fillId="23" borderId="0" applyNumberFormat="0" applyBorder="0" applyAlignment="0" applyProtection="0"/>
    <xf numFmtId="0" fontId="233" fillId="18" borderId="0" applyNumberFormat="0" applyBorder="0" applyAlignment="0" applyProtection="0"/>
    <xf numFmtId="0" fontId="233" fillId="32" borderId="0" applyNumberFormat="0" applyBorder="0" applyAlignment="0" applyProtection="0"/>
    <xf numFmtId="0" fontId="233" fillId="29" borderId="0" applyNumberFormat="0" applyBorder="0" applyAlignment="0" applyProtection="0"/>
    <xf numFmtId="0" fontId="233" fillId="23" borderId="0" applyNumberFormat="0" applyBorder="0" applyAlignment="0" applyProtection="0"/>
    <xf numFmtId="0" fontId="233" fillId="16" borderId="0" applyNumberFormat="0" applyBorder="0" applyAlignment="0" applyProtection="0"/>
    <xf numFmtId="227" fontId="234" fillId="0" borderId="0" applyFont="0" applyFill="0" applyBorder="0">
      <alignment horizontal="center"/>
    </xf>
    <xf numFmtId="4" fontId="168" fillId="0" borderId="99">
      <alignment horizontal="right" vertical="top"/>
    </xf>
    <xf numFmtId="0" fontId="78" fillId="0" borderId="0">
      <alignment horizontal="right"/>
    </xf>
    <xf numFmtId="0" fontId="184" fillId="53" borderId="0"/>
    <xf numFmtId="0" fontId="235" fillId="0" borderId="0" applyFill="0" applyBorder="0" applyProtection="0">
      <alignment horizontal="center"/>
      <protection locked="0"/>
    </xf>
    <xf numFmtId="179" fontId="103" fillId="89" borderId="44">
      <alignment vertical="center"/>
    </xf>
    <xf numFmtId="0" fontId="53" fillId="0" borderId="99">
      <alignment horizontal="left" vertical="center"/>
    </xf>
    <xf numFmtId="165" fontId="53" fillId="0" borderId="99">
      <alignment horizontal="left" vertical="center"/>
    </xf>
    <xf numFmtId="228" fontId="14" fillId="0" borderId="106" applyFont="0" applyFill="0" applyBorder="0" applyProtection="0">
      <alignment horizontal="center"/>
      <protection locked="0"/>
    </xf>
    <xf numFmtId="0" fontId="42" fillId="0" borderId="0">
      <protection locked="0"/>
    </xf>
    <xf numFmtId="229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1" fontId="14" fillId="0" borderId="0" applyFont="0" applyFill="0" applyBorder="0" applyAlignment="0" applyProtection="0"/>
    <xf numFmtId="0" fontId="236" fillId="0" borderId="0" applyFill="0" applyBorder="0" applyAlignment="0" applyProtection="0">
      <protection locked="0"/>
    </xf>
    <xf numFmtId="232" fontId="50" fillId="0" borderId="0" applyFill="0" applyBorder="0" applyProtection="0"/>
    <xf numFmtId="232" fontId="50" fillId="0" borderId="87" applyFill="0" applyProtection="0"/>
    <xf numFmtId="232" fontId="50" fillId="0" borderId="87" applyFill="0" applyProtection="0"/>
    <xf numFmtId="232" fontId="50" fillId="0" borderId="25" applyFill="0" applyProtection="0"/>
    <xf numFmtId="0" fontId="42" fillId="0" borderId="0">
      <protection locked="0"/>
    </xf>
    <xf numFmtId="42" fontId="18" fillId="0" borderId="0" applyFont="0" applyFill="0" applyBorder="0" applyAlignment="0" applyProtection="0"/>
    <xf numFmtId="233" fontId="14" fillId="0" borderId="0" applyFont="0" applyFill="0" applyBorder="0" applyAlignment="0" applyProtection="0"/>
    <xf numFmtId="234" fontId="14" fillId="0" borderId="0" applyFont="0" applyFill="0" applyBorder="0" applyAlignment="0" applyProtection="0"/>
    <xf numFmtId="232" fontId="14" fillId="0" borderId="0" applyFont="0" applyFill="0" applyBorder="0" applyAlignment="0" applyProtection="0"/>
    <xf numFmtId="37" fontId="191" fillId="0" borderId="107" applyFont="0" applyFill="0" applyBorder="0"/>
    <xf numFmtId="37" fontId="237" fillId="0" borderId="107" applyFont="0" applyFill="0" applyBorder="0">
      <protection locked="0"/>
    </xf>
    <xf numFmtId="37" fontId="238" fillId="40" borderId="99" applyFill="0" applyBorder="0" applyProtection="0"/>
    <xf numFmtId="37" fontId="238" fillId="40" borderId="99" applyFill="0" applyBorder="0" applyProtection="0"/>
    <xf numFmtId="37" fontId="237" fillId="0" borderId="107" applyFill="0" applyBorder="0">
      <protection locked="0"/>
    </xf>
    <xf numFmtId="0" fontId="239" fillId="9" borderId="89" applyNumberFormat="0" applyFont="0" applyBorder="0" applyAlignment="0" applyProtection="0"/>
    <xf numFmtId="0" fontId="184" fillId="54" borderId="0"/>
    <xf numFmtId="15" fontId="109" fillId="0" borderId="19" applyFont="0" applyFill="0" applyBorder="0" applyAlignment="0">
      <alignment horizontal="centerContinuous"/>
    </xf>
    <xf numFmtId="235" fontId="109" fillId="0" borderId="19" applyFont="0" applyFill="0" applyBorder="0" applyAlignment="0">
      <alignment horizontal="centerContinuous"/>
    </xf>
    <xf numFmtId="236" fontId="42" fillId="0" borderId="0">
      <protection locked="0"/>
    </xf>
    <xf numFmtId="234" fontId="50" fillId="0" borderId="0" applyFill="0" applyBorder="0" applyProtection="0"/>
    <xf numFmtId="234" fontId="50" fillId="0" borderId="87" applyFill="0" applyProtection="0"/>
    <xf numFmtId="234" fontId="50" fillId="0" borderId="87" applyFill="0" applyProtection="0"/>
    <xf numFmtId="234" fontId="50" fillId="0" borderId="25" applyFill="0" applyProtection="0"/>
    <xf numFmtId="38" fontId="172" fillId="0" borderId="0">
      <alignment vertical="top"/>
    </xf>
    <xf numFmtId="0" fontId="108" fillId="0" borderId="44" applyNumberFormat="0" applyFill="0" applyAlignment="0" applyProtection="0"/>
    <xf numFmtId="0" fontId="108" fillId="0" borderId="64" applyNumberFormat="0" applyFill="0" applyAlignment="0" applyProtection="0"/>
    <xf numFmtId="0" fontId="108" fillId="0" borderId="64" applyNumberFormat="0" applyFill="0" applyAlignment="0" applyProtection="0"/>
    <xf numFmtId="0" fontId="108" fillId="0" borderId="64" applyNumberFormat="0" applyFill="0" applyAlignment="0" applyProtection="0"/>
    <xf numFmtId="0" fontId="108" fillId="0" borderId="64" applyNumberFormat="0" applyFill="0" applyAlignment="0" applyProtection="0"/>
    <xf numFmtId="167" fontId="62" fillId="7" borderId="99" applyNumberFormat="0" applyFont="0" applyBorder="0" applyAlignment="0" applyProtection="0"/>
    <xf numFmtId="0" fontId="240" fillId="0" borderId="50">
      <alignment horizontal="center" vertical="center"/>
    </xf>
    <xf numFmtId="0" fontId="235" fillId="0" borderId="0" applyFill="0" applyAlignment="0" applyProtection="0">
      <protection locked="0"/>
    </xf>
    <xf numFmtId="0" fontId="235" fillId="0" borderId="36" applyFill="0" applyAlignment="0" applyProtection="0">
      <protection locked="0"/>
    </xf>
    <xf numFmtId="0" fontId="43" fillId="0" borderId="0">
      <protection locked="0"/>
    </xf>
    <xf numFmtId="38" fontId="181" fillId="0" borderId="0">
      <alignment vertical="top"/>
    </xf>
    <xf numFmtId="184" fontId="70" fillId="0" borderId="99">
      <alignment horizontal="center" vertical="center" wrapText="1"/>
    </xf>
    <xf numFmtId="38" fontId="167" fillId="40" borderId="0">
      <alignment vertical="top"/>
    </xf>
    <xf numFmtId="38" fontId="167" fillId="0" borderId="0">
      <alignment vertical="top"/>
    </xf>
    <xf numFmtId="38" fontId="167" fillId="0" borderId="0">
      <alignment vertical="top"/>
    </xf>
    <xf numFmtId="38" fontId="167" fillId="0" borderId="0">
      <alignment vertical="top"/>
    </xf>
    <xf numFmtId="38" fontId="167" fillId="0" borderId="0">
      <alignment vertical="top"/>
    </xf>
    <xf numFmtId="179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87" fontId="74" fillId="0" borderId="99">
      <alignment horizontal="right"/>
      <protection locked="0"/>
    </xf>
    <xf numFmtId="237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09" fillId="40" borderId="99" applyFont="0" applyBorder="0" applyAlignment="0">
      <alignment horizontal="center" vertical="center"/>
    </xf>
    <xf numFmtId="0" fontId="18" fillId="0" borderId="0"/>
    <xf numFmtId="0" fontId="18" fillId="0" borderId="0"/>
    <xf numFmtId="0" fontId="18" fillId="0" borderId="0"/>
    <xf numFmtId="0" fontId="42" fillId="0" borderId="0">
      <protection locked="0"/>
    </xf>
    <xf numFmtId="239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43" fontId="14" fillId="0" borderId="0" applyFont="0" applyFill="0" applyBorder="0" applyAlignment="0" applyProtection="0"/>
    <xf numFmtId="244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49" fontId="86" fillId="0" borderId="99" applyNumberFormat="0">
      <alignment horizontal="left" vertical="center"/>
    </xf>
    <xf numFmtId="248" fontId="241" fillId="0" borderId="44">
      <alignment vertical="center"/>
    </xf>
    <xf numFmtId="0" fontId="235" fillId="0" borderId="79">
      <alignment vertical="top"/>
      <protection locked="0"/>
    </xf>
    <xf numFmtId="0" fontId="235" fillId="0" borderId="79">
      <alignment vertical="top"/>
      <protection locked="0"/>
    </xf>
    <xf numFmtId="220" fontId="187" fillId="56" borderId="99">
      <alignment horizontal="center" vertical="center" wrapText="1"/>
      <protection locked="0"/>
    </xf>
    <xf numFmtId="4" fontId="170" fillId="32" borderId="108" applyNumberFormat="0" applyProtection="0">
      <alignment vertical="center"/>
    </xf>
    <xf numFmtId="4" fontId="242" fillId="9" borderId="108" applyNumberFormat="0" applyProtection="0">
      <alignment vertical="center"/>
    </xf>
    <xf numFmtId="4" fontId="170" fillId="9" borderId="108" applyNumberFormat="0" applyProtection="0">
      <alignment horizontal="left" vertical="center" indent="1"/>
    </xf>
    <xf numFmtId="0" fontId="170" fillId="9" borderId="108" applyNumberFormat="0" applyProtection="0">
      <alignment horizontal="left" vertical="top" indent="1"/>
    </xf>
    <xf numFmtId="4" fontId="170" fillId="37" borderId="0" applyNumberFormat="0" applyProtection="0">
      <alignment horizontal="left" vertical="center" indent="1"/>
    </xf>
    <xf numFmtId="4" fontId="188" fillId="12" borderId="108" applyNumberFormat="0" applyProtection="0">
      <alignment horizontal="right" vertical="center"/>
    </xf>
    <xf numFmtId="4" fontId="188" fillId="18" borderId="108" applyNumberFormat="0" applyProtection="0">
      <alignment horizontal="right" vertical="center"/>
    </xf>
    <xf numFmtId="4" fontId="188" fillId="26" borderId="108" applyNumberFormat="0" applyProtection="0">
      <alignment horizontal="right" vertical="center"/>
    </xf>
    <xf numFmtId="4" fontId="188" fillId="20" borderId="108" applyNumberFormat="0" applyProtection="0">
      <alignment horizontal="right" vertical="center"/>
    </xf>
    <xf numFmtId="4" fontId="188" fillId="24" borderId="108" applyNumberFormat="0" applyProtection="0">
      <alignment horizontal="right" vertical="center"/>
    </xf>
    <xf numFmtId="4" fontId="188" fillId="28" borderId="108" applyNumberFormat="0" applyProtection="0">
      <alignment horizontal="right" vertical="center"/>
    </xf>
    <xf numFmtId="4" fontId="188" fillId="27" borderId="108" applyNumberFormat="0" applyProtection="0">
      <alignment horizontal="right" vertical="center"/>
    </xf>
    <xf numFmtId="4" fontId="188" fillId="90" borderId="108" applyNumberFormat="0" applyProtection="0">
      <alignment horizontal="right" vertical="center"/>
    </xf>
    <xf numFmtId="4" fontId="188" fillId="19" borderId="108" applyNumberFormat="0" applyProtection="0">
      <alignment horizontal="right" vertical="center"/>
    </xf>
    <xf numFmtId="4" fontId="170" fillId="91" borderId="109" applyNumberFormat="0" applyProtection="0">
      <alignment horizontal="left" vertical="center" indent="1"/>
    </xf>
    <xf numFmtId="4" fontId="188" fillId="92" borderId="0" applyNumberFormat="0" applyProtection="0">
      <alignment horizontal="left" vertical="center" indent="1"/>
    </xf>
    <xf numFmtId="4" fontId="188" fillId="93" borderId="108" applyNumberFormat="0" applyProtection="0">
      <alignment horizontal="right" vertical="center"/>
    </xf>
    <xf numFmtId="4" fontId="191" fillId="92" borderId="0" applyNumberFormat="0" applyProtection="0">
      <alignment horizontal="left" vertical="center" indent="1"/>
    </xf>
    <xf numFmtId="4" fontId="191" fillId="37" borderId="0" applyNumberFormat="0" applyProtection="0">
      <alignment horizontal="left" vertical="center" indent="1"/>
    </xf>
    <xf numFmtId="0" fontId="14" fillId="69" borderId="108" applyNumberFormat="0" applyProtection="0">
      <alignment horizontal="left" vertical="center" indent="1"/>
    </xf>
    <xf numFmtId="0" fontId="14" fillId="69" borderId="108" applyNumberFormat="0" applyProtection="0">
      <alignment horizontal="left" vertical="top" indent="1"/>
    </xf>
    <xf numFmtId="0" fontId="14" fillId="37" borderId="108" applyNumberFormat="0" applyProtection="0">
      <alignment horizontal="left" vertical="center" indent="1"/>
    </xf>
    <xf numFmtId="0" fontId="14" fillId="37" borderId="108" applyNumberFormat="0" applyProtection="0">
      <alignment horizontal="left" vertical="top" indent="1"/>
    </xf>
    <xf numFmtId="0" fontId="14" fillId="89" borderId="108" applyNumberFormat="0" applyProtection="0">
      <alignment horizontal="left" vertical="center" indent="1"/>
    </xf>
    <xf numFmtId="0" fontId="14" fillId="89" borderId="108" applyNumberFormat="0" applyProtection="0">
      <alignment horizontal="left" vertical="top" indent="1"/>
    </xf>
    <xf numFmtId="0" fontId="14" fillId="39" borderId="108" applyNumberFormat="0" applyProtection="0">
      <alignment horizontal="left" vertical="center" indent="1"/>
    </xf>
    <xf numFmtId="0" fontId="14" fillId="39" borderId="108" applyNumberFormat="0" applyProtection="0">
      <alignment horizontal="left" vertical="top" indent="1"/>
    </xf>
    <xf numFmtId="4" fontId="188" fillId="72" borderId="108" applyNumberFormat="0" applyProtection="0">
      <alignment vertical="center"/>
    </xf>
    <xf numFmtId="4" fontId="189" fillId="72" borderId="108" applyNumberFormat="0" applyProtection="0">
      <alignment vertical="center"/>
    </xf>
    <xf numFmtId="4" fontId="188" fillId="72" borderId="108" applyNumberFormat="0" applyProtection="0">
      <alignment horizontal="left" vertical="center" indent="1"/>
    </xf>
    <xf numFmtId="0" fontId="188" fillId="72" borderId="108" applyNumberFormat="0" applyProtection="0">
      <alignment horizontal="left" vertical="top" indent="1"/>
    </xf>
    <xf numFmtId="4" fontId="188" fillId="92" borderId="108" applyNumberFormat="0" applyProtection="0">
      <alignment horizontal="right" vertical="center"/>
    </xf>
    <xf numFmtId="4" fontId="189" fillId="92" borderId="108" applyNumberFormat="0" applyProtection="0">
      <alignment horizontal="right" vertical="center"/>
    </xf>
    <xf numFmtId="4" fontId="188" fillId="93" borderId="108" applyNumberFormat="0" applyProtection="0">
      <alignment horizontal="left" vertical="center" indent="1"/>
    </xf>
    <xf numFmtId="0" fontId="188" fillId="37" borderId="108" applyNumberFormat="0" applyProtection="0">
      <alignment horizontal="left" vertical="top" indent="1"/>
    </xf>
    <xf numFmtId="4" fontId="243" fillId="94" borderId="0" applyNumberFormat="0" applyProtection="0">
      <alignment horizontal="left" vertical="center" indent="1"/>
    </xf>
    <xf numFmtId="4" fontId="193" fillId="92" borderId="108" applyNumberFormat="0" applyProtection="0">
      <alignment horizontal="right" vertical="center"/>
    </xf>
    <xf numFmtId="0" fontId="244" fillId="95" borderId="0"/>
    <xf numFmtId="49" fontId="245" fillId="95" borderId="0"/>
    <xf numFmtId="49" fontId="246" fillId="95" borderId="110"/>
    <xf numFmtId="49" fontId="246" fillId="95" borderId="0"/>
    <xf numFmtId="0" fontId="244" fillId="42" borderId="110">
      <protection locked="0"/>
    </xf>
    <xf numFmtId="0" fontId="244" fillId="95" borderId="0"/>
    <xf numFmtId="0" fontId="246" fillId="96" borderId="0"/>
    <xf numFmtId="0" fontId="246" fillId="66" borderId="0"/>
    <xf numFmtId="0" fontId="246" fillId="61" borderId="0"/>
    <xf numFmtId="0" fontId="78" fillId="0" borderId="0" applyNumberFormat="0" applyFill="0" applyBorder="0" applyAlignment="0" applyProtection="0">
      <alignment horizontal="center"/>
    </xf>
    <xf numFmtId="0" fontId="241" fillId="0" borderId="111" applyNumberFormat="0" applyFill="0" applyAlignment="0"/>
    <xf numFmtId="0" fontId="14" fillId="0" borderId="112" applyNumberFormat="0" applyFont="0" applyAlignment="0"/>
    <xf numFmtId="0" fontId="241" fillId="0" borderId="112" applyNumberFormat="0"/>
    <xf numFmtId="0" fontId="247" fillId="58" borderId="44" applyNumberFormat="0"/>
    <xf numFmtId="0" fontId="247" fillId="41" borderId="44" applyNumberFormat="0"/>
    <xf numFmtId="0" fontId="247" fillId="71" borderId="44" applyNumberFormat="0"/>
    <xf numFmtId="0" fontId="248" fillId="0" borderId="0" applyFill="0" applyBorder="0" applyProtection="0">
      <alignment horizontal="left" vertical="top"/>
    </xf>
    <xf numFmtId="0" fontId="235" fillId="0" borderId="113">
      <alignment vertical="center"/>
    </xf>
    <xf numFmtId="0" fontId="235" fillId="0" borderId="113">
      <alignment vertical="center"/>
    </xf>
    <xf numFmtId="249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1" fontId="14" fillId="0" borderId="0" applyFont="0" applyFill="0" applyBorder="0" applyAlignment="0" applyProtection="0"/>
    <xf numFmtId="252" fontId="14" fillId="0" borderId="0" applyFont="0" applyFill="0" applyBorder="0" applyAlignment="0" applyProtection="0"/>
    <xf numFmtId="253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6" fontId="14" fillId="0" borderId="0" applyFont="0" applyFill="0" applyBorder="0" applyAlignment="0" applyProtection="0"/>
    <xf numFmtId="257" fontId="109" fillId="0" borderId="19" applyFont="0" applyFill="0" applyBorder="0" applyAlignment="0">
      <alignment horizontal="centerContinuous"/>
    </xf>
    <xf numFmtId="258" fontId="249" fillId="0" borderId="19" applyFont="0" applyFill="0" applyBorder="0" applyAlignment="0">
      <alignment horizontal="centerContinuous"/>
    </xf>
    <xf numFmtId="220" fontId="14" fillId="75" borderId="114" applyNumberFormat="0" applyFill="0" applyBorder="0" applyProtection="0">
      <alignment vertical="center"/>
      <protection locked="0"/>
    </xf>
    <xf numFmtId="0" fontId="250" fillId="16" borderId="115" applyNumberFormat="0" applyAlignment="0" applyProtection="0"/>
    <xf numFmtId="0" fontId="250" fillId="16" borderId="115" applyNumberFormat="0" applyAlignment="0" applyProtection="0"/>
    <xf numFmtId="0" fontId="14" fillId="7" borderId="0" applyNumberFormat="0" applyFont="0" applyBorder="0" applyAlignment="0"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4" fontId="108" fillId="0" borderId="114">
      <alignment horizontal="left" vertical="center"/>
    </xf>
    <xf numFmtId="4" fontId="108" fillId="0" borderId="114"/>
    <xf numFmtId="4" fontId="108" fillId="37" borderId="114"/>
    <xf numFmtId="4" fontId="108" fillId="38" borderId="114"/>
    <xf numFmtId="4" fontId="109" fillId="39" borderId="114"/>
    <xf numFmtId="4" fontId="110" fillId="40" borderId="114"/>
    <xf numFmtId="4" fontId="111" fillId="0" borderId="114">
      <alignment horizontal="center" wrapText="1"/>
    </xf>
    <xf numFmtId="174" fontId="108" fillId="0" borderId="114"/>
    <xf numFmtId="174" fontId="107" fillId="0" borderId="114">
      <alignment horizontal="center" vertical="center" wrapText="1"/>
    </xf>
    <xf numFmtId="174" fontId="107" fillId="0" borderId="114">
      <alignment vertical="top" wrapText="1"/>
    </xf>
    <xf numFmtId="0" fontId="18" fillId="0" borderId="114">
      <alignment horizontal="center" vertical="center" wrapText="1"/>
    </xf>
    <xf numFmtId="0" fontId="18" fillId="0" borderId="114">
      <alignment horizontal="center" vertical="center" wrapText="1"/>
    </xf>
    <xf numFmtId="0" fontId="252" fillId="0" borderId="0" applyNumberFormat="0" applyFill="0" applyBorder="0" applyAlignment="0" applyProtection="0"/>
    <xf numFmtId="0" fontId="28" fillId="0" borderId="20" applyBorder="0">
      <alignment horizontal="center" vertical="center" wrapText="1"/>
    </xf>
    <xf numFmtId="0" fontId="28" fillId="0" borderId="20" applyBorder="0">
      <alignment horizontal="center" vertical="center" wrapText="1"/>
    </xf>
    <xf numFmtId="0" fontId="28" fillId="0" borderId="20" applyBorder="0">
      <alignment horizontal="center" vertical="center" wrapText="1"/>
    </xf>
    <xf numFmtId="0" fontId="18" fillId="33" borderId="116" applyNumberFormat="0" applyFont="0" applyAlignment="0" applyProtection="0"/>
    <xf numFmtId="0" fontId="18" fillId="33" borderId="116" applyNumberFormat="0" applyFont="0" applyAlignment="0" applyProtection="0"/>
    <xf numFmtId="4" fontId="115" fillId="9" borderId="114" applyBorder="0">
      <alignment horizontal="right"/>
    </xf>
    <xf numFmtId="3" fontId="114" fillId="0" borderId="114" applyBorder="0">
      <alignment vertical="center"/>
    </xf>
    <xf numFmtId="3" fontId="114" fillId="0" borderId="114" applyBorder="0">
      <alignment vertical="center"/>
    </xf>
    <xf numFmtId="0" fontId="121" fillId="42" borderId="36">
      <alignment vertical="center"/>
    </xf>
    <xf numFmtId="165" fontId="121" fillId="42" borderId="36">
      <alignment vertical="center"/>
    </xf>
    <xf numFmtId="166" fontId="206" fillId="7" borderId="114">
      <alignment wrapText="1"/>
    </xf>
    <xf numFmtId="49" fontId="104" fillId="0" borderId="114">
      <alignment horizontal="righ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0" borderId="0"/>
    <xf numFmtId="0" fontId="22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18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8" fillId="0" borderId="0"/>
    <xf numFmtId="0" fontId="6" fillId="0" borderId="0"/>
    <xf numFmtId="0" fontId="45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6" fillId="0" borderId="0"/>
    <xf numFmtId="0" fontId="6" fillId="0" borderId="0"/>
    <xf numFmtId="0" fontId="2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254" fillId="0" borderId="0"/>
    <xf numFmtId="0" fontId="14" fillId="0" borderId="0"/>
    <xf numFmtId="0" fontId="14" fillId="0" borderId="0"/>
    <xf numFmtId="0" fontId="45" fillId="0" borderId="0"/>
    <xf numFmtId="0" fontId="6" fillId="0" borderId="0"/>
    <xf numFmtId="165" fontId="14" fillId="0" borderId="0"/>
    <xf numFmtId="165" fontId="14" fillId="0" borderId="0"/>
    <xf numFmtId="165" fontId="14" fillId="0" borderId="0"/>
    <xf numFmtId="0" fontId="6" fillId="0" borderId="0"/>
    <xf numFmtId="0" fontId="6" fillId="0" borderId="0"/>
    <xf numFmtId="165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NumberFormat="0" applyFont="0" applyFill="0" applyBorder="0" applyAlignment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7" fillId="0" borderId="0"/>
    <xf numFmtId="0" fontId="6" fillId="0" borderId="0"/>
    <xf numFmtId="0" fontId="6" fillId="0" borderId="0"/>
    <xf numFmtId="0" fontId="142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18" fillId="0" borderId="0"/>
    <xf numFmtId="1" fontId="127" fillId="0" borderId="114">
      <alignment horizontal="left" vertical="center"/>
    </xf>
    <xf numFmtId="174" fontId="128" fillId="0" borderId="114">
      <alignment vertical="top"/>
    </xf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53" fillId="0" borderId="0" applyFont="0" applyFill="0" applyBorder="0" applyAlignment="0" applyProtection="0"/>
    <xf numFmtId="168" fontId="132" fillId="0" borderId="114"/>
    <xf numFmtId="0" fontId="18" fillId="0" borderId="114" applyNumberFormat="0" applyFont="0" applyFill="0" applyAlignment="0" applyProtection="0"/>
    <xf numFmtId="165" fontId="18" fillId="0" borderId="114" applyNumberFormat="0" applyFont="0" applyFill="0" applyAlignment="0" applyProtection="0"/>
    <xf numFmtId="0" fontId="14" fillId="0" borderId="0" applyFont="0" applyFill="0" applyBorder="0">
      <alignment horizontal="right"/>
    </xf>
    <xf numFmtId="0" fontId="40" fillId="0" borderId="0"/>
    <xf numFmtId="2" fontId="15" fillId="0" borderId="114" applyNumberFormat="0">
      <alignment vertical="center"/>
    </xf>
    <xf numFmtId="4" fontId="6" fillId="0" borderId="0">
      <alignment horizontal="center" vertical="center"/>
    </xf>
    <xf numFmtId="4" fontId="6" fillId="0" borderId="0">
      <alignment horizontal="center" vertical="center"/>
    </xf>
    <xf numFmtId="4" fontId="6" fillId="0" borderId="0" applyProtection="0">
      <alignment horizontal="center" vertical="center"/>
    </xf>
    <xf numFmtId="4" fontId="6" fillId="0" borderId="0" applyProtection="0">
      <alignment horizontal="center" vertical="center"/>
    </xf>
    <xf numFmtId="4" fontId="6" fillId="0" borderId="0">
      <alignment horizontal="center" vertical="center"/>
    </xf>
    <xf numFmtId="4" fontId="6" fillId="0" borderId="0">
      <alignment horizontal="center" vertical="center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1" fontId="124" fillId="0" borderId="0" applyFont="0" applyFill="0" applyBorder="0" applyAlignment="0" applyProtection="0"/>
    <xf numFmtId="179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14" fillId="0" borderId="0" applyFont="0" applyFill="0" applyBorder="0" applyAlignment="0" applyProtection="0"/>
    <xf numFmtId="43" fontId="254" fillId="0" borderId="0" applyFont="0" applyFill="0" applyBorder="0" applyAlignment="0" applyProtection="0"/>
    <xf numFmtId="43" fontId="25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" fontId="115" fillId="7" borderId="0" applyFont="0" applyBorder="0">
      <alignment horizontal="right"/>
    </xf>
    <xf numFmtId="4" fontId="115" fillId="7" borderId="114" applyFont="0" applyBorder="0">
      <alignment horizontal="right"/>
    </xf>
    <xf numFmtId="4" fontId="115" fillId="7" borderId="114" applyFont="0" applyBorder="0">
      <alignment horizontal="right"/>
    </xf>
    <xf numFmtId="2" fontId="14" fillId="0" borderId="0" applyFont="0" applyFill="0" applyBorder="0">
      <alignment horizontal="right"/>
    </xf>
    <xf numFmtId="223" fontId="18" fillId="0" borderId="114" applyFont="0" applyFill="0" applyBorder="0" applyProtection="0">
      <alignment horizontal="center" vertical="center"/>
    </xf>
    <xf numFmtId="223" fontId="18" fillId="0" borderId="114" applyFont="0" applyFill="0" applyBorder="0" applyProtection="0">
      <alignment horizontal="center" vertical="center"/>
    </xf>
    <xf numFmtId="223" fontId="18" fillId="0" borderId="114" applyFont="0" applyFill="0" applyBorder="0" applyProtection="0">
      <alignment horizontal="center" vertical="center"/>
    </xf>
    <xf numFmtId="223" fontId="18" fillId="0" borderId="114" applyFont="0" applyFill="0" applyBorder="0" applyProtection="0">
      <alignment horizontal="center" vertical="center"/>
    </xf>
    <xf numFmtId="44" fontId="18" fillId="0" borderId="0">
      <protection locked="0"/>
    </xf>
    <xf numFmtId="49" fontId="107" fillId="0" borderId="114">
      <alignment horizontal="center" vertical="center" wrapText="1"/>
    </xf>
    <xf numFmtId="0" fontId="103" fillId="0" borderId="114" applyBorder="0">
      <alignment horizontal="center" vertical="center" wrapText="1"/>
    </xf>
    <xf numFmtId="0" fontId="103" fillId="0" borderId="114" applyBorder="0">
      <alignment horizontal="center" vertical="center" wrapText="1"/>
    </xf>
    <xf numFmtId="49" fontId="88" fillId="0" borderId="114" applyNumberFormat="0" applyFill="0" applyAlignment="0" applyProtection="0"/>
    <xf numFmtId="259" fontId="6" fillId="0" borderId="0" applyFont="0" applyFill="0" applyBorder="0" applyAlignment="0" applyProtection="0"/>
    <xf numFmtId="0" fontId="210" fillId="0" borderId="0"/>
    <xf numFmtId="0" fontId="23" fillId="0" borderId="0"/>
    <xf numFmtId="9" fontId="23" fillId="0" borderId="0" applyFont="0" applyFill="0" applyBorder="0" applyAlignment="0" applyProtection="0"/>
    <xf numFmtId="165" fontId="14" fillId="0" borderId="0"/>
    <xf numFmtId="165" fontId="14" fillId="0" borderId="0"/>
    <xf numFmtId="165" fontId="36" fillId="0" borderId="0"/>
    <xf numFmtId="165" fontId="36" fillId="0" borderId="0"/>
    <xf numFmtId="165" fontId="36" fillId="0" borderId="0"/>
    <xf numFmtId="165" fontId="40" fillId="0" borderId="0"/>
    <xf numFmtId="165" fontId="40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40" fillId="0" borderId="0"/>
    <xf numFmtId="165" fontId="36" fillId="0" borderId="0"/>
    <xf numFmtId="165" fontId="40" fillId="0" borderId="0"/>
    <xf numFmtId="165" fontId="36" fillId="0" borderId="0"/>
    <xf numFmtId="165" fontId="40" fillId="0" borderId="0"/>
    <xf numFmtId="165" fontId="41" fillId="0" borderId="0"/>
    <xf numFmtId="165" fontId="18" fillId="0" borderId="0"/>
    <xf numFmtId="165" fontId="18" fillId="0" borderId="0"/>
    <xf numFmtId="165" fontId="36" fillId="0" borderId="0"/>
    <xf numFmtId="165" fontId="36" fillId="0" borderId="0"/>
    <xf numFmtId="165" fontId="40" fillId="0" borderId="0"/>
    <xf numFmtId="165" fontId="40" fillId="0" borderId="0"/>
    <xf numFmtId="165" fontId="40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36" fillId="0" borderId="0"/>
    <xf numFmtId="165" fontId="18" fillId="0" borderId="0"/>
    <xf numFmtId="209" fontId="42" fillId="0" borderId="0">
      <protection locked="0"/>
    </xf>
    <xf numFmtId="210" fontId="42" fillId="0" borderId="0">
      <protection locked="0"/>
    </xf>
    <xf numFmtId="44" fontId="42" fillId="0" borderId="0">
      <protection locked="0"/>
    </xf>
    <xf numFmtId="44" fontId="42" fillId="0" borderId="0">
      <protection locked="0"/>
    </xf>
    <xf numFmtId="44" fontId="42" fillId="0" borderId="0">
      <protection locked="0"/>
    </xf>
    <xf numFmtId="212" fontId="42" fillId="0" borderId="25">
      <protection locked="0"/>
    </xf>
    <xf numFmtId="165" fontId="44" fillId="10" borderId="0"/>
    <xf numFmtId="165" fontId="47" fillId="0" borderId="26"/>
    <xf numFmtId="165" fontId="41" fillId="0" borderId="0"/>
    <xf numFmtId="165" fontId="54" fillId="0" borderId="0" applyFont="0" applyFill="0" applyBorder="0" applyAlignment="0" applyProtection="0">
      <alignment horizontal="right"/>
    </xf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>
      <alignment horizontal="right"/>
    </xf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>
      <alignment horizontal="right"/>
    </xf>
    <xf numFmtId="165" fontId="54" fillId="0" borderId="0" applyFont="0" applyFill="0" applyBorder="0" applyAlignment="0" applyProtection="0">
      <alignment horizontal="right"/>
    </xf>
    <xf numFmtId="165" fontId="54" fillId="0" borderId="0" applyFill="0" applyBorder="0" applyProtection="0">
      <alignment vertical="center"/>
    </xf>
    <xf numFmtId="165" fontId="54" fillId="0" borderId="0" applyFont="0" applyFill="0" applyBorder="0" applyAlignment="0" applyProtection="0"/>
    <xf numFmtId="165" fontId="54" fillId="0" borderId="29" applyNumberFormat="0" applyFont="0" applyFill="0" applyAlignment="0" applyProtection="0"/>
    <xf numFmtId="165" fontId="56" fillId="0" borderId="0" applyNumberFormat="0" applyFill="0" applyBorder="0" applyAlignment="0" applyProtection="0"/>
    <xf numFmtId="165" fontId="58" fillId="0" borderId="0">
      <alignment vertical="center"/>
    </xf>
    <xf numFmtId="165" fontId="59" fillId="0" borderId="0" applyNumberFormat="0" applyFill="0" applyBorder="0" applyAlignment="0" applyProtection="0">
      <alignment vertical="top"/>
      <protection locked="0"/>
    </xf>
    <xf numFmtId="165" fontId="60" fillId="0" borderId="0" applyFill="0" applyBorder="0" applyProtection="0">
      <alignment horizontal="left"/>
    </xf>
    <xf numFmtId="165" fontId="54" fillId="0" borderId="0" applyFont="0" applyFill="0" applyBorder="0" applyAlignment="0" applyProtection="0">
      <alignment horizontal="right"/>
    </xf>
    <xf numFmtId="165" fontId="64" fillId="0" borderId="0" applyProtection="0">
      <alignment horizontal="right"/>
    </xf>
    <xf numFmtId="0" fontId="179" fillId="0" borderId="82" applyNumberFormat="0" applyFill="0" applyAlignment="0" applyProtection="0"/>
    <xf numFmtId="0" fontId="69" fillId="0" borderId="83" applyNumberFormat="0" applyFill="0" applyAlignment="0" applyProtection="0"/>
    <xf numFmtId="165" fontId="33" fillId="0" borderId="0" applyNumberFormat="0" applyFill="0" applyBorder="0" applyAlignment="0" applyProtection="0">
      <alignment vertical="top"/>
      <protection locked="0"/>
    </xf>
    <xf numFmtId="0" fontId="186" fillId="16" borderId="27" applyNumberFormat="0" applyAlignment="0" applyProtection="0"/>
    <xf numFmtId="165" fontId="71" fillId="0" borderId="0" applyFill="0" applyBorder="0" applyProtection="0">
      <alignment vertical="center"/>
    </xf>
    <xf numFmtId="165" fontId="71" fillId="0" borderId="0" applyFill="0" applyBorder="0" applyProtection="0">
      <alignment vertical="center"/>
    </xf>
    <xf numFmtId="165" fontId="71" fillId="0" borderId="0" applyFill="0" applyBorder="0" applyProtection="0">
      <alignment vertical="center"/>
    </xf>
    <xf numFmtId="165" fontId="71" fillId="0" borderId="0" applyFill="0" applyBorder="0" applyProtection="0">
      <alignment vertical="center"/>
    </xf>
    <xf numFmtId="165" fontId="54" fillId="0" borderId="0" applyFont="0" applyFill="0" applyBorder="0" applyAlignment="0" applyProtection="0">
      <alignment horizontal="right"/>
    </xf>
    <xf numFmtId="165" fontId="54" fillId="0" borderId="0" applyFill="0" applyBorder="0" applyProtection="0">
      <alignment vertical="center"/>
    </xf>
    <xf numFmtId="165" fontId="54" fillId="0" borderId="0" applyFont="0" applyFill="0" applyBorder="0" applyAlignment="0" applyProtection="0">
      <alignment horizontal="right"/>
    </xf>
    <xf numFmtId="165" fontId="44" fillId="0" borderId="33"/>
    <xf numFmtId="165" fontId="77" fillId="0" borderId="0">
      <alignment horizontal="right"/>
    </xf>
    <xf numFmtId="165" fontId="54" fillId="0" borderId="0" applyFill="0" applyBorder="0" applyProtection="0">
      <alignment vertical="center"/>
    </xf>
    <xf numFmtId="165" fontId="79" fillId="0" borderId="0"/>
    <xf numFmtId="0" fontId="115" fillId="33" borderId="34" applyNumberFormat="0" applyFont="0" applyAlignment="0" applyProtection="0"/>
    <xf numFmtId="165" fontId="62" fillId="0" borderId="0"/>
    <xf numFmtId="165" fontId="54" fillId="0" borderId="0" applyFill="0" applyBorder="0" applyProtection="0">
      <alignment vertical="center"/>
    </xf>
    <xf numFmtId="165" fontId="87" fillId="0" borderId="39">
      <alignment vertical="center"/>
    </xf>
    <xf numFmtId="165" fontId="88" fillId="0" borderId="0">
      <alignment horizontal="left" vertical="center" wrapText="1"/>
    </xf>
    <xf numFmtId="165" fontId="89" fillId="0" borderId="0" applyBorder="0" applyProtection="0">
      <alignment vertical="center"/>
    </xf>
    <xf numFmtId="165" fontId="89" fillId="0" borderId="36" applyBorder="0" applyProtection="0">
      <alignment horizontal="right" vertical="center"/>
    </xf>
    <xf numFmtId="165" fontId="90" fillId="34" borderId="0" applyBorder="0" applyProtection="0">
      <alignment horizontal="centerContinuous" vertical="center"/>
    </xf>
    <xf numFmtId="165" fontId="90" fillId="35" borderId="36" applyBorder="0" applyProtection="0">
      <alignment horizontal="centerContinuous" vertical="center"/>
    </xf>
    <xf numFmtId="165" fontId="92" fillId="0" borderId="0" applyBorder="0" applyProtection="0">
      <alignment horizontal="left"/>
    </xf>
    <xf numFmtId="165" fontId="79" fillId="0" borderId="0"/>
    <xf numFmtId="165" fontId="93" fillId="0" borderId="0" applyFill="0" applyBorder="0" applyProtection="0">
      <alignment horizontal="left"/>
    </xf>
    <xf numFmtId="165" fontId="60" fillId="0" borderId="24" applyFill="0" applyBorder="0" applyProtection="0">
      <alignment horizontal="left" vertical="top"/>
    </xf>
    <xf numFmtId="165" fontId="95" fillId="0" borderId="0"/>
    <xf numFmtId="165" fontId="95" fillId="0" borderId="24" applyFill="0" applyBorder="0" applyProtection="0"/>
    <xf numFmtId="165" fontId="97" fillId="0" borderId="0"/>
    <xf numFmtId="165" fontId="96" fillId="0" borderId="0" applyFill="0" applyBorder="0" applyProtection="0"/>
    <xf numFmtId="0" fontId="195" fillId="0" borderId="0" applyNumberFormat="0" applyFill="0" applyBorder="0" applyAlignment="0" applyProtection="0"/>
    <xf numFmtId="0" fontId="196" fillId="0" borderId="123" applyNumberFormat="0" applyFill="0" applyAlignment="0" applyProtection="0"/>
    <xf numFmtId="165" fontId="99" fillId="0" borderId="29" applyFill="0" applyBorder="0" applyProtection="0">
      <alignment vertical="center"/>
    </xf>
    <xf numFmtId="165" fontId="62" fillId="0" borderId="0"/>
    <xf numFmtId="165" fontId="102" fillId="0" borderId="36" applyBorder="0" applyProtection="0">
      <alignment horizontal="right"/>
    </xf>
    <xf numFmtId="165" fontId="257" fillId="0" borderId="0" applyNumberFormat="0" applyFill="0" applyBorder="0" applyAlignment="0" applyProtection="0">
      <alignment vertical="top"/>
      <protection locked="0"/>
    </xf>
    <xf numFmtId="165" fontId="106" fillId="0" borderId="0" applyNumberFormat="0" applyFill="0" applyBorder="0" applyAlignment="0" applyProtection="0">
      <alignment vertical="top"/>
      <protection locked="0"/>
    </xf>
    <xf numFmtId="165" fontId="18" fillId="0" borderId="0" applyBorder="0"/>
    <xf numFmtId="165" fontId="112" fillId="0" borderId="41" applyNumberFormat="0" applyFont="0" applyFill="0" applyBorder="0" applyAlignment="0" applyProtection="0">
      <alignment horizontal="center"/>
    </xf>
    <xf numFmtId="0" fontId="117" fillId="0" borderId="0" applyNumberFormat="0" applyFill="0" applyBorder="0" applyAlignment="0" applyProtection="0"/>
    <xf numFmtId="165" fontId="66" fillId="0" borderId="30" applyNumberFormat="0" applyFill="0" applyAlignment="0" applyProtection="0"/>
    <xf numFmtId="165" fontId="18" fillId="0" borderId="0">
      <alignment wrapText="1"/>
    </xf>
    <xf numFmtId="165" fontId="118" fillId="40" borderId="42" applyNumberFormat="0">
      <alignment vertical="top"/>
    </xf>
    <xf numFmtId="165" fontId="18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165" fontId="45" fillId="0" borderId="0"/>
    <xf numFmtId="165" fontId="124" fillId="0" borderId="0"/>
    <xf numFmtId="165" fontId="22" fillId="0" borderId="0"/>
    <xf numFmtId="165" fontId="14" fillId="0" borderId="0"/>
    <xf numFmtId="9" fontId="5" fillId="0" borderId="0" applyFont="0" applyFill="0" applyBorder="0" applyAlignment="0" applyProtection="0"/>
    <xf numFmtId="9" fontId="14" fillId="0" borderId="0" quotePrefix="1" applyFont="0" applyFill="0" applyBorder="0" applyAlignment="0">
      <protection locked="0"/>
    </xf>
    <xf numFmtId="9" fontId="18" fillId="0" borderId="0" applyFont="0" applyFill="0" applyBorder="0" applyAlignment="0" applyProtection="0"/>
    <xf numFmtId="165" fontId="131" fillId="0" borderId="43" applyNumberFormat="0" applyFont="0" applyFill="0" applyBorder="0" applyAlignment="0" applyProtection="0"/>
    <xf numFmtId="49" fontId="211" fillId="76" borderId="124" applyBorder="0" applyProtection="0">
      <alignment horizontal="left" vertical="center"/>
    </xf>
    <xf numFmtId="164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2" fillId="0" borderId="0">
      <protection locked="0"/>
    </xf>
    <xf numFmtId="165" fontId="1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8" fillId="0" borderId="0"/>
    <xf numFmtId="0" fontId="18" fillId="0" borderId="0"/>
    <xf numFmtId="0" fontId="4" fillId="0" borderId="0"/>
    <xf numFmtId="0" fontId="18" fillId="0" borderId="0"/>
    <xf numFmtId="43" fontId="4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1749">
    <xf numFmtId="0" fontId="0" fillId="0" borderId="0" xfId="0"/>
    <xf numFmtId="0" fontId="23" fillId="0" borderId="10" xfId="6" applyFont="1" applyBorder="1" applyAlignment="1">
      <alignment wrapText="1"/>
    </xf>
    <xf numFmtId="0" fontId="23" fillId="0" borderId="0" xfId="6" applyFont="1" applyAlignment="1">
      <alignment wrapText="1"/>
    </xf>
    <xf numFmtId="0" fontId="23" fillId="0" borderId="0" xfId="6" applyFont="1" applyAlignment="1">
      <alignment horizontal="center" vertical="center" wrapText="1"/>
    </xf>
    <xf numFmtId="0" fontId="23" fillId="2" borderId="0" xfId="6" applyFont="1" applyFill="1" applyAlignment="1">
      <alignment wrapText="1"/>
    </xf>
    <xf numFmtId="0" fontId="23" fillId="0" borderId="10" xfId="6" applyFont="1" applyBorder="1" applyAlignment="1">
      <alignment vertical="center" wrapText="1"/>
    </xf>
    <xf numFmtId="0" fontId="23" fillId="0" borderId="13" xfId="6" applyFont="1" applyBorder="1" applyAlignment="1">
      <alignment horizontal="center" vertical="center" wrapText="1"/>
    </xf>
    <xf numFmtId="0" fontId="23" fillId="2" borderId="0" xfId="6" applyFont="1" applyFill="1" applyAlignment="1">
      <alignment horizontal="center" vertical="center" wrapText="1"/>
    </xf>
    <xf numFmtId="0" fontId="23" fillId="2" borderId="0" xfId="6" applyFont="1" applyFill="1" applyBorder="1" applyAlignment="1">
      <alignment vertical="center" wrapText="1"/>
    </xf>
    <xf numFmtId="0" fontId="23" fillId="2" borderId="0" xfId="6" applyFont="1" applyFill="1" applyBorder="1" applyAlignment="1">
      <alignment horizontal="center" vertical="center" wrapText="1"/>
    </xf>
    <xf numFmtId="0" fontId="22" fillId="4" borderId="0" xfId="6" applyFont="1" applyFill="1" applyAlignment="1">
      <alignment wrapText="1"/>
    </xf>
    <xf numFmtId="0" fontId="24" fillId="0" borderId="10" xfId="6" applyFont="1" applyBorder="1" applyAlignment="1">
      <alignment horizontal="center" vertical="center" wrapText="1"/>
    </xf>
    <xf numFmtId="0" fontId="23" fillId="2" borderId="10" xfId="6" applyFont="1" applyFill="1" applyBorder="1" applyAlignment="1">
      <alignment vertical="center" wrapText="1"/>
    </xf>
    <xf numFmtId="169" fontId="26" fillId="2" borderId="10" xfId="6" applyNumberFormat="1" applyFont="1" applyFill="1" applyBorder="1" applyAlignment="1">
      <alignment horizontal="center" vertical="center" wrapText="1"/>
    </xf>
    <xf numFmtId="0" fontId="25" fillId="2" borderId="10" xfId="6" applyFont="1" applyFill="1" applyBorder="1" applyAlignment="1">
      <alignment horizontal="left" vertical="center" wrapText="1" indent="2"/>
    </xf>
    <xf numFmtId="43" fontId="23" fillId="0" borderId="0" xfId="6" applyNumberFormat="1" applyFont="1" applyAlignment="1">
      <alignment wrapText="1"/>
    </xf>
    <xf numFmtId="0" fontId="23" fillId="2" borderId="0" xfId="6" applyFont="1" applyFill="1" applyBorder="1" applyAlignment="1">
      <alignment wrapText="1"/>
    </xf>
    <xf numFmtId="0" fontId="23" fillId="0" borderId="0" xfId="6" applyFont="1" applyAlignment="1">
      <alignment horizontal="center" wrapText="1"/>
    </xf>
    <xf numFmtId="0" fontId="23" fillId="0" borderId="0" xfId="6" applyFont="1" applyAlignment="1">
      <alignment vertical="center" wrapText="1"/>
    </xf>
    <xf numFmtId="0" fontId="34" fillId="0" borderId="0" xfId="6" applyFont="1" applyAlignment="1">
      <alignment wrapText="1"/>
    </xf>
    <xf numFmtId="0" fontId="35" fillId="0" borderId="10" xfId="6" applyFont="1" applyBorder="1" applyAlignment="1">
      <alignment horizontal="center" vertical="center" wrapText="1"/>
    </xf>
    <xf numFmtId="0" fontId="35" fillId="0" borderId="13" xfId="6" applyFont="1" applyBorder="1" applyAlignment="1">
      <alignment horizontal="center" vertical="center" wrapText="1"/>
    </xf>
    <xf numFmtId="0" fontId="23" fillId="2" borderId="13" xfId="6" applyFont="1" applyFill="1" applyBorder="1" applyAlignment="1">
      <alignment horizontal="center" vertical="center" wrapText="1"/>
    </xf>
    <xf numFmtId="0" fontId="25" fillId="2" borderId="13" xfId="6" applyFont="1" applyFill="1" applyBorder="1" applyAlignment="1">
      <alignment horizontal="center" vertical="center" wrapText="1"/>
    </xf>
    <xf numFmtId="0" fontId="24" fillId="0" borderId="13" xfId="6" applyFont="1" applyBorder="1" applyAlignment="1">
      <alignment horizontal="center" vertical="center" wrapText="1"/>
    </xf>
    <xf numFmtId="4" fontId="26" fillId="2" borderId="10" xfId="6" applyNumberFormat="1" applyFont="1" applyFill="1" applyBorder="1" applyAlignment="1">
      <alignment horizontal="right" vertical="center" wrapText="1"/>
    </xf>
    <xf numFmtId="0" fontId="32" fillId="0" borderId="0" xfId="0" applyFont="1"/>
    <xf numFmtId="167" fontId="26" fillId="2" borderId="0" xfId="7" applyNumberFormat="1" applyFont="1" applyFill="1" applyBorder="1" applyAlignment="1">
      <alignment horizontal="center" wrapText="1"/>
    </xf>
    <xf numFmtId="167" fontId="26" fillId="2" borderId="0" xfId="7" applyNumberFormat="1" applyFont="1" applyFill="1" applyAlignment="1">
      <alignment horizontal="center" wrapText="1"/>
    </xf>
    <xf numFmtId="167" fontId="26" fillId="4" borderId="0" xfId="7" applyNumberFormat="1" applyFont="1" applyFill="1" applyAlignment="1">
      <alignment horizontal="center" wrapText="1"/>
    </xf>
    <xf numFmtId="167" fontId="138" fillId="0" borderId="1" xfId="6" applyNumberFormat="1" applyFont="1" applyBorder="1" applyAlignment="1">
      <alignment horizontal="center" vertical="center" wrapText="1"/>
    </xf>
    <xf numFmtId="167" fontId="138" fillId="0" borderId="2" xfId="6" applyNumberFormat="1" applyFont="1" applyBorder="1" applyAlignment="1">
      <alignment horizontal="center" vertical="center" wrapText="1"/>
    </xf>
    <xf numFmtId="0" fontId="138" fillId="0" borderId="3" xfId="6" applyFont="1" applyBorder="1" applyAlignment="1">
      <alignment horizontal="center" vertical="center" wrapText="1"/>
    </xf>
    <xf numFmtId="167" fontId="139" fillId="0" borderId="11" xfId="6" applyNumberFormat="1" applyFont="1" applyBorder="1" applyAlignment="1">
      <alignment horizontal="center" vertical="center" wrapText="1"/>
    </xf>
    <xf numFmtId="167" fontId="139" fillId="0" borderId="10" xfId="6" applyNumberFormat="1" applyFont="1" applyBorder="1" applyAlignment="1">
      <alignment horizontal="center" vertical="center" wrapText="1"/>
    </xf>
    <xf numFmtId="168" fontId="139" fillId="0" borderId="12" xfId="6" applyNumberFormat="1" applyFont="1" applyBorder="1" applyAlignment="1">
      <alignment horizontal="center" vertical="center" wrapText="1"/>
    </xf>
    <xf numFmtId="43" fontId="26" fillId="2" borderId="11" xfId="8" applyFont="1" applyFill="1" applyBorder="1" applyAlignment="1">
      <alignment horizontal="center" vertical="center" wrapText="1"/>
    </xf>
    <xf numFmtId="43" fontId="26" fillId="2" borderId="10" xfId="8" applyFont="1" applyFill="1" applyBorder="1" applyAlignment="1">
      <alignment horizontal="center" vertical="center" wrapText="1"/>
    </xf>
    <xf numFmtId="43" fontId="26" fillId="2" borderId="12" xfId="8" applyFont="1" applyFill="1" applyBorder="1" applyAlignment="1">
      <alignment horizontal="center" vertical="center" wrapText="1"/>
    </xf>
    <xf numFmtId="4" fontId="26" fillId="0" borderId="11" xfId="8" applyNumberFormat="1" applyFont="1" applyBorder="1" applyAlignment="1">
      <alignment horizontal="center" vertical="center" wrapText="1"/>
    </xf>
    <xf numFmtId="4" fontId="26" fillId="0" borderId="10" xfId="8" applyNumberFormat="1" applyFont="1" applyBorder="1" applyAlignment="1">
      <alignment horizontal="center" vertical="center" wrapText="1"/>
    </xf>
    <xf numFmtId="43" fontId="140" fillId="2" borderId="12" xfId="5" applyFont="1" applyFill="1" applyBorder="1" applyAlignment="1">
      <alignment horizontal="center" vertical="center" wrapText="1"/>
    </xf>
    <xf numFmtId="43" fontId="26" fillId="2" borderId="0" xfId="8" applyFont="1" applyFill="1" applyBorder="1" applyAlignment="1">
      <alignment horizontal="center" vertical="center" wrapText="1"/>
    </xf>
    <xf numFmtId="43" fontId="139" fillId="2" borderId="0" xfId="6" applyNumberFormat="1" applyFont="1" applyFill="1" applyBorder="1" applyAlignment="1">
      <alignment horizontal="center" vertical="center" wrapText="1"/>
    </xf>
    <xf numFmtId="0" fontId="26" fillId="2" borderId="0" xfId="6" applyFont="1" applyFill="1" applyBorder="1" applyAlignment="1">
      <alignment wrapText="1"/>
    </xf>
    <xf numFmtId="167" fontId="139" fillId="0" borderId="1" xfId="6" applyNumberFormat="1" applyFont="1" applyBorder="1" applyAlignment="1">
      <alignment horizontal="center" vertical="center" wrapText="1"/>
    </xf>
    <xf numFmtId="167" fontId="139" fillId="0" borderId="2" xfId="6" applyNumberFormat="1" applyFont="1" applyBorder="1" applyAlignment="1">
      <alignment horizontal="center" vertical="center" wrapText="1"/>
    </xf>
    <xf numFmtId="0" fontId="139" fillId="0" borderId="3" xfId="6" applyFont="1" applyBorder="1" applyAlignment="1">
      <alignment horizontal="center" vertical="center" wrapText="1"/>
    </xf>
    <xf numFmtId="170" fontId="26" fillId="2" borderId="0" xfId="5" applyNumberFormat="1" applyFont="1" applyFill="1" applyAlignment="1">
      <alignment horizontal="center" wrapText="1"/>
    </xf>
    <xf numFmtId="0" fontId="26" fillId="2" borderId="0" xfId="6" applyFont="1" applyFill="1" applyAlignment="1">
      <alignment horizontal="center" wrapText="1"/>
    </xf>
    <xf numFmtId="170" fontId="26" fillId="2" borderId="0" xfId="5" applyNumberFormat="1" applyFont="1" applyFill="1" applyAlignment="1">
      <alignment wrapText="1"/>
    </xf>
    <xf numFmtId="168" fontId="139" fillId="0" borderId="11" xfId="6" applyNumberFormat="1" applyFont="1" applyBorder="1" applyAlignment="1">
      <alignment horizontal="center" vertical="center" wrapText="1"/>
    </xf>
    <xf numFmtId="168" fontId="139" fillId="0" borderId="10" xfId="6" applyNumberFormat="1" applyFont="1" applyBorder="1" applyAlignment="1">
      <alignment horizontal="center" vertical="center" wrapText="1"/>
    </xf>
    <xf numFmtId="4" fontId="26" fillId="2" borderId="4" xfId="8" applyNumberFormat="1" applyFont="1" applyFill="1" applyBorder="1" applyAlignment="1">
      <alignment horizontal="right" vertical="center" wrapText="1"/>
    </xf>
    <xf numFmtId="4" fontId="26" fillId="2" borderId="5" xfId="8" applyNumberFormat="1" applyFont="1" applyFill="1" applyBorder="1" applyAlignment="1">
      <alignment horizontal="right" vertical="center" wrapText="1"/>
    </xf>
    <xf numFmtId="4" fontId="139" fillId="2" borderId="6" xfId="6" applyNumberFormat="1" applyFont="1" applyFill="1" applyBorder="1" applyAlignment="1">
      <alignment horizontal="right" vertical="center" wrapText="1"/>
    </xf>
    <xf numFmtId="0" fontId="26" fillId="0" borderId="0" xfId="6" applyFont="1" applyAlignment="1">
      <alignment horizontal="center" wrapText="1"/>
    </xf>
    <xf numFmtId="4" fontId="0" fillId="0" borderId="0" xfId="0" applyNumberFormat="1"/>
    <xf numFmtId="0" fontId="27" fillId="0" borderId="0" xfId="0" applyFont="1"/>
    <xf numFmtId="4" fontId="26" fillId="3" borderId="11" xfId="8" applyNumberFormat="1" applyFont="1" applyFill="1" applyBorder="1" applyAlignment="1">
      <alignment horizontal="center" vertical="center" wrapText="1"/>
    </xf>
    <xf numFmtId="0" fontId="22" fillId="0" borderId="0" xfId="6" applyFont="1" applyAlignment="1">
      <alignment wrapText="1"/>
    </xf>
    <xf numFmtId="0" fontId="22" fillId="0" borderId="0" xfId="6" applyFont="1"/>
    <xf numFmtId="0" fontId="22" fillId="0" borderId="13" xfId="6" applyFont="1" applyBorder="1" applyAlignment="1">
      <alignment wrapText="1"/>
    </xf>
    <xf numFmtId="0" fontId="27" fillId="0" borderId="10" xfId="6" applyFont="1" applyBorder="1" applyAlignment="1">
      <alignment vertical="center" wrapText="1"/>
    </xf>
    <xf numFmtId="0" fontId="22" fillId="0" borderId="0" xfId="6" applyFont="1" applyAlignment="1">
      <alignment vertical="center"/>
    </xf>
    <xf numFmtId="0" fontId="27" fillId="0" borderId="14" xfId="6" applyFont="1" applyBorder="1" applyAlignment="1">
      <alignment vertical="center" wrapText="1"/>
    </xf>
    <xf numFmtId="0" fontId="27" fillId="0" borderId="15" xfId="6" applyFont="1" applyBorder="1" applyAlignment="1">
      <alignment vertical="center" wrapText="1"/>
    </xf>
    <xf numFmtId="0" fontId="27" fillId="0" borderId="7" xfId="6" applyFont="1" applyBorder="1" applyAlignment="1">
      <alignment horizontal="center" vertical="center" wrapText="1"/>
    </xf>
    <xf numFmtId="0" fontId="27" fillId="0" borderId="10" xfId="6" applyFont="1" applyBorder="1" applyAlignment="1">
      <alignment horizontal="center" vertical="center" wrapText="1"/>
    </xf>
    <xf numFmtId="168" fontId="27" fillId="45" borderId="16" xfId="0" applyNumberFormat="1" applyFont="1" applyFill="1" applyBorder="1" applyAlignment="1">
      <alignment vertical="center" wrapText="1"/>
    </xf>
    <xf numFmtId="0" fontId="26" fillId="0" borderId="32" xfId="6" applyFont="1" applyBorder="1" applyAlignment="1">
      <alignment wrapText="1"/>
    </xf>
    <xf numFmtId="167" fontId="26" fillId="0" borderId="32" xfId="1" applyNumberFormat="1" applyFont="1" applyBorder="1" applyAlignment="1">
      <alignment horizontal="center" vertical="center" wrapText="1"/>
    </xf>
    <xf numFmtId="0" fontId="30" fillId="0" borderId="0" xfId="0" applyFont="1"/>
    <xf numFmtId="4" fontId="30" fillId="0" borderId="0" xfId="0" applyNumberFormat="1" applyFont="1"/>
    <xf numFmtId="164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43" fillId="0" borderId="0" xfId="0" applyFont="1" applyBorder="1"/>
    <xf numFmtId="0" fontId="143" fillId="0" borderId="0" xfId="0" applyFont="1" applyBorder="1" applyAlignment="1">
      <alignment horizontal="left"/>
    </xf>
    <xf numFmtId="0" fontId="143" fillId="0" borderId="0" xfId="0" applyFont="1" applyBorder="1" applyAlignment="1"/>
    <xf numFmtId="0" fontId="143" fillId="0" borderId="0" xfId="0" applyFont="1"/>
    <xf numFmtId="0" fontId="32" fillId="0" borderId="0" xfId="0" applyFont="1" applyBorder="1" applyAlignment="1">
      <alignment horizontal="left"/>
    </xf>
    <xf numFmtId="0" fontId="32" fillId="0" borderId="0" xfId="0" applyFont="1" applyBorder="1" applyAlignment="1"/>
    <xf numFmtId="168" fontId="137" fillId="0" borderId="0" xfId="0" applyNumberFormat="1" applyFont="1" applyBorder="1" applyAlignment="1">
      <alignment horizontal="center" vertical="center"/>
    </xf>
    <xf numFmtId="0" fontId="17" fillId="0" borderId="0" xfId="0" applyFont="1"/>
    <xf numFmtId="49" fontId="15" fillId="45" borderId="58" xfId="0" applyNumberFormat="1" applyFont="1" applyFill="1" applyBorder="1" applyAlignment="1">
      <alignment horizontal="center" vertical="center"/>
    </xf>
    <xf numFmtId="166" fontId="15" fillId="47" borderId="15" xfId="0" applyNumberFormat="1" applyFont="1" applyFill="1" applyBorder="1" applyAlignment="1">
      <alignment horizontal="center" vertical="center"/>
    </xf>
    <xf numFmtId="166" fontId="15" fillId="45" borderId="16" xfId="0" applyNumberFormat="1" applyFont="1" applyFill="1" applyBorder="1" applyAlignment="1">
      <alignment horizontal="center" vertical="center"/>
    </xf>
    <xf numFmtId="166" fontId="15" fillId="45" borderId="17" xfId="0" applyNumberFormat="1" applyFont="1" applyFill="1" applyBorder="1" applyAlignment="1">
      <alignment horizontal="center" vertical="center"/>
    </xf>
    <xf numFmtId="0" fontId="21" fillId="0" borderId="0" xfId="0" applyFont="1"/>
    <xf numFmtId="49" fontId="17" fillId="0" borderId="7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 wrapText="1"/>
    </xf>
    <xf numFmtId="10" fontId="16" fillId="48" borderId="8" xfId="18" applyNumberFormat="1" applyFont="1" applyFill="1" applyBorder="1" applyAlignment="1">
      <alignment horizontal="center" vertical="center" wrapText="1"/>
    </xf>
    <xf numFmtId="172" fontId="16" fillId="8" borderId="7" xfId="16" applyNumberFormat="1" applyFont="1" applyFill="1" applyBorder="1" applyAlignment="1">
      <alignment horizontal="center" vertical="center"/>
    </xf>
    <xf numFmtId="172" fontId="16" fillId="8" borderId="9" xfId="16" applyNumberFormat="1" applyFont="1" applyFill="1" applyBorder="1" applyAlignment="1">
      <alignment horizontal="center" vertical="center"/>
    </xf>
    <xf numFmtId="49" fontId="17" fillId="0" borderId="72" xfId="0" applyNumberFormat="1" applyFont="1" applyBorder="1" applyAlignment="1">
      <alignment horizontal="center" vertical="center" wrapText="1"/>
    </xf>
    <xf numFmtId="0" fontId="17" fillId="0" borderId="10" xfId="0" applyFont="1" applyBorder="1" applyAlignment="1">
      <alignment horizontal="left" vertical="center" wrapText="1"/>
    </xf>
    <xf numFmtId="9" fontId="16" fillId="48" borderId="11" xfId="18" applyFont="1" applyFill="1" applyBorder="1" applyAlignment="1">
      <alignment horizontal="center" vertical="center" wrapText="1"/>
    </xf>
    <xf numFmtId="172" fontId="16" fillId="8" borderId="10" xfId="16" applyNumberFormat="1" applyFont="1" applyFill="1" applyBorder="1" applyAlignment="1">
      <alignment horizontal="center" vertical="center"/>
    </xf>
    <xf numFmtId="172" fontId="16" fillId="8" borderId="12" xfId="16" applyNumberFormat="1" applyFont="1" applyFill="1" applyBorder="1" applyAlignment="1">
      <alignment horizontal="center" vertical="center"/>
    </xf>
    <xf numFmtId="165" fontId="117" fillId="0" borderId="0" xfId="20" applyFont="1"/>
    <xf numFmtId="2" fontId="16" fillId="48" borderId="11" xfId="9" applyNumberFormat="1" applyFont="1" applyFill="1" applyBorder="1" applyAlignment="1">
      <alignment horizontal="center" vertical="center" wrapText="1"/>
    </xf>
    <xf numFmtId="2" fontId="16" fillId="0" borderId="10" xfId="9" applyNumberFormat="1" applyFont="1" applyFill="1" applyBorder="1" applyAlignment="1">
      <alignment horizontal="center" vertical="center" wrapText="1"/>
    </xf>
    <xf numFmtId="2" fontId="16" fillId="0" borderId="12" xfId="9" applyNumberFormat="1" applyFont="1" applyFill="1" applyBorder="1" applyAlignment="1">
      <alignment horizontal="center" vertical="center" wrapText="1"/>
    </xf>
    <xf numFmtId="168" fontId="16" fillId="48" borderId="11" xfId="9" applyNumberFormat="1" applyFont="1" applyFill="1" applyBorder="1" applyAlignment="1">
      <alignment horizontal="center" vertical="center" wrapText="1"/>
    </xf>
    <xf numFmtId="49" fontId="17" fillId="0" borderId="79" xfId="0" applyNumberFormat="1" applyFont="1" applyBorder="1" applyAlignment="1">
      <alignment horizontal="center" vertical="center" wrapText="1"/>
    </xf>
    <xf numFmtId="0" fontId="17" fillId="0" borderId="14" xfId="0" applyFont="1" applyBorder="1" applyAlignment="1">
      <alignment horizontal="left" vertical="center" wrapText="1"/>
    </xf>
    <xf numFmtId="0" fontId="16" fillId="48" borderId="45" xfId="9" applyFont="1" applyFill="1" applyBorder="1" applyAlignment="1">
      <alignment horizontal="center" vertical="center" wrapText="1"/>
    </xf>
    <xf numFmtId="172" fontId="16" fillId="8" borderId="14" xfId="16" applyNumberFormat="1" applyFont="1" applyFill="1" applyBorder="1" applyAlignment="1">
      <alignment horizontal="center" vertical="center"/>
    </xf>
    <xf numFmtId="172" fontId="16" fillId="8" borderId="46" xfId="16" applyNumberFormat="1" applyFont="1" applyFill="1" applyBorder="1" applyAlignment="1">
      <alignment horizontal="center" vertical="center"/>
    </xf>
    <xf numFmtId="49" fontId="16" fillId="0" borderId="8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0" xfId="0" applyFont="1"/>
    <xf numFmtId="49" fontId="16" fillId="0" borderId="11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left" vertical="center" wrapText="1"/>
    </xf>
    <xf numFmtId="49" fontId="16" fillId="0" borderId="11" xfId="3" applyNumberFormat="1" applyFont="1" applyFill="1" applyBorder="1" applyAlignment="1">
      <alignment horizontal="center" vertical="center"/>
    </xf>
    <xf numFmtId="165" fontId="16" fillId="0" borderId="10" xfId="3" applyFont="1" applyFill="1" applyBorder="1" applyAlignment="1">
      <alignment horizontal="left" vertical="center" wrapText="1"/>
    </xf>
    <xf numFmtId="49" fontId="16" fillId="0" borderId="45" xfId="3" applyNumberFormat="1" applyFont="1" applyFill="1" applyBorder="1" applyAlignment="1">
      <alignment horizontal="center" vertical="center"/>
    </xf>
    <xf numFmtId="165" fontId="16" fillId="0" borderId="14" xfId="3" applyFont="1" applyFill="1" applyBorder="1" applyAlignment="1">
      <alignment horizontal="left" vertical="center" wrapText="1"/>
    </xf>
    <xf numFmtId="4" fontId="146" fillId="2" borderId="0" xfId="0" applyNumberFormat="1" applyFont="1" applyFill="1" applyBorder="1"/>
    <xf numFmtId="49" fontId="16" fillId="2" borderId="11" xfId="3" applyNumberFormat="1" applyFont="1" applyFill="1" applyBorder="1" applyAlignment="1">
      <alignment horizontal="center" vertical="center"/>
    </xf>
    <xf numFmtId="165" fontId="16" fillId="2" borderId="10" xfId="3" applyFont="1" applyFill="1" applyBorder="1" applyAlignment="1">
      <alignment horizontal="left" vertical="center" wrapText="1"/>
    </xf>
    <xf numFmtId="4" fontId="16" fillId="0" borderId="0" xfId="0" applyNumberFormat="1" applyFont="1"/>
    <xf numFmtId="49" fontId="146" fillId="2" borderId="11" xfId="3" applyNumberFormat="1" applyFont="1" applyFill="1" applyBorder="1" applyAlignment="1">
      <alignment horizontal="center" vertical="center"/>
    </xf>
    <xf numFmtId="165" fontId="146" fillId="2" borderId="10" xfId="3" applyFont="1" applyFill="1" applyBorder="1" applyAlignment="1">
      <alignment horizontal="left" vertical="center" wrapText="1"/>
    </xf>
    <xf numFmtId="4" fontId="148" fillId="0" borderId="0" xfId="0" applyNumberFormat="1" applyFont="1"/>
    <xf numFmtId="0" fontId="146" fillId="0" borderId="0" xfId="0" applyFont="1"/>
    <xf numFmtId="165" fontId="146" fillId="2" borderId="10" xfId="3" applyFont="1" applyFill="1" applyBorder="1" applyAlignment="1">
      <alignment horizontal="left" vertical="center" wrapText="1" indent="2"/>
    </xf>
    <xf numFmtId="4" fontId="146" fillId="0" borderId="0" xfId="0" applyNumberFormat="1" applyFont="1"/>
    <xf numFmtId="0" fontId="16" fillId="0" borderId="0" xfId="0" applyFont="1" applyAlignment="1">
      <alignment wrapText="1"/>
    </xf>
    <xf numFmtId="49" fontId="17" fillId="2" borderId="11" xfId="3" applyNumberFormat="1" applyFont="1" applyFill="1" applyBorder="1" applyAlignment="1">
      <alignment horizontal="center" vertical="center"/>
    </xf>
    <xf numFmtId="165" fontId="17" fillId="0" borderId="10" xfId="3" applyFont="1" applyFill="1" applyBorder="1" applyAlignment="1">
      <alignment horizontal="left" vertical="center" wrapText="1" indent="2"/>
    </xf>
    <xf numFmtId="4" fontId="17" fillId="0" borderId="0" xfId="0" applyNumberFormat="1" applyFont="1"/>
    <xf numFmtId="0" fontId="17" fillId="0" borderId="0" xfId="0" applyFont="1" applyAlignment="1">
      <alignment wrapText="1"/>
    </xf>
    <xf numFmtId="49" fontId="17" fillId="0" borderId="11" xfId="3" applyNumberFormat="1" applyFont="1" applyFill="1" applyBorder="1" applyAlignment="1">
      <alignment horizontal="center" vertical="center"/>
    </xf>
    <xf numFmtId="49" fontId="17" fillId="0" borderId="45" xfId="3" applyNumberFormat="1" applyFont="1" applyFill="1" applyBorder="1" applyAlignment="1">
      <alignment horizontal="center" vertical="center"/>
    </xf>
    <xf numFmtId="165" fontId="17" fillId="0" borderId="14" xfId="3" applyFont="1" applyFill="1" applyBorder="1" applyAlignment="1">
      <alignment horizontal="left" vertical="center" wrapText="1" indent="2"/>
    </xf>
    <xf numFmtId="49" fontId="16" fillId="0" borderId="8" xfId="3" applyNumberFormat="1" applyFont="1" applyFill="1" applyBorder="1" applyAlignment="1">
      <alignment horizontal="center" vertical="center"/>
    </xf>
    <xf numFmtId="0" fontId="16" fillId="0" borderId="7" xfId="9" applyFont="1" applyFill="1" applyBorder="1" applyAlignment="1">
      <alignment horizontal="left" vertical="center" wrapText="1"/>
    </xf>
    <xf numFmtId="0" fontId="17" fillId="0" borderId="10" xfId="9" applyFont="1" applyFill="1" applyBorder="1" applyAlignment="1">
      <alignment horizontal="left" vertical="center" wrapText="1" indent="2"/>
    </xf>
    <xf numFmtId="0" fontId="16" fillId="0" borderId="10" xfId="9" applyFont="1" applyFill="1" applyBorder="1" applyAlignment="1">
      <alignment horizontal="left" vertical="center" wrapText="1"/>
    </xf>
    <xf numFmtId="49" fontId="17" fillId="0" borderId="10" xfId="10" applyNumberFormat="1" applyFont="1" applyFill="1" applyBorder="1" applyAlignment="1">
      <alignment horizontal="left" vertical="center" wrapText="1" indent="2"/>
    </xf>
    <xf numFmtId="0" fontId="151" fillId="0" borderId="0" xfId="0" applyFont="1" applyAlignment="1">
      <alignment horizontal="left"/>
    </xf>
    <xf numFmtId="49" fontId="146" fillId="0" borderId="11" xfId="3" applyNumberFormat="1" applyFont="1" applyFill="1" applyBorder="1" applyAlignment="1">
      <alignment horizontal="center" vertical="center"/>
    </xf>
    <xf numFmtId="0" fontId="152" fillId="0" borderId="0" xfId="0" applyFont="1" applyAlignment="1">
      <alignment horizontal="left"/>
    </xf>
    <xf numFmtId="165" fontId="16" fillId="0" borderId="10" xfId="3" applyFont="1" applyFill="1" applyBorder="1" applyAlignment="1">
      <alignment vertical="center" wrapText="1"/>
    </xf>
    <xf numFmtId="165" fontId="16" fillId="0" borderId="14" xfId="3" applyFont="1" applyFill="1" applyBorder="1" applyAlignment="1">
      <alignment vertical="center" wrapText="1"/>
    </xf>
    <xf numFmtId="49" fontId="17" fillId="0" borderId="8" xfId="3" applyNumberFormat="1" applyFont="1" applyFill="1" applyBorder="1" applyAlignment="1">
      <alignment horizontal="center" vertical="center"/>
    </xf>
    <xf numFmtId="0" fontId="17" fillId="0" borderId="7" xfId="9" applyFont="1" applyFill="1" applyBorder="1" applyAlignment="1">
      <alignment horizontal="left" vertical="center" wrapText="1"/>
    </xf>
    <xf numFmtId="0" fontId="17" fillId="0" borderId="10" xfId="9" applyFont="1" applyFill="1" applyBorder="1" applyAlignment="1">
      <alignment horizontal="left" vertical="center" wrapText="1"/>
    </xf>
    <xf numFmtId="0" fontId="17" fillId="0" borderId="14" xfId="9" applyFont="1" applyFill="1" applyBorder="1" applyAlignment="1">
      <alignment horizontal="left" vertical="center" wrapText="1"/>
    </xf>
    <xf numFmtId="4" fontId="153" fillId="2" borderId="8" xfId="0" applyNumberFormat="1" applyFont="1" applyFill="1" applyBorder="1"/>
    <xf numFmtId="4" fontId="153" fillId="0" borderId="7" xfId="3" applyNumberFormat="1" applyFont="1" applyFill="1" applyBorder="1" applyAlignment="1">
      <alignment horizontal="right" vertical="center" wrapText="1"/>
    </xf>
    <xf numFmtId="4" fontId="153" fillId="0" borderId="0" xfId="0" applyNumberFormat="1" applyFont="1"/>
    <xf numFmtId="49" fontId="17" fillId="2" borderId="11" xfId="0" applyNumberFormat="1" applyFont="1" applyFill="1" applyBorder="1"/>
    <xf numFmtId="10" fontId="17" fillId="0" borderId="10" xfId="3" applyNumberFormat="1" applyFont="1" applyFill="1" applyBorder="1" applyAlignment="1">
      <alignment vertical="center" wrapText="1"/>
    </xf>
    <xf numFmtId="49" fontId="17" fillId="0" borderId="10" xfId="3" applyNumberFormat="1" applyFont="1" applyFill="1" applyBorder="1" applyAlignment="1">
      <alignment vertical="center" wrapText="1"/>
    </xf>
    <xf numFmtId="49" fontId="17" fillId="2" borderId="7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0" fontId="30" fillId="2" borderId="0" xfId="0" applyFont="1" applyFill="1" applyBorder="1"/>
    <xf numFmtId="49" fontId="17" fillId="2" borderId="11" xfId="0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left" vertical="center" wrapText="1"/>
    </xf>
    <xf numFmtId="4" fontId="17" fillId="0" borderId="10" xfId="0" applyNumberFormat="1" applyFont="1" applyFill="1" applyBorder="1" applyAlignment="1">
      <alignment vertical="center"/>
    </xf>
    <xf numFmtId="4" fontId="17" fillId="0" borderId="13" xfId="0" applyNumberFormat="1" applyFont="1" applyFill="1" applyBorder="1" applyAlignment="1">
      <alignment vertical="center"/>
    </xf>
    <xf numFmtId="4" fontId="30" fillId="0" borderId="10" xfId="0" applyNumberFormat="1" applyFont="1" applyFill="1" applyBorder="1" applyAlignment="1">
      <alignment vertical="center"/>
    </xf>
    <xf numFmtId="4" fontId="30" fillId="0" borderId="13" xfId="0" applyNumberFormat="1" applyFont="1" applyFill="1" applyBorder="1" applyAlignment="1">
      <alignment vertical="center"/>
    </xf>
    <xf numFmtId="0" fontId="19" fillId="2" borderId="10" xfId="0" applyFont="1" applyFill="1" applyBorder="1" applyAlignment="1">
      <alignment horizontal="center" vertical="center" wrapText="1"/>
    </xf>
    <xf numFmtId="49" fontId="22" fillId="2" borderId="11" xfId="0" applyNumberFormat="1" applyFont="1" applyFill="1" applyBorder="1" applyAlignment="1">
      <alignment horizontal="center" vertical="center"/>
    </xf>
    <xf numFmtId="0" fontId="155" fillId="2" borderId="10" xfId="0" applyFont="1" applyFill="1" applyBorder="1" applyAlignment="1">
      <alignment horizontal="center" vertical="center" wrapText="1"/>
    </xf>
    <xf numFmtId="4" fontId="30" fillId="50" borderId="11" xfId="0" applyNumberFormat="1" applyFont="1" applyFill="1" applyBorder="1" applyAlignment="1">
      <alignment vertical="center"/>
    </xf>
    <xf numFmtId="4" fontId="17" fillId="51" borderId="11" xfId="0" applyNumberFormat="1" applyFont="1" applyFill="1" applyBorder="1" applyAlignment="1">
      <alignment vertical="center"/>
    </xf>
    <xf numFmtId="4" fontId="30" fillId="48" borderId="11" xfId="0" applyNumberFormat="1" applyFont="1" applyFill="1" applyBorder="1" applyAlignment="1">
      <alignment vertical="center"/>
    </xf>
    <xf numFmtId="49" fontId="156" fillId="2" borderId="11" xfId="0" applyNumberFormat="1" applyFont="1" applyFill="1" applyBorder="1" applyAlignment="1">
      <alignment horizontal="center" vertical="center"/>
    </xf>
    <xf numFmtId="0" fontId="157" fillId="2" borderId="10" xfId="0" applyFont="1" applyFill="1" applyBorder="1" applyAlignment="1">
      <alignment horizontal="left" vertical="center" wrapText="1"/>
    </xf>
    <xf numFmtId="4" fontId="158" fillId="51" borderId="11" xfId="0" applyNumberFormat="1" applyFont="1" applyFill="1" applyBorder="1" applyAlignment="1">
      <alignment vertical="center"/>
    </xf>
    <xf numFmtId="4" fontId="159" fillId="49" borderId="10" xfId="0" applyNumberFormat="1" applyFont="1" applyFill="1" applyBorder="1" applyAlignment="1">
      <alignment vertical="center"/>
    </xf>
    <xf numFmtId="0" fontId="159" fillId="0" borderId="0" xfId="0" applyFont="1"/>
    <xf numFmtId="49" fontId="17" fillId="2" borderId="4" xfId="0" applyNumberFormat="1" applyFont="1" applyFill="1" applyBorder="1" applyAlignment="1">
      <alignment horizontal="center" vertical="center"/>
    </xf>
    <xf numFmtId="0" fontId="161" fillId="2" borderId="5" xfId="0" applyFont="1" applyFill="1" applyBorder="1" applyAlignment="1">
      <alignment horizontal="right" vertical="center"/>
    </xf>
    <xf numFmtId="165" fontId="161" fillId="0" borderId="5" xfId="3" applyFont="1" applyFill="1" applyBorder="1" applyAlignment="1">
      <alignment horizontal="center" vertical="center"/>
    </xf>
    <xf numFmtId="4" fontId="161" fillId="0" borderId="5" xfId="0" applyNumberFormat="1" applyFont="1" applyFill="1" applyBorder="1" applyAlignment="1">
      <alignment vertical="center"/>
    </xf>
    <xf numFmtId="4" fontId="161" fillId="0" borderId="22" xfId="0" applyNumberFormat="1" applyFont="1" applyFill="1" applyBorder="1" applyAlignment="1">
      <alignment vertical="center"/>
    </xf>
    <xf numFmtId="4" fontId="161" fillId="51" borderId="4" xfId="0" applyNumberFormat="1" applyFont="1" applyFill="1" applyBorder="1" applyAlignment="1">
      <alignment vertical="center"/>
    </xf>
    <xf numFmtId="203" fontId="30" fillId="0" borderId="0" xfId="0" applyNumberFormat="1" applyFont="1" applyAlignment="1">
      <alignment horizontal="center" vertical="center"/>
    </xf>
    <xf numFmtId="164" fontId="15" fillId="45" borderId="16" xfId="0" applyNumberFormat="1" applyFont="1" applyFill="1" applyBorder="1" applyAlignment="1">
      <alignment horizontal="center" vertical="center"/>
    </xf>
    <xf numFmtId="164" fontId="15" fillId="45" borderId="58" xfId="0" applyNumberFormat="1" applyFont="1" applyFill="1" applyBorder="1" applyAlignment="1">
      <alignment horizontal="center" vertical="center"/>
    </xf>
    <xf numFmtId="164" fontId="15" fillId="47" borderId="15" xfId="0" applyNumberFormat="1" applyFont="1" applyFill="1" applyBorder="1" applyAlignment="1">
      <alignment horizontal="center" vertical="center"/>
    </xf>
    <xf numFmtId="164" fontId="16" fillId="48" borderId="8" xfId="9" applyNumberFormat="1" applyFont="1" applyFill="1" applyBorder="1" applyAlignment="1">
      <alignment horizontal="center" vertical="center" wrapText="1"/>
    </xf>
    <xf numFmtId="164" fontId="32" fillId="49" borderId="7" xfId="0" applyNumberFormat="1" applyFont="1" applyFill="1" applyBorder="1" applyAlignment="1">
      <alignment horizontal="center" vertical="center"/>
    </xf>
    <xf numFmtId="164" fontId="16" fillId="48" borderId="11" xfId="9" applyNumberFormat="1" applyFont="1" applyFill="1" applyBorder="1" applyAlignment="1">
      <alignment horizontal="center" vertical="center" wrapText="1"/>
    </xf>
    <xf numFmtId="164" fontId="32" fillId="49" borderId="10" xfId="0" applyNumberFormat="1" applyFont="1" applyFill="1" applyBorder="1" applyAlignment="1">
      <alignment horizontal="center" vertical="center"/>
    </xf>
    <xf numFmtId="164" fontId="16" fillId="48" borderId="45" xfId="9" applyNumberFormat="1" applyFont="1" applyFill="1" applyBorder="1" applyAlignment="1">
      <alignment horizontal="center" vertical="center" wrapText="1"/>
    </xf>
    <xf numFmtId="164" fontId="32" fillId="49" borderId="14" xfId="0" applyNumberFormat="1" applyFont="1" applyFill="1" applyBorder="1" applyAlignment="1">
      <alignment horizontal="center" vertical="center"/>
    </xf>
    <xf numFmtId="205" fontId="30" fillId="0" borderId="0" xfId="0" applyNumberFormat="1" applyFont="1" applyAlignment="1">
      <alignment horizontal="center" vertical="center"/>
    </xf>
    <xf numFmtId="205" fontId="143" fillId="0" borderId="0" xfId="0" applyNumberFormat="1" applyFont="1" applyBorder="1" applyAlignment="1"/>
    <xf numFmtId="205" fontId="32" fillId="0" borderId="0" xfId="0" applyNumberFormat="1" applyFont="1" applyBorder="1" applyAlignment="1"/>
    <xf numFmtId="205" fontId="136" fillId="6" borderId="17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9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12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46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9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12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46" xfId="2" applyNumberFormat="1" applyFont="1" applyFill="1" applyBorder="1" applyAlignment="1" applyProtection="1">
      <alignment horizontal="center" vertical="center" wrapText="1"/>
      <protection locked="0"/>
    </xf>
    <xf numFmtId="205" fontId="146" fillId="6" borderId="12" xfId="2" applyNumberFormat="1" applyFont="1" applyFill="1" applyBorder="1" applyAlignment="1" applyProtection="1">
      <alignment horizontal="center" vertical="center" wrapText="1"/>
      <protection locked="0"/>
    </xf>
    <xf numFmtId="205" fontId="155" fillId="6" borderId="9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6" xfId="2" applyNumberFormat="1" applyFont="1" applyFill="1" applyBorder="1" applyAlignment="1" applyProtection="1">
      <alignment horizontal="center" vertical="center" wrapText="1"/>
      <protection locked="0"/>
    </xf>
    <xf numFmtId="164" fontId="32" fillId="0" borderId="7" xfId="0" applyNumberFormat="1" applyFont="1" applyFill="1" applyBorder="1" applyAlignment="1">
      <alignment horizontal="center" vertical="center"/>
    </xf>
    <xf numFmtId="164" fontId="30" fillId="49" borderId="10" xfId="0" applyNumberFormat="1" applyFont="1" applyFill="1" applyBorder="1" applyAlignment="1">
      <alignment horizontal="center" vertical="center"/>
    </xf>
    <xf numFmtId="164" fontId="32" fillId="0" borderId="10" xfId="0" applyNumberFormat="1" applyFont="1" applyFill="1" applyBorder="1" applyAlignment="1">
      <alignment horizontal="center" vertical="center"/>
    </xf>
    <xf numFmtId="164" fontId="146" fillId="48" borderId="11" xfId="9" applyNumberFormat="1" applyFont="1" applyFill="1" applyBorder="1" applyAlignment="1">
      <alignment horizontal="center" vertical="center" wrapText="1"/>
    </xf>
    <xf numFmtId="164" fontId="150" fillId="49" borderId="10" xfId="0" applyNumberFormat="1" applyFont="1" applyFill="1" applyBorder="1" applyAlignment="1">
      <alignment horizontal="center" vertical="center"/>
    </xf>
    <xf numFmtId="164" fontId="32" fillId="50" borderId="8" xfId="0" applyNumberFormat="1" applyFont="1" applyFill="1" applyBorder="1" applyAlignment="1">
      <alignment horizontal="center" vertical="center"/>
    </xf>
    <xf numFmtId="164" fontId="16" fillId="48" borderId="8" xfId="3" applyNumberFormat="1" applyFont="1" applyFill="1" applyBorder="1" applyAlignment="1">
      <alignment horizontal="center" vertical="center" wrapText="1"/>
    </xf>
    <xf numFmtId="164" fontId="16" fillId="0" borderId="7" xfId="3" applyNumberFormat="1" applyFont="1" applyFill="1" applyBorder="1" applyAlignment="1">
      <alignment horizontal="center" vertical="center" wrapText="1"/>
    </xf>
    <xf numFmtId="164" fontId="16" fillId="48" borderId="11" xfId="3" applyNumberFormat="1" applyFont="1" applyFill="1" applyBorder="1" applyAlignment="1">
      <alignment horizontal="center" vertical="center" wrapText="1"/>
    </xf>
    <xf numFmtId="164" fontId="16" fillId="0" borderId="10" xfId="3" applyNumberFormat="1" applyFont="1" applyFill="1" applyBorder="1" applyAlignment="1">
      <alignment horizontal="center" vertical="center" wrapText="1"/>
    </xf>
    <xf numFmtId="164" fontId="16" fillId="48" borderId="45" xfId="3" applyNumberFormat="1" applyFont="1" applyFill="1" applyBorder="1" applyAlignment="1">
      <alignment horizontal="center" vertical="center" wrapText="1"/>
    </xf>
    <xf numFmtId="164" fontId="16" fillId="0" borderId="14" xfId="3" applyNumberFormat="1" applyFont="1" applyFill="1" applyBorder="1" applyAlignment="1">
      <alignment horizontal="center" vertical="center" wrapText="1"/>
    </xf>
    <xf numFmtId="164" fontId="154" fillId="0" borderId="7" xfId="9" applyNumberFormat="1" applyFont="1" applyFill="1" applyBorder="1" applyAlignment="1">
      <alignment horizontal="center" vertical="center" wrapText="1"/>
    </xf>
    <xf numFmtId="164" fontId="154" fillId="0" borderId="19" xfId="9" applyNumberFormat="1" applyFont="1" applyFill="1" applyBorder="1" applyAlignment="1">
      <alignment horizontal="center" vertical="center" wrapText="1"/>
    </xf>
    <xf numFmtId="164" fontId="154" fillId="48" borderId="8" xfId="9" applyNumberFormat="1" applyFont="1" applyFill="1" applyBorder="1" applyAlignment="1">
      <alignment horizontal="center" vertical="center" wrapText="1"/>
    </xf>
    <xf numFmtId="164" fontId="30" fillId="0" borderId="10" xfId="0" applyNumberFormat="1" applyFont="1" applyFill="1" applyBorder="1" applyAlignment="1">
      <alignment horizontal="center" vertical="center"/>
    </xf>
    <xf numFmtId="164" fontId="30" fillId="0" borderId="13" xfId="0" applyNumberFormat="1" applyFont="1" applyFill="1" applyBorder="1" applyAlignment="1">
      <alignment horizontal="center" vertical="center"/>
    </xf>
    <xf numFmtId="164" fontId="17" fillId="2" borderId="0" xfId="0" applyNumberFormat="1" applyFont="1" applyFill="1" applyBorder="1" applyAlignment="1">
      <alignment horizontal="center" vertical="center"/>
    </xf>
    <xf numFmtId="164" fontId="17" fillId="0" borderId="10" xfId="0" applyNumberFormat="1" applyFont="1" applyFill="1" applyBorder="1" applyAlignment="1">
      <alignment vertical="center"/>
    </xf>
    <xf numFmtId="164" fontId="17" fillId="0" borderId="13" xfId="0" applyNumberFormat="1" applyFont="1" applyFill="1" applyBorder="1" applyAlignment="1">
      <alignment vertical="center"/>
    </xf>
    <xf numFmtId="164" fontId="30" fillId="0" borderId="10" xfId="0" applyNumberFormat="1" applyFont="1" applyFill="1" applyBorder="1" applyAlignment="1">
      <alignment vertical="center"/>
    </xf>
    <xf numFmtId="164" fontId="30" fillId="0" borderId="13" xfId="0" applyNumberFormat="1" applyFont="1" applyFill="1" applyBorder="1" applyAlignment="1">
      <alignment vertical="center"/>
    </xf>
    <xf numFmtId="164" fontId="148" fillId="48" borderId="11" xfId="9" applyNumberFormat="1" applyFont="1" applyFill="1" applyBorder="1" applyAlignment="1">
      <alignment horizontal="center" vertical="center" wrapText="1"/>
    </xf>
    <xf numFmtId="164" fontId="149" fillId="0" borderId="10" xfId="0" applyNumberFormat="1" applyFont="1" applyFill="1" applyBorder="1" applyAlignment="1">
      <alignment horizontal="center" vertical="center"/>
    </xf>
    <xf numFmtId="164" fontId="149" fillId="0" borderId="13" xfId="0" applyNumberFormat="1" applyFont="1" applyFill="1" applyBorder="1" applyAlignment="1">
      <alignment horizontal="center" vertical="center"/>
    </xf>
    <xf numFmtId="164" fontId="149" fillId="48" borderId="11" xfId="0" applyNumberFormat="1" applyFont="1" applyFill="1" applyBorder="1" applyAlignment="1">
      <alignment horizontal="center" vertical="center"/>
    </xf>
    <xf numFmtId="164" fontId="32" fillId="2" borderId="10" xfId="0" applyNumberFormat="1" applyFont="1" applyFill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0" fontId="16" fillId="0" borderId="4" xfId="17" applyFont="1" applyFill="1" applyBorder="1" applyAlignment="1">
      <alignment horizontal="center" vertical="center" wrapText="1"/>
    </xf>
    <xf numFmtId="0" fontId="16" fillId="0" borderId="5" xfId="17" applyFont="1" applyFill="1" applyBorder="1" applyAlignment="1">
      <alignment horizontal="center" vertical="center" wrapText="1"/>
    </xf>
    <xf numFmtId="0" fontId="17" fillId="0" borderId="6" xfId="17" applyFont="1" applyFill="1" applyBorder="1" applyAlignment="1">
      <alignment horizontal="center" vertical="center" wrapText="1"/>
    </xf>
    <xf numFmtId="0" fontId="163" fillId="2" borderId="0" xfId="0" applyFont="1" applyFill="1" applyBorder="1"/>
    <xf numFmtId="0" fontId="21" fillId="0" borderId="1" xfId="17" applyFont="1" applyFill="1" applyBorder="1" applyAlignment="1">
      <alignment horizontal="center" vertical="center" wrapText="1"/>
    </xf>
    <xf numFmtId="0" fontId="21" fillId="0" borderId="3" xfId="17" applyFont="1" applyFill="1" applyBorder="1" applyAlignment="1">
      <alignment horizontal="center" vertical="center"/>
    </xf>
    <xf numFmtId="4" fontId="21" fillId="0" borderId="1" xfId="17" applyNumberFormat="1" applyFont="1" applyFill="1" applyBorder="1" applyAlignment="1">
      <alignment horizontal="center" vertical="center"/>
    </xf>
    <xf numFmtId="4" fontId="21" fillId="0" borderId="2" xfId="17" applyNumberFormat="1" applyFont="1" applyFill="1" applyBorder="1" applyAlignment="1">
      <alignment horizontal="center" vertical="center"/>
    </xf>
    <xf numFmtId="4" fontId="21" fillId="0" borderId="3" xfId="17" applyNumberFormat="1" applyFont="1" applyFill="1" applyBorder="1" applyAlignment="1">
      <alignment horizontal="center" vertical="center"/>
    </xf>
    <xf numFmtId="166" fontId="136" fillId="6" borderId="48" xfId="5" applyNumberFormat="1" applyFont="1" applyFill="1" applyBorder="1" applyAlignment="1">
      <alignment horizontal="center" vertical="center"/>
    </xf>
    <xf numFmtId="0" fontId="21" fillId="0" borderId="76" xfId="17" applyFont="1" applyFill="1" applyBorder="1" applyAlignment="1">
      <alignment horizontal="center" vertical="center" wrapText="1"/>
    </xf>
    <xf numFmtId="0" fontId="21" fillId="0" borderId="78" xfId="17" applyFont="1" applyFill="1" applyBorder="1" applyAlignment="1">
      <alignment horizontal="center" vertical="center"/>
    </xf>
    <xf numFmtId="4" fontId="21" fillId="0" borderId="45" xfId="17" applyNumberFormat="1" applyFont="1" applyFill="1" applyBorder="1" applyAlignment="1">
      <alignment horizontal="center" vertical="center"/>
    </xf>
    <xf numFmtId="4" fontId="21" fillId="0" borderId="14" xfId="17" applyNumberFormat="1" applyFont="1" applyFill="1" applyBorder="1" applyAlignment="1">
      <alignment horizontal="center" vertical="center"/>
    </xf>
    <xf numFmtId="4" fontId="21" fillId="0" borderId="46" xfId="17" applyNumberFormat="1" applyFont="1" applyFill="1" applyBorder="1" applyAlignment="1">
      <alignment horizontal="center" vertical="center"/>
    </xf>
    <xf numFmtId="166" fontId="136" fillId="6" borderId="52" xfId="5" applyNumberFormat="1" applyFont="1" applyFill="1" applyBorder="1" applyAlignment="1">
      <alignment horizontal="center" vertical="center"/>
    </xf>
    <xf numFmtId="0" fontId="21" fillId="45" borderId="15" xfId="17" applyFont="1" applyFill="1" applyBorder="1" applyAlignment="1">
      <alignment horizontal="center" vertical="center" wrapText="1"/>
    </xf>
    <xf numFmtId="0" fontId="21" fillId="45" borderId="17" xfId="17" applyFont="1" applyFill="1" applyBorder="1" applyAlignment="1">
      <alignment horizontal="center" vertical="center"/>
    </xf>
    <xf numFmtId="4" fontId="15" fillId="45" borderId="16" xfId="17" applyNumberFormat="1" applyFont="1" applyFill="1" applyBorder="1" applyAlignment="1">
      <alignment horizontal="center" vertical="center"/>
    </xf>
    <xf numFmtId="4" fontId="21" fillId="45" borderId="17" xfId="17" applyNumberFormat="1" applyFont="1" applyFill="1" applyBorder="1" applyAlignment="1">
      <alignment horizontal="center" vertical="center"/>
    </xf>
    <xf numFmtId="166" fontId="136" fillId="6" borderId="44" xfId="5" applyNumberFormat="1" applyFont="1" applyFill="1" applyBorder="1" applyAlignment="1">
      <alignment horizontal="center" vertical="center"/>
    </xf>
    <xf numFmtId="166" fontId="136" fillId="49" borderId="7" xfId="5" applyNumberFormat="1" applyFont="1" applyFill="1" applyBorder="1" applyAlignment="1">
      <alignment horizontal="center" vertical="center"/>
    </xf>
    <xf numFmtId="0" fontId="164" fillId="2" borderId="0" xfId="17" applyFont="1" applyFill="1" applyBorder="1" applyAlignment="1">
      <alignment horizontal="left" vertical="center"/>
    </xf>
    <xf numFmtId="0" fontId="0" fillId="0" borderId="0" xfId="0" applyFill="1"/>
    <xf numFmtId="168" fontId="141" fillId="45" borderId="7" xfId="0" applyNumberFormat="1" applyFont="1" applyFill="1" applyBorder="1" applyAlignment="1">
      <alignment vertical="center" wrapText="1"/>
    </xf>
    <xf numFmtId="169" fontId="26" fillId="5" borderId="12" xfId="6" applyNumberFormat="1" applyFont="1" applyFill="1" applyBorder="1" applyAlignment="1">
      <alignment horizontal="center" vertical="center" wrapText="1"/>
    </xf>
    <xf numFmtId="0" fontId="23" fillId="0" borderId="14" xfId="6" applyFont="1" applyBorder="1" applyAlignment="1">
      <alignment vertical="center" wrapText="1"/>
    </xf>
    <xf numFmtId="0" fontId="23" fillId="0" borderId="47" xfId="6" applyFont="1" applyBorder="1" applyAlignment="1">
      <alignment horizontal="center" vertical="center" wrapText="1"/>
    </xf>
    <xf numFmtId="43" fontId="26" fillId="3" borderId="45" xfId="8" applyNumberFormat="1" applyFont="1" applyFill="1" applyBorder="1" applyAlignment="1">
      <alignment horizontal="center" vertical="center" wrapText="1"/>
    </xf>
    <xf numFmtId="43" fontId="140" fillId="2" borderId="46" xfId="8" applyNumberFormat="1" applyFont="1" applyFill="1" applyBorder="1" applyAlignment="1">
      <alignment horizontal="center" vertical="center" wrapText="1"/>
    </xf>
    <xf numFmtId="0" fontId="23" fillId="0" borderId="15" xfId="6" applyFont="1" applyBorder="1" applyAlignment="1">
      <alignment vertical="center" wrapText="1"/>
    </xf>
    <xf numFmtId="0" fontId="23" fillId="0" borderId="58" xfId="6" applyFont="1" applyBorder="1" applyAlignment="1">
      <alignment horizontal="center" vertical="center" wrapText="1"/>
    </xf>
    <xf numFmtId="43" fontId="26" fillId="2" borderId="15" xfId="8" applyFont="1" applyFill="1" applyBorder="1" applyAlignment="1">
      <alignment horizontal="center" vertical="center" wrapText="1"/>
    </xf>
    <xf numFmtId="43" fontId="26" fillId="2" borderId="16" xfId="8" applyFont="1" applyFill="1" applyBorder="1" applyAlignment="1">
      <alignment horizontal="center" vertical="center" wrapText="1"/>
    </xf>
    <xf numFmtId="43" fontId="139" fillId="2" borderId="17" xfId="6" applyNumberFormat="1" applyFont="1" applyFill="1" applyBorder="1" applyAlignment="1">
      <alignment horizontal="center" vertical="center" wrapText="1"/>
    </xf>
    <xf numFmtId="0" fontId="25" fillId="2" borderId="14" xfId="6" applyFont="1" applyFill="1" applyBorder="1" applyAlignment="1">
      <alignment horizontal="left" vertical="center" wrapText="1" indent="2"/>
    </xf>
    <xf numFmtId="0" fontId="25" fillId="2" borderId="47" xfId="6" applyFont="1" applyFill="1" applyBorder="1" applyAlignment="1">
      <alignment horizontal="center" vertical="center" wrapText="1"/>
    </xf>
    <xf numFmtId="4" fontId="26" fillId="3" borderId="45" xfId="8" applyNumberFormat="1" applyFont="1" applyFill="1" applyBorder="1" applyAlignment="1">
      <alignment horizontal="center" vertical="center" wrapText="1"/>
    </xf>
    <xf numFmtId="4" fontId="26" fillId="0" borderId="14" xfId="8" applyNumberFormat="1" applyFont="1" applyBorder="1" applyAlignment="1">
      <alignment horizontal="center" vertical="center" wrapText="1"/>
    </xf>
    <xf numFmtId="43" fontId="140" fillId="2" borderId="46" xfId="5" applyFont="1" applyFill="1" applyBorder="1" applyAlignment="1">
      <alignment horizontal="center" vertical="center" wrapText="1"/>
    </xf>
    <xf numFmtId="4" fontId="26" fillId="0" borderId="45" xfId="8" applyNumberFormat="1" applyFont="1" applyBorder="1" applyAlignment="1">
      <alignment horizontal="center" vertical="center" wrapText="1"/>
    </xf>
    <xf numFmtId="205" fontId="140" fillId="2" borderId="46" xfId="5" applyNumberFormat="1" applyFont="1" applyFill="1" applyBorder="1" applyAlignment="1">
      <alignment horizontal="center" vertical="center" wrapText="1"/>
    </xf>
    <xf numFmtId="0" fontId="23" fillId="2" borderId="15" xfId="6" applyFont="1" applyFill="1" applyBorder="1" applyAlignment="1">
      <alignment vertical="center" wrapText="1"/>
    </xf>
    <xf numFmtId="0" fontId="23" fillId="2" borderId="58" xfId="6" applyFont="1" applyFill="1" applyBorder="1" applyAlignment="1">
      <alignment horizontal="center" vertical="center" wrapText="1"/>
    </xf>
    <xf numFmtId="43" fontId="139" fillId="2" borderId="15" xfId="8" applyFont="1" applyFill="1" applyBorder="1" applyAlignment="1">
      <alignment horizontal="center" vertical="center" wrapText="1"/>
    </xf>
    <xf numFmtId="43" fontId="139" fillId="2" borderId="16" xfId="8" applyFont="1" applyFill="1" applyBorder="1" applyAlignment="1">
      <alignment horizontal="center" vertical="center" wrapText="1"/>
    </xf>
    <xf numFmtId="4" fontId="26" fillId="2" borderId="46" xfId="8" applyNumberFormat="1" applyFont="1" applyFill="1" applyBorder="1" applyAlignment="1">
      <alignment horizontal="right" vertical="center" wrapText="1"/>
    </xf>
    <xf numFmtId="0" fontId="24" fillId="0" borderId="7" xfId="6" applyFont="1" applyBorder="1" applyAlignment="1">
      <alignment horizontal="center" vertical="center" wrapText="1"/>
    </xf>
    <xf numFmtId="0" fontId="23" fillId="0" borderId="19" xfId="6" applyFont="1" applyBorder="1" applyAlignment="1">
      <alignment horizontal="center" vertical="center" wrapText="1"/>
    </xf>
    <xf numFmtId="168" fontId="26" fillId="0" borderId="8" xfId="6" applyNumberFormat="1" applyFont="1" applyBorder="1" applyAlignment="1">
      <alignment horizontal="right" wrapText="1"/>
    </xf>
    <xf numFmtId="168" fontId="26" fillId="0" borderId="7" xfId="6" applyNumberFormat="1" applyFont="1" applyBorder="1" applyAlignment="1">
      <alignment horizontal="right" wrapText="1"/>
    </xf>
    <xf numFmtId="168" fontId="139" fillId="0" borderId="9" xfId="6" applyNumberFormat="1" applyFont="1" applyBorder="1" applyAlignment="1">
      <alignment horizontal="center" vertical="center" wrapText="1"/>
    </xf>
    <xf numFmtId="4" fontId="26" fillId="2" borderId="15" xfId="8" applyNumberFormat="1" applyFont="1" applyFill="1" applyBorder="1" applyAlignment="1">
      <alignment horizontal="right" vertical="center" wrapText="1"/>
    </xf>
    <xf numFmtId="4" fontId="26" fillId="2" borderId="16" xfId="8" applyNumberFormat="1" applyFont="1" applyFill="1" applyBorder="1" applyAlignment="1">
      <alignment horizontal="right" vertical="center" wrapText="1"/>
    </xf>
    <xf numFmtId="4" fontId="139" fillId="2" borderId="17" xfId="6" applyNumberFormat="1" applyFont="1" applyFill="1" applyBorder="1" applyAlignment="1">
      <alignment horizontal="right" vertical="center" wrapText="1"/>
    </xf>
    <xf numFmtId="43" fontId="165" fillId="2" borderId="10" xfId="5" applyFont="1" applyFill="1" applyBorder="1" applyAlignment="1">
      <alignment horizontal="center" vertical="center" wrapText="1"/>
    </xf>
    <xf numFmtId="165" fontId="141" fillId="2" borderId="0" xfId="3" applyFont="1" applyFill="1" applyBorder="1" applyAlignment="1">
      <alignment horizontal="center" vertical="center" wrapText="1"/>
    </xf>
    <xf numFmtId="43" fontId="165" fillId="2" borderId="0" xfId="5" applyFont="1" applyFill="1" applyBorder="1" applyAlignment="1">
      <alignment horizontal="center" vertical="center" wrapText="1"/>
    </xf>
    <xf numFmtId="165" fontId="141" fillId="2" borderId="18" xfId="3" applyFont="1" applyFill="1" applyBorder="1" applyAlignment="1">
      <alignment horizontal="center" vertical="center" wrapText="1"/>
    </xf>
    <xf numFmtId="165" fontId="141" fillId="2" borderId="10" xfId="3" applyFont="1" applyFill="1" applyBorder="1" applyAlignment="1">
      <alignment horizontal="center" vertical="center" wrapText="1"/>
    </xf>
    <xf numFmtId="4" fontId="24" fillId="0" borderId="10" xfId="0" applyNumberFormat="1" applyFont="1" applyBorder="1" applyAlignment="1">
      <alignment horizontal="center" vertical="center" wrapText="1"/>
    </xf>
    <xf numFmtId="49" fontId="22" fillId="2" borderId="13" xfId="3" applyNumberFormat="1" applyFont="1" applyFill="1" applyBorder="1" applyAlignment="1">
      <alignment horizontal="center" vertical="center"/>
    </xf>
    <xf numFmtId="165" fontId="22" fillId="2" borderId="10" xfId="3" applyFont="1" applyFill="1" applyBorder="1" applyAlignment="1">
      <alignment horizontal="left" vertical="center" wrapText="1"/>
    </xf>
    <xf numFmtId="4" fontId="27" fillId="49" borderId="10" xfId="0" applyNumberFormat="1" applyFont="1" applyFill="1" applyBorder="1" applyAlignment="1">
      <alignment vertical="center"/>
    </xf>
    <xf numFmtId="4" fontId="24" fillId="2" borderId="10" xfId="0" applyNumberFormat="1" applyFont="1" applyFill="1" applyBorder="1" applyAlignment="1">
      <alignment vertical="center"/>
    </xf>
    <xf numFmtId="166" fontId="0" fillId="0" borderId="0" xfId="0" applyNumberFormat="1"/>
    <xf numFmtId="4" fontId="24" fillId="49" borderId="10" xfId="0" applyNumberFormat="1" applyFont="1" applyFill="1" applyBorder="1" applyAlignment="1">
      <alignment vertical="center"/>
    </xf>
    <xf numFmtId="165" fontId="22" fillId="0" borderId="10" xfId="3" applyFont="1" applyFill="1" applyBorder="1" applyAlignment="1">
      <alignment horizontal="left" vertical="center" wrapText="1" indent="2"/>
    </xf>
    <xf numFmtId="49" fontId="22" fillId="0" borderId="13" xfId="3" applyNumberFormat="1" applyFont="1" applyFill="1" applyBorder="1" applyAlignment="1">
      <alignment horizontal="center" vertical="center"/>
    </xf>
    <xf numFmtId="165" fontId="22" fillId="0" borderId="10" xfId="3" applyFont="1" applyFill="1" applyBorder="1" applyAlignment="1">
      <alignment horizontal="left" vertical="center" wrapText="1"/>
    </xf>
    <xf numFmtId="49" fontId="22" fillId="0" borderId="10" xfId="3" applyNumberFormat="1" applyFont="1" applyFill="1" applyBorder="1" applyAlignment="1">
      <alignment horizontal="center" vertical="center"/>
    </xf>
    <xf numFmtId="49" fontId="22" fillId="2" borderId="0" xfId="3" applyNumberFormat="1" applyFont="1" applyFill="1" applyBorder="1" applyAlignment="1">
      <alignment horizontal="center" vertical="center"/>
    </xf>
    <xf numFmtId="165" fontId="22" fillId="2" borderId="0" xfId="3" applyFont="1" applyFill="1" applyBorder="1" applyAlignment="1">
      <alignment horizontal="left" vertical="center" wrapText="1" indent="2"/>
    </xf>
    <xf numFmtId="4" fontId="27" fillId="2" borderId="0" xfId="0" applyNumberFormat="1" applyFont="1" applyFill="1" applyBorder="1" applyAlignment="1">
      <alignment vertical="center"/>
    </xf>
    <xf numFmtId="4" fontId="24" fillId="2" borderId="0" xfId="0" applyNumberFormat="1" applyFont="1" applyFill="1" applyBorder="1" applyAlignment="1">
      <alignment vertical="center"/>
    </xf>
    <xf numFmtId="0" fontId="0" fillId="2" borderId="0" xfId="0" applyFill="1" applyBorder="1"/>
    <xf numFmtId="165" fontId="155" fillId="2" borderId="0" xfId="3" applyFont="1" applyFill="1" applyBorder="1" applyAlignment="1">
      <alignment horizontal="left" vertical="center" wrapText="1" indent="2"/>
    </xf>
    <xf numFmtId="0" fontId="0" fillId="0" borderId="10" xfId="0" applyBorder="1"/>
    <xf numFmtId="3" fontId="155" fillId="0" borderId="10" xfId="423" applyNumberFormat="1" applyFont="1" applyBorder="1" applyAlignment="1">
      <alignment horizontal="left" vertical="center" wrapText="1"/>
    </xf>
    <xf numFmtId="3" fontId="166" fillId="0" borderId="10" xfId="423" applyNumberFormat="1" applyFont="1" applyBorder="1" applyAlignment="1">
      <alignment horizontal="left" vertical="center" wrapText="1"/>
    </xf>
    <xf numFmtId="206" fontId="27" fillId="49" borderId="10" xfId="0" applyNumberFormat="1" applyFont="1" applyFill="1" applyBorder="1" applyAlignment="1">
      <alignment vertical="center"/>
    </xf>
    <xf numFmtId="206" fontId="0" fillId="0" borderId="0" xfId="0" applyNumberFormat="1"/>
    <xf numFmtId="2" fontId="0" fillId="0" borderId="0" xfId="0" applyNumberFormat="1"/>
    <xf numFmtId="164" fontId="0" fillId="0" borderId="0" xfId="0" applyNumberFormat="1"/>
    <xf numFmtId="43" fontId="26" fillId="3" borderId="14" xfId="8" applyNumberFormat="1" applyFont="1" applyFill="1" applyBorder="1" applyAlignment="1">
      <alignment horizontal="center" vertical="center" wrapText="1"/>
    </xf>
    <xf numFmtId="4" fontId="26" fillId="3" borderId="14" xfId="8" applyNumberFormat="1" applyFont="1" applyFill="1" applyBorder="1" applyAlignment="1">
      <alignment horizontal="right" vertical="center" wrapText="1"/>
    </xf>
    <xf numFmtId="43" fontId="141" fillId="2" borderId="15" xfId="8" applyFont="1" applyFill="1" applyBorder="1" applyAlignment="1">
      <alignment horizontal="center" vertical="center" wrapText="1"/>
    </xf>
    <xf numFmtId="43" fontId="141" fillId="2" borderId="16" xfId="8" applyFont="1" applyFill="1" applyBorder="1" applyAlignment="1">
      <alignment horizontal="center" vertical="center" wrapText="1"/>
    </xf>
    <xf numFmtId="43" fontId="141" fillId="2" borderId="17" xfId="6" applyNumberFormat="1" applyFont="1" applyFill="1" applyBorder="1" applyAlignment="1">
      <alignment horizontal="center" vertical="center" wrapText="1"/>
    </xf>
    <xf numFmtId="205" fontId="19" fillId="6" borderId="10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10" xfId="2" applyNumberFormat="1" applyFont="1" applyFill="1" applyBorder="1" applyAlignment="1" applyProtection="1">
      <alignment horizontal="center" vertical="center" wrapText="1"/>
      <protection locked="0"/>
    </xf>
    <xf numFmtId="205" fontId="146" fillId="6" borderId="10" xfId="2" applyNumberFormat="1" applyFont="1" applyFill="1" applyBorder="1" applyAlignment="1" applyProtection="1">
      <alignment horizontal="center" vertical="center" wrapText="1"/>
      <protection locked="0"/>
    </xf>
    <xf numFmtId="205" fontId="160" fillId="6" borderId="10" xfId="2" applyNumberFormat="1" applyFont="1" applyFill="1" applyBorder="1" applyAlignment="1" applyProtection="1">
      <alignment horizontal="center" vertical="center" wrapText="1"/>
      <protection locked="0"/>
    </xf>
    <xf numFmtId="205" fontId="160" fillId="6" borderId="12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5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7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16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14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7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14" xfId="2" applyNumberFormat="1" applyFont="1" applyFill="1" applyBorder="1" applyAlignment="1" applyProtection="1">
      <alignment horizontal="center" vertical="center" wrapText="1"/>
      <protection locked="0"/>
    </xf>
    <xf numFmtId="205" fontId="155" fillId="6" borderId="7" xfId="2" applyNumberFormat="1" applyFont="1" applyFill="1" applyBorder="1" applyAlignment="1" applyProtection="1">
      <alignment horizontal="center" vertical="center" wrapText="1"/>
      <protection locked="0"/>
    </xf>
    <xf numFmtId="0" fontId="162" fillId="2" borderId="0" xfId="0" applyFont="1" applyFill="1" applyAlignment="1">
      <alignment wrapText="1"/>
    </xf>
    <xf numFmtId="4" fontId="162" fillId="2" borderId="0" xfId="0" applyNumberFormat="1" applyFont="1" applyFill="1" applyBorder="1" applyAlignment="1">
      <alignment horizontal="center" vertical="center"/>
    </xf>
    <xf numFmtId="0" fontId="21" fillId="0" borderId="45" xfId="17" applyFont="1" applyFill="1" applyBorder="1" applyAlignment="1">
      <alignment horizontal="center" vertical="center" wrapText="1"/>
    </xf>
    <xf numFmtId="0" fontId="21" fillId="0" borderId="47" xfId="17" applyFont="1" applyFill="1" applyBorder="1" applyAlignment="1">
      <alignment horizontal="center" vertical="center"/>
    </xf>
    <xf numFmtId="166" fontId="136" fillId="6" borderId="87" xfId="5" applyNumberFormat="1" applyFont="1" applyFill="1" applyBorder="1" applyAlignment="1">
      <alignment horizontal="center" vertical="center"/>
    </xf>
    <xf numFmtId="0" fontId="21" fillId="45" borderId="58" xfId="17" applyFont="1" applyFill="1" applyBorder="1" applyAlignment="1">
      <alignment horizontal="center" vertical="center"/>
    </xf>
    <xf numFmtId="4" fontId="15" fillId="45" borderId="15" xfId="17" applyNumberFormat="1" applyFont="1" applyFill="1" applyBorder="1" applyAlignment="1">
      <alignment horizontal="center" vertical="center"/>
    </xf>
    <xf numFmtId="166" fontId="136" fillId="6" borderId="86" xfId="5" applyNumberFormat="1" applyFont="1" applyFill="1" applyBorder="1" applyAlignment="1">
      <alignment horizontal="center" vertical="center"/>
    </xf>
    <xf numFmtId="43" fontId="153" fillId="2" borderId="0" xfId="5" applyFont="1" applyFill="1" applyAlignment="1">
      <alignment wrapText="1"/>
    </xf>
    <xf numFmtId="4" fontId="163" fillId="2" borderId="0" xfId="0" applyNumberFormat="1" applyFont="1" applyFill="1" applyBorder="1" applyAlignment="1">
      <alignment horizontal="center" vertical="center"/>
    </xf>
    <xf numFmtId="0" fontId="147" fillId="0" borderId="0" xfId="0" applyFont="1"/>
    <xf numFmtId="0" fontId="15" fillId="2" borderId="0" xfId="17" applyFont="1" applyFill="1" applyBorder="1" applyAlignment="1">
      <alignment horizontal="left" vertical="center"/>
    </xf>
    <xf numFmtId="0" fontId="21" fillId="0" borderId="21" xfId="17" applyFont="1" applyFill="1" applyBorder="1" applyAlignment="1">
      <alignment horizontal="center" vertical="center"/>
    </xf>
    <xf numFmtId="166" fontId="136" fillId="6" borderId="68" xfId="5" applyNumberFormat="1" applyFont="1" applyFill="1" applyBorder="1" applyAlignment="1">
      <alignment horizontal="center" vertical="center"/>
    </xf>
    <xf numFmtId="0" fontId="15" fillId="2" borderId="0" xfId="17" applyFont="1" applyFill="1" applyBorder="1" applyAlignment="1">
      <alignment vertical="center"/>
    </xf>
    <xf numFmtId="0" fontId="213" fillId="0" borderId="0" xfId="0" applyFont="1" applyFill="1" applyAlignment="1">
      <alignment horizontal="center"/>
    </xf>
    <xf numFmtId="0" fontId="214" fillId="52" borderId="0" xfId="0" applyFont="1" applyFill="1" applyAlignment="1"/>
    <xf numFmtId="0" fontId="214" fillId="52" borderId="0" xfId="0" applyFont="1" applyFill="1" applyAlignment="1">
      <alignment wrapText="1"/>
    </xf>
    <xf numFmtId="0" fontId="214" fillId="52" borderId="0" xfId="0" applyFont="1" applyFill="1" applyAlignment="1">
      <alignment horizontal="center" vertical="center"/>
    </xf>
    <xf numFmtId="0" fontId="214" fillId="52" borderId="0" xfId="0" applyFont="1" applyFill="1" applyBorder="1" applyAlignment="1">
      <alignment horizontal="center" vertical="center"/>
    </xf>
    <xf numFmtId="0" fontId="213" fillId="2" borderId="0" xfId="0" applyFont="1" applyFill="1"/>
    <xf numFmtId="0" fontId="27" fillId="45" borderId="2" xfId="0" applyFont="1" applyFill="1" applyBorder="1" applyAlignment="1">
      <alignment horizontal="center" vertical="center" wrapText="1"/>
    </xf>
    <xf numFmtId="4" fontId="30" fillId="0" borderId="11" xfId="0" applyNumberFormat="1" applyFont="1" applyFill="1" applyBorder="1" applyAlignment="1">
      <alignment vertical="center"/>
    </xf>
    <xf numFmtId="205" fontId="19" fillId="2" borderId="72" xfId="2" applyNumberFormat="1" applyFont="1" applyFill="1" applyBorder="1" applyAlignment="1" applyProtection="1">
      <alignment vertical="center" wrapText="1"/>
      <protection locked="0"/>
    </xf>
    <xf numFmtId="205" fontId="19" fillId="2" borderId="73" xfId="2" applyNumberFormat="1" applyFont="1" applyFill="1" applyBorder="1" applyAlignment="1" applyProtection="1">
      <alignment vertical="center" wrapText="1"/>
      <protection locked="0"/>
    </xf>
    <xf numFmtId="205" fontId="19" fillId="2" borderId="54" xfId="2" applyNumberFormat="1" applyFont="1" applyFill="1" applyBorder="1" applyAlignment="1" applyProtection="1">
      <alignment vertical="center" wrapText="1"/>
      <protection locked="0"/>
    </xf>
    <xf numFmtId="43" fontId="26" fillId="2" borderId="0" xfId="5" applyFont="1" applyFill="1" applyAlignment="1">
      <alignment horizontal="center" wrapText="1"/>
    </xf>
    <xf numFmtId="43" fontId="26" fillId="2" borderId="0" xfId="5" applyFont="1" applyFill="1" applyBorder="1" applyAlignment="1">
      <alignment horizontal="center" wrapText="1"/>
    </xf>
    <xf numFmtId="168" fontId="163" fillId="2" borderId="0" xfId="0" applyNumberFormat="1" applyFont="1" applyFill="1" applyBorder="1"/>
    <xf numFmtId="167" fontId="26" fillId="4" borderId="0" xfId="7" applyNumberFormat="1" applyFont="1" applyFill="1" applyAlignment="1">
      <alignment horizontal="center" vertical="center" wrapText="1"/>
    </xf>
    <xf numFmtId="0" fontId="16" fillId="4" borderId="0" xfId="6" applyFont="1" applyFill="1" applyAlignment="1">
      <alignment vertical="center" wrapText="1"/>
    </xf>
    <xf numFmtId="0" fontId="17" fillId="4" borderId="0" xfId="6" applyFont="1" applyFill="1" applyAlignment="1">
      <alignment vertical="center"/>
    </xf>
    <xf numFmtId="0" fontId="22" fillId="4" borderId="0" xfId="6" applyFont="1" applyFill="1" applyAlignment="1">
      <alignment horizontal="center" vertical="center" wrapText="1"/>
    </xf>
    <xf numFmtId="43" fontId="23" fillId="0" borderId="0" xfId="5" applyFont="1" applyAlignment="1">
      <alignment horizontal="center" vertical="center" wrapText="1"/>
    </xf>
    <xf numFmtId="43" fontId="22" fillId="4" borderId="0" xfId="5" applyFont="1" applyFill="1" applyAlignment="1">
      <alignment horizontal="center" vertical="center" wrapText="1"/>
    </xf>
    <xf numFmtId="43" fontId="23" fillId="2" borderId="0" xfId="5" applyFont="1" applyFill="1" applyAlignment="1">
      <alignment horizontal="center" vertical="center" wrapText="1"/>
    </xf>
    <xf numFmtId="43" fontId="23" fillId="2" borderId="0" xfId="5" applyFont="1" applyFill="1" applyAlignment="1">
      <alignment wrapText="1"/>
    </xf>
    <xf numFmtId="10" fontId="22" fillId="48" borderId="11" xfId="1" applyNumberFormat="1" applyFont="1" applyFill="1" applyBorder="1" applyAlignment="1">
      <alignment horizontal="center" vertical="center"/>
    </xf>
    <xf numFmtId="10" fontId="22" fillId="0" borderId="10" xfId="1" applyNumberFormat="1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205" fontId="19" fillId="2" borderId="10" xfId="2" applyNumberFormat="1" applyFont="1" applyFill="1" applyBorder="1" applyAlignment="1" applyProtection="1">
      <alignment vertical="center" wrapText="1"/>
      <protection locked="0"/>
    </xf>
    <xf numFmtId="0" fontId="17" fillId="0" borderId="12" xfId="0" applyFont="1" applyBorder="1" applyAlignment="1">
      <alignment horizontal="center" vertical="center"/>
    </xf>
    <xf numFmtId="205" fontId="19" fillId="2" borderId="11" xfId="2" applyNumberFormat="1" applyFont="1" applyFill="1" applyBorder="1" applyAlignment="1" applyProtection="1">
      <alignment vertical="center" wrapText="1"/>
      <protection locked="0"/>
    </xf>
    <xf numFmtId="10" fontId="17" fillId="0" borderId="19" xfId="0" applyNumberFormat="1" applyFont="1" applyBorder="1" applyAlignment="1">
      <alignment horizontal="center" vertical="center"/>
    </xf>
    <xf numFmtId="0" fontId="19" fillId="2" borderId="10" xfId="0" applyFont="1" applyFill="1" applyBorder="1" applyAlignment="1">
      <alignment horizontal="left" vertical="center" wrapText="1"/>
    </xf>
    <xf numFmtId="0" fontId="163" fillId="0" borderId="0" xfId="0" applyFont="1" applyFill="1" applyBorder="1"/>
    <xf numFmtId="164" fontId="143" fillId="0" borderId="0" xfId="0" applyNumberFormat="1" applyFont="1" applyBorder="1" applyAlignment="1"/>
    <xf numFmtId="164" fontId="149" fillId="2" borderId="10" xfId="0" applyNumberFormat="1" applyFont="1" applyFill="1" applyBorder="1" applyAlignment="1">
      <alignment horizontal="center" vertical="center"/>
    </xf>
    <xf numFmtId="164" fontId="30" fillId="2" borderId="10" xfId="0" applyNumberFormat="1" applyFont="1" applyFill="1" applyBorder="1" applyAlignment="1">
      <alignment horizontal="center" vertical="center"/>
    </xf>
    <xf numFmtId="168" fontId="23" fillId="0" borderId="0" xfId="6" applyNumberFormat="1" applyFont="1" applyAlignment="1">
      <alignment wrapText="1"/>
    </xf>
    <xf numFmtId="0" fontId="23" fillId="0" borderId="0" xfId="6" applyFont="1" applyBorder="1" applyAlignment="1">
      <alignment vertical="center" wrapText="1"/>
    </xf>
    <xf numFmtId="0" fontId="23" fillId="0" borderId="0" xfId="6" applyFont="1" applyBorder="1" applyAlignment="1">
      <alignment horizontal="center" vertical="center" wrapText="1"/>
    </xf>
    <xf numFmtId="0" fontId="25" fillId="0" borderId="0" xfId="6" applyFont="1" applyBorder="1" applyAlignment="1">
      <alignment vertical="center" wrapText="1"/>
    </xf>
    <xf numFmtId="0" fontId="25" fillId="0" borderId="0" xfId="6" applyFont="1" applyBorder="1" applyAlignment="1">
      <alignment horizontal="center" vertical="center" wrapText="1"/>
    </xf>
    <xf numFmtId="0" fontId="23" fillId="0" borderId="97" xfId="6" applyFont="1" applyBorder="1" applyAlignment="1">
      <alignment vertical="center" wrapText="1"/>
    </xf>
    <xf numFmtId="0" fontId="23" fillId="0" borderId="98" xfId="6" applyFont="1" applyBorder="1" applyAlignment="1">
      <alignment horizontal="center" vertical="center" wrapText="1"/>
    </xf>
    <xf numFmtId="2" fontId="25" fillId="0" borderId="10" xfId="6" applyNumberFormat="1" applyFont="1" applyBorder="1" applyAlignment="1">
      <alignment horizontal="center" vertical="center" wrapText="1"/>
    </xf>
    <xf numFmtId="202" fontId="25" fillId="0" borderId="10" xfId="6" applyNumberFormat="1" applyFont="1" applyBorder="1" applyAlignment="1">
      <alignment horizontal="center" vertical="center" wrapText="1"/>
    </xf>
    <xf numFmtId="0" fontId="25" fillId="0" borderId="10" xfId="6" applyFont="1" applyBorder="1" applyAlignment="1">
      <alignment horizontal="center" vertical="center" wrapText="1"/>
    </xf>
    <xf numFmtId="164" fontId="25" fillId="0" borderId="10" xfId="6" applyNumberFormat="1" applyFont="1" applyBorder="1" applyAlignment="1">
      <alignment horizontal="center" vertical="center" wrapText="1"/>
    </xf>
    <xf numFmtId="4" fontId="26" fillId="3" borderId="14" xfId="8" applyNumberFormat="1" applyFont="1" applyFill="1" applyBorder="1" applyAlignment="1">
      <alignment horizontal="center" vertical="center" wrapText="1"/>
    </xf>
    <xf numFmtId="4" fontId="26" fillId="2" borderId="46" xfId="8" applyNumberFormat="1" applyFont="1" applyFill="1" applyBorder="1" applyAlignment="1">
      <alignment horizontal="center" vertical="center" wrapText="1"/>
    </xf>
    <xf numFmtId="4" fontId="21" fillId="0" borderId="79" xfId="17" applyNumberFormat="1" applyFont="1" applyFill="1" applyBorder="1" applyAlignment="1">
      <alignment horizontal="center" vertical="center"/>
    </xf>
    <xf numFmtId="4" fontId="21" fillId="0" borderId="5" xfId="17" applyNumberFormat="1" applyFont="1" applyFill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0" fontId="27" fillId="0" borderId="10" xfId="0" applyFont="1" applyBorder="1" applyAlignment="1">
      <alignment vertical="center" wrapText="1"/>
    </xf>
    <xf numFmtId="169" fontId="26" fillId="2" borderId="0" xfId="8" applyNumberFormat="1" applyFont="1" applyFill="1" applyBorder="1" applyAlignment="1">
      <alignment horizontal="center" vertical="center" wrapText="1"/>
    </xf>
    <xf numFmtId="0" fontId="163" fillId="2" borderId="0" xfId="0" applyFont="1" applyFill="1" applyBorder="1" applyAlignment="1">
      <alignment horizontal="center"/>
    </xf>
    <xf numFmtId="0" fontId="162" fillId="0" borderId="0" xfId="0" applyFont="1" applyFill="1"/>
    <xf numFmtId="4" fontId="162" fillId="0" borderId="0" xfId="0" applyNumberFormat="1" applyFont="1" applyFill="1"/>
    <xf numFmtId="0" fontId="162" fillId="2" borderId="0" xfId="0" applyFont="1" applyFill="1"/>
    <xf numFmtId="0" fontId="162" fillId="0" borderId="0" xfId="0" applyFont="1"/>
    <xf numFmtId="10" fontId="162" fillId="0" borderId="0" xfId="0" applyNumberFormat="1" applyFont="1"/>
    <xf numFmtId="0" fontId="220" fillId="0" borderId="0" xfId="2393" applyFont="1"/>
    <xf numFmtId="0" fontId="30" fillId="0" borderId="0" xfId="2393" applyFont="1"/>
    <xf numFmtId="0" fontId="27" fillId="45" borderId="53" xfId="0" applyFont="1" applyFill="1" applyBorder="1" applyAlignment="1">
      <alignment horizontal="center" vertical="center" wrapText="1"/>
    </xf>
    <xf numFmtId="168" fontId="27" fillId="45" borderId="59" xfId="0" applyNumberFormat="1" applyFont="1" applyFill="1" applyBorder="1" applyAlignment="1">
      <alignment vertical="center" wrapText="1"/>
    </xf>
    <xf numFmtId="168" fontId="141" fillId="45" borderId="57" xfId="0" applyNumberFormat="1" applyFont="1" applyFill="1" applyBorder="1" applyAlignment="1">
      <alignment vertical="center" wrapText="1"/>
    </xf>
    <xf numFmtId="164" fontId="32" fillId="49" borderId="2" xfId="0" applyNumberFormat="1" applyFont="1" applyFill="1" applyBorder="1" applyAlignment="1">
      <alignment horizontal="center" vertical="center"/>
    </xf>
    <xf numFmtId="164" fontId="32" fillId="49" borderId="5" xfId="0" applyNumberFormat="1" applyFont="1" applyFill="1" applyBorder="1" applyAlignment="1">
      <alignment horizontal="center" vertical="center"/>
    </xf>
    <xf numFmtId="164" fontId="32" fillId="49" borderId="19" xfId="0" applyNumberFormat="1" applyFont="1" applyFill="1" applyBorder="1" applyAlignment="1">
      <alignment horizontal="center" vertical="center"/>
    </xf>
    <xf numFmtId="164" fontId="32" fillId="49" borderId="13" xfId="0" applyNumberFormat="1" applyFont="1" applyFill="1" applyBorder="1" applyAlignment="1">
      <alignment horizontal="center" vertical="center"/>
    </xf>
    <xf numFmtId="164" fontId="32" fillId="49" borderId="47" xfId="0" applyNumberFormat="1" applyFont="1" applyFill="1" applyBorder="1" applyAlignment="1">
      <alignment horizontal="center" vertical="center"/>
    </xf>
    <xf numFmtId="170" fontId="216" fillId="3" borderId="45" xfId="6" applyNumberFormat="1" applyFont="1" applyFill="1" applyBorder="1" applyAlignment="1">
      <alignment horizontal="center" vertical="center" wrapText="1"/>
    </xf>
    <xf numFmtId="170" fontId="26" fillId="2" borderId="14" xfId="6" applyNumberFormat="1" applyFont="1" applyFill="1" applyBorder="1" applyAlignment="1">
      <alignment horizontal="center" vertical="center" wrapText="1"/>
    </xf>
    <xf numFmtId="170" fontId="141" fillId="2" borderId="46" xfId="6" applyNumberFormat="1" applyFont="1" applyFill="1" applyBorder="1" applyAlignment="1">
      <alignment horizontal="center" vertical="center" wrapText="1"/>
    </xf>
    <xf numFmtId="170" fontId="26" fillId="2" borderId="45" xfId="6" applyNumberFormat="1" applyFont="1" applyFill="1" applyBorder="1" applyAlignment="1">
      <alignment horizontal="center" vertical="center" wrapText="1"/>
    </xf>
    <xf numFmtId="164" fontId="17" fillId="0" borderId="19" xfId="0" applyNumberFormat="1" applyFont="1" applyBorder="1" applyAlignment="1">
      <alignment horizontal="center" vertical="center"/>
    </xf>
    <xf numFmtId="166" fontId="15" fillId="45" borderId="59" xfId="0" applyNumberFormat="1" applyFont="1" applyFill="1" applyBorder="1" applyAlignment="1">
      <alignment horizontal="center" vertical="center"/>
    </xf>
    <xf numFmtId="172" fontId="16" fillId="8" borderId="57" xfId="16" applyNumberFormat="1" applyFont="1" applyFill="1" applyBorder="1" applyAlignment="1">
      <alignment horizontal="center" vertical="center"/>
    </xf>
    <xf numFmtId="172" fontId="16" fillId="8" borderId="54" xfId="16" applyNumberFormat="1" applyFont="1" applyFill="1" applyBorder="1" applyAlignment="1">
      <alignment horizontal="center" vertical="center"/>
    </xf>
    <xf numFmtId="2" fontId="16" fillId="0" borderId="54" xfId="9" applyNumberFormat="1" applyFont="1" applyFill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/>
    </xf>
    <xf numFmtId="172" fontId="16" fillId="8" borderId="56" xfId="16" applyNumberFormat="1" applyFont="1" applyFill="1" applyBorder="1" applyAlignment="1">
      <alignment horizontal="center" vertical="center"/>
    </xf>
    <xf numFmtId="164" fontId="32" fillId="0" borderId="13" xfId="0" applyNumberFormat="1" applyFont="1" applyFill="1" applyBorder="1" applyAlignment="1">
      <alignment horizontal="center" vertical="center"/>
    </xf>
    <xf numFmtId="168" fontId="15" fillId="45" borderId="71" xfId="0" applyNumberFormat="1" applyFont="1" applyFill="1" applyBorder="1" applyAlignment="1">
      <alignment horizontal="center" vertical="center"/>
    </xf>
    <xf numFmtId="164" fontId="30" fillId="49" borderId="13" xfId="0" applyNumberFormat="1" applyFont="1" applyFill="1" applyBorder="1" applyAlignment="1">
      <alignment horizontal="center" vertical="center"/>
    </xf>
    <xf numFmtId="49" fontId="15" fillId="45" borderId="17" xfId="0" applyNumberFormat="1" applyFont="1" applyFill="1" applyBorder="1" applyAlignment="1">
      <alignment horizontal="center" vertical="center"/>
    </xf>
    <xf numFmtId="164" fontId="17" fillId="0" borderId="12" xfId="0" applyNumberFormat="1" applyFont="1" applyBorder="1" applyAlignment="1">
      <alignment horizontal="center" vertical="center"/>
    </xf>
    <xf numFmtId="166" fontId="15" fillId="47" borderId="62" xfId="0" applyNumberFormat="1" applyFont="1" applyFill="1" applyBorder="1" applyAlignment="1">
      <alignment horizontal="center" vertical="center"/>
    </xf>
    <xf numFmtId="166" fontId="15" fillId="45" borderId="90" xfId="0" applyNumberFormat="1" applyFont="1" applyFill="1" applyBorder="1" applyAlignment="1">
      <alignment horizontal="center" vertical="center"/>
    </xf>
    <xf numFmtId="0" fontId="16" fillId="46" borderId="5" xfId="9" applyFont="1" applyFill="1" applyBorder="1" applyAlignment="1">
      <alignment horizontal="center" vertical="center" wrapText="1"/>
    </xf>
    <xf numFmtId="166" fontId="15" fillId="45" borderId="91" xfId="0" applyNumberFormat="1" applyFont="1" applyFill="1" applyBorder="1" applyAlignment="1">
      <alignment horizontal="center" vertical="center"/>
    </xf>
    <xf numFmtId="172" fontId="16" fillId="8" borderId="19" xfId="16" applyNumberFormat="1" applyFont="1" applyFill="1" applyBorder="1" applyAlignment="1">
      <alignment horizontal="center" vertical="center"/>
    </xf>
    <xf numFmtId="172" fontId="16" fillId="8" borderId="13" xfId="16" applyNumberFormat="1" applyFont="1" applyFill="1" applyBorder="1" applyAlignment="1">
      <alignment horizontal="center" vertical="center"/>
    </xf>
    <xf numFmtId="2" fontId="16" fillId="0" borderId="13" xfId="9" applyNumberFormat="1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172" fontId="16" fillId="8" borderId="47" xfId="16" applyNumberFormat="1" applyFont="1" applyFill="1" applyBorder="1" applyAlignment="1">
      <alignment horizontal="center" vertical="center"/>
    </xf>
    <xf numFmtId="164" fontId="150" fillId="49" borderId="13" xfId="0" applyNumberFormat="1" applyFont="1" applyFill="1" applyBorder="1" applyAlignment="1">
      <alignment horizontal="center" vertical="center"/>
    </xf>
    <xf numFmtId="164" fontId="32" fillId="2" borderId="13" xfId="0" applyNumberFormat="1" applyFont="1" applyFill="1" applyBorder="1" applyAlignment="1">
      <alignment horizontal="center" vertical="center"/>
    </xf>
    <xf numFmtId="164" fontId="32" fillId="0" borderId="19" xfId="0" applyNumberFormat="1" applyFont="1" applyFill="1" applyBorder="1" applyAlignment="1">
      <alignment horizontal="center" vertical="center"/>
    </xf>
    <xf numFmtId="164" fontId="16" fillId="0" borderId="19" xfId="3" applyNumberFormat="1" applyFont="1" applyFill="1" applyBorder="1" applyAlignment="1">
      <alignment horizontal="center" vertical="center" wrapText="1"/>
    </xf>
    <xf numFmtId="164" fontId="16" fillId="0" borderId="13" xfId="3" applyNumberFormat="1" applyFont="1" applyFill="1" applyBorder="1" applyAlignment="1">
      <alignment horizontal="center" vertical="center" wrapText="1"/>
    </xf>
    <xf numFmtId="164" fontId="16" fillId="0" borderId="47" xfId="3" applyNumberFormat="1" applyFont="1" applyFill="1" applyBorder="1" applyAlignment="1">
      <alignment horizontal="center" vertical="center" wrapText="1"/>
    </xf>
    <xf numFmtId="10" fontId="22" fillId="0" borderId="13" xfId="1" applyNumberFormat="1" applyFont="1" applyFill="1" applyBorder="1" applyAlignment="1">
      <alignment horizontal="center" vertical="center"/>
    </xf>
    <xf numFmtId="205" fontId="19" fillId="2" borderId="13" xfId="2" applyNumberFormat="1" applyFont="1" applyFill="1" applyBorder="1" applyAlignment="1" applyProtection="1">
      <alignment vertical="center" wrapText="1"/>
      <protection locked="0"/>
    </xf>
    <xf numFmtId="4" fontId="30" fillId="51" borderId="13" xfId="0" applyNumberFormat="1" applyFont="1" applyFill="1" applyBorder="1" applyAlignment="1">
      <alignment vertical="center"/>
    </xf>
    <xf numFmtId="4" fontId="159" fillId="0" borderId="13" xfId="0" applyNumberFormat="1" applyFont="1" applyFill="1" applyBorder="1" applyAlignment="1">
      <alignment vertical="center"/>
    </xf>
    <xf numFmtId="0" fontId="16" fillId="46" borderId="22" xfId="9" applyFont="1" applyFill="1" applyBorder="1" applyAlignment="1">
      <alignment horizontal="center" vertical="center" wrapText="1"/>
    </xf>
    <xf numFmtId="166" fontId="15" fillId="45" borderId="58" xfId="0" applyNumberFormat="1" applyFont="1" applyFill="1" applyBorder="1" applyAlignment="1">
      <alignment horizontal="center" vertical="center"/>
    </xf>
    <xf numFmtId="164" fontId="17" fillId="2" borderId="24" xfId="0" applyNumberFormat="1" applyFont="1" applyFill="1" applyBorder="1" applyAlignment="1">
      <alignment horizontal="center" vertical="center"/>
    </xf>
    <xf numFmtId="166" fontId="15" fillId="45" borderId="81" xfId="0" applyNumberFormat="1" applyFont="1" applyFill="1" applyBorder="1" applyAlignment="1">
      <alignment horizontal="center" vertical="center"/>
    </xf>
    <xf numFmtId="172" fontId="16" fillId="8" borderId="50" xfId="16" applyNumberFormat="1" applyFont="1" applyFill="1" applyBorder="1" applyAlignment="1">
      <alignment horizontal="center" vertical="center"/>
    </xf>
    <xf numFmtId="172" fontId="16" fillId="8" borderId="51" xfId="16" applyNumberFormat="1" applyFont="1" applyFill="1" applyBorder="1" applyAlignment="1">
      <alignment horizontal="center" vertical="center"/>
    </xf>
    <xf numFmtId="2" fontId="16" fillId="0" borderId="51" xfId="9" applyNumberFormat="1" applyFont="1" applyFill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/>
    </xf>
    <xf numFmtId="172" fontId="16" fillId="8" borderId="52" xfId="16" applyNumberFormat="1" applyFont="1" applyFill="1" applyBorder="1" applyAlignment="1">
      <alignment horizontal="center" vertical="center"/>
    </xf>
    <xf numFmtId="164" fontId="15" fillId="45" borderId="44" xfId="0" applyNumberFormat="1" applyFont="1" applyFill="1" applyBorder="1" applyAlignment="1">
      <alignment horizontal="center" vertical="center"/>
    </xf>
    <xf numFmtId="164" fontId="32" fillId="49" borderId="50" xfId="0" applyNumberFormat="1" applyFont="1" applyFill="1" applyBorder="1" applyAlignment="1">
      <alignment horizontal="center" vertical="center"/>
    </xf>
    <xf numFmtId="164" fontId="32" fillId="49" borderId="51" xfId="0" applyNumberFormat="1" applyFont="1" applyFill="1" applyBorder="1" applyAlignment="1">
      <alignment horizontal="center" vertical="center"/>
    </xf>
    <xf numFmtId="164" fontId="32" fillId="49" borderId="52" xfId="0" applyNumberFormat="1" applyFont="1" applyFill="1" applyBorder="1" applyAlignment="1">
      <alignment horizontal="center" vertical="center"/>
    </xf>
    <xf numFmtId="164" fontId="149" fillId="0" borderId="51" xfId="0" applyNumberFormat="1" applyFont="1" applyFill="1" applyBorder="1" applyAlignment="1">
      <alignment horizontal="center" vertical="center"/>
    </xf>
    <xf numFmtId="164" fontId="150" fillId="49" borderId="51" xfId="0" applyNumberFormat="1" applyFont="1" applyFill="1" applyBorder="1" applyAlignment="1">
      <alignment horizontal="center" vertical="center"/>
    </xf>
    <xf numFmtId="164" fontId="32" fillId="0" borderId="51" xfId="0" applyNumberFormat="1" applyFont="1" applyFill="1" applyBorder="1" applyAlignment="1">
      <alignment horizontal="center" vertical="center"/>
    </xf>
    <xf numFmtId="164" fontId="30" fillId="49" borderId="51" xfId="0" applyNumberFormat="1" applyFont="1" applyFill="1" applyBorder="1" applyAlignment="1">
      <alignment horizontal="center" vertical="center"/>
    </xf>
    <xf numFmtId="164" fontId="32" fillId="2" borderId="51" xfId="0" applyNumberFormat="1" applyFont="1" applyFill="1" applyBorder="1" applyAlignment="1">
      <alignment horizontal="center" vertical="center"/>
    </xf>
    <xf numFmtId="164" fontId="32" fillId="0" borderId="50" xfId="0" applyNumberFormat="1" applyFont="1" applyFill="1" applyBorder="1" applyAlignment="1">
      <alignment horizontal="center" vertical="center"/>
    </xf>
    <xf numFmtId="164" fontId="16" fillId="0" borderId="50" xfId="3" applyNumberFormat="1" applyFont="1" applyFill="1" applyBorder="1" applyAlignment="1">
      <alignment horizontal="center" vertical="center" wrapText="1"/>
    </xf>
    <xf numFmtId="164" fontId="16" fillId="0" borderId="51" xfId="3" applyNumberFormat="1" applyFont="1" applyFill="1" applyBorder="1" applyAlignment="1">
      <alignment horizontal="center" vertical="center" wrapText="1"/>
    </xf>
    <xf numFmtId="164" fontId="16" fillId="0" borderId="52" xfId="3" applyNumberFormat="1" applyFont="1" applyFill="1" applyBorder="1" applyAlignment="1">
      <alignment horizontal="center" vertical="center" wrapText="1"/>
    </xf>
    <xf numFmtId="164" fontId="154" fillId="0" borderId="50" xfId="9" applyNumberFormat="1" applyFont="1" applyFill="1" applyBorder="1" applyAlignment="1">
      <alignment horizontal="center" vertical="center" wrapText="1"/>
    </xf>
    <xf numFmtId="164" fontId="30" fillId="0" borderId="51" xfId="0" applyNumberFormat="1" applyFont="1" applyFill="1" applyBorder="1" applyAlignment="1">
      <alignment horizontal="center" vertical="center"/>
    </xf>
    <xf numFmtId="164" fontId="17" fillId="2" borderId="77" xfId="0" applyNumberFormat="1" applyFont="1" applyFill="1" applyBorder="1" applyAlignment="1">
      <alignment horizontal="center" vertical="center"/>
    </xf>
    <xf numFmtId="164" fontId="17" fillId="0" borderId="51" xfId="0" applyNumberFormat="1" applyFont="1" applyFill="1" applyBorder="1" applyAlignment="1">
      <alignment vertical="center"/>
    </xf>
    <xf numFmtId="164" fontId="30" fillId="0" borderId="51" xfId="0" applyNumberFormat="1" applyFont="1" applyFill="1" applyBorder="1" applyAlignment="1">
      <alignment vertical="center"/>
    </xf>
    <xf numFmtId="10" fontId="22" fillId="0" borderId="51" xfId="1" applyNumberFormat="1" applyFont="1" applyFill="1" applyBorder="1" applyAlignment="1">
      <alignment horizontal="center" vertical="center"/>
    </xf>
    <xf numFmtId="205" fontId="19" fillId="2" borderId="51" xfId="2" applyNumberFormat="1" applyFont="1" applyFill="1" applyBorder="1" applyAlignment="1" applyProtection="1">
      <alignment vertical="center" wrapText="1"/>
      <protection locked="0"/>
    </xf>
    <xf numFmtId="4" fontId="30" fillId="0" borderId="51" xfId="0" applyNumberFormat="1" applyFont="1" applyFill="1" applyBorder="1" applyAlignment="1">
      <alignment vertical="center"/>
    </xf>
    <xf numFmtId="4" fontId="17" fillId="0" borderId="51" xfId="0" applyNumberFormat="1" applyFont="1" applyFill="1" applyBorder="1" applyAlignment="1">
      <alignment vertical="center"/>
    </xf>
    <xf numFmtId="4" fontId="30" fillId="51" borderId="51" xfId="0" applyNumberFormat="1" applyFont="1" applyFill="1" applyBorder="1" applyAlignment="1">
      <alignment vertical="center"/>
    </xf>
    <xf numFmtId="4" fontId="159" fillId="0" borderId="51" xfId="0" applyNumberFormat="1" applyFont="1" applyFill="1" applyBorder="1" applyAlignment="1">
      <alignment vertical="center"/>
    </xf>
    <xf numFmtId="4" fontId="161" fillId="0" borderId="49" xfId="0" applyNumberFormat="1" applyFont="1" applyFill="1" applyBorder="1" applyAlignment="1">
      <alignment vertical="center"/>
    </xf>
    <xf numFmtId="0" fontId="16" fillId="2" borderId="5" xfId="9" applyFont="1" applyFill="1" applyBorder="1" applyAlignment="1">
      <alignment horizontal="center" vertical="center" wrapText="1"/>
    </xf>
    <xf numFmtId="0" fontId="16" fillId="2" borderId="22" xfId="9" applyFont="1" applyFill="1" applyBorder="1" applyAlignment="1">
      <alignment horizontal="center" vertical="center" wrapText="1"/>
    </xf>
    <xf numFmtId="168" fontId="15" fillId="45" borderId="86" xfId="0" applyNumberFormat="1" applyFont="1" applyFill="1" applyBorder="1" applyAlignment="1">
      <alignment horizontal="center" vertical="center"/>
    </xf>
    <xf numFmtId="168" fontId="15" fillId="45" borderId="58" xfId="0" applyNumberFormat="1" applyFont="1" applyFill="1" applyBorder="1" applyAlignment="1">
      <alignment horizontal="center" vertical="center"/>
    </xf>
    <xf numFmtId="168" fontId="15" fillId="45" borderId="60" xfId="0" applyNumberFormat="1" applyFont="1" applyFill="1" applyBorder="1" applyAlignment="1">
      <alignment horizontal="center" vertical="center"/>
    </xf>
    <xf numFmtId="168" fontId="15" fillId="45" borderId="16" xfId="0" applyNumberFormat="1" applyFont="1" applyFill="1" applyBorder="1" applyAlignment="1">
      <alignment horizontal="center" vertical="center"/>
    </xf>
    <xf numFmtId="164" fontId="32" fillId="2" borderId="7" xfId="0" applyNumberFormat="1" applyFont="1" applyFill="1" applyBorder="1" applyAlignment="1">
      <alignment horizontal="center" vertical="center"/>
    </xf>
    <xf numFmtId="164" fontId="32" fillId="2" borderId="19" xfId="0" applyNumberFormat="1" applyFont="1" applyFill="1" applyBorder="1" applyAlignment="1">
      <alignment horizontal="center" vertical="center"/>
    </xf>
    <xf numFmtId="164" fontId="32" fillId="2" borderId="50" xfId="0" applyNumberFormat="1" applyFont="1" applyFill="1" applyBorder="1" applyAlignment="1">
      <alignment horizontal="center" vertical="center"/>
    </xf>
    <xf numFmtId="164" fontId="32" fillId="2" borderId="52" xfId="0" applyNumberFormat="1" applyFont="1" applyFill="1" applyBorder="1" applyAlignment="1">
      <alignment horizontal="center" vertical="center"/>
    </xf>
    <xf numFmtId="164" fontId="149" fillId="2" borderId="51" xfId="0" applyNumberFormat="1" applyFont="1" applyFill="1" applyBorder="1" applyAlignment="1">
      <alignment horizontal="center" vertical="center"/>
    </xf>
    <xf numFmtId="164" fontId="150" fillId="2" borderId="10" xfId="0" applyNumberFormat="1" applyFont="1" applyFill="1" applyBorder="1" applyAlignment="1">
      <alignment horizontal="center" vertical="center"/>
    </xf>
    <xf numFmtId="164" fontId="150" fillId="2" borderId="51" xfId="0" applyNumberFormat="1" applyFont="1" applyFill="1" applyBorder="1" applyAlignment="1">
      <alignment horizontal="center" vertical="center"/>
    </xf>
    <xf numFmtId="164" fontId="30" fillId="2" borderId="51" xfId="0" applyNumberFormat="1" applyFont="1" applyFill="1" applyBorder="1" applyAlignment="1">
      <alignment horizontal="center" vertical="center"/>
    </xf>
    <xf numFmtId="4" fontId="30" fillId="2" borderId="10" xfId="0" applyNumberFormat="1" applyFont="1" applyFill="1" applyBorder="1" applyAlignment="1">
      <alignment vertical="center"/>
    </xf>
    <xf numFmtId="4" fontId="30" fillId="50" borderId="51" xfId="0" applyNumberFormat="1" applyFont="1" applyFill="1" applyBorder="1" applyAlignment="1">
      <alignment vertical="center"/>
    </xf>
    <xf numFmtId="4" fontId="30" fillId="2" borderId="51" xfId="0" applyNumberFormat="1" applyFont="1" applyFill="1" applyBorder="1" applyAlignment="1">
      <alignment vertical="center"/>
    </xf>
    <xf numFmtId="4" fontId="159" fillId="2" borderId="10" xfId="0" applyNumberFormat="1" applyFont="1" applyFill="1" applyBorder="1" applyAlignment="1">
      <alignment vertical="center"/>
    </xf>
    <xf numFmtId="4" fontId="159" fillId="2" borderId="51" xfId="0" applyNumberFormat="1" applyFont="1" applyFill="1" applyBorder="1" applyAlignment="1">
      <alignment vertical="center"/>
    </xf>
    <xf numFmtId="4" fontId="161" fillId="2" borderId="5" xfId="0" applyNumberFormat="1" applyFont="1" applyFill="1" applyBorder="1" applyAlignment="1">
      <alignment vertical="center"/>
    </xf>
    <xf numFmtId="4" fontId="161" fillId="2" borderId="22" xfId="0" applyNumberFormat="1" applyFont="1" applyFill="1" applyBorder="1" applyAlignment="1">
      <alignment vertical="center"/>
    </xf>
    <xf numFmtId="4" fontId="161" fillId="2" borderId="49" xfId="0" applyNumberFormat="1" applyFont="1" applyFill="1" applyBorder="1" applyAlignment="1">
      <alignment vertical="center"/>
    </xf>
    <xf numFmtId="164" fontId="32" fillId="0" borderId="48" xfId="0" applyNumberFormat="1" applyFont="1" applyFill="1" applyBorder="1" applyAlignment="1">
      <alignment horizontal="center" vertical="center"/>
    </xf>
    <xf numFmtId="164" fontId="32" fillId="49" borderId="49" xfId="0" applyNumberFormat="1" applyFont="1" applyFill="1" applyBorder="1" applyAlignment="1">
      <alignment horizontal="center" vertical="center"/>
    </xf>
    <xf numFmtId="164" fontId="154" fillId="0" borderId="48" xfId="9" applyNumberFormat="1" applyFont="1" applyFill="1" applyBorder="1" applyAlignment="1">
      <alignment horizontal="center" vertical="center" wrapText="1"/>
    </xf>
    <xf numFmtId="4" fontId="17" fillId="50" borderId="11" xfId="0" applyNumberFormat="1" applyFont="1" applyFill="1" applyBorder="1" applyAlignment="1">
      <alignment vertical="center"/>
    </xf>
    <xf numFmtId="4" fontId="30" fillId="2" borderId="11" xfId="0" applyNumberFormat="1" applyFont="1" applyFill="1" applyBorder="1" applyAlignment="1">
      <alignment vertical="center"/>
    </xf>
    <xf numFmtId="4" fontId="158" fillId="50" borderId="11" xfId="0" applyNumberFormat="1" applyFont="1" applyFill="1" applyBorder="1" applyAlignment="1">
      <alignment vertical="center"/>
    </xf>
    <xf numFmtId="4" fontId="161" fillId="50" borderId="4" xfId="0" applyNumberFormat="1" applyFont="1" applyFill="1" applyBorder="1" applyAlignment="1">
      <alignment vertical="center"/>
    </xf>
    <xf numFmtId="172" fontId="16" fillId="8" borderId="6" xfId="16" applyNumberFormat="1" applyFont="1" applyFill="1" applyBorder="1" applyAlignment="1">
      <alignment horizontal="center" vertical="center"/>
    </xf>
    <xf numFmtId="166" fontId="15" fillId="45" borderId="44" xfId="0" applyNumberFormat="1" applyFont="1" applyFill="1" applyBorder="1" applyAlignment="1">
      <alignment horizontal="center" vertical="center"/>
    </xf>
    <xf numFmtId="165" fontId="17" fillId="2" borderId="10" xfId="3" applyFont="1" applyFill="1" applyBorder="1" applyAlignment="1">
      <alignment horizontal="left" vertical="center" wrapText="1" indent="2"/>
    </xf>
    <xf numFmtId="164" fontId="30" fillId="49" borderId="50" xfId="0" applyNumberFormat="1" applyFont="1" applyFill="1" applyBorder="1" applyAlignment="1">
      <alignment horizontal="center" vertical="center"/>
    </xf>
    <xf numFmtId="164" fontId="32" fillId="2" borderId="48" xfId="0" applyNumberFormat="1" applyFont="1" applyFill="1" applyBorder="1" applyAlignment="1">
      <alignment horizontal="center" vertical="center"/>
    </xf>
    <xf numFmtId="164" fontId="17" fillId="48" borderId="11" xfId="9" applyNumberFormat="1" applyFont="1" applyFill="1" applyBorder="1" applyAlignment="1">
      <alignment horizontal="center" vertical="center" wrapText="1"/>
    </xf>
    <xf numFmtId="164" fontId="32" fillId="49" borderId="48" xfId="0" applyNumberFormat="1" applyFont="1" applyFill="1" applyBorder="1" applyAlignment="1">
      <alignment horizontal="center" vertical="center"/>
    </xf>
    <xf numFmtId="164" fontId="15" fillId="47" borderId="44" xfId="0" applyNumberFormat="1" applyFont="1" applyFill="1" applyBorder="1" applyAlignment="1">
      <alignment horizontal="center" vertical="center"/>
    </xf>
    <xf numFmtId="164" fontId="15" fillId="47" borderId="60" xfId="0" applyNumberFormat="1" applyFont="1" applyFill="1" applyBorder="1" applyAlignment="1">
      <alignment horizontal="center" vertical="center"/>
    </xf>
    <xf numFmtId="164" fontId="15" fillId="47" borderId="71" xfId="0" applyNumberFormat="1" applyFont="1" applyFill="1" applyBorder="1" applyAlignment="1">
      <alignment horizontal="center" vertical="center"/>
    </xf>
    <xf numFmtId="164" fontId="15" fillId="47" borderId="16" xfId="0" applyNumberFormat="1" applyFont="1" applyFill="1" applyBorder="1" applyAlignment="1">
      <alignment horizontal="center" vertical="center"/>
    </xf>
    <xf numFmtId="164" fontId="15" fillId="47" borderId="58" xfId="0" applyNumberFormat="1" applyFont="1" applyFill="1" applyBorder="1" applyAlignment="1">
      <alignment horizontal="center" vertical="center"/>
    </xf>
    <xf numFmtId="164" fontId="30" fillId="49" borderId="49" xfId="0" applyNumberFormat="1" applyFont="1" applyFill="1" applyBorder="1" applyAlignment="1">
      <alignment horizontal="center" vertical="center"/>
    </xf>
    <xf numFmtId="164" fontId="30" fillId="2" borderId="52" xfId="0" applyNumberFormat="1" applyFont="1" applyFill="1" applyBorder="1" applyAlignment="1">
      <alignment horizontal="center" vertical="center"/>
    </xf>
    <xf numFmtId="164" fontId="30" fillId="2" borderId="50" xfId="0" applyNumberFormat="1" applyFont="1" applyFill="1" applyBorder="1" applyAlignment="1">
      <alignment horizontal="center" vertical="center"/>
    </xf>
    <xf numFmtId="164" fontId="32" fillId="0" borderId="52" xfId="0" applyNumberFormat="1" applyFont="1" applyFill="1" applyBorder="1" applyAlignment="1">
      <alignment horizontal="center" vertical="center"/>
    </xf>
    <xf numFmtId="164" fontId="15" fillId="2" borderId="7" xfId="0" applyNumberFormat="1" applyFont="1" applyFill="1" applyBorder="1" applyAlignment="1">
      <alignment horizontal="center" vertical="center"/>
    </xf>
    <xf numFmtId="164" fontId="15" fillId="2" borderId="19" xfId="0" applyNumberFormat="1" applyFont="1" applyFill="1" applyBorder="1" applyAlignment="1">
      <alignment horizontal="center" vertical="center"/>
    </xf>
    <xf numFmtId="164" fontId="15" fillId="2" borderId="50" xfId="0" applyNumberFormat="1" applyFont="1" applyFill="1" applyBorder="1" applyAlignment="1">
      <alignment horizontal="center" vertical="center"/>
    </xf>
    <xf numFmtId="0" fontId="21" fillId="2" borderId="36" xfId="0" applyFont="1" applyFill="1" applyBorder="1"/>
    <xf numFmtId="49" fontId="16" fillId="2" borderId="10" xfId="0" applyNumberFormat="1" applyFont="1" applyFill="1" applyBorder="1" applyAlignment="1">
      <alignment horizontal="center" vertical="center" wrapText="1"/>
    </xf>
    <xf numFmtId="0" fontId="32" fillId="2" borderId="95" xfId="0" applyFont="1" applyFill="1" applyBorder="1" applyAlignment="1">
      <alignment horizontal="left" vertical="center" wrapText="1"/>
    </xf>
    <xf numFmtId="49" fontId="16" fillId="2" borderId="95" xfId="0" applyNumberFormat="1" applyFont="1" applyFill="1" applyBorder="1" applyAlignment="1">
      <alignment horizontal="center" vertical="center" wrapText="1"/>
    </xf>
    <xf numFmtId="0" fontId="21" fillId="2" borderId="0" xfId="0" applyFont="1" applyFill="1" applyBorder="1"/>
    <xf numFmtId="205" fontId="136" fillId="6" borderId="14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46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10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12" xfId="2" applyNumberFormat="1" applyFont="1" applyFill="1" applyBorder="1" applyAlignment="1" applyProtection="1">
      <alignment horizontal="center" vertical="center" wrapText="1"/>
      <protection locked="0"/>
    </xf>
    <xf numFmtId="164" fontId="16" fillId="0" borderId="2" xfId="3" applyNumberFormat="1" applyFont="1" applyFill="1" applyBorder="1" applyAlignment="1">
      <alignment horizontal="center" vertical="center" wrapText="1"/>
    </xf>
    <xf numFmtId="164" fontId="16" fillId="0" borderId="3" xfId="3" applyNumberFormat="1" applyFont="1" applyFill="1" applyBorder="1" applyAlignment="1">
      <alignment horizontal="center" vertical="center" wrapText="1"/>
    </xf>
    <xf numFmtId="164" fontId="16" fillId="0" borderId="12" xfId="3" applyNumberFormat="1" applyFont="1" applyFill="1" applyBorder="1" applyAlignment="1">
      <alignment horizontal="center" vertical="center" wrapText="1"/>
    </xf>
    <xf numFmtId="164" fontId="16" fillId="0" borderId="5" xfId="3" applyNumberFormat="1" applyFont="1" applyFill="1" applyBorder="1" applyAlignment="1">
      <alignment horizontal="center" vertical="center" wrapText="1"/>
    </xf>
    <xf numFmtId="164" fontId="16" fillId="0" borderId="6" xfId="3" applyNumberFormat="1" applyFont="1" applyFill="1" applyBorder="1" applyAlignment="1">
      <alignment horizontal="center" vertical="center" wrapText="1"/>
    </xf>
    <xf numFmtId="164" fontId="15" fillId="45" borderId="75" xfId="0" applyNumberFormat="1" applyFont="1" applyFill="1" applyBorder="1" applyAlignment="1">
      <alignment horizontal="center" vertical="center"/>
    </xf>
    <xf numFmtId="164" fontId="15" fillId="45" borderId="63" xfId="0" applyNumberFormat="1" applyFont="1" applyFill="1" applyBorder="1" applyAlignment="1">
      <alignment horizontal="center" vertical="center"/>
    </xf>
    <xf numFmtId="164" fontId="15" fillId="45" borderId="61" xfId="0" applyNumberFormat="1" applyFont="1" applyFill="1" applyBorder="1" applyAlignment="1">
      <alignment horizontal="center" vertical="center"/>
    </xf>
    <xf numFmtId="164" fontId="15" fillId="45" borderId="90" xfId="0" applyNumberFormat="1" applyFont="1" applyFill="1" applyBorder="1" applyAlignment="1">
      <alignment horizontal="center" vertical="center"/>
    </xf>
    <xf numFmtId="164" fontId="15" fillId="45" borderId="91" xfId="0" applyNumberFormat="1" applyFont="1" applyFill="1" applyBorder="1" applyAlignment="1">
      <alignment horizontal="center" vertical="center"/>
    </xf>
    <xf numFmtId="164" fontId="15" fillId="45" borderId="81" xfId="0" applyNumberFormat="1" applyFont="1" applyFill="1" applyBorder="1" applyAlignment="1">
      <alignment horizontal="center" vertical="center"/>
    </xf>
    <xf numFmtId="164" fontId="15" fillId="47" borderId="20" xfId="0" applyNumberFormat="1" applyFont="1" applyFill="1" applyBorder="1" applyAlignment="1">
      <alignment horizontal="center" vertical="center"/>
    </xf>
    <xf numFmtId="164" fontId="15" fillId="47" borderId="62" xfId="0" applyNumberFormat="1" applyFont="1" applyFill="1" applyBorder="1" applyAlignment="1">
      <alignment horizontal="center" vertical="center"/>
    </xf>
    <xf numFmtId="164" fontId="32" fillId="50" borderId="1" xfId="0" applyNumberFormat="1" applyFont="1" applyFill="1" applyBorder="1" applyAlignment="1">
      <alignment horizontal="center" vertical="center"/>
    </xf>
    <xf numFmtId="164" fontId="32" fillId="50" borderId="62" xfId="0" applyNumberFormat="1" applyFont="1" applyFill="1" applyBorder="1" applyAlignment="1">
      <alignment horizontal="center" vertical="center"/>
    </xf>
    <xf numFmtId="164" fontId="30" fillId="50" borderId="8" xfId="0" applyNumberFormat="1" applyFont="1" applyFill="1" applyBorder="1" applyAlignment="1">
      <alignment horizontal="center" vertical="center"/>
    </xf>
    <xf numFmtId="164" fontId="30" fillId="49" borderId="7" xfId="0" applyNumberFormat="1" applyFont="1" applyFill="1" applyBorder="1" applyAlignment="1">
      <alignment horizontal="center" vertical="center"/>
    </xf>
    <xf numFmtId="164" fontId="30" fillId="49" borderId="19" xfId="0" applyNumberFormat="1" applyFont="1" applyFill="1" applyBorder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164" fontId="30" fillId="2" borderId="19" xfId="0" applyNumberFormat="1" applyFont="1" applyFill="1" applyBorder="1" applyAlignment="1">
      <alignment horizontal="center" vertical="center"/>
    </xf>
    <xf numFmtId="164" fontId="30" fillId="50" borderId="11" xfId="0" applyNumberFormat="1" applyFont="1" applyFill="1" applyBorder="1" applyAlignment="1">
      <alignment horizontal="center" vertical="center"/>
    </xf>
    <xf numFmtId="172" fontId="17" fillId="0" borderId="0" xfId="0" applyNumberFormat="1" applyFont="1"/>
    <xf numFmtId="164" fontId="30" fillId="49" borderId="81" xfId="0" applyNumberFormat="1" applyFont="1" applyFill="1" applyBorder="1" applyAlignment="1">
      <alignment horizontal="center" vertical="center"/>
    </xf>
    <xf numFmtId="4" fontId="158" fillId="0" borderId="11" xfId="0" applyNumberFormat="1" applyFont="1" applyFill="1" applyBorder="1" applyAlignment="1">
      <alignment vertical="center"/>
    </xf>
    <xf numFmtId="4" fontId="223" fillId="0" borderId="10" xfId="0" applyNumberFormat="1" applyFont="1" applyFill="1" applyBorder="1" applyAlignment="1">
      <alignment vertical="center"/>
    </xf>
    <xf numFmtId="4" fontId="158" fillId="51" borderId="13" xfId="0" applyNumberFormat="1" applyFont="1" applyFill="1" applyBorder="1" applyAlignment="1">
      <alignment vertical="center"/>
    </xf>
    <xf numFmtId="4" fontId="158" fillId="51" borderId="51" xfId="0" applyNumberFormat="1" applyFont="1" applyFill="1" applyBorder="1" applyAlignment="1">
      <alignment vertical="center"/>
    </xf>
    <xf numFmtId="4" fontId="158" fillId="50" borderId="51" xfId="0" applyNumberFormat="1" applyFont="1" applyFill="1" applyBorder="1" applyAlignment="1">
      <alignment vertical="center"/>
    </xf>
    <xf numFmtId="0" fontId="158" fillId="51" borderId="13" xfId="0" applyNumberFormat="1" applyFont="1" applyFill="1" applyBorder="1" applyAlignment="1">
      <alignment vertical="center"/>
    </xf>
    <xf numFmtId="0" fontId="137" fillId="0" borderId="10" xfId="0" applyFont="1" applyBorder="1" applyAlignment="1">
      <alignment horizontal="left" vertical="center" wrapText="1"/>
    </xf>
    <xf numFmtId="165" fontId="17" fillId="0" borderId="96" xfId="3" applyFont="1" applyFill="1" applyBorder="1" applyAlignment="1">
      <alignment horizontal="left" vertical="center" wrapText="1" indent="2"/>
    </xf>
    <xf numFmtId="0" fontId="17" fillId="0" borderId="87" xfId="0" applyFont="1" applyBorder="1"/>
    <xf numFmtId="49" fontId="17" fillId="0" borderId="10" xfId="3" applyNumberFormat="1" applyFont="1" applyFill="1" applyBorder="1" applyAlignment="1">
      <alignment horizontal="center" vertical="center"/>
    </xf>
    <xf numFmtId="0" fontId="22" fillId="0" borderId="10" xfId="6" applyFont="1" applyBorder="1"/>
    <xf numFmtId="0" fontId="22" fillId="0" borderId="13" xfId="6" applyFont="1" applyBorder="1"/>
    <xf numFmtId="4" fontId="22" fillId="0" borderId="10" xfId="6" applyNumberFormat="1" applyFont="1" applyBorder="1"/>
    <xf numFmtId="0" fontId="22" fillId="0" borderId="10" xfId="6" applyFont="1" applyBorder="1" applyAlignment="1">
      <alignment horizontal="center"/>
    </xf>
    <xf numFmtId="0" fontId="22" fillId="0" borderId="10" xfId="6" applyFont="1" applyBorder="1" applyAlignment="1">
      <alignment horizontal="center" vertical="center"/>
    </xf>
    <xf numFmtId="0" fontId="22" fillId="0" borderId="10" xfId="6" applyFont="1" applyBorder="1" applyAlignment="1">
      <alignment horizontal="center" vertical="center" wrapText="1"/>
    </xf>
    <xf numFmtId="168" fontId="27" fillId="45" borderId="2" xfId="0" applyNumberFormat="1" applyFont="1" applyFill="1" applyBorder="1" applyAlignment="1">
      <alignment vertical="center" wrapText="1"/>
    </xf>
    <xf numFmtId="168" fontId="27" fillId="45" borderId="53" xfId="0" applyNumberFormat="1" applyFont="1" applyFill="1" applyBorder="1" applyAlignment="1">
      <alignment vertical="center" wrapText="1"/>
    </xf>
    <xf numFmtId="168" fontId="224" fillId="45" borderId="46" xfId="0" applyNumberFormat="1" applyFont="1" applyFill="1" applyBorder="1" applyAlignment="1">
      <alignment vertical="center" wrapText="1"/>
    </xf>
    <xf numFmtId="0" fontId="22" fillId="0" borderId="13" xfId="6" applyFont="1" applyBorder="1" applyAlignment="1">
      <alignment horizontal="left" indent="1"/>
    </xf>
    <xf numFmtId="0" fontId="27" fillId="2" borderId="2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168" fontId="27" fillId="2" borderId="21" xfId="0" applyNumberFormat="1" applyFont="1" applyFill="1" applyBorder="1" applyAlignment="1">
      <alignment vertical="center" wrapText="1"/>
    </xf>
    <xf numFmtId="168" fontId="27" fillId="2" borderId="74" xfId="0" applyNumberFormat="1" applyFont="1" applyFill="1" applyBorder="1" applyAlignment="1">
      <alignment vertical="center" wrapText="1"/>
    </xf>
    <xf numFmtId="168" fontId="27" fillId="2" borderId="1" xfId="0" applyNumberFormat="1" applyFont="1" applyFill="1" applyBorder="1" applyAlignment="1">
      <alignment vertical="center" wrapText="1"/>
    </xf>
    <xf numFmtId="168" fontId="27" fillId="2" borderId="2" xfId="0" applyNumberFormat="1" applyFont="1" applyFill="1" applyBorder="1" applyAlignment="1">
      <alignment vertical="center" wrapText="1"/>
    </xf>
    <xf numFmtId="168" fontId="27" fillId="2" borderId="13" xfId="0" applyNumberFormat="1" applyFont="1" applyFill="1" applyBorder="1" applyAlignment="1">
      <alignment vertical="center" wrapText="1"/>
    </xf>
    <xf numFmtId="168" fontId="27" fillId="2" borderId="72" xfId="0" applyNumberFormat="1" applyFont="1" applyFill="1" applyBorder="1" applyAlignment="1">
      <alignment vertical="center" wrapText="1"/>
    </xf>
    <xf numFmtId="168" fontId="27" fillId="2" borderId="11" xfId="0" applyNumberFormat="1" applyFont="1" applyFill="1" applyBorder="1" applyAlignment="1">
      <alignment vertical="center" wrapText="1"/>
    </xf>
    <xf numFmtId="168" fontId="31" fillId="2" borderId="13" xfId="0" applyNumberFormat="1" applyFont="1" applyFill="1" applyBorder="1" applyAlignment="1">
      <alignment vertical="center" wrapText="1"/>
    </xf>
    <xf numFmtId="168" fontId="141" fillId="2" borderId="72" xfId="0" applyNumberFormat="1" applyFont="1" applyFill="1" applyBorder="1" applyAlignment="1">
      <alignment vertical="center" wrapText="1"/>
    </xf>
    <xf numFmtId="168" fontId="141" fillId="2" borderId="11" xfId="0" applyNumberFormat="1" applyFont="1" applyFill="1" applyBorder="1" applyAlignment="1">
      <alignment vertical="center" wrapText="1"/>
    </xf>
    <xf numFmtId="168" fontId="224" fillId="2" borderId="47" xfId="0" applyNumberFormat="1" applyFont="1" applyFill="1" applyBorder="1" applyAlignment="1">
      <alignment vertical="center" wrapText="1"/>
    </xf>
    <xf numFmtId="168" fontId="22" fillId="2" borderId="79" xfId="0" applyNumberFormat="1" applyFont="1" applyFill="1" applyBorder="1" applyAlignment="1">
      <alignment vertical="center" wrapText="1"/>
    </xf>
    <xf numFmtId="168" fontId="22" fillId="2" borderId="45" xfId="0" applyNumberFormat="1" applyFont="1" applyFill="1" applyBorder="1" applyAlignment="1">
      <alignment vertical="center" wrapText="1"/>
    </xf>
    <xf numFmtId="168" fontId="27" fillId="2" borderId="22" xfId="0" applyNumberFormat="1" applyFont="1" applyFill="1" applyBorder="1" applyAlignment="1">
      <alignment vertical="center" wrapText="1"/>
    </xf>
    <xf numFmtId="168" fontId="27" fillId="2" borderId="79" xfId="0" applyNumberFormat="1" applyFont="1" applyFill="1" applyBorder="1" applyAlignment="1">
      <alignment vertical="center" wrapText="1"/>
    </xf>
    <xf numFmtId="168" fontId="27" fillId="2" borderId="45" xfId="0" applyNumberFormat="1" applyFont="1" applyFill="1" applyBorder="1" applyAlignment="1">
      <alignment vertical="center" wrapText="1"/>
    </xf>
    <xf numFmtId="168" fontId="27" fillId="2" borderId="58" xfId="0" applyNumberFormat="1" applyFont="1" applyFill="1" applyBorder="1" applyAlignment="1">
      <alignment vertical="center" wrapText="1"/>
    </xf>
    <xf numFmtId="168" fontId="27" fillId="2" borderId="71" xfId="0" applyNumberFormat="1" applyFont="1" applyFill="1" applyBorder="1" applyAlignment="1">
      <alignment vertical="center" wrapText="1"/>
    </xf>
    <xf numFmtId="168" fontId="27" fillId="2" borderId="15" xfId="0" applyNumberFormat="1" applyFont="1" applyFill="1" applyBorder="1" applyAlignment="1">
      <alignment vertical="center" wrapText="1"/>
    </xf>
    <xf numFmtId="168" fontId="27" fillId="2" borderId="16" xfId="0" applyNumberFormat="1" applyFont="1" applyFill="1" applyBorder="1" applyAlignment="1">
      <alignment vertical="center" wrapText="1"/>
    </xf>
    <xf numFmtId="168" fontId="31" fillId="2" borderId="21" xfId="0" applyNumberFormat="1" applyFont="1" applyFill="1" applyBorder="1" applyAlignment="1">
      <alignment vertical="center" wrapText="1"/>
    </xf>
    <xf numFmtId="168" fontId="141" fillId="2" borderId="74" xfId="0" applyNumberFormat="1" applyFont="1" applyFill="1" applyBorder="1" applyAlignment="1">
      <alignment vertical="center" wrapText="1"/>
    </xf>
    <xf numFmtId="168" fontId="141" fillId="2" borderId="8" xfId="0" applyNumberFormat="1" applyFont="1" applyFill="1" applyBorder="1" applyAlignment="1">
      <alignment vertical="center" wrapText="1"/>
    </xf>
    <xf numFmtId="168" fontId="141" fillId="2" borderId="7" xfId="0" applyNumberFormat="1" applyFont="1" applyFill="1" applyBorder="1" applyAlignment="1">
      <alignment vertical="center" wrapText="1"/>
    </xf>
    <xf numFmtId="0" fontId="22" fillId="2" borderId="72" xfId="0" applyFont="1" applyFill="1" applyBorder="1" applyAlignment="1">
      <alignment vertical="center" wrapText="1"/>
    </xf>
    <xf numFmtId="0" fontId="22" fillId="2" borderId="11" xfId="0" applyFont="1" applyFill="1" applyBorder="1" applyAlignment="1">
      <alignment vertical="center" wrapText="1"/>
    </xf>
    <xf numFmtId="0" fontId="27" fillId="2" borderId="89" xfId="0" applyFont="1" applyFill="1" applyBorder="1" applyAlignment="1">
      <alignment vertical="center" wrapText="1"/>
    </xf>
    <xf numFmtId="0" fontId="27" fillId="2" borderId="4" xfId="0" applyFont="1" applyFill="1" applyBorder="1" applyAlignment="1">
      <alignment vertical="center" wrapText="1"/>
    </xf>
    <xf numFmtId="168" fontId="27" fillId="2" borderId="5" xfId="0" applyNumberFormat="1" applyFont="1" applyFill="1" applyBorder="1" applyAlignment="1">
      <alignment vertical="center" wrapText="1"/>
    </xf>
    <xf numFmtId="0" fontId="22" fillId="0" borderId="0" xfId="6" applyFont="1" applyAlignment="1">
      <alignment horizontal="center"/>
    </xf>
    <xf numFmtId="0" fontId="141" fillId="0" borderId="13" xfId="6" applyFont="1" applyBorder="1"/>
    <xf numFmtId="0" fontId="141" fillId="0" borderId="10" xfId="6" applyFont="1" applyBorder="1" applyAlignment="1">
      <alignment horizontal="center"/>
    </xf>
    <xf numFmtId="4" fontId="141" fillId="0" borderId="10" xfId="6" applyNumberFormat="1" applyFont="1" applyBorder="1"/>
    <xf numFmtId="0" fontId="141" fillId="0" borderId="0" xfId="6" applyFont="1"/>
    <xf numFmtId="0" fontId="141" fillId="0" borderId="13" xfId="6" applyFont="1" applyBorder="1" applyAlignment="1">
      <alignment wrapText="1"/>
    </xf>
    <xf numFmtId="0" fontId="141" fillId="0" borderId="10" xfId="6" applyFont="1" applyBorder="1"/>
    <xf numFmtId="0" fontId="225" fillId="0" borderId="0" xfId="6" applyFont="1"/>
    <xf numFmtId="0" fontId="23" fillId="0" borderId="10" xfId="6" applyFont="1" applyBorder="1" applyAlignment="1">
      <alignment horizontal="left" vertical="center" wrapText="1"/>
    </xf>
    <xf numFmtId="4" fontId="26" fillId="0" borderId="10" xfId="7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2" fillId="0" borderId="0" xfId="6" applyFont="1" applyBorder="1" applyAlignment="1">
      <alignment horizontal="left" wrapText="1"/>
    </xf>
    <xf numFmtId="0" fontId="25" fillId="0" borderId="10" xfId="6" applyFont="1" applyBorder="1" applyAlignment="1">
      <alignment horizontal="right" vertical="center" wrapText="1"/>
    </xf>
    <xf numFmtId="0" fontId="27" fillId="0" borderId="10" xfId="6" applyFont="1" applyBorder="1" applyAlignment="1">
      <alignment horizontal="left" vertical="center" wrapText="1"/>
    </xf>
    <xf numFmtId="0" fontId="155" fillId="0" borderId="10" xfId="6" applyFont="1" applyBorder="1" applyAlignment="1">
      <alignment horizontal="center"/>
    </xf>
    <xf numFmtId="4" fontId="155" fillId="0" borderId="10" xfId="6" applyNumberFormat="1" applyFont="1" applyBorder="1"/>
    <xf numFmtId="0" fontId="155" fillId="0" borderId="0" xfId="6" applyFont="1" applyBorder="1" applyAlignment="1">
      <alignment horizontal="left" wrapText="1"/>
    </xf>
    <xf numFmtId="0" fontId="155" fillId="0" borderId="0" xfId="6" applyFont="1"/>
    <xf numFmtId="0" fontId="22" fillId="0" borderId="10" xfId="6" applyFont="1" applyBorder="1" applyAlignment="1">
      <alignment horizontal="left" vertical="center"/>
    </xf>
    <xf numFmtId="0" fontId="22" fillId="0" borderId="0" xfId="6" applyFont="1" applyBorder="1" applyAlignment="1">
      <alignment horizontal="left" vertical="center"/>
    </xf>
    <xf numFmtId="0" fontId="227" fillId="0" borderId="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167" fontId="141" fillId="0" borderId="11" xfId="7" applyNumberFormat="1" applyFont="1" applyBorder="1" applyAlignment="1">
      <alignment horizontal="center" vertical="center" wrapText="1"/>
    </xf>
    <xf numFmtId="167" fontId="141" fillId="0" borderId="10" xfId="7" applyNumberFormat="1" applyFont="1" applyBorder="1" applyAlignment="1">
      <alignment horizontal="center" vertical="center" wrapText="1"/>
    </xf>
    <xf numFmtId="0" fontId="141" fillId="0" borderId="12" xfId="6" applyFont="1" applyFill="1" applyBorder="1" applyAlignment="1">
      <alignment horizontal="center" vertical="center" wrapText="1"/>
    </xf>
    <xf numFmtId="4" fontId="26" fillId="0" borderId="11" xfId="7" applyNumberFormat="1" applyFont="1" applyBorder="1" applyAlignment="1">
      <alignment horizontal="center" vertical="center" wrapText="1"/>
    </xf>
    <xf numFmtId="4" fontId="26" fillId="6" borderId="12" xfId="6" applyNumberFormat="1" applyFont="1" applyFill="1" applyBorder="1" applyAlignment="1">
      <alignment horizontal="center" vertical="center" wrapText="1"/>
    </xf>
    <xf numFmtId="9" fontId="26" fillId="3" borderId="11" xfId="7" applyNumberFormat="1" applyFont="1" applyFill="1" applyBorder="1" applyAlignment="1">
      <alignment horizontal="center" vertical="center" wrapText="1"/>
    </xf>
    <xf numFmtId="9" fontId="26" fillId="3" borderId="10" xfId="7" applyNumberFormat="1" applyFont="1" applyFill="1" applyBorder="1" applyAlignment="1">
      <alignment horizontal="center" vertical="center" wrapText="1"/>
    </xf>
    <xf numFmtId="9" fontId="26" fillId="3" borderId="12" xfId="7" applyNumberFormat="1" applyFont="1" applyFill="1" applyBorder="1" applyAlignment="1">
      <alignment horizontal="center" vertical="center" wrapText="1"/>
    </xf>
    <xf numFmtId="0" fontId="17" fillId="0" borderId="0" xfId="6" applyFont="1"/>
    <xf numFmtId="0" fontId="32" fillId="0" borderId="10" xfId="6" applyFont="1" applyBorder="1" applyAlignment="1">
      <alignment vertical="center" wrapText="1"/>
    </xf>
    <xf numFmtId="0" fontId="32" fillId="0" borderId="13" xfId="6" applyFont="1" applyBorder="1" applyAlignment="1">
      <alignment horizontal="center" vertical="center" wrapText="1"/>
    </xf>
    <xf numFmtId="4" fontId="17" fillId="0" borderId="11" xfId="6" applyNumberFormat="1" applyFont="1" applyBorder="1" applyAlignment="1">
      <alignment horizontal="center" vertical="center" wrapText="1"/>
    </xf>
    <xf numFmtId="4" fontId="17" fillId="0" borderId="10" xfId="6" applyNumberFormat="1" applyFont="1" applyBorder="1" applyAlignment="1">
      <alignment horizontal="center" vertical="center" wrapText="1"/>
    </xf>
    <xf numFmtId="4" fontId="16" fillId="5" borderId="12" xfId="6" applyNumberFormat="1" applyFont="1" applyFill="1" applyBorder="1" applyAlignment="1">
      <alignment horizontal="center" vertical="center" wrapText="1"/>
    </xf>
    <xf numFmtId="0" fontId="155" fillId="0" borderId="10" xfId="6" applyFont="1" applyBorder="1" applyAlignment="1">
      <alignment horizontal="left" wrapText="1" indent="2"/>
    </xf>
    <xf numFmtId="0" fontId="25" fillId="0" borderId="13" xfId="6" applyFont="1" applyBorder="1" applyAlignment="1">
      <alignment horizontal="center" vertical="center" wrapText="1"/>
    </xf>
    <xf numFmtId="4" fontId="155" fillId="6" borderId="11" xfId="6" applyNumberFormat="1" applyFont="1" applyFill="1" applyBorder="1" applyAlignment="1">
      <alignment horizontal="center" vertical="center" wrapText="1"/>
    </xf>
    <xf numFmtId="4" fontId="155" fillId="6" borderId="10" xfId="6" applyNumberFormat="1" applyFont="1" applyFill="1" applyBorder="1" applyAlignment="1">
      <alignment horizontal="center" vertical="center"/>
    </xf>
    <xf numFmtId="0" fontId="155" fillId="0" borderId="14" xfId="6" applyFont="1" applyBorder="1" applyAlignment="1">
      <alignment horizontal="left" indent="2"/>
    </xf>
    <xf numFmtId="0" fontId="25" fillId="0" borderId="47" xfId="6" applyFont="1" applyBorder="1" applyAlignment="1">
      <alignment horizontal="center" vertical="center" wrapText="1"/>
    </xf>
    <xf numFmtId="4" fontId="155" fillId="6" borderId="45" xfId="6" applyNumberFormat="1" applyFont="1" applyFill="1" applyBorder="1" applyAlignment="1">
      <alignment horizontal="center" vertical="center" wrapText="1"/>
    </xf>
    <xf numFmtId="4" fontId="155" fillId="6" borderId="14" xfId="6" applyNumberFormat="1" applyFont="1" applyFill="1" applyBorder="1" applyAlignment="1">
      <alignment horizontal="center" vertical="center"/>
    </xf>
    <xf numFmtId="0" fontId="155" fillId="0" borderId="10" xfId="6" applyFont="1" applyBorder="1" applyAlignment="1">
      <alignment horizontal="right" indent="2"/>
    </xf>
    <xf numFmtId="0" fontId="25" fillId="0" borderId="12" xfId="6" applyFont="1" applyBorder="1" applyAlignment="1">
      <alignment horizontal="center" vertical="center" wrapText="1"/>
    </xf>
    <xf numFmtId="0" fontId="22" fillId="0" borderId="0" xfId="6" applyFont="1" applyBorder="1"/>
    <xf numFmtId="4" fontId="26" fillId="0" borderId="0" xfId="6" applyNumberFormat="1" applyFont="1" applyBorder="1" applyAlignment="1">
      <alignment horizontal="center" vertical="center" wrapText="1"/>
    </xf>
    <xf numFmtId="4" fontId="22" fillId="0" borderId="0" xfId="6" applyNumberFormat="1" applyFont="1" applyBorder="1" applyAlignment="1">
      <alignment horizontal="center" vertical="center"/>
    </xf>
    <xf numFmtId="2" fontId="22" fillId="0" borderId="0" xfId="6" applyNumberFormat="1" applyFont="1" applyBorder="1" applyAlignment="1">
      <alignment horizontal="center" vertical="center"/>
    </xf>
    <xf numFmtId="0" fontId="22" fillId="0" borderId="13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/>
    </xf>
    <xf numFmtId="0" fontId="22" fillId="0" borderId="10" xfId="6" applyFont="1" applyBorder="1" applyAlignment="1">
      <alignment horizontal="left" vertical="center" wrapText="1"/>
    </xf>
    <xf numFmtId="0" fontId="22" fillId="0" borderId="13" xfId="6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4" fontId="22" fillId="0" borderId="10" xfId="6" applyNumberFormat="1" applyFont="1" applyBorder="1" applyAlignment="1">
      <alignment horizontal="center" vertical="center"/>
    </xf>
    <xf numFmtId="4" fontId="22" fillId="6" borderId="12" xfId="6" applyNumberFormat="1" applyFont="1" applyFill="1" applyBorder="1" applyAlignment="1">
      <alignment horizontal="center" vertical="center"/>
    </xf>
    <xf numFmtId="0" fontId="155" fillId="0" borderId="0" xfId="6" applyFont="1" applyAlignment="1">
      <alignment horizontal="center" vertical="center"/>
    </xf>
    <xf numFmtId="0" fontId="155" fillId="0" borderId="10" xfId="6" applyFont="1" applyBorder="1" applyAlignment="1">
      <alignment horizontal="right" vertical="center"/>
    </xf>
    <xf numFmtId="0" fontId="155" fillId="0" borderId="13" xfId="6" applyFont="1" applyBorder="1" applyAlignment="1">
      <alignment horizontal="center" vertical="center"/>
    </xf>
    <xf numFmtId="4" fontId="155" fillId="0" borderId="11" xfId="6" applyNumberFormat="1" applyFont="1" applyBorder="1" applyAlignment="1">
      <alignment horizontal="center" vertical="center"/>
    </xf>
    <xf numFmtId="4" fontId="155" fillId="0" borderId="10" xfId="6" applyNumberFormat="1" applyFont="1" applyBorder="1" applyAlignment="1">
      <alignment horizontal="center" vertical="center"/>
    </xf>
    <xf numFmtId="4" fontId="155" fillId="6" borderId="12" xfId="6" applyNumberFormat="1" applyFont="1" applyFill="1" applyBorder="1" applyAlignment="1">
      <alignment horizontal="center" vertical="center"/>
    </xf>
    <xf numFmtId="4" fontId="155" fillId="78" borderId="11" xfId="6" applyNumberFormat="1" applyFont="1" applyFill="1" applyBorder="1" applyAlignment="1">
      <alignment horizontal="center" vertical="center"/>
    </xf>
    <xf numFmtId="4" fontId="155" fillId="78" borderId="10" xfId="6" applyNumberFormat="1" applyFont="1" applyFill="1" applyBorder="1" applyAlignment="1">
      <alignment horizontal="center" vertical="center"/>
    </xf>
    <xf numFmtId="10" fontId="155" fillId="2" borderId="12" xfId="6" applyNumberFormat="1" applyFont="1" applyFill="1" applyBorder="1" applyAlignment="1">
      <alignment horizontal="center" vertical="center"/>
    </xf>
    <xf numFmtId="2" fontId="155" fillId="2" borderId="12" xfId="6" applyNumberFormat="1" applyFont="1" applyFill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10" xfId="6" applyFont="1" applyBorder="1" applyAlignment="1">
      <alignment horizontal="left" vertical="center" wrapText="1"/>
    </xf>
    <xf numFmtId="0" fontId="16" fillId="0" borderId="13" xfId="6" applyFont="1" applyBorder="1" applyAlignment="1">
      <alignment horizontal="center" vertical="center"/>
    </xf>
    <xf numFmtId="4" fontId="16" fillId="8" borderId="11" xfId="6" applyNumberFormat="1" applyFont="1" applyFill="1" applyBorder="1" applyAlignment="1">
      <alignment horizontal="center" vertical="center"/>
    </xf>
    <xf numFmtId="4" fontId="16" fillId="8" borderId="10" xfId="6" applyNumberFormat="1" applyFont="1" applyFill="1" applyBorder="1" applyAlignment="1">
      <alignment horizontal="center" vertical="center"/>
    </xf>
    <xf numFmtId="4" fontId="16" fillId="8" borderId="12" xfId="6" applyNumberFormat="1" applyFont="1" applyFill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9" fillId="0" borderId="13" xfId="6" applyFont="1" applyBorder="1" applyAlignment="1">
      <alignment horizontal="center" vertical="center"/>
    </xf>
    <xf numFmtId="4" fontId="17" fillId="0" borderId="11" xfId="6" applyNumberFormat="1" applyFont="1" applyBorder="1" applyAlignment="1">
      <alignment horizontal="center" vertical="center"/>
    </xf>
    <xf numFmtId="4" fontId="17" fillId="0" borderId="10" xfId="6" applyNumberFormat="1" applyFont="1" applyBorder="1" applyAlignment="1">
      <alignment horizontal="center" vertical="center"/>
    </xf>
    <xf numFmtId="4" fontId="16" fillId="6" borderId="12" xfId="6" applyNumberFormat="1" applyFont="1" applyFill="1" applyBorder="1" applyAlignment="1">
      <alignment horizontal="center" vertical="center"/>
    </xf>
    <xf numFmtId="0" fontId="22" fillId="0" borderId="10" xfId="6" applyFont="1" applyBorder="1" applyAlignment="1">
      <alignment wrapText="1"/>
    </xf>
    <xf numFmtId="4" fontId="22" fillId="0" borderId="4" xfId="6" applyNumberFormat="1" applyFont="1" applyBorder="1" applyAlignment="1">
      <alignment horizontal="center" vertical="center"/>
    </xf>
    <xf numFmtId="4" fontId="22" fillId="0" borderId="5" xfId="6" applyNumberFormat="1" applyFont="1" applyBorder="1" applyAlignment="1">
      <alignment horizontal="center" vertical="center"/>
    </xf>
    <xf numFmtId="4" fontId="141" fillId="6" borderId="6" xfId="6" applyNumberFormat="1" applyFont="1" applyFill="1" applyBorder="1" applyAlignment="1">
      <alignment horizontal="center" vertical="center"/>
    </xf>
    <xf numFmtId="0" fontId="153" fillId="0" borderId="0" xfId="6" applyFont="1"/>
    <xf numFmtId="4" fontId="153" fillId="0" borderId="0" xfId="6" applyNumberFormat="1" applyFont="1"/>
    <xf numFmtId="0" fontId="16" fillId="0" borderId="10" xfId="6" applyFont="1" applyBorder="1" applyAlignment="1">
      <alignment horizontal="center" vertical="center"/>
    </xf>
    <xf numFmtId="0" fontId="16" fillId="0" borderId="0" xfId="6" applyFont="1"/>
    <xf numFmtId="0" fontId="16" fillId="0" borderId="10" xfId="6" applyFont="1" applyBorder="1" applyAlignment="1">
      <alignment horizontal="center" vertical="center" wrapText="1"/>
    </xf>
    <xf numFmtId="4" fontId="17" fillId="0" borderId="72" xfId="6" applyNumberFormat="1" applyFont="1" applyBorder="1" applyAlignment="1">
      <alignment horizontal="center" vertical="center"/>
    </xf>
    <xf numFmtId="4" fontId="22" fillId="0" borderId="72" xfId="6" applyNumberFormat="1" applyFont="1" applyBorder="1" applyAlignment="1">
      <alignment horizontal="center" vertical="center"/>
    </xf>
    <xf numFmtId="4" fontId="141" fillId="6" borderId="12" xfId="6" applyNumberFormat="1" applyFont="1" applyFill="1" applyBorder="1" applyAlignment="1">
      <alignment horizontal="center" vertical="center"/>
    </xf>
    <xf numFmtId="4" fontId="17" fillId="0" borderId="4" xfId="6" applyNumberFormat="1" applyFont="1" applyBorder="1" applyAlignment="1">
      <alignment horizontal="center" vertical="center"/>
    </xf>
    <xf numFmtId="4" fontId="17" fillId="0" borderId="5" xfId="6" applyNumberFormat="1" applyFont="1" applyBorder="1" applyAlignment="1">
      <alignment horizontal="center" vertical="center"/>
    </xf>
    <xf numFmtId="4" fontId="16" fillId="6" borderId="6" xfId="6" applyNumberFormat="1" applyFont="1" applyFill="1" applyBorder="1" applyAlignment="1">
      <alignment horizontal="center" vertical="center"/>
    </xf>
    <xf numFmtId="4" fontId="16" fillId="6" borderId="46" xfId="6" applyNumberFormat="1" applyFont="1" applyFill="1" applyBorder="1" applyAlignment="1">
      <alignment horizontal="center" vertical="center"/>
    </xf>
    <xf numFmtId="0" fontId="37" fillId="0" borderId="10" xfId="6" applyFont="1" applyBorder="1" applyAlignment="1">
      <alignment horizontal="center" vertical="center" wrapText="1"/>
    </xf>
    <xf numFmtId="0" fontId="37" fillId="0" borderId="13" xfId="6" applyFont="1" applyBorder="1" applyAlignment="1">
      <alignment horizontal="center" vertical="center"/>
    </xf>
    <xf numFmtId="167" fontId="166" fillId="0" borderId="11" xfId="7" applyNumberFormat="1" applyFont="1" applyBorder="1" applyAlignment="1">
      <alignment horizontal="center" vertical="center" wrapText="1"/>
    </xf>
    <xf numFmtId="4" fontId="37" fillId="6" borderId="12" xfId="6" applyNumberFormat="1" applyFont="1" applyFill="1" applyBorder="1" applyAlignment="1">
      <alignment horizontal="center" vertical="center"/>
    </xf>
    <xf numFmtId="0" fontId="17" fillId="0" borderId="10" xfId="6" applyFont="1" applyBorder="1" applyAlignment="1">
      <alignment horizontal="center" vertical="center" wrapText="1"/>
    </xf>
    <xf numFmtId="0" fontId="17" fillId="0" borderId="13" xfId="6" applyFont="1" applyBorder="1" applyAlignment="1">
      <alignment horizontal="center" vertical="center"/>
    </xf>
    <xf numFmtId="4" fontId="17" fillId="6" borderId="12" xfId="6" applyNumberFormat="1" applyFont="1" applyFill="1" applyBorder="1" applyAlignment="1">
      <alignment horizontal="center" vertical="center"/>
    </xf>
    <xf numFmtId="0" fontId="141" fillId="0" borderId="10" xfId="7" applyNumberFormat="1" applyFont="1" applyBorder="1" applyAlignment="1">
      <alignment horizontal="center" vertical="center" wrapText="1"/>
    </xf>
    <xf numFmtId="0" fontId="166" fillId="0" borderId="10" xfId="7" applyNumberFormat="1" applyFont="1" applyBorder="1" applyAlignment="1">
      <alignment horizontal="center" vertical="center" wrapText="1"/>
    </xf>
    <xf numFmtId="169" fontId="26" fillId="2" borderId="72" xfId="6" applyNumberFormat="1" applyFont="1" applyFill="1" applyBorder="1" applyAlignment="1">
      <alignment horizontal="center" vertical="center" wrapText="1"/>
    </xf>
    <xf numFmtId="169" fontId="26" fillId="2" borderId="13" xfId="6" applyNumberFormat="1" applyFont="1" applyFill="1" applyBorder="1" applyAlignment="1">
      <alignment horizontal="center" vertical="center" wrapText="1"/>
    </xf>
    <xf numFmtId="43" fontId="139" fillId="2" borderId="0" xfId="8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4" fontId="27" fillId="0" borderId="0" xfId="0" applyNumberFormat="1" applyFont="1" applyBorder="1" applyAlignment="1">
      <alignment wrapText="1"/>
    </xf>
    <xf numFmtId="4" fontId="24" fillId="0" borderId="0" xfId="0" applyNumberFormat="1" applyFont="1" applyBorder="1" applyAlignment="1">
      <alignment wrapText="1"/>
    </xf>
    <xf numFmtId="0" fontId="23" fillId="2" borderId="0" xfId="6" applyFont="1" applyFill="1" applyBorder="1" applyAlignment="1">
      <alignment horizontal="left" wrapText="1"/>
    </xf>
    <xf numFmtId="0" fontId="27" fillId="0" borderId="0" xfId="0" applyFont="1" applyBorder="1" applyAlignment="1">
      <alignment wrapText="1"/>
    </xf>
    <xf numFmtId="4" fontId="27" fillId="0" borderId="10" xfId="0" applyNumberFormat="1" applyFont="1" applyBorder="1" applyAlignment="1">
      <alignment vertical="center" wrapText="1"/>
    </xf>
    <xf numFmtId="4" fontId="27" fillId="5" borderId="10" xfId="0" applyNumberFormat="1" applyFont="1" applyFill="1" applyBorder="1" applyAlignment="1">
      <alignment vertical="center" wrapText="1"/>
    </xf>
    <xf numFmtId="4" fontId="27" fillId="0" borderId="0" xfId="0" applyNumberFormat="1" applyFont="1" applyAlignment="1">
      <alignment vertical="center"/>
    </xf>
    <xf numFmtId="4" fontId="23" fillId="0" borderId="10" xfId="0" applyNumberFormat="1" applyFont="1" applyBorder="1" applyAlignment="1">
      <alignment vertical="center" wrapText="1"/>
    </xf>
    <xf numFmtId="4" fontId="24" fillId="0" borderId="10" xfId="0" applyNumberFormat="1" applyFont="1" applyBorder="1" applyAlignment="1">
      <alignment vertical="center" wrapText="1"/>
    </xf>
    <xf numFmtId="4" fontId="17" fillId="6" borderId="6" xfId="6" applyNumberFormat="1" applyFont="1" applyFill="1" applyBorder="1" applyAlignment="1">
      <alignment horizontal="center" vertical="center"/>
    </xf>
    <xf numFmtId="167" fontId="139" fillId="0" borderId="8" xfId="6" applyNumberFormat="1" applyFont="1" applyBorder="1" applyAlignment="1">
      <alignment horizontal="center" vertical="center" wrapText="1"/>
    </xf>
    <xf numFmtId="167" fontId="139" fillId="0" borderId="7" xfId="6" applyNumberFormat="1" applyFont="1" applyBorder="1" applyAlignment="1">
      <alignment horizontal="center" vertical="center" wrapText="1"/>
    </xf>
    <xf numFmtId="0" fontId="139" fillId="0" borderId="9" xfId="6" applyFont="1" applyBorder="1" applyAlignment="1">
      <alignment horizontal="center" vertical="center" wrapText="1"/>
    </xf>
    <xf numFmtId="169" fontId="26" fillId="5" borderId="18" xfId="6" applyNumberFormat="1" applyFont="1" applyFill="1" applyBorder="1" applyAlignment="1">
      <alignment horizontal="center" vertical="center" wrapText="1"/>
    </xf>
    <xf numFmtId="43" fontId="141" fillId="2" borderId="75" xfId="8" applyFont="1" applyFill="1" applyBorder="1" applyAlignment="1">
      <alignment horizontal="center" vertical="center" wrapText="1"/>
    </xf>
    <xf numFmtId="43" fontId="26" fillId="3" borderId="96" xfId="8" applyNumberFormat="1" applyFont="1" applyFill="1" applyBorder="1" applyAlignment="1">
      <alignment horizontal="center" vertical="center" wrapText="1"/>
    </xf>
    <xf numFmtId="43" fontId="141" fillId="2" borderId="20" xfId="8" applyFont="1" applyFill="1" applyBorder="1" applyAlignment="1">
      <alignment horizontal="center" vertical="center" wrapText="1"/>
    </xf>
    <xf numFmtId="43" fontId="141" fillId="2" borderId="67" xfId="6" applyNumberFormat="1" applyFont="1" applyFill="1" applyBorder="1" applyAlignment="1">
      <alignment horizontal="center" vertical="center" wrapText="1"/>
    </xf>
    <xf numFmtId="43" fontId="141" fillId="2" borderId="62" xfId="8" applyFont="1" applyFill="1" applyBorder="1" applyAlignment="1">
      <alignment horizontal="center" vertical="center" wrapText="1"/>
    </xf>
    <xf numFmtId="43" fontId="141" fillId="2" borderId="90" xfId="8" applyFont="1" applyFill="1" applyBorder="1" applyAlignment="1">
      <alignment horizontal="center" vertical="center" wrapText="1"/>
    </xf>
    <xf numFmtId="43" fontId="141" fillId="2" borderId="80" xfId="6" applyNumberFormat="1" applyFont="1" applyFill="1" applyBorder="1" applyAlignment="1">
      <alignment horizontal="center" vertical="center" wrapText="1"/>
    </xf>
    <xf numFmtId="43" fontId="26" fillId="3" borderId="10" xfId="8" applyNumberFormat="1" applyFont="1" applyFill="1" applyBorder="1" applyAlignment="1">
      <alignment horizontal="center" vertical="center" wrapText="1"/>
    </xf>
    <xf numFmtId="169" fontId="26" fillId="2" borderId="1" xfId="6" applyNumberFormat="1" applyFont="1" applyFill="1" applyBorder="1" applyAlignment="1">
      <alignment horizontal="center" vertical="center" wrapText="1"/>
    </xf>
    <xf numFmtId="169" fontId="26" fillId="2" borderId="2" xfId="6" applyNumberFormat="1" applyFont="1" applyFill="1" applyBorder="1" applyAlignment="1">
      <alignment horizontal="center" vertical="center" wrapText="1"/>
    </xf>
    <xf numFmtId="169" fontId="26" fillId="5" borderId="3" xfId="6" applyNumberFormat="1" applyFont="1" applyFill="1" applyBorder="1" applyAlignment="1">
      <alignment horizontal="center" vertical="center" wrapText="1"/>
    </xf>
    <xf numFmtId="43" fontId="26" fillId="3" borderId="4" xfId="8" applyNumberFormat="1" applyFont="1" applyFill="1" applyBorder="1" applyAlignment="1">
      <alignment horizontal="center" vertical="center" wrapText="1"/>
    </xf>
    <xf numFmtId="43" fontId="26" fillId="3" borderId="5" xfId="8" applyNumberFormat="1" applyFont="1" applyFill="1" applyBorder="1" applyAlignment="1">
      <alignment horizontal="center" vertical="center" wrapText="1"/>
    </xf>
    <xf numFmtId="43" fontId="140" fillId="2" borderId="6" xfId="8" applyNumberFormat="1" applyFont="1" applyFill="1" applyBorder="1" applyAlignment="1">
      <alignment horizontal="center" vertical="center" wrapText="1"/>
    </xf>
    <xf numFmtId="169" fontId="26" fillId="5" borderId="73" xfId="6" applyNumberFormat="1" applyFont="1" applyFill="1" applyBorder="1" applyAlignment="1">
      <alignment horizontal="center" vertical="center" wrapText="1"/>
    </xf>
    <xf numFmtId="0" fontId="141" fillId="2" borderId="0" xfId="8" applyNumberFormat="1" applyFont="1" applyFill="1" applyBorder="1" applyAlignment="1">
      <alignment horizontal="center" vertical="center" wrapText="1"/>
    </xf>
    <xf numFmtId="0" fontId="141" fillId="2" borderId="46" xfId="6" applyNumberFormat="1" applyFont="1" applyFill="1" applyBorder="1" applyAlignment="1">
      <alignment horizontal="center" vertical="center" wrapText="1"/>
    </xf>
    <xf numFmtId="167" fontId="139" fillId="0" borderId="69" xfId="6" applyNumberFormat="1" applyFont="1" applyBorder="1" applyAlignment="1">
      <alignment horizontal="center" vertical="center" wrapText="1"/>
    </xf>
    <xf numFmtId="167" fontId="139" fillId="0" borderId="93" xfId="6" applyNumberFormat="1" applyFont="1" applyBorder="1" applyAlignment="1">
      <alignment horizontal="center" vertical="center" wrapText="1"/>
    </xf>
    <xf numFmtId="0" fontId="19" fillId="0" borderId="10" xfId="6" applyFont="1" applyBorder="1" applyAlignment="1">
      <alignment horizontal="right" vertical="center"/>
    </xf>
    <xf numFmtId="0" fontId="26" fillId="0" borderId="0" xfId="6" applyFont="1" applyFill="1" applyBorder="1" applyAlignment="1">
      <alignment wrapText="1"/>
    </xf>
    <xf numFmtId="168" fontId="139" fillId="0" borderId="61" xfId="6" applyNumberFormat="1" applyFont="1" applyBorder="1" applyAlignment="1">
      <alignment horizontal="center" vertical="center" wrapText="1"/>
    </xf>
    <xf numFmtId="43" fontId="141" fillId="2" borderId="6" xfId="6" applyNumberFormat="1" applyFont="1" applyFill="1" applyBorder="1" applyAlignment="1">
      <alignment horizontal="center" vertical="center" wrapText="1"/>
    </xf>
    <xf numFmtId="43" fontId="26" fillId="2" borderId="15" xfId="8" applyNumberFormat="1" applyFont="1" applyFill="1" applyBorder="1" applyAlignment="1">
      <alignment horizontal="center" vertical="center" wrapText="1"/>
    </xf>
    <xf numFmtId="43" fontId="26" fillId="2" borderId="16" xfId="8" applyNumberFormat="1" applyFont="1" applyFill="1" applyBorder="1" applyAlignment="1">
      <alignment horizontal="center" vertical="center" wrapText="1"/>
    </xf>
    <xf numFmtId="4" fontId="26" fillId="2" borderId="72" xfId="6" applyNumberFormat="1" applyFont="1" applyFill="1" applyBorder="1" applyAlignment="1">
      <alignment horizontal="right" vertical="center" wrapText="1"/>
    </xf>
    <xf numFmtId="4" fontId="26" fillId="5" borderId="18" xfId="6" applyNumberFormat="1" applyFont="1" applyFill="1" applyBorder="1" applyAlignment="1">
      <alignment horizontal="right" vertical="center" wrapText="1"/>
    </xf>
    <xf numFmtId="43" fontId="26" fillId="3" borderId="79" xfId="8" applyNumberFormat="1" applyFont="1" applyFill="1" applyBorder="1" applyAlignment="1">
      <alignment horizontal="center" vertical="center" wrapText="1"/>
    </xf>
    <xf numFmtId="4" fontId="26" fillId="0" borderId="0" xfId="6" applyNumberFormat="1" applyFont="1" applyAlignment="1">
      <alignment horizontal="center" vertical="center" wrapText="1"/>
    </xf>
    <xf numFmtId="167" fontId="24" fillId="0" borderId="69" xfId="6" applyNumberFormat="1" applyFont="1" applyBorder="1" applyAlignment="1">
      <alignment horizontal="center" vertical="center" wrapText="1"/>
    </xf>
    <xf numFmtId="167" fontId="24" fillId="0" borderId="68" xfId="6" applyNumberFormat="1" applyFont="1" applyBorder="1" applyAlignment="1">
      <alignment horizontal="center" vertical="center" wrapText="1"/>
    </xf>
    <xf numFmtId="167" fontId="24" fillId="0" borderId="2" xfId="6" applyNumberFormat="1" applyFont="1" applyBorder="1" applyAlignment="1">
      <alignment horizontal="center" vertical="center" wrapText="1"/>
    </xf>
    <xf numFmtId="167" fontId="24" fillId="0" borderId="53" xfId="6" applyNumberFormat="1" applyFont="1" applyBorder="1" applyAlignment="1">
      <alignment horizontal="center" vertical="center" wrapText="1"/>
    </xf>
    <xf numFmtId="169" fontId="26" fillId="5" borderId="54" xfId="6" applyNumberFormat="1" applyFont="1" applyFill="1" applyBorder="1" applyAlignment="1">
      <alignment horizontal="center" vertical="center" wrapText="1"/>
    </xf>
    <xf numFmtId="43" fontId="26" fillId="3" borderId="4" xfId="6" applyNumberFormat="1" applyFont="1" applyFill="1" applyBorder="1" applyAlignment="1">
      <alignment horizontal="center" vertical="center" wrapText="1"/>
    </xf>
    <xf numFmtId="43" fontId="26" fillId="3" borderId="5" xfId="6" applyNumberFormat="1" applyFont="1" applyFill="1" applyBorder="1" applyAlignment="1">
      <alignment horizontal="center" vertical="center" wrapText="1"/>
    </xf>
    <xf numFmtId="0" fontId="139" fillId="2" borderId="0" xfId="8" applyNumberFormat="1" applyFont="1" applyFill="1" applyBorder="1" applyAlignment="1">
      <alignment horizontal="center" vertical="center" wrapText="1"/>
    </xf>
    <xf numFmtId="0" fontId="26" fillId="0" borderId="0" xfId="6" applyNumberFormat="1" applyFont="1" applyAlignment="1">
      <alignment horizontal="center" vertical="center" wrapText="1"/>
    </xf>
    <xf numFmtId="4" fontId="21" fillId="0" borderId="96" xfId="17" applyNumberFormat="1" applyFont="1" applyFill="1" applyBorder="1" applyAlignment="1">
      <alignment horizontal="center" vertical="center"/>
    </xf>
    <xf numFmtId="4" fontId="21" fillId="0" borderId="21" xfId="17" applyNumberFormat="1" applyFont="1" applyFill="1" applyBorder="1" applyAlignment="1">
      <alignment horizontal="center" vertical="center"/>
    </xf>
    <xf numFmtId="4" fontId="21" fillId="0" borderId="87" xfId="17" applyNumberFormat="1" applyFont="1" applyFill="1" applyBorder="1" applyAlignment="1">
      <alignment horizontal="center" vertical="center"/>
    </xf>
    <xf numFmtId="4" fontId="21" fillId="45" borderId="58" xfId="17" applyNumberFormat="1" applyFont="1" applyFill="1" applyBorder="1" applyAlignment="1">
      <alignment horizontal="center" vertical="center"/>
    </xf>
    <xf numFmtId="4" fontId="17" fillId="0" borderId="4" xfId="6" applyNumberFormat="1" applyFont="1" applyBorder="1" applyAlignment="1">
      <alignment horizontal="center" vertical="center" wrapText="1"/>
    </xf>
    <xf numFmtId="4" fontId="17" fillId="0" borderId="5" xfId="6" applyNumberFormat="1" applyFont="1" applyBorder="1" applyAlignment="1">
      <alignment horizontal="center" vertical="center" wrapText="1"/>
    </xf>
    <xf numFmtId="4" fontId="16" fillId="5" borderId="6" xfId="6" applyNumberFormat="1" applyFont="1" applyFill="1" applyBorder="1" applyAlignment="1">
      <alignment horizontal="center" vertical="center" wrapText="1"/>
    </xf>
    <xf numFmtId="4" fontId="21" fillId="0" borderId="75" xfId="17" applyNumberFormat="1" applyFont="1" applyFill="1" applyBorder="1" applyAlignment="1">
      <alignment horizontal="center" vertical="center"/>
    </xf>
    <xf numFmtId="4" fontId="15" fillId="45" borderId="90" xfId="17" applyNumberFormat="1" applyFont="1" applyFill="1" applyBorder="1" applyAlignment="1">
      <alignment horizontal="center" vertical="center"/>
    </xf>
    <xf numFmtId="4" fontId="15" fillId="45" borderId="62" xfId="17" applyNumberFormat="1" applyFont="1" applyFill="1" applyBorder="1" applyAlignment="1">
      <alignment horizontal="center" vertical="center"/>
    </xf>
    <xf numFmtId="4" fontId="21" fillId="45" borderId="80" xfId="17" applyNumberFormat="1" applyFont="1" applyFill="1" applyBorder="1" applyAlignment="1">
      <alignment horizontal="center" vertical="center"/>
    </xf>
    <xf numFmtId="4" fontId="21" fillId="0" borderId="89" xfId="17" applyNumberFormat="1" applyFont="1" applyFill="1" applyBorder="1" applyAlignment="1">
      <alignment horizontal="center" vertical="center"/>
    </xf>
    <xf numFmtId="4" fontId="21" fillId="0" borderId="55" xfId="17" applyNumberFormat="1" applyFont="1" applyFill="1" applyBorder="1" applyAlignment="1">
      <alignment horizontal="center" vertical="center"/>
    </xf>
    <xf numFmtId="0" fontId="228" fillId="2" borderId="0" xfId="17" applyFont="1" applyFill="1" applyBorder="1" applyAlignment="1">
      <alignment horizontal="left" vertical="center"/>
    </xf>
    <xf numFmtId="0" fontId="15" fillId="6" borderId="0" xfId="17" applyFont="1" applyFill="1" applyBorder="1" applyAlignment="1">
      <alignment horizontal="left" vertical="center"/>
    </xf>
    <xf numFmtId="0" fontId="15" fillId="79" borderId="0" xfId="17" applyFont="1" applyFill="1" applyBorder="1" applyAlignment="1">
      <alignment horizontal="left" vertical="center"/>
    </xf>
    <xf numFmtId="0" fontId="27" fillId="79" borderId="0" xfId="0" applyFont="1" applyFill="1"/>
    <xf numFmtId="0" fontId="27" fillId="6" borderId="0" xfId="0" applyFont="1" applyFill="1"/>
    <xf numFmtId="168" fontId="22" fillId="45" borderId="56" xfId="0" applyNumberFormat="1" applyFont="1" applyFill="1" applyBorder="1" applyAlignment="1">
      <alignment vertical="center" wrapText="1"/>
    </xf>
    <xf numFmtId="0" fontId="22" fillId="45" borderId="5" xfId="0" applyFont="1" applyFill="1" applyBorder="1" applyAlignment="1">
      <alignment vertical="center" wrapText="1"/>
    </xf>
    <xf numFmtId="0" fontId="22" fillId="45" borderId="55" xfId="0" applyFont="1" applyFill="1" applyBorder="1" applyAlignment="1">
      <alignment vertical="center" wrapText="1"/>
    </xf>
    <xf numFmtId="168" fontId="22" fillId="45" borderId="5" xfId="0" applyNumberFormat="1" applyFont="1" applyFill="1" applyBorder="1" applyAlignment="1">
      <alignment vertical="center" wrapText="1"/>
    </xf>
    <xf numFmtId="0" fontId="162" fillId="0" borderId="0" xfId="0" applyFont="1" applyFill="1" applyBorder="1" applyAlignment="1"/>
    <xf numFmtId="0" fontId="16" fillId="0" borderId="0" xfId="17" applyFont="1" applyFill="1" applyBorder="1" applyAlignment="1">
      <alignment horizontal="center" vertical="center" wrapText="1"/>
    </xf>
    <xf numFmtId="0" fontId="27" fillId="2" borderId="44" xfId="0" applyFont="1" applyFill="1" applyBorder="1" applyAlignment="1">
      <alignment horizontal="center" vertical="center" wrapText="1"/>
    </xf>
    <xf numFmtId="2" fontId="30" fillId="49" borderId="10" xfId="0" applyNumberFormat="1" applyFont="1" applyFill="1" applyBorder="1" applyAlignment="1">
      <alignment horizontal="center" vertical="center"/>
    </xf>
    <xf numFmtId="2" fontId="30" fillId="49" borderId="13" xfId="0" applyNumberFormat="1" applyFont="1" applyFill="1" applyBorder="1" applyAlignment="1">
      <alignment horizontal="center" vertical="center"/>
    </xf>
    <xf numFmtId="2" fontId="30" fillId="49" borderId="51" xfId="0" applyNumberFormat="1" applyFont="1" applyFill="1" applyBorder="1" applyAlignment="1">
      <alignment horizontal="center" vertical="center"/>
    </xf>
    <xf numFmtId="201" fontId="150" fillId="49" borderId="51" xfId="0" applyNumberFormat="1" applyFont="1" applyFill="1" applyBorder="1" applyAlignment="1">
      <alignment horizontal="center" vertical="center"/>
    </xf>
    <xf numFmtId="2" fontId="32" fillId="49" borderId="51" xfId="0" applyNumberFormat="1" applyFont="1" applyFill="1" applyBorder="1" applyAlignment="1">
      <alignment horizontal="center" vertical="center"/>
    </xf>
    <xf numFmtId="2" fontId="30" fillId="49" borderId="49" xfId="0" applyNumberFormat="1" applyFont="1" applyFill="1" applyBorder="1" applyAlignment="1">
      <alignment horizontal="center" vertical="center"/>
    </xf>
    <xf numFmtId="203" fontId="30" fillId="49" borderId="51" xfId="0" applyNumberFormat="1" applyFont="1" applyFill="1" applyBorder="1" applyAlignment="1">
      <alignment horizontal="center" vertical="center"/>
    </xf>
    <xf numFmtId="203" fontId="30" fillId="49" borderId="49" xfId="0" applyNumberFormat="1" applyFont="1" applyFill="1" applyBorder="1" applyAlignment="1">
      <alignment horizontal="center" vertical="center"/>
    </xf>
    <xf numFmtId="49" fontId="15" fillId="45" borderId="15" xfId="0" applyNumberFormat="1" applyFont="1" applyFill="1" applyBorder="1" applyAlignment="1">
      <alignment horizontal="center" vertical="center"/>
    </xf>
    <xf numFmtId="164" fontId="17" fillId="0" borderId="8" xfId="0" applyNumberFormat="1" applyFont="1" applyBorder="1" applyAlignment="1">
      <alignment horizontal="center" vertical="center"/>
    </xf>
    <xf numFmtId="164" fontId="17" fillId="0" borderId="9" xfId="0" applyNumberFormat="1" applyFont="1" applyBorder="1" applyAlignment="1">
      <alignment horizontal="center" vertical="center"/>
    </xf>
    <xf numFmtId="164" fontId="17" fillId="0" borderId="11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center" vertical="center"/>
    </xf>
    <xf numFmtId="49" fontId="15" fillId="45" borderId="44" xfId="0" applyNumberFormat="1" applyFont="1" applyFill="1" applyBorder="1" applyAlignment="1">
      <alignment horizontal="center" vertical="center"/>
    </xf>
    <xf numFmtId="164" fontId="17" fillId="0" borderId="50" xfId="0" applyNumberFormat="1" applyFont="1" applyBorder="1" applyAlignment="1">
      <alignment horizontal="center" vertical="center"/>
    </xf>
    <xf numFmtId="164" fontId="17" fillId="0" borderId="51" xfId="0" applyNumberFormat="1" applyFont="1" applyBorder="1" applyAlignment="1">
      <alignment horizontal="center" vertical="center"/>
    </xf>
    <xf numFmtId="164" fontId="17" fillId="0" borderId="49" xfId="0" applyNumberFormat="1" applyFont="1" applyBorder="1" applyAlignment="1">
      <alignment horizontal="center" vertical="center"/>
    </xf>
    <xf numFmtId="10" fontId="17" fillId="0" borderId="50" xfId="0" applyNumberFormat="1" applyFont="1" applyBorder="1" applyAlignment="1">
      <alignment horizontal="center" vertical="center"/>
    </xf>
    <xf numFmtId="9" fontId="17" fillId="0" borderId="51" xfId="0" applyNumberFormat="1" applyFont="1" applyBorder="1" applyAlignment="1">
      <alignment horizontal="center" vertical="center"/>
    </xf>
    <xf numFmtId="205" fontId="136" fillId="6" borderId="60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95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18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96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95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18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96" xfId="2" applyNumberFormat="1" applyFont="1" applyFill="1" applyBorder="1" applyAlignment="1" applyProtection="1">
      <alignment horizontal="center" vertical="center" wrapText="1"/>
      <protection locked="0"/>
    </xf>
    <xf numFmtId="205" fontId="146" fillId="6" borderId="18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96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18" xfId="2" applyNumberFormat="1" applyFont="1" applyFill="1" applyBorder="1" applyAlignment="1" applyProtection="1">
      <alignment horizontal="center" vertical="center" wrapText="1"/>
      <protection locked="0"/>
    </xf>
    <xf numFmtId="205" fontId="155" fillId="6" borderId="95" xfId="2" applyNumberFormat="1" applyFont="1" applyFill="1" applyBorder="1" applyAlignment="1" applyProtection="1">
      <alignment horizontal="center" vertical="center" wrapText="1"/>
      <protection locked="0"/>
    </xf>
    <xf numFmtId="205" fontId="160" fillId="6" borderId="18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94" xfId="2" applyNumberFormat="1" applyFont="1" applyFill="1" applyBorder="1" applyAlignment="1" applyProtection="1">
      <alignment horizontal="center" vertical="center" wrapText="1"/>
      <protection locked="0"/>
    </xf>
    <xf numFmtId="164" fontId="17" fillId="2" borderId="13" xfId="0" applyNumberFormat="1" applyFont="1" applyFill="1" applyBorder="1" applyAlignment="1">
      <alignment horizontal="center" vertical="center"/>
    </xf>
    <xf numFmtId="205" fontId="136" fillId="6" borderId="7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37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23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78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95" xfId="2" applyNumberFormat="1" applyFont="1" applyFill="1" applyBorder="1" applyAlignment="1" applyProtection="1">
      <alignment horizontal="center" vertical="center" wrapText="1"/>
      <protection locked="0"/>
    </xf>
    <xf numFmtId="0" fontId="30" fillId="0" borderId="10" xfId="2393" applyFont="1" applyBorder="1" applyAlignment="1">
      <alignment horizontal="center" vertical="center" wrapText="1"/>
    </xf>
    <xf numFmtId="4" fontId="155" fillId="45" borderId="72" xfId="6" applyNumberFormat="1" applyFont="1" applyFill="1" applyBorder="1" applyAlignment="1">
      <alignment horizontal="center" vertical="center" wrapText="1"/>
    </xf>
    <xf numFmtId="4" fontId="155" fillId="45" borderId="10" xfId="6" applyNumberFormat="1" applyFont="1" applyFill="1" applyBorder="1" applyAlignment="1">
      <alignment horizontal="center" vertical="center" wrapText="1"/>
    </xf>
    <xf numFmtId="4" fontId="155" fillId="45" borderId="45" xfId="6" applyNumberFormat="1" applyFont="1" applyFill="1" applyBorder="1" applyAlignment="1">
      <alignment horizontal="center" vertical="center" wrapText="1"/>
    </xf>
    <xf numFmtId="4" fontId="155" fillId="45" borderId="14" xfId="6" applyNumberFormat="1" applyFont="1" applyFill="1" applyBorder="1" applyAlignment="1">
      <alignment horizontal="center" vertical="center"/>
    </xf>
    <xf numFmtId="4" fontId="155" fillId="45" borderId="11" xfId="6" applyNumberFormat="1" applyFont="1" applyFill="1" applyBorder="1" applyAlignment="1">
      <alignment horizontal="center" vertical="center" wrapText="1"/>
    </xf>
    <xf numFmtId="4" fontId="155" fillId="45" borderId="10" xfId="6" applyNumberFormat="1" applyFont="1" applyFill="1" applyBorder="1" applyAlignment="1">
      <alignment horizontal="center" vertical="center"/>
    </xf>
    <xf numFmtId="0" fontId="30" fillId="0" borderId="10" xfId="6" applyFont="1" applyBorder="1" applyAlignment="1">
      <alignment vertical="center" wrapText="1"/>
    </xf>
    <xf numFmtId="0" fontId="17" fillId="0" borderId="10" xfId="6" applyFont="1" applyBorder="1" applyAlignment="1">
      <alignment horizontal="left"/>
    </xf>
    <xf numFmtId="0" fontId="30" fillId="0" borderId="13" xfId="6" applyFont="1" applyBorder="1" applyAlignment="1">
      <alignment horizontal="center" vertical="center" wrapText="1"/>
    </xf>
    <xf numFmtId="4" fontId="155" fillId="2" borderId="45" xfId="6" applyNumberFormat="1" applyFont="1" applyFill="1" applyBorder="1" applyAlignment="1">
      <alignment horizontal="center" vertical="center" wrapText="1"/>
    </xf>
    <xf numFmtId="4" fontId="155" fillId="2" borderId="14" xfId="6" applyNumberFormat="1" applyFont="1" applyFill="1" applyBorder="1" applyAlignment="1">
      <alignment horizontal="center" vertical="center"/>
    </xf>
    <xf numFmtId="4" fontId="16" fillId="80" borderId="12" xfId="6" applyNumberFormat="1" applyFont="1" applyFill="1" applyBorder="1" applyAlignment="1">
      <alignment horizontal="center" vertical="center" wrapText="1"/>
    </xf>
    <xf numFmtId="0" fontId="30" fillId="0" borderId="99" xfId="2393" applyFont="1" applyBorder="1" applyAlignment="1">
      <alignment horizontal="center" vertical="center" wrapText="1"/>
    </xf>
    <xf numFmtId="0" fontId="32" fillId="46" borderId="99" xfId="2393" applyFont="1" applyFill="1" applyBorder="1" applyAlignment="1">
      <alignment horizontal="center" vertical="center" wrapText="1"/>
    </xf>
    <xf numFmtId="172" fontId="30" fillId="81" borderId="99" xfId="2711" applyNumberFormat="1" applyFont="1" applyFill="1" applyBorder="1" applyAlignment="1">
      <alignment horizontal="center" vertical="center" wrapText="1"/>
    </xf>
    <xf numFmtId="172" fontId="30" fillId="81" borderId="102" xfId="2711" applyNumberFormat="1" applyFont="1" applyFill="1" applyBorder="1" applyAlignment="1">
      <alignment horizontal="center" vertical="center" wrapText="1"/>
    </xf>
    <xf numFmtId="0" fontId="32" fillId="0" borderId="99" xfId="2393" applyFont="1" applyBorder="1" applyAlignment="1">
      <alignment horizontal="center" vertical="center" wrapText="1"/>
    </xf>
    <xf numFmtId="172" fontId="30" fillId="0" borderId="99" xfId="2711" applyNumberFormat="1" applyFont="1" applyBorder="1" applyAlignment="1">
      <alignment horizontal="center" vertical="center" wrapText="1"/>
    </xf>
    <xf numFmtId="172" fontId="30" fillId="0" borderId="102" xfId="2711" applyNumberFormat="1" applyFont="1" applyBorder="1" applyAlignment="1">
      <alignment horizontal="center" vertical="center" wrapText="1"/>
    </xf>
    <xf numFmtId="172" fontId="30" fillId="82" borderId="99" xfId="2711" applyNumberFormat="1" applyFont="1" applyFill="1" applyBorder="1" applyAlignment="1">
      <alignment horizontal="center" vertical="center" wrapText="1"/>
    </xf>
    <xf numFmtId="172" fontId="30" fillId="82" borderId="102" xfId="2711" applyNumberFormat="1" applyFont="1" applyFill="1" applyBorder="1" applyAlignment="1">
      <alignment horizontal="center" vertical="center" wrapText="1"/>
    </xf>
    <xf numFmtId="172" fontId="30" fillId="83" borderId="102" xfId="2711" applyNumberFormat="1" applyFont="1" applyFill="1" applyBorder="1" applyAlignment="1">
      <alignment horizontal="center" vertical="center" wrapText="1"/>
    </xf>
    <xf numFmtId="0" fontId="30" fillId="2" borderId="0" xfId="2393" applyFont="1" applyFill="1"/>
    <xf numFmtId="0" fontId="30" fillId="2" borderId="99" xfId="2393" applyFont="1" applyFill="1" applyBorder="1" applyAlignment="1">
      <alignment horizontal="center" vertical="center" wrapText="1"/>
    </xf>
    <xf numFmtId="0" fontId="147" fillId="2" borderId="0" xfId="0" applyFont="1" applyFill="1"/>
    <xf numFmtId="0" fontId="0" fillId="2" borderId="0" xfId="0" applyFill="1"/>
    <xf numFmtId="0" fontId="220" fillId="0" borderId="0" xfId="2393" applyFont="1" applyAlignment="1">
      <alignment horizontal="center" vertical="center"/>
    </xf>
    <xf numFmtId="172" fontId="220" fillId="84" borderId="16" xfId="2711" applyNumberFormat="1" applyFont="1" applyFill="1" applyBorder="1" applyAlignment="1">
      <alignment horizontal="center" vertical="center" wrapText="1"/>
    </xf>
    <xf numFmtId="172" fontId="220" fillId="84" borderId="58" xfId="2711" applyNumberFormat="1" applyFont="1" applyFill="1" applyBorder="1" applyAlignment="1">
      <alignment horizontal="center" vertical="center" wrapText="1"/>
    </xf>
    <xf numFmtId="172" fontId="220" fillId="2" borderId="17" xfId="2711" applyNumberFormat="1" applyFont="1" applyFill="1" applyBorder="1" applyAlignment="1">
      <alignment horizontal="center" vertical="center" wrapText="1"/>
    </xf>
    <xf numFmtId="0" fontId="220" fillId="0" borderId="0" xfId="0" applyFont="1" applyAlignment="1">
      <alignment horizontal="center" vertical="center"/>
    </xf>
    <xf numFmtId="0" fontId="230" fillId="0" borderId="0" xfId="0" applyFont="1" applyAlignment="1">
      <alignment horizontal="center" vertical="center"/>
    </xf>
    <xf numFmtId="0" fontId="30" fillId="0" borderId="1" xfId="2393" applyFont="1" applyBorder="1" applyAlignment="1">
      <alignment horizontal="center" vertical="center" wrapText="1"/>
    </xf>
    <xf numFmtId="0" fontId="32" fillId="0" borderId="2" xfId="2393" applyFont="1" applyBorder="1" applyAlignment="1">
      <alignment horizontal="center" vertical="center" wrapText="1"/>
    </xf>
    <xf numFmtId="172" fontId="30" fillId="85" borderId="2" xfId="2711" applyNumberFormat="1" applyFont="1" applyFill="1" applyBorder="1" applyAlignment="1">
      <alignment horizontal="center" vertical="center" wrapText="1"/>
    </xf>
    <xf numFmtId="172" fontId="30" fillId="85" borderId="21" xfId="2711" applyNumberFormat="1" applyFont="1" applyFill="1" applyBorder="1" applyAlignment="1">
      <alignment horizontal="center" vertical="center" wrapText="1"/>
    </xf>
    <xf numFmtId="172" fontId="30" fillId="86" borderId="3" xfId="2711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1" xfId="0" applyBorder="1"/>
    <xf numFmtId="0" fontId="32" fillId="0" borderId="10" xfId="2393" applyFont="1" applyBorder="1" applyAlignment="1">
      <alignment horizontal="center" vertical="center" wrapText="1"/>
    </xf>
    <xf numFmtId="0" fontId="0" fillId="85" borderId="10" xfId="0" applyFill="1" applyBorder="1"/>
    <xf numFmtId="0" fontId="0" fillId="85" borderId="13" xfId="0" applyFill="1" applyBorder="1"/>
    <xf numFmtId="172" fontId="30" fillId="0" borderId="12" xfId="0" applyNumberFormat="1" applyFont="1" applyBorder="1" applyAlignment="1">
      <alignment horizontal="center" vertical="center"/>
    </xf>
    <xf numFmtId="172" fontId="30" fillId="3" borderId="12" xfId="2711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229" fillId="0" borderId="18" xfId="0" applyFont="1" applyBorder="1" applyAlignment="1">
      <alignment horizontal="center" vertical="center"/>
    </xf>
    <xf numFmtId="0" fontId="219" fillId="2" borderId="18" xfId="0" applyFont="1" applyFill="1" applyBorder="1"/>
    <xf numFmtId="0" fontId="230" fillId="0" borderId="100" xfId="0" applyFont="1" applyBorder="1" applyAlignment="1">
      <alignment horizontal="center" vertical="center"/>
    </xf>
    <xf numFmtId="0" fontId="30" fillId="0" borderId="48" xfId="2393" applyFont="1" applyBorder="1" applyAlignment="1">
      <alignment horizontal="center" vertical="center" wrapText="1"/>
    </xf>
    <xf numFmtId="172" fontId="30" fillId="46" borderId="51" xfId="2711" applyNumberFormat="1" applyFont="1" applyFill="1" applyBorder="1" applyAlignment="1">
      <alignment horizontal="center" vertical="center" wrapText="1"/>
    </xf>
    <xf numFmtId="172" fontId="30" fillId="46" borderId="12" xfId="2711" applyNumberFormat="1" applyFont="1" applyFill="1" applyBorder="1" applyAlignment="1">
      <alignment horizontal="center" vertical="center" wrapText="1"/>
    </xf>
    <xf numFmtId="172" fontId="30" fillId="2" borderId="12" xfId="2711" applyNumberFormat="1" applyFont="1" applyFill="1" applyBorder="1" applyAlignment="1">
      <alignment horizontal="center" vertical="center" wrapText="1"/>
    </xf>
    <xf numFmtId="172" fontId="30" fillId="45" borderId="51" xfId="2711" applyNumberFormat="1" applyFont="1" applyFill="1" applyBorder="1" applyAlignment="1">
      <alignment horizontal="center" vertical="center" wrapText="1"/>
    </xf>
    <xf numFmtId="172" fontId="30" fillId="45" borderId="12" xfId="2711" applyNumberFormat="1" applyFont="1" applyFill="1" applyBorder="1" applyAlignment="1">
      <alignment horizontal="center" vertical="center" wrapText="1"/>
    </xf>
    <xf numFmtId="172" fontId="30" fillId="82" borderId="51" xfId="2711" applyNumberFormat="1" applyFont="1" applyFill="1" applyBorder="1" applyAlignment="1">
      <alignment horizontal="center" vertical="center" wrapText="1"/>
    </xf>
    <xf numFmtId="172" fontId="30" fillId="82" borderId="12" xfId="2711" applyNumberFormat="1" applyFont="1" applyFill="1" applyBorder="1" applyAlignment="1">
      <alignment horizontal="center" vertical="center" wrapText="1"/>
    </xf>
    <xf numFmtId="172" fontId="30" fillId="83" borderId="12" xfId="2711" applyNumberFormat="1" applyFont="1" applyFill="1" applyBorder="1" applyAlignment="1">
      <alignment horizontal="center" vertical="center" wrapText="1"/>
    </xf>
    <xf numFmtId="172" fontId="30" fillId="6" borderId="51" xfId="2711" applyNumberFormat="1" applyFont="1" applyFill="1" applyBorder="1" applyAlignment="1">
      <alignment horizontal="center" vertical="center" wrapText="1"/>
    </xf>
    <xf numFmtId="172" fontId="30" fillId="6" borderId="12" xfId="2711" applyNumberFormat="1" applyFont="1" applyFill="1" applyBorder="1" applyAlignment="1">
      <alignment horizontal="center" vertical="center" wrapText="1"/>
    </xf>
    <xf numFmtId="172" fontId="30" fillId="81" borderId="51" xfId="2711" applyNumberFormat="1" applyFont="1" applyFill="1" applyBorder="1" applyAlignment="1">
      <alignment horizontal="center" vertical="center" wrapText="1"/>
    </xf>
    <xf numFmtId="172" fontId="30" fillId="83" borderId="51" xfId="2711" applyNumberFormat="1" applyFont="1" applyFill="1" applyBorder="1" applyAlignment="1">
      <alignment horizontal="center" vertical="center" wrapText="1"/>
    </xf>
    <xf numFmtId="172" fontId="30" fillId="2" borderId="51" xfId="2711" applyNumberFormat="1" applyFont="1" applyFill="1" applyBorder="1" applyAlignment="1">
      <alignment horizontal="center" vertical="center" wrapText="1"/>
    </xf>
    <xf numFmtId="172" fontId="30" fillId="81" borderId="12" xfId="2711" applyNumberFormat="1" applyFont="1" applyFill="1" applyBorder="1" applyAlignment="1">
      <alignment horizontal="center" vertical="center" wrapText="1"/>
    </xf>
    <xf numFmtId="172" fontId="30" fillId="2" borderId="46" xfId="2711" applyNumberFormat="1" applyFont="1" applyFill="1" applyBorder="1" applyAlignment="1">
      <alignment horizontal="center" vertical="center" wrapText="1"/>
    </xf>
    <xf numFmtId="172" fontId="30" fillId="6" borderId="46" xfId="2711" applyNumberFormat="1" applyFont="1" applyFill="1" applyBorder="1" applyAlignment="1">
      <alignment horizontal="center" vertical="center" wrapText="1"/>
    </xf>
    <xf numFmtId="172" fontId="220" fillId="2" borderId="44" xfId="2711" applyNumberFormat="1" applyFont="1" applyFill="1" applyBorder="1" applyAlignment="1">
      <alignment horizontal="center" vertical="center" wrapText="1"/>
    </xf>
    <xf numFmtId="172" fontId="30" fillId="86" borderId="50" xfId="2711" applyNumberFormat="1" applyFont="1" applyFill="1" applyBorder="1" applyAlignment="1">
      <alignment horizontal="center" vertical="center" wrapText="1"/>
    </xf>
    <xf numFmtId="172" fontId="30" fillId="0" borderId="51" xfId="0" applyNumberFormat="1" applyFont="1" applyBorder="1" applyAlignment="1">
      <alignment horizontal="center" vertical="center"/>
    </xf>
    <xf numFmtId="172" fontId="30" fillId="3" borderId="51" xfId="2711" applyNumberFormat="1" applyFont="1" applyFill="1" applyBorder="1" applyAlignment="1">
      <alignment horizontal="center" vertical="center" wrapText="1"/>
    </xf>
    <xf numFmtId="172" fontId="30" fillId="0" borderId="10" xfId="2711" applyNumberFormat="1" applyFont="1" applyBorder="1" applyAlignment="1">
      <alignment horizontal="center" vertical="center" wrapText="1"/>
    </xf>
    <xf numFmtId="172" fontId="30" fillId="0" borderId="13" xfId="2711" applyNumberFormat="1" applyFont="1" applyBorder="1" applyAlignment="1">
      <alignment horizontal="center" vertical="center" wrapText="1"/>
    </xf>
    <xf numFmtId="0" fontId="30" fillId="2" borderId="10" xfId="2393" applyFont="1" applyFill="1" applyBorder="1" applyAlignment="1">
      <alignment horizontal="center" vertical="center" wrapText="1"/>
    </xf>
    <xf numFmtId="0" fontId="220" fillId="87" borderId="0" xfId="0" applyFont="1" applyFill="1" applyBorder="1" applyAlignment="1"/>
    <xf numFmtId="0" fontId="162" fillId="87" borderId="0" xfId="0" applyFont="1" applyFill="1" applyBorder="1" applyAlignment="1"/>
    <xf numFmtId="168" fontId="27" fillId="2" borderId="99" xfId="0" applyNumberFormat="1" applyFont="1" applyFill="1" applyBorder="1" applyAlignment="1">
      <alignment vertical="center" wrapText="1"/>
    </xf>
    <xf numFmtId="168" fontId="27" fillId="45" borderId="99" xfId="0" applyNumberFormat="1" applyFont="1" applyFill="1" applyBorder="1" applyAlignment="1">
      <alignment vertical="center" wrapText="1"/>
    </xf>
    <xf numFmtId="168" fontId="27" fillId="45" borderId="104" xfId="0" applyNumberFormat="1" applyFont="1" applyFill="1" applyBorder="1" applyAlignment="1">
      <alignment vertical="center" wrapText="1"/>
    </xf>
    <xf numFmtId="168" fontId="141" fillId="2" borderId="99" xfId="0" applyNumberFormat="1" applyFont="1" applyFill="1" applyBorder="1" applyAlignment="1">
      <alignment vertical="center" wrapText="1"/>
    </xf>
    <xf numFmtId="168" fontId="141" fillId="45" borderId="99" xfId="0" applyNumberFormat="1" applyFont="1" applyFill="1" applyBorder="1" applyAlignment="1">
      <alignment vertical="center" wrapText="1"/>
    </xf>
    <xf numFmtId="168" fontId="141" fillId="45" borderId="104" xfId="0" applyNumberFormat="1" applyFont="1" applyFill="1" applyBorder="1" applyAlignment="1">
      <alignment vertical="center" wrapText="1"/>
    </xf>
    <xf numFmtId="168" fontId="22" fillId="2" borderId="101" xfId="0" applyNumberFormat="1" applyFont="1" applyFill="1" applyBorder="1" applyAlignment="1">
      <alignment vertical="center" wrapText="1"/>
    </xf>
    <xf numFmtId="168" fontId="224" fillId="45" borderId="101" xfId="0" applyNumberFormat="1" applyFont="1" applyFill="1" applyBorder="1" applyAlignment="1">
      <alignment vertical="center" wrapText="1"/>
    </xf>
    <xf numFmtId="168" fontId="27" fillId="2" borderId="101" xfId="0" applyNumberFormat="1" applyFont="1" applyFill="1" applyBorder="1" applyAlignment="1">
      <alignment vertical="center" wrapText="1"/>
    </xf>
    <xf numFmtId="168" fontId="22" fillId="45" borderId="101" xfId="0" applyNumberFormat="1" applyFont="1" applyFill="1" applyBorder="1" applyAlignment="1">
      <alignment vertical="center" wrapText="1"/>
    </xf>
    <xf numFmtId="0" fontId="22" fillId="2" borderId="99" xfId="0" applyFont="1" applyFill="1" applyBorder="1" applyAlignment="1">
      <alignment vertical="center" wrapText="1"/>
    </xf>
    <xf numFmtId="0" fontId="22" fillId="45" borderId="99" xfId="0" applyFont="1" applyFill="1" applyBorder="1" applyAlignment="1">
      <alignment vertical="center" wrapText="1"/>
    </xf>
    <xf numFmtId="0" fontId="22" fillId="45" borderId="104" xfId="0" applyFont="1" applyFill="1" applyBorder="1" applyAlignment="1">
      <alignment vertical="center" wrapText="1"/>
    </xf>
    <xf numFmtId="4" fontId="155" fillId="0" borderId="12" xfId="6" applyNumberFormat="1" applyFont="1" applyBorder="1" applyAlignment="1">
      <alignment horizontal="center" vertical="center"/>
    </xf>
    <xf numFmtId="4" fontId="155" fillId="0" borderId="46" xfId="6" applyNumberFormat="1" applyFont="1" applyBorder="1" applyAlignment="1">
      <alignment horizontal="center" vertical="center"/>
    </xf>
    <xf numFmtId="4" fontId="155" fillId="80" borderId="46" xfId="6" applyNumberFormat="1" applyFont="1" applyFill="1" applyBorder="1" applyAlignment="1">
      <alignment horizontal="center" vertical="center"/>
    </xf>
    <xf numFmtId="0" fontId="16" fillId="0" borderId="99" xfId="9" applyFont="1" applyFill="1" applyBorder="1" applyAlignment="1">
      <alignment horizontal="left" vertical="center" wrapText="1"/>
    </xf>
    <xf numFmtId="164" fontId="150" fillId="49" borderId="99" xfId="0" applyNumberFormat="1" applyFont="1" applyFill="1" applyBorder="1" applyAlignment="1">
      <alignment horizontal="center" vertical="center"/>
    </xf>
    <xf numFmtId="164" fontId="150" fillId="49" borderId="102" xfId="0" applyNumberFormat="1" applyFont="1" applyFill="1" applyBorder="1" applyAlignment="1">
      <alignment horizontal="center" vertical="center"/>
    </xf>
    <xf numFmtId="164" fontId="32" fillId="2" borderId="102" xfId="0" applyNumberFormat="1" applyFont="1" applyFill="1" applyBorder="1" applyAlignment="1">
      <alignment horizontal="center" vertical="center"/>
    </xf>
    <xf numFmtId="205" fontId="136" fillId="6" borderId="105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99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105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9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>
      <alignment wrapText="1"/>
    </xf>
    <xf numFmtId="164" fontId="30" fillId="50" borderId="76" xfId="0" applyNumberFormat="1" applyFont="1" applyFill="1" applyBorder="1" applyAlignment="1">
      <alignment horizontal="center" vertical="center"/>
    </xf>
    <xf numFmtId="164" fontId="30" fillId="49" borderId="23" xfId="0" applyNumberFormat="1" applyFont="1" applyFill="1" applyBorder="1" applyAlignment="1">
      <alignment horizontal="center" vertical="center"/>
    </xf>
    <xf numFmtId="164" fontId="30" fillId="49" borderId="24" xfId="0" applyNumberFormat="1" applyFont="1" applyFill="1" applyBorder="1" applyAlignment="1">
      <alignment horizontal="center" vertical="center"/>
    </xf>
    <xf numFmtId="164" fontId="30" fillId="2" borderId="23" xfId="0" applyNumberFormat="1" applyFont="1" applyFill="1" applyBorder="1" applyAlignment="1">
      <alignment horizontal="center" vertical="center"/>
    </xf>
    <xf numFmtId="164" fontId="30" fillId="2" borderId="24" xfId="0" applyNumberFormat="1" applyFont="1" applyFill="1" applyBorder="1" applyAlignment="1">
      <alignment horizontal="center" vertical="center"/>
    </xf>
    <xf numFmtId="164" fontId="30" fillId="2" borderId="77" xfId="0" applyNumberFormat="1" applyFont="1" applyFill="1" applyBorder="1" applyAlignment="1">
      <alignment horizontal="center" vertical="center"/>
    </xf>
    <xf numFmtId="164" fontId="30" fillId="49" borderId="77" xfId="0" applyNumberFormat="1" applyFont="1" applyFill="1" applyBorder="1" applyAlignment="1">
      <alignment horizontal="center" vertical="center"/>
    </xf>
    <xf numFmtId="205" fontId="19" fillId="6" borderId="37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23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78" xfId="2" applyNumberFormat="1" applyFont="1" applyFill="1" applyBorder="1" applyAlignment="1" applyProtection="1">
      <alignment horizontal="center" vertical="center" wrapText="1"/>
      <protection locked="0"/>
    </xf>
    <xf numFmtId="206" fontId="155" fillId="0" borderId="10" xfId="6" applyNumberFormat="1" applyFont="1" applyBorder="1"/>
    <xf numFmtId="2" fontId="140" fillId="2" borderId="12" xfId="5" applyNumberFormat="1" applyFont="1" applyFill="1" applyBorder="1" applyAlignment="1">
      <alignment horizontal="center" vertical="center" wrapText="1"/>
    </xf>
    <xf numFmtId="49" fontId="15" fillId="45" borderId="71" xfId="0" applyNumberFormat="1" applyFont="1" applyFill="1" applyBorder="1" applyAlignment="1">
      <alignment horizontal="center" vertical="center"/>
    </xf>
    <xf numFmtId="10" fontId="17" fillId="0" borderId="74" xfId="0" applyNumberFormat="1" applyFont="1" applyBorder="1" applyAlignment="1">
      <alignment horizontal="center" vertical="center"/>
    </xf>
    <xf numFmtId="9" fontId="17" fillId="0" borderId="72" xfId="0" applyNumberFormat="1" applyFont="1" applyBorder="1" applyAlignment="1">
      <alignment horizontal="center" vertical="center"/>
    </xf>
    <xf numFmtId="9" fontId="17" fillId="0" borderId="102" xfId="0" applyNumberFormat="1" applyFont="1" applyBorder="1" applyAlignment="1">
      <alignment horizontal="center" vertical="center"/>
    </xf>
    <xf numFmtId="164" fontId="17" fillId="0" borderId="72" xfId="0" applyNumberFormat="1" applyFont="1" applyBorder="1" applyAlignment="1">
      <alignment horizontal="center" vertical="center"/>
    </xf>
    <xf numFmtId="164" fontId="17" fillId="0" borderId="102" xfId="0" applyNumberFormat="1" applyFont="1" applyBorder="1" applyAlignment="1">
      <alignment horizontal="center" vertical="center"/>
    </xf>
    <xf numFmtId="201" fontId="17" fillId="0" borderId="72" xfId="0" applyNumberFormat="1" applyFont="1" applyBorder="1" applyAlignment="1">
      <alignment horizontal="center" vertical="center"/>
    </xf>
    <xf numFmtId="164" fontId="17" fillId="0" borderId="89" xfId="0" applyNumberFormat="1" applyFont="1" applyBorder="1" applyAlignment="1">
      <alignment horizontal="center" vertical="center"/>
    </xf>
    <xf numFmtId="164" fontId="147" fillId="49" borderId="10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wrapText="1"/>
    </xf>
    <xf numFmtId="0" fontId="22" fillId="0" borderId="0" xfId="0" applyFont="1" applyAlignment="1">
      <alignment wrapText="1"/>
    </xf>
    <xf numFmtId="168" fontId="22" fillId="0" borderId="0" xfId="0" applyNumberFormat="1" applyFont="1" applyAlignment="1">
      <alignment wrapText="1"/>
    </xf>
    <xf numFmtId="168" fontId="22" fillId="2" borderId="0" xfId="0" applyNumberFormat="1" applyFont="1" applyFill="1" applyAlignment="1">
      <alignment wrapText="1"/>
    </xf>
    <xf numFmtId="0" fontId="22" fillId="2" borderId="0" xfId="0" applyFont="1" applyFill="1" applyAlignment="1">
      <alignment wrapText="1"/>
    </xf>
    <xf numFmtId="0" fontId="155" fillId="2" borderId="0" xfId="0" applyFont="1" applyFill="1" applyAlignment="1">
      <alignment wrapText="1"/>
    </xf>
    <xf numFmtId="0" fontId="22" fillId="2" borderId="87" xfId="0" applyFont="1" applyFill="1" applyBorder="1" applyAlignment="1">
      <alignment wrapText="1"/>
    </xf>
    <xf numFmtId="10" fontId="22" fillId="0" borderId="0" xfId="1" applyNumberFormat="1" applyFont="1" applyAlignment="1">
      <alignment wrapText="1"/>
    </xf>
    <xf numFmtId="10" fontId="155" fillId="0" borderId="0" xfId="1" applyNumberFormat="1" applyFont="1" applyAlignment="1">
      <alignment wrapText="1"/>
    </xf>
    <xf numFmtId="0" fontId="22" fillId="2" borderId="36" xfId="0" applyFont="1" applyFill="1" applyBorder="1" applyAlignment="1">
      <alignment wrapText="1"/>
    </xf>
    <xf numFmtId="0" fontId="22" fillId="2" borderId="0" xfId="0" applyFont="1" applyFill="1" applyBorder="1" applyAlignment="1">
      <alignment wrapText="1"/>
    </xf>
    <xf numFmtId="4" fontId="153" fillId="0" borderId="0" xfId="0" applyNumberFormat="1" applyFont="1" applyAlignment="1">
      <alignment wrapText="1"/>
    </xf>
    <xf numFmtId="164" fontId="22" fillId="2" borderId="0" xfId="0" applyNumberFormat="1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wrapText="1"/>
    </xf>
    <xf numFmtId="0" fontId="21" fillId="0" borderId="24" xfId="17" applyFont="1" applyFill="1" applyBorder="1" applyAlignment="1">
      <alignment horizontal="center" vertical="center"/>
    </xf>
    <xf numFmtId="4" fontId="21" fillId="0" borderId="4" xfId="17" applyNumberFormat="1" applyFont="1" applyFill="1" applyBorder="1" applyAlignment="1">
      <alignment horizontal="center" vertical="center"/>
    </xf>
    <xf numFmtId="4" fontId="21" fillId="0" borderId="6" xfId="17" applyNumberFormat="1" applyFont="1" applyFill="1" applyBorder="1" applyAlignment="1">
      <alignment horizontal="center" vertical="center"/>
    </xf>
    <xf numFmtId="164" fontId="17" fillId="2" borderId="10" xfId="0" applyNumberFormat="1" applyFont="1" applyFill="1" applyBorder="1" applyAlignment="1">
      <alignment horizontal="center" vertical="center"/>
    </xf>
    <xf numFmtId="164" fontId="17" fillId="49" borderId="10" xfId="0" applyNumberFormat="1" applyFont="1" applyFill="1" applyBorder="1" applyAlignment="1">
      <alignment horizontal="center" vertical="center"/>
    </xf>
    <xf numFmtId="164" fontId="17" fillId="49" borderId="13" xfId="0" applyNumberFormat="1" applyFont="1" applyFill="1" applyBorder="1" applyAlignment="1">
      <alignment horizontal="center" vertical="center"/>
    </xf>
    <xf numFmtId="164" fontId="17" fillId="49" borderId="51" xfId="0" applyNumberFormat="1" applyFont="1" applyFill="1" applyBorder="1" applyAlignment="1">
      <alignment horizontal="center" vertical="center"/>
    </xf>
    <xf numFmtId="164" fontId="17" fillId="2" borderId="51" xfId="0" applyNumberFormat="1" applyFont="1" applyFill="1" applyBorder="1" applyAlignment="1">
      <alignment horizontal="center" vertical="center"/>
    </xf>
    <xf numFmtId="164" fontId="146" fillId="49" borderId="10" xfId="0" applyNumberFormat="1" applyFont="1" applyFill="1" applyBorder="1" applyAlignment="1">
      <alignment horizontal="center" vertical="center"/>
    </xf>
    <xf numFmtId="164" fontId="256" fillId="49" borderId="10" xfId="0" applyNumberFormat="1" applyFont="1" applyFill="1" applyBorder="1" applyAlignment="1">
      <alignment horizontal="center" vertical="center"/>
    </xf>
    <xf numFmtId="4" fontId="15" fillId="45" borderId="58" xfId="17" applyNumberFormat="1" applyFont="1" applyFill="1" applyBorder="1" applyAlignment="1">
      <alignment horizontal="center" vertical="center"/>
    </xf>
    <xf numFmtId="4" fontId="21" fillId="0" borderId="22" xfId="17" applyNumberFormat="1" applyFont="1" applyFill="1" applyBorder="1" applyAlignment="1">
      <alignment horizontal="center" vertical="center"/>
    </xf>
    <xf numFmtId="166" fontId="136" fillId="6" borderId="53" xfId="5" applyNumberFormat="1" applyFont="1" applyFill="1" applyBorder="1" applyAlignment="1">
      <alignment horizontal="center" vertical="center"/>
    </xf>
    <xf numFmtId="4" fontId="21" fillId="0" borderId="56" xfId="17" applyNumberFormat="1" applyFont="1" applyFill="1" applyBorder="1" applyAlignment="1">
      <alignment horizontal="center" vertical="center"/>
    </xf>
    <xf numFmtId="4" fontId="15" fillId="45" borderId="17" xfId="17" applyNumberFormat="1" applyFont="1" applyFill="1" applyBorder="1" applyAlignment="1">
      <alignment horizontal="center" vertical="center"/>
    </xf>
    <xf numFmtId="164" fontId="17" fillId="49" borderId="7" xfId="0" applyNumberFormat="1" applyFont="1" applyFill="1" applyBorder="1" applyAlignment="1">
      <alignment horizontal="center" vertical="center"/>
    </xf>
    <xf numFmtId="0" fontId="30" fillId="0" borderId="0" xfId="0" applyFont="1" applyFill="1"/>
    <xf numFmtId="4" fontId="21" fillId="45" borderId="62" xfId="17" applyNumberFormat="1" applyFont="1" applyFill="1" applyBorder="1" applyAlignment="1">
      <alignment horizontal="center" vertical="center"/>
    </xf>
    <xf numFmtId="4" fontId="21" fillId="45" borderId="90" xfId="17" applyNumberFormat="1" applyFont="1" applyFill="1" applyBorder="1" applyAlignment="1">
      <alignment horizontal="center" vertical="center"/>
    </xf>
    <xf numFmtId="4" fontId="21" fillId="45" borderId="15" xfId="17" applyNumberFormat="1" applyFont="1" applyFill="1" applyBorder="1" applyAlignment="1">
      <alignment horizontal="center" vertical="center"/>
    </xf>
    <xf numFmtId="4" fontId="21" fillId="45" borderId="16" xfId="17" applyNumberFormat="1" applyFont="1" applyFill="1" applyBorder="1" applyAlignment="1">
      <alignment horizontal="center" vertical="center"/>
    </xf>
    <xf numFmtId="164" fontId="17" fillId="0" borderId="117" xfId="0" applyNumberFormat="1" applyFont="1" applyBorder="1" applyAlignment="1">
      <alignment horizontal="center" vertical="center"/>
    </xf>
    <xf numFmtId="165" fontId="16" fillId="0" borderId="19" xfId="3" applyFont="1" applyFill="1" applyBorder="1" applyAlignment="1">
      <alignment horizontal="center" vertical="center" wrapText="1"/>
    </xf>
    <xf numFmtId="165" fontId="16" fillId="0" borderId="102" xfId="3" applyFont="1" applyFill="1" applyBorder="1" applyAlignment="1">
      <alignment horizontal="center" vertical="center" wrapText="1"/>
    </xf>
    <xf numFmtId="165" fontId="16" fillId="0" borderId="117" xfId="3" applyFont="1" applyFill="1" applyBorder="1" applyAlignment="1">
      <alignment horizontal="center" vertical="center" wrapText="1"/>
    </xf>
    <xf numFmtId="165" fontId="16" fillId="2" borderId="102" xfId="3" applyFont="1" applyFill="1" applyBorder="1" applyAlignment="1">
      <alignment horizontal="center" vertical="center" wrapText="1"/>
    </xf>
    <xf numFmtId="165" fontId="17" fillId="2" borderId="102" xfId="3" applyFont="1" applyFill="1" applyBorder="1" applyAlignment="1">
      <alignment horizontal="center" vertical="center" wrapText="1"/>
    </xf>
    <xf numFmtId="165" fontId="146" fillId="2" borderId="102" xfId="3" applyFont="1" applyFill="1" applyBorder="1" applyAlignment="1">
      <alignment horizontal="center" vertical="center" wrapText="1"/>
    </xf>
    <xf numFmtId="165" fontId="17" fillId="0" borderId="102" xfId="3" applyFont="1" applyFill="1" applyBorder="1" applyAlignment="1">
      <alignment horizontal="center" vertical="center" wrapText="1"/>
    </xf>
    <xf numFmtId="165" fontId="17" fillId="0" borderId="117" xfId="3" applyFont="1" applyFill="1" applyBorder="1" applyAlignment="1">
      <alignment horizontal="center" vertical="center" wrapText="1"/>
    </xf>
    <xf numFmtId="0" fontId="16" fillId="0" borderId="19" xfId="9" applyFont="1" applyFill="1" applyBorder="1" applyAlignment="1">
      <alignment horizontal="center" vertical="center" wrapText="1"/>
    </xf>
    <xf numFmtId="0" fontId="17" fillId="0" borderId="102" xfId="9" applyFont="1" applyFill="1" applyBorder="1" applyAlignment="1">
      <alignment horizontal="center" vertical="center" wrapText="1"/>
    </xf>
    <xf numFmtId="0" fontId="16" fillId="0" borderId="102" xfId="9" applyFont="1" applyFill="1" applyBorder="1" applyAlignment="1">
      <alignment horizontal="center" vertical="center" wrapText="1"/>
    </xf>
    <xf numFmtId="165" fontId="17" fillId="0" borderId="19" xfId="3" applyFont="1" applyFill="1" applyBorder="1" applyAlignment="1">
      <alignment horizontal="center" vertical="center" wrapText="1"/>
    </xf>
    <xf numFmtId="4" fontId="153" fillId="0" borderId="19" xfId="3" applyNumberFormat="1" applyFont="1" applyFill="1" applyBorder="1" applyAlignment="1">
      <alignment horizontal="center" vertical="center"/>
    </xf>
    <xf numFmtId="165" fontId="17" fillId="0" borderId="102" xfId="3" applyFont="1" applyFill="1" applyBorder="1" applyAlignment="1">
      <alignment horizontal="center" vertical="center"/>
    </xf>
    <xf numFmtId="0" fontId="22" fillId="2" borderId="102" xfId="0" applyFont="1" applyFill="1" applyBorder="1" applyAlignment="1">
      <alignment horizontal="center" vertical="center"/>
    </xf>
    <xf numFmtId="205" fontId="19" fillId="2" borderId="118" xfId="2" applyNumberFormat="1" applyFont="1" applyFill="1" applyBorder="1" applyAlignment="1" applyProtection="1">
      <alignment vertical="center" wrapText="1"/>
      <protection locked="0"/>
    </xf>
    <xf numFmtId="165" fontId="157" fillId="0" borderId="102" xfId="3" applyFont="1" applyFill="1" applyBorder="1" applyAlignment="1">
      <alignment horizontal="center" vertical="center"/>
    </xf>
    <xf numFmtId="164" fontId="32" fillId="49" borderId="102" xfId="0" applyNumberFormat="1" applyFont="1" applyFill="1" applyBorder="1" applyAlignment="1">
      <alignment horizontal="center" vertical="center"/>
    </xf>
    <xf numFmtId="164" fontId="32" fillId="49" borderId="119" xfId="0" applyNumberFormat="1" applyFont="1" applyFill="1" applyBorder="1" applyAlignment="1">
      <alignment horizontal="center" vertical="center"/>
    </xf>
    <xf numFmtId="164" fontId="32" fillId="49" borderId="117" xfId="0" applyNumberFormat="1" applyFont="1" applyFill="1" applyBorder="1" applyAlignment="1">
      <alignment horizontal="center" vertical="center"/>
    </xf>
    <xf numFmtId="164" fontId="32" fillId="49" borderId="113" xfId="0" applyNumberFormat="1" applyFont="1" applyFill="1" applyBorder="1" applyAlignment="1">
      <alignment horizontal="center" vertical="center"/>
    </xf>
    <xf numFmtId="164" fontId="30" fillId="49" borderId="102" xfId="0" applyNumberFormat="1" applyFont="1" applyFill="1" applyBorder="1" applyAlignment="1">
      <alignment horizontal="center" vertical="center"/>
    </xf>
    <xf numFmtId="164" fontId="149" fillId="0" borderId="102" xfId="0" applyNumberFormat="1" applyFont="1" applyFill="1" applyBorder="1" applyAlignment="1">
      <alignment horizontal="center" vertical="center"/>
    </xf>
    <xf numFmtId="164" fontId="32" fillId="0" borderId="102" xfId="0" applyNumberFormat="1" applyFont="1" applyFill="1" applyBorder="1" applyAlignment="1">
      <alignment horizontal="center" vertical="center"/>
    </xf>
    <xf numFmtId="164" fontId="30" fillId="49" borderId="119" xfId="0" applyNumberFormat="1" applyFont="1" applyFill="1" applyBorder="1" applyAlignment="1">
      <alignment horizontal="center" vertical="center"/>
    </xf>
    <xf numFmtId="164" fontId="30" fillId="49" borderId="117" xfId="0" applyNumberFormat="1" applyFont="1" applyFill="1" applyBorder="1" applyAlignment="1">
      <alignment horizontal="center" vertical="center"/>
    </xf>
    <xf numFmtId="164" fontId="30" fillId="49" borderId="113" xfId="0" applyNumberFormat="1" applyFont="1" applyFill="1" applyBorder="1" applyAlignment="1">
      <alignment horizontal="center" vertical="center"/>
    </xf>
    <xf numFmtId="164" fontId="17" fillId="49" borderId="102" xfId="0" applyNumberFormat="1" applyFont="1" applyFill="1" applyBorder="1" applyAlignment="1">
      <alignment horizontal="center" vertical="center"/>
    </xf>
    <xf numFmtId="164" fontId="30" fillId="0" borderId="102" xfId="0" applyNumberFormat="1" applyFont="1" applyFill="1" applyBorder="1" applyAlignment="1">
      <alignment horizontal="center" vertical="center"/>
    </xf>
    <xf numFmtId="164" fontId="17" fillId="2" borderId="70" xfId="0" applyNumberFormat="1" applyFont="1" applyFill="1" applyBorder="1" applyAlignment="1">
      <alignment horizontal="center" vertical="center"/>
    </xf>
    <xf numFmtId="164" fontId="17" fillId="2" borderId="120" xfId="0" applyNumberFormat="1" applyFont="1" applyFill="1" applyBorder="1" applyAlignment="1">
      <alignment horizontal="center" vertical="center"/>
    </xf>
    <xf numFmtId="164" fontId="17" fillId="0" borderId="102" xfId="0" applyNumberFormat="1" applyFont="1" applyFill="1" applyBorder="1" applyAlignment="1">
      <alignment vertical="center"/>
    </xf>
    <xf numFmtId="164" fontId="30" fillId="0" borderId="102" xfId="0" applyNumberFormat="1" applyFont="1" applyFill="1" applyBorder="1" applyAlignment="1">
      <alignment vertical="center"/>
    </xf>
    <xf numFmtId="10" fontId="22" fillId="0" borderId="102" xfId="1" applyNumberFormat="1" applyFont="1" applyFill="1" applyBorder="1" applyAlignment="1">
      <alignment horizontal="center" vertical="center"/>
    </xf>
    <xf numFmtId="205" fontId="19" fillId="2" borderId="102" xfId="2" applyNumberFormat="1" applyFont="1" applyFill="1" applyBorder="1" applyAlignment="1" applyProtection="1">
      <alignment vertical="center" wrapText="1"/>
      <protection locked="0"/>
    </xf>
    <xf numFmtId="4" fontId="30" fillId="0" borderId="102" xfId="0" applyNumberFormat="1" applyFont="1" applyFill="1" applyBorder="1" applyAlignment="1">
      <alignment vertical="center"/>
    </xf>
    <xf numFmtId="4" fontId="17" fillId="0" borderId="102" xfId="0" applyNumberFormat="1" applyFont="1" applyFill="1" applyBorder="1" applyAlignment="1">
      <alignment vertical="center"/>
    </xf>
    <xf numFmtId="4" fontId="30" fillId="51" borderId="102" xfId="0" applyNumberFormat="1" applyFont="1" applyFill="1" applyBorder="1" applyAlignment="1">
      <alignment vertical="center"/>
    </xf>
    <xf numFmtId="4" fontId="159" fillId="0" borderId="49" xfId="0" applyNumberFormat="1" applyFont="1" applyFill="1" applyBorder="1" applyAlignment="1">
      <alignment vertical="center"/>
    </xf>
    <xf numFmtId="164" fontId="32" fillId="2" borderId="119" xfId="0" applyNumberFormat="1" applyFont="1" applyFill="1" applyBorder="1" applyAlignment="1">
      <alignment horizontal="center" vertical="center"/>
    </xf>
    <xf numFmtId="164" fontId="32" fillId="2" borderId="117" xfId="0" applyNumberFormat="1" applyFont="1" applyFill="1" applyBorder="1" applyAlignment="1">
      <alignment horizontal="center" vertical="center"/>
    </xf>
    <xf numFmtId="164" fontId="32" fillId="2" borderId="113" xfId="0" applyNumberFormat="1" applyFont="1" applyFill="1" applyBorder="1" applyAlignment="1">
      <alignment horizontal="center" vertical="center"/>
    </xf>
    <xf numFmtId="164" fontId="30" fillId="2" borderId="102" xfId="0" applyNumberFormat="1" applyFont="1" applyFill="1" applyBorder="1" applyAlignment="1">
      <alignment horizontal="center" vertical="center"/>
    </xf>
    <xf numFmtId="164" fontId="149" fillId="2" borderId="102" xfId="0" applyNumberFormat="1" applyFont="1" applyFill="1" applyBorder="1" applyAlignment="1">
      <alignment horizontal="center" vertical="center"/>
    </xf>
    <xf numFmtId="164" fontId="150" fillId="2" borderId="102" xfId="0" applyNumberFormat="1" applyFont="1" applyFill="1" applyBorder="1" applyAlignment="1">
      <alignment horizontal="center" vertical="center"/>
    </xf>
    <xf numFmtId="164" fontId="32" fillId="0" borderId="113" xfId="0" applyNumberFormat="1" applyFont="1" applyFill="1" applyBorder="1" applyAlignment="1">
      <alignment horizontal="center" vertical="center"/>
    </xf>
    <xf numFmtId="164" fontId="30" fillId="2" borderId="119" xfId="0" applyNumberFormat="1" applyFont="1" applyFill="1" applyBorder="1" applyAlignment="1">
      <alignment horizontal="center" vertical="center"/>
    </xf>
    <xf numFmtId="164" fontId="30" fillId="2" borderId="117" xfId="0" applyNumberFormat="1" applyFont="1" applyFill="1" applyBorder="1" applyAlignment="1">
      <alignment horizontal="center" vertical="center"/>
    </xf>
    <xf numFmtId="164" fontId="30" fillId="2" borderId="113" xfId="0" applyNumberFormat="1" applyFont="1" applyFill="1" applyBorder="1" applyAlignment="1">
      <alignment horizontal="center" vertical="center"/>
    </xf>
    <xf numFmtId="164" fontId="17" fillId="2" borderId="102" xfId="0" applyNumberFormat="1" applyFont="1" applyFill="1" applyBorder="1" applyAlignment="1">
      <alignment horizontal="center" vertical="center"/>
    </xf>
    <xf numFmtId="164" fontId="16" fillId="0" borderId="102" xfId="3" applyNumberFormat="1" applyFont="1" applyFill="1" applyBorder="1" applyAlignment="1">
      <alignment horizontal="center" vertical="center" wrapText="1"/>
    </xf>
    <xf numFmtId="164" fontId="16" fillId="0" borderId="119" xfId="3" applyNumberFormat="1" applyFont="1" applyFill="1" applyBorder="1" applyAlignment="1">
      <alignment horizontal="center" vertical="center" wrapText="1"/>
    </xf>
    <xf numFmtId="164" fontId="16" fillId="0" borderId="117" xfId="3" applyNumberFormat="1" applyFont="1" applyFill="1" applyBorder="1" applyAlignment="1">
      <alignment horizontal="center" vertical="center" wrapText="1"/>
    </xf>
    <xf numFmtId="164" fontId="16" fillId="0" borderId="113" xfId="3" applyNumberFormat="1" applyFont="1" applyFill="1" applyBorder="1" applyAlignment="1">
      <alignment horizontal="center" vertical="center" wrapText="1"/>
    </xf>
    <xf numFmtId="4" fontId="30" fillId="50" borderId="102" xfId="0" applyNumberFormat="1" applyFont="1" applyFill="1" applyBorder="1" applyAlignment="1">
      <alignment vertical="center"/>
    </xf>
    <xf numFmtId="4" fontId="30" fillId="2" borderId="102" xfId="0" applyNumberFormat="1" applyFont="1" applyFill="1" applyBorder="1" applyAlignment="1">
      <alignment vertical="center"/>
    </xf>
    <xf numFmtId="4" fontId="159" fillId="2" borderId="49" xfId="0" applyNumberFormat="1" applyFont="1" applyFill="1" applyBorder="1" applyAlignment="1">
      <alignment vertical="center"/>
    </xf>
    <xf numFmtId="172" fontId="16" fillId="8" borderId="102" xfId="16" applyNumberFormat="1" applyFont="1" applyFill="1" applyBorder="1" applyAlignment="1">
      <alignment horizontal="center" vertical="center"/>
    </xf>
    <xf numFmtId="2" fontId="16" fillId="0" borderId="102" xfId="9" applyNumberFormat="1" applyFont="1" applyFill="1" applyBorder="1" applyAlignment="1">
      <alignment horizontal="center" vertical="center" wrapText="1"/>
    </xf>
    <xf numFmtId="0" fontId="17" fillId="0" borderId="102" xfId="0" applyFont="1" applyBorder="1" applyAlignment="1">
      <alignment horizontal="center" vertical="center"/>
    </xf>
    <xf numFmtId="172" fontId="16" fillId="8" borderId="119" xfId="16" applyNumberFormat="1" applyFont="1" applyFill="1" applyBorder="1" applyAlignment="1">
      <alignment horizontal="center" vertical="center"/>
    </xf>
    <xf numFmtId="172" fontId="16" fillId="8" borderId="117" xfId="16" applyNumberFormat="1" applyFont="1" applyFill="1" applyBorder="1" applyAlignment="1">
      <alignment horizontal="center" vertical="center"/>
    </xf>
    <xf numFmtId="172" fontId="16" fillId="8" borderId="113" xfId="16" applyNumberFormat="1" applyFont="1" applyFill="1" applyBorder="1" applyAlignment="1">
      <alignment horizontal="center" vertical="center"/>
    </xf>
    <xf numFmtId="4" fontId="158" fillId="51" borderId="45" xfId="0" applyNumberFormat="1" applyFont="1" applyFill="1" applyBorder="1" applyAlignment="1">
      <alignment vertical="center"/>
    </xf>
    <xf numFmtId="4" fontId="159" fillId="49" borderId="119" xfId="0" applyNumberFormat="1" applyFont="1" applyFill="1" applyBorder="1" applyAlignment="1">
      <alignment vertical="center"/>
    </xf>
    <xf numFmtId="4" fontId="159" fillId="0" borderId="117" xfId="0" applyNumberFormat="1" applyFont="1" applyFill="1" applyBorder="1" applyAlignment="1">
      <alignment vertical="center"/>
    </xf>
    <xf numFmtId="4" fontId="161" fillId="51" borderId="62" xfId="0" applyNumberFormat="1" applyFont="1" applyFill="1" applyBorder="1" applyAlignment="1">
      <alignment vertical="center"/>
    </xf>
    <xf numFmtId="4" fontId="161" fillId="0" borderId="90" xfId="0" applyNumberFormat="1" applyFont="1" applyFill="1" applyBorder="1" applyAlignment="1">
      <alignment vertical="center"/>
    </xf>
    <xf numFmtId="4" fontId="161" fillId="0" borderId="91" xfId="0" applyNumberFormat="1" applyFont="1" applyFill="1" applyBorder="1" applyAlignment="1">
      <alignment vertical="center"/>
    </xf>
    <xf numFmtId="4" fontId="161" fillId="0" borderId="81" xfId="0" applyNumberFormat="1" applyFont="1" applyFill="1" applyBorder="1" applyAlignment="1">
      <alignment vertical="center"/>
    </xf>
    <xf numFmtId="4" fontId="158" fillId="0" borderId="4" xfId="0" applyNumberFormat="1" applyFont="1" applyFill="1" applyBorder="1" applyAlignment="1">
      <alignment vertical="center"/>
    </xf>
    <xf numFmtId="4" fontId="223" fillId="0" borderId="5" xfId="0" applyNumberFormat="1" applyFont="1" applyFill="1" applyBorder="1" applyAlignment="1">
      <alignment vertical="center"/>
    </xf>
    <xf numFmtId="4" fontId="158" fillId="51" borderId="5" xfId="0" applyNumberFormat="1" applyFont="1" applyFill="1" applyBorder="1" applyAlignment="1">
      <alignment vertical="center"/>
    </xf>
    <xf numFmtId="4" fontId="158" fillId="51" borderId="122" xfId="0" applyNumberFormat="1" applyFont="1" applyFill="1" applyBorder="1" applyAlignment="1">
      <alignment vertical="center"/>
    </xf>
    <xf numFmtId="4" fontId="158" fillId="50" borderId="45" xfId="0" applyNumberFormat="1" applyFont="1" applyFill="1" applyBorder="1" applyAlignment="1">
      <alignment vertical="center"/>
    </xf>
    <xf numFmtId="4" fontId="159" fillId="2" borderId="119" xfId="0" applyNumberFormat="1" applyFont="1" applyFill="1" applyBorder="1" applyAlignment="1">
      <alignment vertical="center"/>
    </xf>
    <xf numFmtId="4" fontId="159" fillId="2" borderId="117" xfId="0" applyNumberFormat="1" applyFont="1" applyFill="1" applyBorder="1" applyAlignment="1">
      <alignment vertical="center"/>
    </xf>
    <xf numFmtId="4" fontId="161" fillId="50" borderId="121" xfId="0" applyNumberFormat="1" applyFont="1" applyFill="1" applyBorder="1" applyAlignment="1">
      <alignment vertical="center"/>
    </xf>
    <xf numFmtId="4" fontId="161" fillId="2" borderId="90" xfId="0" applyNumberFormat="1" applyFont="1" applyFill="1" applyBorder="1" applyAlignment="1">
      <alignment vertical="center"/>
    </xf>
    <xf numFmtId="4" fontId="161" fillId="2" borderId="91" xfId="0" applyNumberFormat="1" applyFont="1" applyFill="1" applyBorder="1" applyAlignment="1">
      <alignment vertical="center"/>
    </xf>
    <xf numFmtId="4" fontId="161" fillId="2" borderId="81" xfId="0" applyNumberFormat="1" applyFont="1" applyFill="1" applyBorder="1" applyAlignment="1">
      <alignment vertical="center"/>
    </xf>
    <xf numFmtId="4" fontId="158" fillId="2" borderId="4" xfId="0" applyNumberFormat="1" applyFont="1" applyFill="1" applyBorder="1" applyAlignment="1">
      <alignment vertical="center"/>
    </xf>
    <xf numFmtId="4" fontId="223" fillId="2" borderId="5" xfId="0" applyNumberFormat="1" applyFont="1" applyFill="1" applyBorder="1" applyAlignment="1">
      <alignment vertical="center"/>
    </xf>
    <xf numFmtId="4" fontId="158" fillId="50" borderId="5" xfId="0" applyNumberFormat="1" applyFont="1" applyFill="1" applyBorder="1" applyAlignment="1">
      <alignment vertical="center"/>
    </xf>
    <xf numFmtId="4" fontId="158" fillId="50" borderId="122" xfId="0" applyNumberFormat="1" applyFont="1" applyFill="1" applyBorder="1" applyAlignment="1">
      <alignment vertical="center"/>
    </xf>
    <xf numFmtId="4" fontId="161" fillId="50" borderId="62" xfId="0" applyNumberFormat="1" applyFont="1" applyFill="1" applyBorder="1" applyAlignment="1">
      <alignment vertical="center"/>
    </xf>
    <xf numFmtId="168" fontId="15" fillId="45" borderId="44" xfId="0" applyNumberFormat="1" applyFont="1" applyFill="1" applyBorder="1" applyAlignment="1">
      <alignment horizontal="center" vertical="center"/>
    </xf>
    <xf numFmtId="4" fontId="159" fillId="2" borderId="102" xfId="0" applyNumberFormat="1" applyFont="1" applyFill="1" applyBorder="1" applyAlignment="1">
      <alignment vertical="center"/>
    </xf>
    <xf numFmtId="4" fontId="158" fillId="50" borderId="22" xfId="0" applyNumberFormat="1" applyFont="1" applyFill="1" applyBorder="1" applyAlignment="1">
      <alignment vertical="center"/>
    </xf>
    <xf numFmtId="4" fontId="158" fillId="50" borderId="49" xfId="0" applyNumberFormat="1" applyFont="1" applyFill="1" applyBorder="1" applyAlignment="1">
      <alignment vertical="center"/>
    </xf>
    <xf numFmtId="4" fontId="26" fillId="2" borderId="0" xfId="8" applyNumberFormat="1" applyFont="1" applyFill="1" applyBorder="1" applyAlignment="1">
      <alignment horizontal="right" vertical="center" wrapText="1"/>
    </xf>
    <xf numFmtId="4" fontId="139" fillId="2" borderId="0" xfId="6" applyNumberFormat="1" applyFont="1" applyFill="1" applyBorder="1" applyAlignment="1">
      <alignment horizontal="right" vertical="center" wrapText="1"/>
    </xf>
    <xf numFmtId="0" fontId="24" fillId="0" borderId="1" xfId="6" applyFont="1" applyBorder="1" applyAlignment="1">
      <alignment horizontal="center" vertical="center" wrapText="1"/>
    </xf>
    <xf numFmtId="0" fontId="23" fillId="0" borderId="21" xfId="6" applyFont="1" applyBorder="1" applyAlignment="1">
      <alignment horizontal="center" vertical="center" wrapText="1"/>
    </xf>
    <xf numFmtId="168" fontId="26" fillId="0" borderId="1" xfId="6" applyNumberFormat="1" applyFont="1" applyBorder="1" applyAlignment="1">
      <alignment horizontal="right" wrapText="1"/>
    </xf>
    <xf numFmtId="168" fontId="26" fillId="0" borderId="2" xfId="6" applyNumberFormat="1" applyFont="1" applyBorder="1" applyAlignment="1">
      <alignment horizontal="right" wrapText="1"/>
    </xf>
    <xf numFmtId="168" fontId="139" fillId="0" borderId="3" xfId="6" applyNumberFormat="1" applyFont="1" applyBorder="1" applyAlignment="1">
      <alignment horizontal="center" vertical="center" wrapText="1"/>
    </xf>
    <xf numFmtId="0" fontId="23" fillId="0" borderId="11" xfId="6" applyFont="1" applyBorder="1" applyAlignment="1">
      <alignment vertical="center" wrapText="1"/>
    </xf>
    <xf numFmtId="0" fontId="23" fillId="0" borderId="102" xfId="6" applyFont="1" applyBorder="1" applyAlignment="1">
      <alignment horizontal="center" vertical="center" wrapText="1"/>
    </xf>
    <xf numFmtId="4" fontId="26" fillId="5" borderId="105" xfId="6" applyNumberFormat="1" applyFont="1" applyFill="1" applyBorder="1" applyAlignment="1">
      <alignment horizontal="right" vertical="center" wrapText="1"/>
    </xf>
    <xf numFmtId="4" fontId="26" fillId="5" borderId="104" xfId="6" applyNumberFormat="1" applyFont="1" applyFill="1" applyBorder="1" applyAlignment="1">
      <alignment horizontal="right" vertical="center" wrapText="1"/>
    </xf>
    <xf numFmtId="0" fontId="23" fillId="0" borderId="4" xfId="6" applyFont="1" applyBorder="1" applyAlignment="1">
      <alignment vertical="center" wrapText="1"/>
    </xf>
    <xf numFmtId="0" fontId="23" fillId="0" borderId="22" xfId="6" applyFont="1" applyBorder="1" applyAlignment="1">
      <alignment horizontal="center" vertical="center" wrapText="1"/>
    </xf>
    <xf numFmtId="0" fontId="24" fillId="0" borderId="0" xfId="6" applyFont="1" applyBorder="1" applyAlignment="1">
      <alignment vertical="center" wrapText="1"/>
    </xf>
    <xf numFmtId="4" fontId="26" fillId="0" borderId="0" xfId="6" applyNumberFormat="1" applyFont="1" applyAlignment="1">
      <alignment horizontal="center" wrapText="1"/>
    </xf>
    <xf numFmtId="164" fontId="137" fillId="48" borderId="11" xfId="9" applyNumberFormat="1" applyFont="1" applyFill="1" applyBorder="1" applyAlignment="1">
      <alignment horizontal="center" vertical="center" wrapText="1"/>
    </xf>
    <xf numFmtId="164" fontId="137" fillId="49" borderId="10" xfId="0" applyNumberFormat="1" applyFont="1" applyFill="1" applyBorder="1" applyAlignment="1">
      <alignment horizontal="center" vertical="center"/>
    </xf>
    <xf numFmtId="0" fontId="22" fillId="0" borderId="0" xfId="2386" applyFont="1"/>
    <xf numFmtId="0" fontId="22" fillId="0" borderId="10" xfId="2386" applyFont="1" applyBorder="1" applyAlignment="1">
      <alignment horizontal="center" vertical="center" wrapText="1"/>
    </xf>
    <xf numFmtId="0" fontId="22" fillId="0" borderId="0" xfId="2386" applyFont="1" applyAlignment="1">
      <alignment horizontal="center" vertical="center" wrapText="1"/>
    </xf>
    <xf numFmtId="0" fontId="22" fillId="2" borderId="10" xfId="2386" applyFont="1" applyFill="1" applyBorder="1"/>
    <xf numFmtId="43" fontId="22" fillId="2" borderId="10" xfId="8" applyFont="1" applyFill="1" applyBorder="1"/>
    <xf numFmtId="0" fontId="141" fillId="0" borderId="10" xfId="2386" applyFont="1" applyBorder="1" applyAlignment="1">
      <alignment horizontal="center" vertical="center"/>
    </xf>
    <xf numFmtId="43" fontId="141" fillId="0" borderId="10" xfId="8" applyFont="1" applyBorder="1" applyAlignment="1">
      <alignment horizontal="center" vertical="center"/>
    </xf>
    <xf numFmtId="0" fontId="18" fillId="0" borderId="0" xfId="2386"/>
    <xf numFmtId="43" fontId="22" fillId="0" borderId="0" xfId="2386" applyNumberFormat="1" applyFont="1"/>
    <xf numFmtId="164" fontId="217" fillId="49" borderId="10" xfId="0" applyNumberFormat="1" applyFont="1" applyFill="1" applyBorder="1" applyAlignment="1">
      <alignment horizontal="center" vertical="center"/>
    </xf>
    <xf numFmtId="168" fontId="22" fillId="48" borderId="11" xfId="1" applyNumberFormat="1" applyFont="1" applyFill="1" applyBorder="1" applyAlignment="1">
      <alignment horizontal="center" vertical="center"/>
    </xf>
    <xf numFmtId="172" fontId="16" fillId="8" borderId="125" xfId="16" applyNumberFormat="1" applyFont="1" applyFill="1" applyBorder="1" applyAlignment="1">
      <alignment horizontal="center" vertical="center"/>
    </xf>
    <xf numFmtId="172" fontId="16" fillId="8" borderId="126" xfId="16" applyNumberFormat="1" applyFont="1" applyFill="1" applyBorder="1" applyAlignment="1">
      <alignment horizontal="center" vertical="center"/>
    </xf>
    <xf numFmtId="172" fontId="16" fillId="8" borderId="127" xfId="16" applyNumberFormat="1" applyFont="1" applyFill="1" applyBorder="1" applyAlignment="1">
      <alignment horizontal="center" vertical="center"/>
    </xf>
    <xf numFmtId="2" fontId="16" fillId="0" borderId="125" xfId="9" applyNumberFormat="1" applyFont="1" applyFill="1" applyBorder="1" applyAlignment="1">
      <alignment horizontal="center" vertical="center" wrapText="1"/>
    </xf>
    <xf numFmtId="2" fontId="16" fillId="0" borderId="126" xfId="9" applyNumberFormat="1" applyFont="1" applyFill="1" applyBorder="1" applyAlignment="1">
      <alignment horizontal="center" vertical="center" wrapText="1"/>
    </xf>
    <xf numFmtId="2" fontId="16" fillId="0" borderId="127" xfId="9" applyNumberFormat="1" applyFont="1" applyFill="1" applyBorder="1" applyAlignment="1">
      <alignment horizontal="center" vertical="center" wrapText="1"/>
    </xf>
    <xf numFmtId="0" fontId="17" fillId="0" borderId="125" xfId="0" applyFont="1" applyBorder="1" applyAlignment="1">
      <alignment horizontal="center" vertical="center"/>
    </xf>
    <xf numFmtId="0" fontId="17" fillId="0" borderId="126" xfId="0" applyFont="1" applyBorder="1" applyAlignment="1">
      <alignment horizontal="center" vertical="center"/>
    </xf>
    <xf numFmtId="0" fontId="17" fillId="0" borderId="127" xfId="0" applyFont="1" applyBorder="1" applyAlignment="1">
      <alignment horizontal="center" vertical="center"/>
    </xf>
    <xf numFmtId="0" fontId="16" fillId="48" borderId="128" xfId="9" applyFont="1" applyFill="1" applyBorder="1" applyAlignment="1">
      <alignment horizontal="center" vertical="center" wrapText="1"/>
    </xf>
    <xf numFmtId="172" fontId="16" fillId="8" borderId="129" xfId="16" applyNumberFormat="1" applyFont="1" applyFill="1" applyBorder="1" applyAlignment="1">
      <alignment horizontal="center" vertical="center"/>
    </xf>
    <xf numFmtId="172" fontId="16" fillId="8" borderId="130" xfId="16" applyNumberFormat="1" applyFont="1" applyFill="1" applyBorder="1" applyAlignment="1">
      <alignment horizontal="center" vertical="center"/>
    </xf>
    <xf numFmtId="172" fontId="16" fillId="8" borderId="131" xfId="16" applyNumberFormat="1" applyFont="1" applyFill="1" applyBorder="1" applyAlignment="1">
      <alignment horizontal="center" vertical="center"/>
    </xf>
    <xf numFmtId="172" fontId="16" fillId="8" borderId="132" xfId="16" applyNumberFormat="1" applyFont="1" applyFill="1" applyBorder="1" applyAlignment="1">
      <alignment horizontal="center" vertical="center"/>
    </xf>
    <xf numFmtId="164" fontId="32" fillId="49" borderId="125" xfId="0" applyNumberFormat="1" applyFont="1" applyFill="1" applyBorder="1" applyAlignment="1">
      <alignment horizontal="center" vertical="center"/>
    </xf>
    <xf numFmtId="164" fontId="32" fillId="49" borderId="126" xfId="0" applyNumberFormat="1" applyFont="1" applyFill="1" applyBorder="1" applyAlignment="1">
      <alignment horizontal="center" vertical="center"/>
    </xf>
    <xf numFmtId="164" fontId="16" fillId="48" borderId="128" xfId="9" applyNumberFormat="1" applyFont="1" applyFill="1" applyBorder="1" applyAlignment="1">
      <alignment horizontal="center" vertical="center" wrapText="1"/>
    </xf>
    <xf numFmtId="164" fontId="32" fillId="49" borderId="129" xfId="0" applyNumberFormat="1" applyFont="1" applyFill="1" applyBorder="1" applyAlignment="1">
      <alignment horizontal="center" vertical="center"/>
    </xf>
    <xf numFmtId="164" fontId="32" fillId="49" borderId="130" xfId="0" applyNumberFormat="1" applyFont="1" applyFill="1" applyBorder="1" applyAlignment="1">
      <alignment horizontal="center" vertical="center"/>
    </xf>
    <xf numFmtId="164" fontId="32" fillId="49" borderId="133" xfId="0" applyNumberFormat="1" applyFont="1" applyFill="1" applyBorder="1" applyAlignment="1">
      <alignment horizontal="center" vertical="center"/>
    </xf>
    <xf numFmtId="164" fontId="32" fillId="2" borderId="125" xfId="0" applyNumberFormat="1" applyFont="1" applyFill="1" applyBorder="1" applyAlignment="1">
      <alignment horizontal="center" vertical="center"/>
    </xf>
    <xf numFmtId="164" fontId="32" fillId="2" borderId="126" xfId="0" applyNumberFormat="1" applyFont="1" applyFill="1" applyBorder="1" applyAlignment="1">
      <alignment horizontal="center" vertical="center"/>
    </xf>
    <xf numFmtId="2" fontId="30" fillId="49" borderId="125" xfId="0" applyNumberFormat="1" applyFont="1" applyFill="1" applyBorder="1" applyAlignment="1">
      <alignment horizontal="center" vertical="center"/>
    </xf>
    <xf numFmtId="2" fontId="30" fillId="49" borderId="126" xfId="0" applyNumberFormat="1" applyFont="1" applyFill="1" applyBorder="1" applyAlignment="1">
      <alignment horizontal="center" vertical="center"/>
    </xf>
    <xf numFmtId="164" fontId="30" fillId="49" borderId="125" xfId="0" applyNumberFormat="1" applyFont="1" applyFill="1" applyBorder="1" applyAlignment="1">
      <alignment horizontal="center" vertical="center"/>
    </xf>
    <xf numFmtId="164" fontId="30" fillId="49" borderId="126" xfId="0" applyNumberFormat="1" applyFont="1" applyFill="1" applyBorder="1" applyAlignment="1">
      <alignment horizontal="center" vertical="center"/>
    </xf>
    <xf numFmtId="164" fontId="149" fillId="0" borderId="125" xfId="0" applyNumberFormat="1" applyFont="1" applyFill="1" applyBorder="1" applyAlignment="1">
      <alignment horizontal="center" vertical="center"/>
    </xf>
    <xf numFmtId="164" fontId="149" fillId="0" borderId="126" xfId="0" applyNumberFormat="1" applyFont="1" applyFill="1" applyBorder="1" applyAlignment="1">
      <alignment horizontal="center" vertical="center"/>
    </xf>
    <xf numFmtId="164" fontId="150" fillId="49" borderId="125" xfId="0" applyNumberFormat="1" applyFont="1" applyFill="1" applyBorder="1" applyAlignment="1">
      <alignment horizontal="center" vertical="center"/>
    </xf>
    <xf numFmtId="164" fontId="150" fillId="49" borderId="126" xfId="0" applyNumberFormat="1" applyFont="1" applyFill="1" applyBorder="1" applyAlignment="1">
      <alignment horizontal="center" vertical="center"/>
    </xf>
    <xf numFmtId="164" fontId="32" fillId="0" borderId="125" xfId="0" applyNumberFormat="1" applyFont="1" applyFill="1" applyBorder="1" applyAlignment="1">
      <alignment horizontal="center" vertical="center"/>
    </xf>
    <xf numFmtId="164" fontId="32" fillId="0" borderId="126" xfId="0" applyNumberFormat="1" applyFont="1" applyFill="1" applyBorder="1" applyAlignment="1">
      <alignment horizontal="center" vertical="center"/>
    </xf>
    <xf numFmtId="164" fontId="32" fillId="0" borderId="133" xfId="0" applyNumberFormat="1" applyFont="1" applyFill="1" applyBorder="1" applyAlignment="1">
      <alignment horizontal="center" vertical="center"/>
    </xf>
    <xf numFmtId="164" fontId="17" fillId="49" borderId="125" xfId="0" applyNumberFormat="1" applyFont="1" applyFill="1" applyBorder="1" applyAlignment="1">
      <alignment horizontal="center" vertical="center"/>
    </xf>
    <xf numFmtId="164" fontId="17" fillId="49" borderId="126" xfId="0" applyNumberFormat="1" applyFont="1" applyFill="1" applyBorder="1" applyAlignment="1">
      <alignment horizontal="center" vertical="center"/>
    </xf>
    <xf numFmtId="164" fontId="146" fillId="49" borderId="125" xfId="0" applyNumberFormat="1" applyFont="1" applyFill="1" applyBorder="1" applyAlignment="1">
      <alignment horizontal="center" vertical="center"/>
    </xf>
    <xf numFmtId="164" fontId="147" fillId="49" borderId="125" xfId="0" applyNumberFormat="1" applyFont="1" applyFill="1" applyBorder="1" applyAlignment="1">
      <alignment horizontal="center" vertical="center"/>
    </xf>
    <xf numFmtId="164" fontId="16" fillId="0" borderId="125" xfId="3" applyNumberFormat="1" applyFont="1" applyFill="1" applyBorder="1" applyAlignment="1">
      <alignment horizontal="center" vertical="center" wrapText="1"/>
    </xf>
    <xf numFmtId="164" fontId="16" fillId="0" borderId="126" xfId="3" applyNumberFormat="1" applyFont="1" applyFill="1" applyBorder="1" applyAlignment="1">
      <alignment horizontal="center" vertical="center" wrapText="1"/>
    </xf>
    <xf numFmtId="164" fontId="16" fillId="48" borderId="128" xfId="3" applyNumberFormat="1" applyFont="1" applyFill="1" applyBorder="1" applyAlignment="1">
      <alignment horizontal="center" vertical="center" wrapText="1"/>
    </xf>
    <xf numFmtId="164" fontId="16" fillId="0" borderId="129" xfId="3" applyNumberFormat="1" applyFont="1" applyFill="1" applyBorder="1" applyAlignment="1">
      <alignment horizontal="center" vertical="center" wrapText="1"/>
    </xf>
    <xf numFmtId="164" fontId="16" fillId="0" borderId="130" xfId="3" applyNumberFormat="1" applyFont="1" applyFill="1" applyBorder="1" applyAlignment="1">
      <alignment horizontal="center" vertical="center" wrapText="1"/>
    </xf>
    <xf numFmtId="164" fontId="16" fillId="0" borderId="133" xfId="3" applyNumberFormat="1" applyFont="1" applyFill="1" applyBorder="1" applyAlignment="1">
      <alignment horizontal="center" vertical="center" wrapText="1"/>
    </xf>
    <xf numFmtId="164" fontId="30" fillId="0" borderId="125" xfId="0" applyNumberFormat="1" applyFont="1" applyFill="1" applyBorder="1" applyAlignment="1">
      <alignment horizontal="center" vertical="center"/>
    </xf>
    <xf numFmtId="164" fontId="30" fillId="0" borderId="126" xfId="0" applyNumberFormat="1" applyFont="1" applyFill="1" applyBorder="1" applyAlignment="1">
      <alignment horizontal="center" vertical="center"/>
    </xf>
    <xf numFmtId="164" fontId="17" fillId="0" borderId="125" xfId="0" applyNumberFormat="1" applyFont="1" applyFill="1" applyBorder="1" applyAlignment="1">
      <alignment vertical="center"/>
    </xf>
    <xf numFmtId="164" fontId="17" fillId="0" borderId="126" xfId="0" applyNumberFormat="1" applyFont="1" applyFill="1" applyBorder="1" applyAlignment="1">
      <alignment vertical="center"/>
    </xf>
    <xf numFmtId="164" fontId="30" fillId="0" borderId="125" xfId="0" applyNumberFormat="1" applyFont="1" applyFill="1" applyBorder="1" applyAlignment="1">
      <alignment vertical="center"/>
    </xf>
    <xf numFmtId="164" fontId="30" fillId="0" borderId="126" xfId="0" applyNumberFormat="1" applyFont="1" applyFill="1" applyBorder="1" applyAlignment="1">
      <alignment vertical="center"/>
    </xf>
    <xf numFmtId="10" fontId="22" fillId="0" borderId="125" xfId="1" applyNumberFormat="1" applyFont="1" applyFill="1" applyBorder="1" applyAlignment="1">
      <alignment horizontal="center" vertical="center"/>
    </xf>
    <xf numFmtId="10" fontId="22" fillId="0" borderId="126" xfId="1" applyNumberFormat="1" applyFont="1" applyFill="1" applyBorder="1" applyAlignment="1">
      <alignment horizontal="center" vertical="center"/>
    </xf>
    <xf numFmtId="205" fontId="19" fillId="2" borderId="125" xfId="2" applyNumberFormat="1" applyFont="1" applyFill="1" applyBorder="1" applyAlignment="1" applyProtection="1">
      <alignment vertical="center" wrapText="1"/>
      <protection locked="0"/>
    </xf>
    <xf numFmtId="205" fontId="19" fillId="2" borderId="126" xfId="2" applyNumberFormat="1" applyFont="1" applyFill="1" applyBorder="1" applyAlignment="1" applyProtection="1">
      <alignment vertical="center" wrapText="1"/>
      <protection locked="0"/>
    </xf>
    <xf numFmtId="4" fontId="30" fillId="0" borderId="125" xfId="0" applyNumberFormat="1" applyFont="1" applyFill="1" applyBorder="1" applyAlignment="1">
      <alignment vertical="center"/>
    </xf>
    <xf numFmtId="4" fontId="30" fillId="0" borderId="126" xfId="0" applyNumberFormat="1" applyFont="1" applyFill="1" applyBorder="1" applyAlignment="1">
      <alignment vertical="center"/>
    </xf>
    <xf numFmtId="4" fontId="17" fillId="0" borderId="125" xfId="0" applyNumberFormat="1" applyFont="1" applyFill="1" applyBorder="1" applyAlignment="1">
      <alignment vertical="center"/>
    </xf>
    <xf numFmtId="4" fontId="17" fillId="0" borderId="126" xfId="0" applyNumberFormat="1" applyFont="1" applyFill="1" applyBorder="1" applyAlignment="1">
      <alignment vertical="center"/>
    </xf>
    <xf numFmtId="4" fontId="30" fillId="51" borderId="126" xfId="0" applyNumberFormat="1" applyFont="1" applyFill="1" applyBorder="1" applyAlignment="1">
      <alignment vertical="center"/>
    </xf>
    <xf numFmtId="4" fontId="159" fillId="49" borderId="125" xfId="0" applyNumberFormat="1" applyFont="1" applyFill="1" applyBorder="1" applyAlignment="1">
      <alignment vertical="center"/>
    </xf>
    <xf numFmtId="4" fontId="159" fillId="0" borderId="126" xfId="0" applyNumberFormat="1" applyFont="1" applyFill="1" applyBorder="1" applyAlignment="1">
      <alignment vertical="center"/>
    </xf>
    <xf numFmtId="0" fontId="158" fillId="51" borderId="22" xfId="0" applyNumberFormat="1" applyFont="1" applyFill="1" applyBorder="1" applyAlignment="1">
      <alignment vertical="center"/>
    </xf>
    <xf numFmtId="4" fontId="158" fillId="51" borderId="22" xfId="0" applyNumberFormat="1" applyFont="1" applyFill="1" applyBorder="1" applyAlignment="1">
      <alignment vertical="center"/>
    </xf>
    <xf numFmtId="4" fontId="158" fillId="51" borderId="49" xfId="0" applyNumberFormat="1" applyFont="1" applyFill="1" applyBorder="1" applyAlignment="1">
      <alignment vertical="center"/>
    </xf>
    <xf numFmtId="164" fontId="218" fillId="49" borderId="10" xfId="0" applyNumberFormat="1" applyFont="1" applyFill="1" applyBorder="1" applyAlignment="1">
      <alignment horizontal="center" vertical="center"/>
    </xf>
    <xf numFmtId="164" fontId="16" fillId="49" borderId="10" xfId="0" applyNumberFormat="1" applyFont="1" applyFill="1" applyBorder="1" applyAlignment="1">
      <alignment horizontal="center" vertical="center"/>
    </xf>
    <xf numFmtId="164" fontId="16" fillId="49" borderId="102" xfId="0" applyNumberFormat="1" applyFont="1" applyFill="1" applyBorder="1" applyAlignment="1">
      <alignment horizontal="center" vertical="center"/>
    </xf>
    <xf numFmtId="164" fontId="16" fillId="49" borderId="51" xfId="0" applyNumberFormat="1" applyFont="1" applyFill="1" applyBorder="1" applyAlignment="1">
      <alignment horizontal="center" vertical="center"/>
    </xf>
    <xf numFmtId="164" fontId="16" fillId="2" borderId="10" xfId="0" applyNumberFormat="1" applyFont="1" applyFill="1" applyBorder="1" applyAlignment="1">
      <alignment horizontal="center" vertical="center"/>
    </xf>
    <xf numFmtId="164" fontId="16" fillId="2" borderId="102" xfId="0" applyNumberFormat="1" applyFont="1" applyFill="1" applyBorder="1" applyAlignment="1">
      <alignment horizontal="center" vertical="center"/>
    </xf>
    <xf numFmtId="164" fontId="16" fillId="2" borderId="51" xfId="0" applyNumberFormat="1" applyFont="1" applyFill="1" applyBorder="1" applyAlignment="1">
      <alignment horizontal="center" vertical="center"/>
    </xf>
    <xf numFmtId="164" fontId="16" fillId="49" borderId="125" xfId="0" applyNumberFormat="1" applyFont="1" applyFill="1" applyBorder="1" applyAlignment="1">
      <alignment horizontal="center" vertical="center"/>
    </xf>
    <xf numFmtId="164" fontId="16" fillId="49" borderId="126" xfId="0" applyNumberFormat="1" applyFont="1" applyFill="1" applyBorder="1" applyAlignment="1">
      <alignment horizontal="center" vertical="center"/>
    </xf>
    <xf numFmtId="164" fontId="16" fillId="49" borderId="13" xfId="0" applyNumberFormat="1" applyFont="1" applyFill="1" applyBorder="1" applyAlignment="1">
      <alignment horizontal="center" vertical="center"/>
    </xf>
    <xf numFmtId="0" fontId="259" fillId="97" borderId="13" xfId="0" applyFont="1" applyFill="1" applyBorder="1" applyAlignment="1">
      <alignment horizontal="center" vertical="center" wrapText="1"/>
    </xf>
    <xf numFmtId="0" fontId="262" fillId="0" borderId="11" xfId="0" applyFont="1" applyFill="1" applyBorder="1" applyAlignment="1">
      <alignment horizontal="center" vertical="center" wrapText="1"/>
    </xf>
    <xf numFmtId="0" fontId="260" fillId="0" borderId="10" xfId="0" applyFont="1" applyFill="1" applyBorder="1" applyAlignment="1">
      <alignment horizontal="center" vertical="center" wrapText="1"/>
    </xf>
    <xf numFmtId="0" fontId="265" fillId="0" borderId="2" xfId="0" applyFont="1" applyFill="1" applyBorder="1" applyAlignment="1">
      <alignment vertical="center" wrapText="1"/>
    </xf>
    <xf numFmtId="4" fontId="266" fillId="97" borderId="21" xfId="0" applyNumberFormat="1" applyFont="1" applyFill="1" applyBorder="1" applyAlignment="1">
      <alignment horizontal="right" vertical="center" wrapText="1"/>
    </xf>
    <xf numFmtId="4" fontId="267" fillId="0" borderId="1" xfId="0" applyNumberFormat="1" applyFont="1" applyFill="1" applyBorder="1" applyAlignment="1">
      <alignment horizontal="right" vertical="center" wrapText="1"/>
    </xf>
    <xf numFmtId="4" fontId="267" fillId="98" borderId="2" xfId="0" applyNumberFormat="1" applyFont="1" applyFill="1" applyBorder="1" applyAlignment="1">
      <alignment horizontal="right" vertical="center" wrapText="1"/>
    </xf>
    <xf numFmtId="4" fontId="268" fillId="99" borderId="2" xfId="0" applyNumberFormat="1" applyFont="1" applyFill="1" applyBorder="1" applyAlignment="1">
      <alignment horizontal="right" vertical="center" wrapText="1"/>
    </xf>
    <xf numFmtId="0" fontId="265" fillId="0" borderId="10" xfId="0" applyFont="1" applyFill="1" applyBorder="1" applyAlignment="1">
      <alignment vertical="center" wrapText="1"/>
    </xf>
    <xf numFmtId="4" fontId="266" fillId="97" borderId="13" xfId="0" applyNumberFormat="1" applyFont="1" applyFill="1" applyBorder="1" applyAlignment="1">
      <alignment horizontal="right" vertical="center" wrapText="1"/>
    </xf>
    <xf numFmtId="4" fontId="266" fillId="0" borderId="11" xfId="0" applyNumberFormat="1" applyFont="1" applyFill="1" applyBorder="1" applyAlignment="1">
      <alignment horizontal="right" vertical="center" wrapText="1"/>
    </xf>
    <xf numFmtId="4" fontId="266" fillId="99" borderId="10" xfId="0" applyNumberFormat="1" applyFont="1" applyFill="1" applyBorder="1" applyAlignment="1">
      <alignment horizontal="right" vertical="center" wrapText="1"/>
    </xf>
    <xf numFmtId="4" fontId="270" fillId="100" borderId="10" xfId="0" applyNumberFormat="1" applyFont="1" applyFill="1" applyBorder="1" applyAlignment="1">
      <alignment horizontal="right" vertical="center" wrapText="1"/>
    </xf>
    <xf numFmtId="4" fontId="266" fillId="101" borderId="13" xfId="0" applyNumberFormat="1" applyFont="1" applyFill="1" applyBorder="1" applyAlignment="1">
      <alignment horizontal="right" vertical="center" wrapText="1"/>
    </xf>
    <xf numFmtId="4" fontId="270" fillId="99" borderId="10" xfId="0" applyNumberFormat="1" applyFont="1" applyFill="1" applyBorder="1" applyAlignment="1">
      <alignment horizontal="right" vertical="center" wrapText="1"/>
    </xf>
    <xf numFmtId="0" fontId="271" fillId="0" borderId="10" xfId="0" applyFont="1" applyFill="1" applyBorder="1" applyAlignment="1">
      <alignment vertical="center" wrapText="1"/>
    </xf>
    <xf numFmtId="4" fontId="272" fillId="97" borderId="13" xfId="0" applyNumberFormat="1" applyFont="1" applyFill="1" applyBorder="1" applyAlignment="1">
      <alignment horizontal="right" vertical="center" wrapText="1"/>
    </xf>
    <xf numFmtId="4" fontId="272" fillId="0" borderId="11" xfId="0" applyNumberFormat="1" applyFont="1" applyFill="1" applyBorder="1" applyAlignment="1">
      <alignment horizontal="right" vertical="center" wrapText="1"/>
    </xf>
    <xf numFmtId="4" fontId="272" fillId="99" borderId="10" xfId="0" applyNumberFormat="1" applyFont="1" applyFill="1" applyBorder="1" applyAlignment="1">
      <alignment horizontal="right" vertical="center" wrapText="1"/>
    </xf>
    <xf numFmtId="0" fontId="265" fillId="0" borderId="5" xfId="0" applyFont="1" applyFill="1" applyBorder="1" applyAlignment="1">
      <alignment vertical="center" wrapText="1"/>
    </xf>
    <xf numFmtId="4" fontId="266" fillId="97" borderId="22" xfId="0" applyNumberFormat="1" applyFont="1" applyFill="1" applyBorder="1" applyAlignment="1">
      <alignment horizontal="right" vertical="center" wrapText="1"/>
    </xf>
    <xf numFmtId="4" fontId="266" fillId="0" borderId="4" xfId="0" applyNumberFormat="1" applyFont="1" applyFill="1" applyBorder="1" applyAlignment="1">
      <alignment horizontal="right" vertical="center" wrapText="1"/>
    </xf>
    <xf numFmtId="4" fontId="266" fillId="99" borderId="5" xfId="0" applyNumberFormat="1" applyFont="1" applyFill="1" applyBorder="1" applyAlignment="1">
      <alignment horizontal="right" vertical="center" wrapText="1"/>
    </xf>
    <xf numFmtId="166" fontId="267" fillId="98" borderId="2" xfId="0" applyNumberFormat="1" applyFont="1" applyFill="1" applyBorder="1" applyAlignment="1">
      <alignment horizontal="right" vertical="center" wrapText="1"/>
    </xf>
    <xf numFmtId="4" fontId="268" fillId="6" borderId="2" xfId="0" applyNumberFormat="1" applyFont="1" applyFill="1" applyBorder="1" applyAlignment="1">
      <alignment horizontal="right" vertical="center" wrapText="1"/>
    </xf>
    <xf numFmtId="4" fontId="266" fillId="0" borderId="10" xfId="0" applyNumberFormat="1" applyFont="1" applyFill="1" applyBorder="1" applyAlignment="1">
      <alignment horizontal="right" vertical="center" wrapText="1"/>
    </xf>
    <xf numFmtId="4" fontId="270" fillId="98" borderId="10" xfId="0" applyNumberFormat="1" applyFont="1" applyFill="1" applyBorder="1" applyAlignment="1">
      <alignment horizontal="right" vertical="center" wrapText="1"/>
    </xf>
    <xf numFmtId="4" fontId="272" fillId="0" borderId="10" xfId="0" applyNumberFormat="1" applyFont="1" applyFill="1" applyBorder="1" applyAlignment="1">
      <alignment horizontal="right" vertical="center" wrapText="1"/>
    </xf>
    <xf numFmtId="4" fontId="272" fillId="6" borderId="10" xfId="0" applyNumberFormat="1" applyFont="1" applyFill="1" applyBorder="1" applyAlignment="1">
      <alignment horizontal="right" vertical="center" wrapText="1"/>
    </xf>
    <xf numFmtId="4" fontId="274" fillId="0" borderId="11" xfId="0" applyNumberFormat="1" applyFont="1" applyFill="1" applyBorder="1" applyAlignment="1">
      <alignment horizontal="right" vertical="center" wrapText="1"/>
    </xf>
    <xf numFmtId="4" fontId="275" fillId="6" borderId="10" xfId="0" applyNumberFormat="1" applyFont="1" applyFill="1" applyBorder="1" applyAlignment="1">
      <alignment horizontal="right" vertical="center" wrapText="1"/>
    </xf>
    <xf numFmtId="4" fontId="276" fillId="0" borderId="4" xfId="0" applyNumberFormat="1" applyFont="1" applyFill="1" applyBorder="1" applyAlignment="1">
      <alignment horizontal="right" vertical="center" wrapText="1"/>
    </xf>
    <xf numFmtId="4" fontId="266" fillId="0" borderId="5" xfId="0" applyNumberFormat="1" applyFont="1" applyFill="1" applyBorder="1" applyAlignment="1">
      <alignment horizontal="right" vertical="center" wrapText="1"/>
    </xf>
    <xf numFmtId="4" fontId="277" fillId="6" borderId="5" xfId="0" applyNumberFormat="1" applyFont="1" applyFill="1" applyBorder="1" applyAlignment="1">
      <alignment horizontal="right" vertical="center" wrapText="1"/>
    </xf>
    <xf numFmtId="10" fontId="30" fillId="0" borderId="0" xfId="1" applyNumberFormat="1" applyFont="1" applyAlignment="1">
      <alignment horizontal="center" vertical="center"/>
    </xf>
    <xf numFmtId="164" fontId="258" fillId="45" borderId="16" xfId="0" applyNumberFormat="1" applyFont="1" applyFill="1" applyBorder="1" applyAlignment="1">
      <alignment horizontal="center" vertical="center"/>
    </xf>
    <xf numFmtId="4" fontId="279" fillId="98" borderId="11" xfId="0" applyNumberFormat="1" applyFont="1" applyFill="1" applyBorder="1" applyAlignment="1">
      <alignment horizontal="right" vertical="center" wrapText="1"/>
    </xf>
    <xf numFmtId="4" fontId="162" fillId="2" borderId="0" xfId="0" applyNumberFormat="1" applyFont="1" applyFill="1" applyAlignment="1">
      <alignment horizontal="center" vertical="center"/>
    </xf>
    <xf numFmtId="4" fontId="21" fillId="0" borderId="132" xfId="17" applyNumberFormat="1" applyFont="1" applyFill="1" applyBorder="1" applyAlignment="1">
      <alignment horizontal="center" vertical="center"/>
    </xf>
    <xf numFmtId="4" fontId="280" fillId="98" borderId="11" xfId="0" applyNumberFormat="1" applyFont="1" applyFill="1" applyBorder="1" applyAlignment="1">
      <alignment horizontal="right" vertical="center" wrapText="1"/>
    </xf>
    <xf numFmtId="0" fontId="281" fillId="0" borderId="0" xfId="0" applyFont="1" applyFill="1"/>
    <xf numFmtId="0" fontId="282" fillId="45" borderId="15" xfId="17" applyFont="1" applyFill="1" applyBorder="1" applyAlignment="1">
      <alignment horizontal="center" vertical="center" wrapText="1"/>
    </xf>
    <xf numFmtId="0" fontId="282" fillId="45" borderId="17" xfId="17" applyFont="1" applyFill="1" applyBorder="1" applyAlignment="1">
      <alignment horizontal="center" vertical="center"/>
    </xf>
    <xf numFmtId="4" fontId="283" fillId="45" borderId="15" xfId="17" applyNumberFormat="1" applyFont="1" applyFill="1" applyBorder="1" applyAlignment="1">
      <alignment horizontal="center" vertical="center"/>
    </xf>
    <xf numFmtId="4" fontId="283" fillId="45" borderId="16" xfId="17" applyNumberFormat="1" applyFont="1" applyFill="1" applyBorder="1" applyAlignment="1">
      <alignment horizontal="center" vertical="center"/>
    </xf>
    <xf numFmtId="4" fontId="282" fillId="45" borderId="17" xfId="17" applyNumberFormat="1" applyFont="1" applyFill="1" applyBorder="1" applyAlignment="1">
      <alignment horizontal="center" vertical="center"/>
    </xf>
    <xf numFmtId="166" fontId="284" fillId="6" borderId="44" xfId="5" applyNumberFormat="1" applyFont="1" applyFill="1" applyBorder="1" applyAlignment="1">
      <alignment horizontal="center" vertical="center"/>
    </xf>
    <xf numFmtId="4" fontId="283" fillId="45" borderId="62" xfId="17" applyNumberFormat="1" applyFont="1" applyFill="1" applyBorder="1" applyAlignment="1">
      <alignment horizontal="center" vertical="center"/>
    </xf>
    <xf numFmtId="166" fontId="284" fillId="6" borderId="86" xfId="5" applyNumberFormat="1" applyFont="1" applyFill="1" applyBorder="1" applyAlignment="1">
      <alignment horizontal="center" vertical="center"/>
    </xf>
    <xf numFmtId="0" fontId="281" fillId="0" borderId="0" xfId="0" applyFont="1"/>
    <xf numFmtId="0" fontId="285" fillId="0" borderId="66" xfId="0" applyFont="1" applyBorder="1" applyAlignment="1">
      <alignment horizontal="center" vertical="center" wrapText="1"/>
    </xf>
    <xf numFmtId="0" fontId="285" fillId="0" borderId="122" xfId="0" applyFont="1" applyBorder="1" applyAlignment="1">
      <alignment horizontal="center" vertical="center" wrapText="1"/>
    </xf>
    <xf numFmtId="0" fontId="286" fillId="0" borderId="81" xfId="0" applyFont="1" applyBorder="1" applyAlignment="1">
      <alignment horizontal="center" vertical="center" wrapText="1"/>
    </xf>
    <xf numFmtId="0" fontId="27" fillId="0" borderId="122" xfId="0" applyFont="1" applyBorder="1" applyAlignment="1">
      <alignment vertical="center" wrapText="1"/>
    </xf>
    <xf numFmtId="0" fontId="27" fillId="0" borderId="122" xfId="0" applyFont="1" applyBorder="1" applyAlignment="1">
      <alignment horizontal="center" vertical="center" wrapText="1"/>
    </xf>
    <xf numFmtId="0" fontId="286" fillId="0" borderId="122" xfId="0" applyFont="1" applyBorder="1" applyAlignment="1">
      <alignment vertical="center" wrapText="1"/>
    </xf>
    <xf numFmtId="0" fontId="285" fillId="0" borderId="64" xfId="0" applyFont="1" applyBorder="1" applyAlignment="1">
      <alignment horizontal="center" vertical="center" wrapText="1"/>
    </xf>
    <xf numFmtId="164" fontId="17" fillId="48" borderId="8" xfId="9" applyNumberFormat="1" applyFont="1" applyFill="1" applyBorder="1" applyAlignment="1">
      <alignment horizontal="center" vertical="center" wrapText="1"/>
    </xf>
    <xf numFmtId="260" fontId="141" fillId="2" borderId="46" xfId="6" applyNumberFormat="1" applyFont="1" applyFill="1" applyBorder="1" applyAlignment="1">
      <alignment horizontal="center" vertical="center" wrapText="1"/>
    </xf>
    <xf numFmtId="4" fontId="21" fillId="0" borderId="130" xfId="17" applyNumberFormat="1" applyFont="1" applyFill="1" applyBorder="1" applyAlignment="1">
      <alignment horizontal="center" vertical="center"/>
    </xf>
    <xf numFmtId="166" fontId="136" fillId="6" borderId="132" xfId="5" applyNumberFormat="1" applyFont="1" applyFill="1" applyBorder="1" applyAlignment="1">
      <alignment horizontal="center" vertical="center"/>
    </xf>
    <xf numFmtId="4" fontId="21" fillId="45" borderId="91" xfId="17" applyNumberFormat="1" applyFont="1" applyFill="1" applyBorder="1" applyAlignment="1">
      <alignment horizontal="center" vertical="center"/>
    </xf>
    <xf numFmtId="166" fontId="136" fillId="6" borderId="134" xfId="5" applyNumberFormat="1" applyFont="1" applyFill="1" applyBorder="1" applyAlignment="1">
      <alignment horizontal="center" vertical="center"/>
    </xf>
    <xf numFmtId="4" fontId="283" fillId="45" borderId="90" xfId="17" applyNumberFormat="1" applyFont="1" applyFill="1" applyBorder="1" applyAlignment="1">
      <alignment horizontal="center" vertical="center"/>
    </xf>
    <xf numFmtId="2" fontId="26" fillId="0" borderId="0" xfId="6" applyNumberFormat="1" applyFont="1" applyAlignment="1">
      <alignment horizontal="center" wrapText="1"/>
    </xf>
    <xf numFmtId="0" fontId="147" fillId="0" borderId="0" xfId="3688" applyFont="1" applyAlignment="1">
      <alignment horizontal="center" vertical="center"/>
    </xf>
    <xf numFmtId="0" fontId="147" fillId="0" borderId="0" xfId="3688" applyFont="1" applyAlignment="1">
      <alignment vertical="center"/>
    </xf>
    <xf numFmtId="0" fontId="24" fillId="0" borderId="0" xfId="3688" applyFont="1" applyAlignment="1">
      <alignment vertical="center"/>
    </xf>
    <xf numFmtId="0" fontId="24" fillId="2" borderId="7" xfId="3688" applyFont="1" applyFill="1" applyBorder="1" applyAlignment="1">
      <alignment horizontal="center" vertical="center" wrapText="1"/>
    </xf>
    <xf numFmtId="0" fontId="24" fillId="0" borderId="125" xfId="3688" applyFont="1" applyBorder="1" applyAlignment="1">
      <alignment horizontal="center" vertical="center" wrapText="1"/>
    </xf>
    <xf numFmtId="0" fontId="288" fillId="0" borderId="125" xfId="3688" applyFont="1" applyBorder="1" applyAlignment="1">
      <alignment horizontal="center" vertical="center"/>
    </xf>
    <xf numFmtId="0" fontId="288" fillId="2" borderId="125" xfId="3688" applyFont="1" applyFill="1" applyBorder="1" applyAlignment="1">
      <alignment horizontal="center" vertical="center" wrapText="1"/>
    </xf>
    <xf numFmtId="0" fontId="288" fillId="2" borderId="125" xfId="3688" applyFont="1" applyFill="1" applyBorder="1" applyAlignment="1">
      <alignment horizontal="center" vertical="center"/>
    </xf>
    <xf numFmtId="0" fontId="288" fillId="0" borderId="125" xfId="3688" applyFont="1" applyBorder="1" applyAlignment="1">
      <alignment horizontal="center" vertical="center" wrapText="1"/>
    </xf>
    <xf numFmtId="0" fontId="288" fillId="0" borderId="0" xfId="3688" applyFont="1" applyAlignment="1">
      <alignment horizontal="center" vertical="center"/>
    </xf>
    <xf numFmtId="0" fontId="147" fillId="0" borderId="125" xfId="3688" applyNumberFormat="1" applyFont="1" applyBorder="1" applyAlignment="1">
      <alignment horizontal="center" vertical="center"/>
    </xf>
    <xf numFmtId="4" fontId="30" fillId="0" borderId="125" xfId="3688" applyNumberFormat="1" applyFont="1" applyBorder="1" applyAlignment="1">
      <alignment vertical="center" wrapText="1"/>
    </xf>
    <xf numFmtId="4" fontId="147" fillId="0" borderId="125" xfId="3688" applyNumberFormat="1" applyFont="1" applyBorder="1" applyAlignment="1">
      <alignment horizontal="center" vertical="center" wrapText="1"/>
    </xf>
    <xf numFmtId="4" fontId="30" fillId="2" borderId="125" xfId="3688" applyNumberFormat="1" applyFont="1" applyFill="1" applyBorder="1" applyAlignment="1">
      <alignment horizontal="center" vertical="center" wrapText="1"/>
    </xf>
    <xf numFmtId="4" fontId="30" fillId="0" borderId="125" xfId="3688" applyNumberFormat="1" applyFont="1" applyBorder="1" applyAlignment="1">
      <alignment horizontal="center" vertical="center" wrapText="1"/>
    </xf>
    <xf numFmtId="0" fontId="30" fillId="0" borderId="0" xfId="3688" applyFont="1" applyAlignment="1">
      <alignment horizontal="center" vertical="center"/>
    </xf>
    <xf numFmtId="4" fontId="289" fillId="2" borderId="125" xfId="3688" applyNumberFormat="1" applyFont="1" applyFill="1" applyBorder="1" applyAlignment="1">
      <alignment horizontal="center" vertical="center" wrapText="1"/>
    </xf>
    <xf numFmtId="0" fontId="30" fillId="0" borderId="125" xfId="3688" applyNumberFormat="1" applyFont="1" applyBorder="1" applyAlignment="1">
      <alignment horizontal="center" vertical="center"/>
    </xf>
    <xf numFmtId="4" fontId="30" fillId="0" borderId="125" xfId="3689" applyNumberFormat="1" applyFont="1" applyBorder="1" applyAlignment="1">
      <alignment horizontal="center" vertical="center"/>
    </xf>
    <xf numFmtId="0" fontId="30" fillId="0" borderId="0" xfId="3688" applyFont="1" applyAlignment="1">
      <alignment vertical="center"/>
    </xf>
    <xf numFmtId="4" fontId="289" fillId="0" borderId="125" xfId="3688" applyNumberFormat="1" applyFont="1" applyBorder="1" applyAlignment="1">
      <alignment horizontal="center" vertical="center" wrapText="1"/>
    </xf>
    <xf numFmtId="4" fontId="30" fillId="0" borderId="125" xfId="3688" applyNumberFormat="1" applyFont="1" applyBorder="1" applyAlignment="1">
      <alignment horizontal="left" vertical="center" wrapText="1"/>
    </xf>
    <xf numFmtId="4" fontId="30" fillId="2" borderId="125" xfId="3689" applyNumberFormat="1" applyFont="1" applyFill="1" applyBorder="1" applyAlignment="1">
      <alignment horizontal="center" vertical="center"/>
    </xf>
    <xf numFmtId="0" fontId="30" fillId="0" borderId="125" xfId="3688" applyFont="1" applyBorder="1" applyAlignment="1">
      <alignment horizontal="center" vertical="center" wrapText="1"/>
    </xf>
    <xf numFmtId="4" fontId="30" fillId="0" borderId="125" xfId="3427" applyNumberFormat="1" applyFont="1" applyBorder="1" applyAlignment="1">
      <alignment horizontal="center" vertical="center" wrapText="1"/>
    </xf>
    <xf numFmtId="0" fontId="30" fillId="2" borderId="125" xfId="3688" applyNumberFormat="1" applyFont="1" applyFill="1" applyBorder="1" applyAlignment="1">
      <alignment horizontal="center" vertical="center"/>
    </xf>
    <xf numFmtId="4" fontId="30" fillId="2" borderId="125" xfId="3688" applyNumberFormat="1" applyFont="1" applyFill="1" applyBorder="1" applyAlignment="1">
      <alignment vertical="center" wrapText="1"/>
    </xf>
    <xf numFmtId="0" fontId="30" fillId="2" borderId="0" xfId="3688" applyFont="1" applyFill="1" applyAlignment="1">
      <alignment vertical="center"/>
    </xf>
    <xf numFmtId="4" fontId="30" fillId="0" borderId="125" xfId="3688" applyNumberFormat="1" applyFont="1" applyBorder="1" applyAlignment="1">
      <alignment vertical="center"/>
    </xf>
    <xf numFmtId="0" fontId="30" fillId="0" borderId="125" xfId="3688" applyFont="1" applyBorder="1" applyAlignment="1">
      <alignment vertical="center" wrapText="1"/>
    </xf>
    <xf numFmtId="4" fontId="30" fillId="0" borderId="125" xfId="3431" applyNumberFormat="1" applyFont="1" applyBorder="1" applyAlignment="1">
      <alignment horizontal="center" vertical="center"/>
    </xf>
    <xf numFmtId="4" fontId="30" fillId="0" borderId="125" xfId="3431" applyNumberFormat="1" applyFont="1" applyBorder="1" applyAlignment="1">
      <alignment vertical="center" wrapText="1"/>
    </xf>
    <xf numFmtId="4" fontId="30" fillId="0" borderId="125" xfId="3431" applyNumberFormat="1" applyFont="1" applyBorder="1" applyAlignment="1">
      <alignment horizontal="center" vertical="center" wrapText="1"/>
    </xf>
    <xf numFmtId="0" fontId="30" fillId="0" borderId="125" xfId="3431" applyNumberFormat="1" applyFont="1" applyBorder="1" applyAlignment="1">
      <alignment horizontal="center" vertical="center"/>
    </xf>
    <xf numFmtId="0" fontId="30" fillId="0" borderId="125" xfId="3431" applyNumberFormat="1" applyFont="1" applyBorder="1" applyAlignment="1">
      <alignment vertical="center" wrapText="1"/>
    </xf>
    <xf numFmtId="0" fontId="30" fillId="0" borderId="125" xfId="3431" applyNumberFormat="1" applyFont="1" applyBorder="1" applyAlignment="1">
      <alignment vertical="center"/>
    </xf>
    <xf numFmtId="0" fontId="30" fillId="0" borderId="125" xfId="3688" applyFont="1" applyBorder="1" applyAlignment="1">
      <alignment horizontal="center" vertical="center"/>
    </xf>
    <xf numFmtId="0" fontId="30" fillId="0" borderId="125" xfId="3688" applyFont="1" applyBorder="1" applyAlignment="1">
      <alignment vertical="center"/>
    </xf>
    <xf numFmtId="0" fontId="290" fillId="0" borderId="0" xfId="3688" applyFont="1" applyAlignment="1">
      <alignment horizontal="center" vertical="center"/>
    </xf>
    <xf numFmtId="0" fontId="290" fillId="0" borderId="0" xfId="3688" applyFont="1" applyAlignment="1">
      <alignment vertical="center"/>
    </xf>
    <xf numFmtId="4" fontId="290" fillId="0" borderId="0" xfId="3688" applyNumberFormat="1" applyFont="1" applyAlignment="1">
      <alignment vertical="center"/>
    </xf>
    <xf numFmtId="0" fontId="147" fillId="0" borderId="0" xfId="3688" applyFont="1" applyAlignment="1">
      <alignment vertical="center" wrapText="1"/>
    </xf>
    <xf numFmtId="0" fontId="291" fillId="0" borderId="0" xfId="3688" applyFont="1" applyAlignment="1">
      <alignment vertical="center"/>
    </xf>
    <xf numFmtId="0" fontId="291" fillId="0" borderId="7" xfId="3688" applyFont="1" applyBorder="1" applyAlignment="1">
      <alignment horizontal="center" vertical="center" wrapText="1"/>
    </xf>
    <xf numFmtId="0" fontId="291" fillId="2" borderId="7" xfId="3688" applyFont="1" applyFill="1" applyBorder="1" applyAlignment="1">
      <alignment horizontal="center" vertical="center" wrapText="1"/>
    </xf>
    <xf numFmtId="0" fontId="24" fillId="0" borderId="125" xfId="3688" applyFont="1" applyBorder="1" applyAlignment="1">
      <alignment horizontal="center" vertical="center"/>
    </xf>
    <xf numFmtId="0" fontId="24" fillId="2" borderId="125" xfId="3688" applyFont="1" applyFill="1" applyBorder="1" applyAlignment="1">
      <alignment horizontal="center" vertical="center"/>
    </xf>
    <xf numFmtId="0" fontId="24" fillId="2" borderId="125" xfId="3688" applyFont="1" applyFill="1" applyBorder="1" applyAlignment="1">
      <alignment horizontal="center" vertical="center" wrapText="1"/>
    </xf>
    <xf numFmtId="0" fontId="24" fillId="0" borderId="0" xfId="3688" applyFont="1" applyAlignment="1">
      <alignment horizontal="center" vertical="center"/>
    </xf>
    <xf numFmtId="0" fontId="147" fillId="0" borderId="125" xfId="3688" applyFont="1" applyBorder="1" applyAlignment="1">
      <alignment horizontal="center" vertical="center" wrapText="1"/>
    </xf>
    <xf numFmtId="10" fontId="147" fillId="2" borderId="125" xfId="3688" applyNumberFormat="1" applyFont="1" applyFill="1" applyBorder="1" applyAlignment="1">
      <alignment horizontal="center" vertical="center"/>
    </xf>
    <xf numFmtId="166" fontId="292" fillId="2" borderId="125" xfId="3688" applyNumberFormat="1" applyFont="1" applyFill="1" applyBorder="1" applyAlignment="1">
      <alignment horizontal="center" vertical="center" wrapText="1"/>
    </xf>
    <xf numFmtId="4" fontId="293" fillId="2" borderId="125" xfId="3342" applyNumberFormat="1" applyFont="1" applyFill="1" applyBorder="1" applyAlignment="1" applyProtection="1">
      <alignment horizontal="center" vertical="center" wrapText="1"/>
    </xf>
    <xf numFmtId="2" fontId="147" fillId="2" borderId="125" xfId="3688" applyNumberFormat="1" applyFont="1" applyFill="1" applyBorder="1" applyAlignment="1">
      <alignment horizontal="center" vertical="center"/>
    </xf>
    <xf numFmtId="172" fontId="147" fillId="2" borderId="125" xfId="5" applyNumberFormat="1" applyFont="1" applyFill="1" applyBorder="1" applyAlignment="1">
      <alignment horizontal="center" vertical="center"/>
    </xf>
    <xf numFmtId="0" fontId="147" fillId="0" borderId="125" xfId="3688" applyFont="1" applyFill="1" applyBorder="1" applyAlignment="1">
      <alignment horizontal="center" vertical="center"/>
    </xf>
    <xf numFmtId="0" fontId="147" fillId="0" borderId="125" xfId="3688" applyFont="1" applyBorder="1" applyAlignment="1">
      <alignment horizontal="center" vertical="center"/>
    </xf>
    <xf numFmtId="0" fontId="147" fillId="0" borderId="125" xfId="3688" applyFont="1" applyBorder="1" applyAlignment="1">
      <alignment vertical="center"/>
    </xf>
    <xf numFmtId="0" fontId="289" fillId="0" borderId="125" xfId="3688" applyFont="1" applyBorder="1" applyAlignment="1">
      <alignment horizontal="center" wrapText="1"/>
    </xf>
    <xf numFmtId="0" fontId="30" fillId="2" borderId="125" xfId="3688" applyFont="1" applyFill="1" applyBorder="1" applyAlignment="1">
      <alignment vertical="center"/>
    </xf>
    <xf numFmtId="2" fontId="147" fillId="0" borderId="125" xfId="3688" applyNumberFormat="1" applyFont="1" applyBorder="1" applyAlignment="1">
      <alignment horizontal="center" vertical="center"/>
    </xf>
    <xf numFmtId="164" fontId="30" fillId="0" borderId="0" xfId="0" applyNumberFormat="1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41" fillId="0" borderId="125" xfId="9" applyFont="1" applyFill="1" applyBorder="1" applyAlignment="1">
      <alignment vertical="center" wrapText="1"/>
    </xf>
    <xf numFmtId="0" fontId="141" fillId="0" borderId="135" xfId="9" applyFont="1" applyFill="1" applyBorder="1" applyAlignment="1">
      <alignment vertical="center" wrapText="1"/>
    </xf>
    <xf numFmtId="0" fontId="141" fillId="0" borderId="105" xfId="9" applyFont="1" applyFill="1" applyBorder="1" applyAlignment="1">
      <alignment vertical="center" wrapText="1"/>
    </xf>
    <xf numFmtId="0" fontId="22" fillId="0" borderId="0" xfId="0" applyFont="1" applyFill="1"/>
    <xf numFmtId="0" fontId="141" fillId="0" borderId="125" xfId="9" applyFont="1" applyFill="1" applyBorder="1" applyAlignment="1">
      <alignment horizontal="center" vertical="center" wrapText="1"/>
    </xf>
    <xf numFmtId="0" fontId="141" fillId="0" borderId="105" xfId="9" applyFont="1" applyFill="1" applyBorder="1" applyAlignment="1">
      <alignment horizontal="center" vertical="center" wrapText="1"/>
    </xf>
    <xf numFmtId="49" fontId="294" fillId="0" borderId="125" xfId="0" applyNumberFormat="1" applyFont="1" applyFill="1" applyBorder="1" applyAlignment="1">
      <alignment horizontal="center" vertical="center"/>
    </xf>
    <xf numFmtId="4" fontId="294" fillId="0" borderId="125" xfId="0" applyNumberFormat="1" applyFont="1" applyFill="1" applyBorder="1" applyAlignment="1">
      <alignment horizontal="center" vertical="center"/>
    </xf>
    <xf numFmtId="4" fontId="294" fillId="2" borderId="125" xfId="0" applyNumberFormat="1" applyFont="1" applyFill="1" applyBorder="1" applyAlignment="1">
      <alignment horizontal="center" vertical="center"/>
    </xf>
    <xf numFmtId="166" fontId="294" fillId="0" borderId="125" xfId="0" applyNumberFormat="1" applyFont="1" applyFill="1" applyBorder="1" applyAlignment="1">
      <alignment horizontal="center" vertical="center"/>
    </xf>
    <xf numFmtId="166" fontId="294" fillId="0" borderId="105" xfId="0" applyNumberFormat="1" applyFont="1" applyFill="1" applyBorder="1" applyAlignment="1">
      <alignment horizontal="center" vertical="center"/>
    </xf>
    <xf numFmtId="166" fontId="155" fillId="0" borderId="125" xfId="2" applyNumberFormat="1" applyFont="1" applyFill="1" applyBorder="1" applyAlignment="1" applyProtection="1">
      <alignment horizontal="right" vertical="center" wrapText="1"/>
      <protection locked="0"/>
    </xf>
    <xf numFmtId="0" fontId="295" fillId="0" borderId="0" xfId="0" applyFont="1" applyFill="1"/>
    <xf numFmtId="0" fontId="295" fillId="0" borderId="125" xfId="0" applyFont="1" applyFill="1" applyBorder="1" applyAlignment="1">
      <alignment wrapText="1"/>
    </xf>
    <xf numFmtId="49" fontId="22" fillId="0" borderId="125" xfId="0" applyNumberFormat="1" applyFont="1" applyFill="1" applyBorder="1" applyAlignment="1">
      <alignment horizontal="center" vertical="center" wrapText="1"/>
    </xf>
    <xf numFmtId="0" fontId="292" fillId="0" borderId="125" xfId="0" applyFont="1" applyFill="1" applyBorder="1" applyAlignment="1">
      <alignment horizontal="left" vertical="center" wrapText="1"/>
    </xf>
    <xf numFmtId="164" fontId="292" fillId="0" borderId="125" xfId="0" applyNumberFormat="1" applyFont="1" applyFill="1" applyBorder="1" applyAlignment="1">
      <alignment horizontal="center" vertical="center"/>
    </xf>
    <xf numFmtId="10" fontId="292" fillId="0" borderId="125" xfId="0" applyNumberFormat="1" applyFont="1" applyFill="1" applyBorder="1" applyAlignment="1">
      <alignment horizontal="center" vertical="center"/>
    </xf>
    <xf numFmtId="10" fontId="141" fillId="0" borderId="125" xfId="1" applyNumberFormat="1" applyFont="1" applyFill="1" applyBorder="1" applyAlignment="1">
      <alignment horizontal="center" vertical="center" wrapText="1"/>
    </xf>
    <xf numFmtId="172" fontId="16" fillId="0" borderId="125" xfId="3691" applyNumberFormat="1" applyFont="1" applyFill="1" applyBorder="1" applyAlignment="1">
      <alignment horizontal="center" vertical="center"/>
    </xf>
    <xf numFmtId="172" fontId="16" fillId="2" borderId="125" xfId="3691" applyNumberFormat="1" applyFont="1" applyFill="1" applyBorder="1" applyAlignment="1">
      <alignment horizontal="center" vertical="center"/>
    </xf>
    <xf numFmtId="172" fontId="16" fillId="0" borderId="105" xfId="3691" applyNumberFormat="1" applyFont="1" applyFill="1" applyBorder="1" applyAlignment="1">
      <alignment horizontal="center" vertical="center"/>
    </xf>
    <xf numFmtId="0" fontId="22" fillId="0" borderId="125" xfId="0" applyFont="1" applyFill="1" applyBorder="1" applyAlignment="1">
      <alignment wrapText="1"/>
    </xf>
    <xf numFmtId="9" fontId="292" fillId="0" borderId="125" xfId="0" applyNumberFormat="1" applyFont="1" applyFill="1" applyBorder="1" applyAlignment="1">
      <alignment horizontal="center" vertical="center"/>
    </xf>
    <xf numFmtId="9" fontId="141" fillId="0" borderId="125" xfId="1" applyFont="1" applyFill="1" applyBorder="1" applyAlignment="1">
      <alignment horizontal="center" vertical="center" wrapText="1"/>
    </xf>
    <xf numFmtId="2" fontId="141" fillId="0" borderId="125" xfId="9" applyNumberFormat="1" applyFont="1" applyFill="1" applyBorder="1" applyAlignment="1">
      <alignment horizontal="center" vertical="center" wrapText="1"/>
    </xf>
    <xf numFmtId="2" fontId="141" fillId="0" borderId="105" xfId="9" applyNumberFormat="1" applyFont="1" applyFill="1" applyBorder="1" applyAlignment="1">
      <alignment horizontal="center" vertical="center" wrapText="1"/>
    </xf>
    <xf numFmtId="201" fontId="292" fillId="0" borderId="125" xfId="0" applyNumberFormat="1" applyFont="1" applyFill="1" applyBorder="1" applyAlignment="1">
      <alignment horizontal="center" vertical="center"/>
    </xf>
    <xf numFmtId="168" fontId="141" fillId="0" borderId="125" xfId="9" applyNumberFormat="1" applyFont="1" applyFill="1" applyBorder="1" applyAlignment="1">
      <alignment horizontal="center" vertical="center" wrapText="1"/>
    </xf>
    <xf numFmtId="0" fontId="22" fillId="0" borderId="125" xfId="0" applyFont="1" applyFill="1" applyBorder="1"/>
    <xf numFmtId="168" fontId="31" fillId="0" borderId="125" xfId="9" applyNumberFormat="1" applyFont="1" applyFill="1" applyBorder="1" applyAlignment="1">
      <alignment horizontal="center" vertical="center" wrapText="1"/>
    </xf>
    <xf numFmtId="49" fontId="141" fillId="0" borderId="125" xfId="0" applyNumberFormat="1" applyFont="1" applyFill="1" applyBorder="1" applyAlignment="1">
      <alignment horizontal="center" vertical="center" wrapText="1"/>
    </xf>
    <xf numFmtId="49" fontId="141" fillId="2" borderId="125" xfId="0" applyNumberFormat="1" applyFont="1" applyFill="1" applyBorder="1" applyAlignment="1">
      <alignment horizontal="center" vertical="center" wrapText="1"/>
    </xf>
    <xf numFmtId="0" fontId="141" fillId="0" borderId="125" xfId="0" applyFont="1" applyFill="1" applyBorder="1" applyAlignment="1">
      <alignment horizontal="center" vertical="center" wrapText="1"/>
    </xf>
    <xf numFmtId="4" fontId="294" fillId="0" borderId="125" xfId="0" applyNumberFormat="1" applyFont="1" applyFill="1" applyBorder="1" applyAlignment="1">
      <alignment horizontal="right" vertical="center"/>
    </xf>
    <xf numFmtId="43" fontId="294" fillId="0" borderId="125" xfId="5" applyFont="1" applyFill="1" applyBorder="1" applyAlignment="1">
      <alignment horizontal="center" vertical="center"/>
    </xf>
    <xf numFmtId="0" fontId="22" fillId="0" borderId="125" xfId="0" applyFont="1" applyFill="1" applyBorder="1" applyAlignment="1">
      <alignment horizontal="left" vertical="center" wrapText="1"/>
    </xf>
    <xf numFmtId="165" fontId="22" fillId="0" borderId="125" xfId="3" applyFont="1" applyFill="1" applyBorder="1" applyAlignment="1">
      <alignment horizontal="center" vertical="center" wrapText="1"/>
    </xf>
    <xf numFmtId="172" fontId="22" fillId="0" borderId="125" xfId="3" applyNumberFormat="1" applyFont="1" applyFill="1" applyBorder="1" applyAlignment="1">
      <alignment horizontal="right" vertical="center" wrapText="1"/>
    </xf>
    <xf numFmtId="172" fontId="22" fillId="0" borderId="125" xfId="3" applyNumberFormat="1" applyFont="1" applyFill="1" applyBorder="1" applyAlignment="1">
      <alignment horizontal="center" vertical="center" wrapText="1"/>
    </xf>
    <xf numFmtId="4" fontId="22" fillId="0" borderId="125" xfId="9" applyNumberFormat="1" applyFont="1" applyFill="1" applyBorder="1" applyAlignment="1">
      <alignment horizontal="center" vertical="center" wrapText="1"/>
    </xf>
    <xf numFmtId="4" fontId="27" fillId="0" borderId="125" xfId="0" applyNumberFormat="1" applyFont="1" applyFill="1" applyBorder="1" applyAlignment="1">
      <alignment horizontal="center" vertical="center"/>
    </xf>
    <xf numFmtId="4" fontId="27" fillId="0" borderId="105" xfId="0" applyNumberFormat="1" applyFont="1" applyFill="1" applyBorder="1" applyAlignment="1">
      <alignment horizontal="right" vertical="center"/>
    </xf>
    <xf numFmtId="4" fontId="27" fillId="0" borderId="125" xfId="0" applyNumberFormat="1" applyFont="1" applyFill="1" applyBorder="1" applyAlignment="1">
      <alignment horizontal="right" vertical="center"/>
    </xf>
    <xf numFmtId="43" fontId="22" fillId="0" borderId="125" xfId="5" applyFont="1" applyFill="1" applyBorder="1" applyAlignment="1">
      <alignment horizontal="center" vertical="center" wrapText="1"/>
    </xf>
    <xf numFmtId="49" fontId="22" fillId="0" borderId="125" xfId="3" applyNumberFormat="1" applyFont="1" applyFill="1" applyBorder="1" applyAlignment="1">
      <alignment horizontal="center" vertical="center"/>
    </xf>
    <xf numFmtId="165" fontId="22" fillId="0" borderId="125" xfId="3" applyFont="1" applyFill="1" applyBorder="1" applyAlignment="1">
      <alignment horizontal="left" vertical="center" wrapText="1"/>
    </xf>
    <xf numFmtId="4" fontId="295" fillId="0" borderId="0" xfId="0" applyNumberFormat="1" applyFont="1" applyFill="1"/>
    <xf numFmtId="49" fontId="294" fillId="0" borderId="125" xfId="0" applyNumberFormat="1" applyFont="1" applyFill="1" applyBorder="1" applyAlignment="1">
      <alignment horizontal="left" vertical="center" wrapText="1"/>
    </xf>
    <xf numFmtId="165" fontId="155" fillId="0" borderId="125" xfId="3" applyFont="1" applyFill="1" applyBorder="1" applyAlignment="1">
      <alignment horizontal="left" vertical="center" wrapText="1"/>
    </xf>
    <xf numFmtId="166" fontId="258" fillId="0" borderId="125" xfId="0" applyNumberFormat="1" applyFont="1" applyFill="1" applyBorder="1" applyAlignment="1">
      <alignment horizontal="center" vertical="center"/>
    </xf>
    <xf numFmtId="0" fontId="22" fillId="0" borderId="125" xfId="0" applyFont="1" applyFill="1" applyBorder="1" applyAlignment="1">
      <alignment horizontal="center" vertical="center" wrapText="1"/>
    </xf>
    <xf numFmtId="168" fontId="141" fillId="0" borderId="125" xfId="18" applyNumberFormat="1" applyFont="1" applyFill="1" applyBorder="1" applyAlignment="1">
      <alignment horizontal="center" vertical="center"/>
    </xf>
    <xf numFmtId="4" fontId="294" fillId="0" borderId="105" xfId="0" applyNumberFormat="1" applyFont="1" applyFill="1" applyBorder="1" applyAlignment="1">
      <alignment horizontal="right" vertical="center"/>
    </xf>
    <xf numFmtId="172" fontId="295" fillId="0" borderId="125" xfId="5" applyNumberFormat="1" applyFont="1" applyFill="1" applyBorder="1" applyAlignment="1">
      <alignment horizontal="center" vertical="center" wrapText="1"/>
    </xf>
    <xf numFmtId="4" fontId="24" fillId="0" borderId="125" xfId="0" applyNumberFormat="1" applyFont="1" applyFill="1" applyBorder="1" applyAlignment="1">
      <alignment horizontal="right" vertical="center"/>
    </xf>
    <xf numFmtId="172" fontId="292" fillId="2" borderId="125" xfId="3690" applyNumberFormat="1" applyFont="1" applyFill="1" applyBorder="1" applyAlignment="1">
      <alignment horizontal="center" vertical="center" wrapText="1"/>
    </xf>
    <xf numFmtId="172" fontId="22" fillId="0" borderId="125" xfId="5" applyNumberFormat="1" applyFont="1" applyFill="1" applyBorder="1" applyAlignment="1">
      <alignment horizontal="center" vertical="center" wrapText="1"/>
    </xf>
    <xf numFmtId="2" fontId="22" fillId="0" borderId="125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4" fontId="24" fillId="0" borderId="105" xfId="0" applyNumberFormat="1" applyFont="1" applyFill="1" applyBorder="1" applyAlignment="1">
      <alignment horizontal="right" vertical="center"/>
    </xf>
    <xf numFmtId="165" fontId="22" fillId="0" borderId="125" xfId="3" applyFont="1" applyFill="1" applyBorder="1" applyAlignment="1">
      <alignment horizontal="left" vertical="center" wrapText="1" indent="2"/>
    </xf>
    <xf numFmtId="4" fontId="27" fillId="2" borderId="125" xfId="0" applyNumberFormat="1" applyFont="1" applyFill="1" applyBorder="1" applyAlignment="1">
      <alignment vertical="center"/>
    </xf>
    <xf numFmtId="0" fontId="22" fillId="0" borderId="125" xfId="9" applyFont="1" applyFill="1" applyBorder="1" applyAlignment="1">
      <alignment horizontal="left" vertical="center" wrapText="1"/>
    </xf>
    <xf numFmtId="0" fontId="297" fillId="0" borderId="125" xfId="9" applyFont="1" applyFill="1" applyBorder="1" applyAlignment="1">
      <alignment horizontal="center" vertical="center" wrapText="1"/>
    </xf>
    <xf numFmtId="4" fontId="147" fillId="0" borderId="125" xfId="0" applyNumberFormat="1" applyFont="1" applyFill="1" applyBorder="1" applyAlignment="1">
      <alignment horizontal="right" vertical="center"/>
    </xf>
    <xf numFmtId="4" fontId="147" fillId="0" borderId="125" xfId="0" applyNumberFormat="1" applyFont="1" applyFill="1" applyBorder="1" applyAlignment="1">
      <alignment horizontal="center" vertical="center"/>
    </xf>
    <xf numFmtId="0" fontId="22" fillId="0" borderId="125" xfId="9" applyFont="1" applyFill="1" applyBorder="1" applyAlignment="1">
      <alignment horizontal="left" vertical="center" wrapText="1" indent="2"/>
    </xf>
    <xf numFmtId="2" fontId="22" fillId="0" borderId="125" xfId="9" applyNumberFormat="1" applyFont="1" applyFill="1" applyBorder="1" applyAlignment="1">
      <alignment horizontal="right" vertical="center" wrapText="1"/>
    </xf>
    <xf numFmtId="2" fontId="22" fillId="0" borderId="125" xfId="9" applyNumberFormat="1" applyFont="1" applyFill="1" applyBorder="1" applyAlignment="1">
      <alignment horizontal="center" vertical="center" wrapText="1"/>
    </xf>
    <xf numFmtId="0" fontId="297" fillId="0" borderId="125" xfId="9" applyFont="1" applyFill="1" applyBorder="1" applyAlignment="1">
      <alignment horizontal="right" vertical="center" wrapText="1"/>
    </xf>
    <xf numFmtId="4" fontId="218" fillId="0" borderId="125" xfId="0" applyNumberFormat="1" applyFont="1" applyFill="1" applyBorder="1" applyAlignment="1">
      <alignment horizontal="right" vertical="center"/>
    </xf>
    <xf numFmtId="49" fontId="297" fillId="0" borderId="125" xfId="10" applyNumberFormat="1" applyFont="1" applyFill="1" applyBorder="1" applyAlignment="1">
      <alignment horizontal="left" vertical="center" wrapText="1" indent="2"/>
    </xf>
    <xf numFmtId="165" fontId="297" fillId="0" borderId="125" xfId="3" applyFont="1" applyFill="1" applyBorder="1" applyAlignment="1">
      <alignment horizontal="center" vertical="center" wrapText="1"/>
    </xf>
    <xf numFmtId="4" fontId="147" fillId="0" borderId="105" xfId="0" applyNumberFormat="1" applyFont="1" applyFill="1" applyBorder="1" applyAlignment="1">
      <alignment horizontal="right" vertical="center"/>
    </xf>
    <xf numFmtId="4" fontId="27" fillId="0" borderId="125" xfId="9" applyNumberFormat="1" applyFont="1" applyFill="1" applyBorder="1" applyAlignment="1">
      <alignment horizontal="center" vertical="center" wrapText="1"/>
    </xf>
    <xf numFmtId="4" fontId="147" fillId="2" borderId="125" xfId="0" applyNumberFormat="1" applyFont="1" applyFill="1" applyBorder="1" applyAlignment="1">
      <alignment horizontal="center" vertical="center"/>
    </xf>
    <xf numFmtId="4" fontId="218" fillId="0" borderId="105" xfId="0" applyNumberFormat="1" applyFont="1" applyFill="1" applyBorder="1" applyAlignment="1">
      <alignment horizontal="right" vertical="center"/>
    </xf>
    <xf numFmtId="4" fontId="22" fillId="0" borderId="125" xfId="9" applyNumberFormat="1" applyFont="1" applyFill="1" applyBorder="1" applyAlignment="1">
      <alignment horizontal="right" vertical="center" wrapText="1"/>
    </xf>
    <xf numFmtId="49" fontId="297" fillId="0" borderId="125" xfId="3" applyNumberFormat="1" applyFont="1" applyFill="1" applyBorder="1" applyAlignment="1">
      <alignment horizontal="center" vertical="center"/>
    </xf>
    <xf numFmtId="165" fontId="22" fillId="0" borderId="125" xfId="3" applyFont="1" applyFill="1" applyBorder="1" applyAlignment="1">
      <alignment vertical="center" wrapText="1"/>
    </xf>
    <xf numFmtId="165" fontId="297" fillId="0" borderId="125" xfId="3" applyFont="1" applyFill="1" applyBorder="1" applyAlignment="1">
      <alignment horizontal="right" vertical="center" wrapText="1"/>
    </xf>
    <xf numFmtId="165" fontId="15" fillId="0" borderId="125" xfId="3" applyFont="1" applyFill="1" applyBorder="1" applyAlignment="1">
      <alignment horizontal="center" vertical="center" wrapText="1"/>
    </xf>
    <xf numFmtId="172" fontId="294" fillId="0" borderId="125" xfId="3" applyNumberFormat="1" applyFont="1" applyFill="1" applyBorder="1" applyAlignment="1">
      <alignment horizontal="center" vertical="center" wrapText="1"/>
    </xf>
    <xf numFmtId="4" fontId="294" fillId="0" borderId="125" xfId="9" applyNumberFormat="1" applyFont="1" applyFill="1" applyBorder="1" applyAlignment="1">
      <alignment horizontal="center" vertical="center" wrapText="1"/>
    </xf>
    <xf numFmtId="4" fontId="298" fillId="0" borderId="125" xfId="0" applyNumberFormat="1" applyFont="1" applyFill="1" applyBorder="1" applyAlignment="1">
      <alignment horizontal="center" vertical="center"/>
    </xf>
    <xf numFmtId="4" fontId="298" fillId="0" borderId="105" xfId="0" applyNumberFormat="1" applyFont="1" applyFill="1" applyBorder="1" applyAlignment="1">
      <alignment horizontal="right" vertical="center"/>
    </xf>
    <xf numFmtId="4" fontId="298" fillId="0" borderId="125" xfId="0" applyNumberFormat="1" applyFont="1" applyFill="1" applyBorder="1" applyAlignment="1">
      <alignment horizontal="right" vertical="center"/>
    </xf>
    <xf numFmtId="166" fontId="299" fillId="0" borderId="125" xfId="2" applyNumberFormat="1" applyFont="1" applyFill="1" applyBorder="1" applyAlignment="1" applyProtection="1">
      <alignment horizontal="right" vertical="center" wrapText="1"/>
      <protection locked="0"/>
    </xf>
    <xf numFmtId="0" fontId="294" fillId="0" borderId="0" xfId="0" applyFont="1" applyFill="1"/>
    <xf numFmtId="172" fontId="294" fillId="0" borderId="125" xfId="5" applyNumberFormat="1" applyFont="1" applyFill="1" applyBorder="1" applyAlignment="1">
      <alignment horizontal="center" vertical="center" wrapText="1"/>
    </xf>
    <xf numFmtId="49" fontId="15" fillId="0" borderId="125" xfId="0" applyNumberFormat="1" applyFont="1" applyFill="1" applyBorder="1" applyAlignment="1">
      <alignment horizontal="center" vertical="center"/>
    </xf>
    <xf numFmtId="49" fontId="22" fillId="0" borderId="125" xfId="0" applyNumberFormat="1" applyFont="1" applyFill="1" applyBorder="1"/>
    <xf numFmtId="10" fontId="292" fillId="0" borderId="125" xfId="3" applyNumberFormat="1" applyFont="1" applyFill="1" applyBorder="1" applyAlignment="1">
      <alignment vertical="center" wrapText="1"/>
    </xf>
    <xf numFmtId="165" fontId="292" fillId="0" borderId="125" xfId="3" applyFont="1" applyFill="1" applyBorder="1" applyAlignment="1">
      <alignment horizontal="center" vertical="center"/>
    </xf>
    <xf numFmtId="4" fontId="141" fillId="0" borderId="125" xfId="9" applyNumberFormat="1" applyFont="1" applyFill="1" applyBorder="1" applyAlignment="1">
      <alignment horizontal="right" vertical="center" wrapText="1"/>
    </xf>
    <xf numFmtId="4" fontId="27" fillId="2" borderId="125" xfId="0" applyNumberFormat="1" applyFont="1" applyFill="1" applyBorder="1" applyAlignment="1">
      <alignment horizontal="right" vertical="center"/>
    </xf>
    <xf numFmtId="172" fontId="292" fillId="0" borderId="125" xfId="3" applyNumberFormat="1" applyFont="1" applyFill="1" applyBorder="1" applyAlignment="1">
      <alignment horizontal="right" vertical="center"/>
    </xf>
    <xf numFmtId="49" fontId="292" fillId="0" borderId="125" xfId="3" applyNumberFormat="1" applyFont="1" applyFill="1" applyBorder="1" applyAlignment="1">
      <alignment vertical="center" wrapText="1"/>
    </xf>
    <xf numFmtId="49" fontId="22" fillId="0" borderId="0" xfId="0" applyNumberFormat="1" applyFont="1" applyFill="1" applyBorder="1"/>
    <xf numFmtId="10" fontId="148" fillId="0" borderId="0" xfId="3" applyNumberFormat="1" applyFont="1" applyFill="1" applyBorder="1" applyAlignment="1">
      <alignment vertical="center" wrapText="1"/>
    </xf>
    <xf numFmtId="165" fontId="292" fillId="0" borderId="0" xfId="3" applyFont="1" applyFill="1" applyBorder="1" applyAlignment="1">
      <alignment horizontal="center" vertical="center"/>
    </xf>
    <xf numFmtId="4" fontId="141" fillId="0" borderId="0" xfId="9" applyNumberFormat="1" applyFont="1" applyFill="1" applyBorder="1" applyAlignment="1">
      <alignment horizontal="center" vertical="center" wrapText="1"/>
    </xf>
    <xf numFmtId="4" fontId="27" fillId="0" borderId="0" xfId="0" applyNumberFormat="1" applyFont="1" applyFill="1" applyBorder="1" applyAlignment="1">
      <alignment vertical="center"/>
    </xf>
    <xf numFmtId="4" fontId="141" fillId="2" borderId="0" xfId="9" applyNumberFormat="1" applyFont="1" applyFill="1" applyBorder="1" applyAlignment="1">
      <alignment horizontal="center" vertical="center" wrapText="1"/>
    </xf>
    <xf numFmtId="4" fontId="147" fillId="0" borderId="0" xfId="0" applyNumberFormat="1" applyFont="1" applyFill="1" applyBorder="1" applyAlignment="1">
      <alignment vertical="center"/>
    </xf>
    <xf numFmtId="166" fontId="155" fillId="0" borderId="0" xfId="2" applyNumberFormat="1" applyFont="1" applyFill="1" applyBorder="1" applyAlignment="1" applyProtection="1">
      <alignment horizontal="center" vertical="center" wrapText="1"/>
      <protection locked="0"/>
    </xf>
    <xf numFmtId="49" fontId="22" fillId="0" borderId="125" xfId="0" applyNumberFormat="1" applyFont="1" applyFill="1" applyBorder="1" applyAlignment="1">
      <alignment horizontal="center" vertical="center"/>
    </xf>
    <xf numFmtId="4" fontId="141" fillId="0" borderId="125" xfId="9" applyNumberFormat="1" applyFont="1" applyFill="1" applyBorder="1" applyAlignment="1">
      <alignment horizontal="center" vertical="center" wrapText="1"/>
    </xf>
    <xf numFmtId="0" fontId="155" fillId="0" borderId="125" xfId="0" applyFont="1" applyFill="1" applyBorder="1" applyAlignment="1">
      <alignment horizontal="center" vertical="center" wrapText="1"/>
    </xf>
    <xf numFmtId="0" fontId="146" fillId="0" borderId="125" xfId="0" applyFont="1" applyFill="1" applyBorder="1" applyAlignment="1">
      <alignment horizontal="center" vertical="center" wrapText="1"/>
    </xf>
    <xf numFmtId="0" fontId="22" fillId="0" borderId="125" xfId="0" applyFont="1" applyFill="1" applyBorder="1" applyAlignment="1">
      <alignment horizontal="center" vertical="center"/>
    </xf>
    <xf numFmtId="10" fontId="292" fillId="0" borderId="125" xfId="3" applyNumberFormat="1" applyFont="1" applyFill="1" applyBorder="1" applyAlignment="1">
      <alignment horizontal="center" vertical="center"/>
    </xf>
    <xf numFmtId="10" fontId="27" fillId="0" borderId="125" xfId="0" applyNumberFormat="1" applyFont="1" applyFill="1" applyBorder="1" applyAlignment="1">
      <alignment horizontal="center" vertical="center"/>
    </xf>
    <xf numFmtId="10" fontId="27" fillId="2" borderId="125" xfId="0" applyNumberFormat="1" applyFont="1" applyFill="1" applyBorder="1" applyAlignment="1">
      <alignment horizontal="center" vertical="center"/>
    </xf>
    <xf numFmtId="10" fontId="147" fillId="0" borderId="125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0" fontId="292" fillId="0" borderId="125" xfId="18" applyNumberFormat="1" applyFont="1" applyFill="1" applyBorder="1" applyAlignment="1">
      <alignment horizontal="center" vertical="center"/>
    </xf>
    <xf numFmtId="10" fontId="147" fillId="0" borderId="0" xfId="0" applyNumberFormat="1" applyFont="1" applyFill="1" applyBorder="1" applyAlignment="1">
      <alignment horizontal="center" vertical="center"/>
    </xf>
    <xf numFmtId="10" fontId="155" fillId="0" borderId="125" xfId="2" applyNumberFormat="1" applyFont="1" applyFill="1" applyBorder="1" applyAlignment="1" applyProtection="1">
      <alignment horizontal="center" vertical="center" wrapText="1"/>
      <protection locked="0"/>
    </xf>
    <xf numFmtId="4" fontId="22" fillId="0" borderId="125" xfId="0" applyNumberFormat="1" applyFont="1" applyFill="1" applyBorder="1" applyAlignment="1">
      <alignment vertical="center"/>
    </xf>
    <xf numFmtId="4" fontId="22" fillId="2" borderId="125" xfId="0" applyNumberFormat="1" applyFont="1" applyFill="1" applyBorder="1" applyAlignment="1">
      <alignment vertical="center"/>
    </xf>
    <xf numFmtId="4" fontId="27" fillId="0" borderId="125" xfId="0" applyNumberFormat="1" applyFont="1" applyFill="1" applyBorder="1" applyAlignment="1">
      <alignment vertical="center"/>
    </xf>
    <xf numFmtId="0" fontId="141" fillId="0" borderId="125" xfId="0" applyFont="1" applyFill="1" applyBorder="1" applyAlignment="1">
      <alignment horizontal="left" vertical="center" wrapText="1"/>
    </xf>
    <xf numFmtId="165" fontId="300" fillId="0" borderId="125" xfId="3" applyFont="1" applyFill="1" applyBorder="1" applyAlignment="1">
      <alignment horizontal="center" vertical="center"/>
    </xf>
    <xf numFmtId="4" fontId="24" fillId="0" borderId="125" xfId="0" applyNumberFormat="1" applyFont="1" applyFill="1" applyBorder="1" applyAlignment="1">
      <alignment vertical="center"/>
    </xf>
    <xf numFmtId="4" fontId="24" fillId="2" borderId="125" xfId="0" applyNumberFormat="1" applyFont="1" applyFill="1" applyBorder="1" applyAlignment="1">
      <alignment vertical="center"/>
    </xf>
    <xf numFmtId="0" fontId="141" fillId="0" borderId="125" xfId="0" applyFont="1" applyFill="1" applyBorder="1" applyAlignment="1">
      <alignment horizontal="left" vertical="center"/>
    </xf>
    <xf numFmtId="0" fontId="301" fillId="0" borderId="125" xfId="0" applyFont="1" applyFill="1" applyBorder="1" applyAlignment="1">
      <alignment horizontal="right" vertical="center"/>
    </xf>
    <xf numFmtId="165" fontId="301" fillId="0" borderId="125" xfId="3" applyFont="1" applyFill="1" applyBorder="1" applyAlignment="1">
      <alignment horizontal="center" vertical="center"/>
    </xf>
    <xf numFmtId="4" fontId="301" fillId="0" borderId="125" xfId="0" applyNumberFormat="1" applyFont="1" applyFill="1" applyBorder="1" applyAlignment="1">
      <alignment vertical="center"/>
    </xf>
    <xf numFmtId="4" fontId="301" fillId="2" borderId="125" xfId="0" applyNumberFormat="1" applyFont="1" applyFill="1" applyBorder="1" applyAlignment="1">
      <alignment vertical="center"/>
    </xf>
    <xf numFmtId="4" fontId="30" fillId="0" borderId="0" xfId="0" applyNumberFormat="1" applyFont="1" applyFill="1"/>
    <xf numFmtId="0" fontId="30" fillId="2" borderId="0" xfId="0" applyFont="1" applyFill="1"/>
    <xf numFmtId="0" fontId="32" fillId="0" borderId="0" xfId="0" applyFont="1" applyFill="1"/>
    <xf numFmtId="2" fontId="30" fillId="0" borderId="0" xfId="0" applyNumberFormat="1" applyFont="1" applyFill="1"/>
    <xf numFmtId="2" fontId="32" fillId="0" borderId="0" xfId="0" applyNumberFormat="1" applyFont="1" applyFill="1"/>
    <xf numFmtId="4" fontId="147" fillId="2" borderId="125" xfId="0" applyNumberFormat="1" applyFont="1" applyFill="1" applyBorder="1" applyAlignment="1">
      <alignment vertical="center"/>
    </xf>
    <xf numFmtId="4" fontId="292" fillId="2" borderId="125" xfId="0" applyNumberFormat="1" applyFont="1" applyFill="1" applyBorder="1" applyAlignment="1">
      <alignment horizontal="center" vertical="center" wrapText="1"/>
    </xf>
    <xf numFmtId="4" fontId="292" fillId="2" borderId="125" xfId="0" applyNumberFormat="1" applyFont="1" applyFill="1" applyBorder="1" applyAlignment="1">
      <alignment horizontal="center" vertical="center"/>
    </xf>
    <xf numFmtId="4" fontId="147" fillId="2" borderId="125" xfId="0" applyNumberFormat="1" applyFont="1" applyFill="1" applyBorder="1" applyAlignment="1">
      <alignment horizontal="center" vertical="center" wrapText="1"/>
    </xf>
    <xf numFmtId="0" fontId="292" fillId="2" borderId="125" xfId="3692" applyFont="1" applyFill="1" applyBorder="1" applyAlignment="1">
      <alignment horizontal="center" vertical="center" wrapText="1"/>
    </xf>
    <xf numFmtId="172" fontId="16" fillId="8" borderId="7" xfId="3694" applyNumberFormat="1" applyFont="1" applyFill="1" applyBorder="1" applyAlignment="1">
      <alignment horizontal="center" vertical="center"/>
    </xf>
    <xf numFmtId="172" fontId="16" fillId="8" borderId="19" xfId="3694" applyNumberFormat="1" applyFont="1" applyFill="1" applyBorder="1" applyAlignment="1">
      <alignment horizontal="center" vertical="center"/>
    </xf>
    <xf numFmtId="172" fontId="16" fillId="8" borderId="50" xfId="3694" applyNumberFormat="1" applyFont="1" applyFill="1" applyBorder="1" applyAlignment="1">
      <alignment horizontal="center" vertical="center"/>
    </xf>
    <xf numFmtId="172" fontId="16" fillId="8" borderId="9" xfId="3694" applyNumberFormat="1" applyFont="1" applyFill="1" applyBorder="1" applyAlignment="1">
      <alignment horizontal="center" vertical="center"/>
    </xf>
    <xf numFmtId="172" fontId="16" fillId="8" borderId="57" xfId="3694" applyNumberFormat="1" applyFont="1" applyFill="1" applyBorder="1" applyAlignment="1">
      <alignment horizontal="center" vertical="center"/>
    </xf>
    <xf numFmtId="164" fontId="17" fillId="0" borderId="13" xfId="0" applyNumberFormat="1" applyFont="1" applyBorder="1" applyAlignment="1">
      <alignment horizontal="center" vertical="center"/>
    </xf>
    <xf numFmtId="9" fontId="17" fillId="0" borderId="13" xfId="0" applyNumberFormat="1" applyFont="1" applyBorder="1" applyAlignment="1">
      <alignment horizontal="center" vertical="center"/>
    </xf>
    <xf numFmtId="172" fontId="16" fillId="8" borderId="10" xfId="3694" applyNumberFormat="1" applyFont="1" applyFill="1" applyBorder="1" applyAlignment="1">
      <alignment horizontal="center" vertical="center"/>
    </xf>
    <xf numFmtId="172" fontId="16" fillId="8" borderId="13" xfId="3694" applyNumberFormat="1" applyFont="1" applyFill="1" applyBorder="1" applyAlignment="1">
      <alignment horizontal="center" vertical="center"/>
    </xf>
    <xf numFmtId="172" fontId="16" fillId="8" borderId="51" xfId="3694" applyNumberFormat="1" applyFont="1" applyFill="1" applyBorder="1" applyAlignment="1">
      <alignment horizontal="center" vertical="center"/>
    </xf>
    <xf numFmtId="172" fontId="16" fillId="8" borderId="12" xfId="3694" applyNumberFormat="1" applyFont="1" applyFill="1" applyBorder="1" applyAlignment="1">
      <alignment horizontal="center" vertical="center"/>
    </xf>
    <xf numFmtId="172" fontId="16" fillId="8" borderId="54" xfId="3694" applyNumberFormat="1" applyFont="1" applyFill="1" applyBorder="1" applyAlignment="1">
      <alignment horizontal="center" vertical="center"/>
    </xf>
    <xf numFmtId="0" fontId="17" fillId="0" borderId="129" xfId="0" applyFont="1" applyBorder="1" applyAlignment="1">
      <alignment horizontal="left" vertical="center" wrapText="1"/>
    </xf>
    <xf numFmtId="164" fontId="17" fillId="0" borderId="130" xfId="0" applyNumberFormat="1" applyFont="1" applyBorder="1" applyAlignment="1">
      <alignment horizontal="center" vertical="center"/>
    </xf>
    <xf numFmtId="172" fontId="16" fillId="8" borderId="129" xfId="3694" applyNumberFormat="1" applyFont="1" applyFill="1" applyBorder="1" applyAlignment="1">
      <alignment horizontal="center" vertical="center"/>
    </xf>
    <xf numFmtId="172" fontId="16" fillId="8" borderId="130" xfId="3694" applyNumberFormat="1" applyFont="1" applyFill="1" applyBorder="1" applyAlignment="1">
      <alignment horizontal="center" vertical="center"/>
    </xf>
    <xf numFmtId="172" fontId="16" fillId="8" borderId="133" xfId="3694" applyNumberFormat="1" applyFont="1" applyFill="1" applyBorder="1" applyAlignment="1">
      <alignment horizontal="center" vertical="center"/>
    </xf>
    <xf numFmtId="172" fontId="16" fillId="8" borderId="131" xfId="3694" applyNumberFormat="1" applyFont="1" applyFill="1" applyBorder="1" applyAlignment="1">
      <alignment horizontal="center" vertical="center"/>
    </xf>
    <xf numFmtId="172" fontId="16" fillId="8" borderId="132" xfId="3694" applyNumberFormat="1" applyFont="1" applyFill="1" applyBorder="1" applyAlignment="1">
      <alignment horizontal="center" vertical="center"/>
    </xf>
    <xf numFmtId="172" fontId="16" fillId="8" borderId="6" xfId="3694" applyNumberFormat="1" applyFont="1" applyFill="1" applyBorder="1" applyAlignment="1">
      <alignment horizontal="center" vertical="center"/>
    </xf>
    <xf numFmtId="205" fontId="136" fillId="6" borderId="136" xfId="2" applyNumberFormat="1" applyFont="1" applyFill="1" applyBorder="1" applyAlignment="1" applyProtection="1">
      <alignment horizontal="center" vertical="center" wrapText="1"/>
      <protection locked="0"/>
    </xf>
    <xf numFmtId="205" fontId="136" fillId="6" borderId="129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136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129" xfId="2" applyNumberFormat="1" applyFont="1" applyFill="1" applyBorder="1" applyAlignment="1" applyProtection="1">
      <alignment horizontal="center" vertical="center" wrapText="1"/>
      <protection locked="0"/>
    </xf>
    <xf numFmtId="205" fontId="19" fillId="6" borderId="131" xfId="2" applyNumberFormat="1" applyFont="1" applyFill="1" applyBorder="1" applyAlignment="1" applyProtection="1">
      <alignment horizontal="center" vertical="center" wrapText="1"/>
      <protection locked="0"/>
    </xf>
    <xf numFmtId="165" fontId="16" fillId="0" borderId="126" xfId="3" applyFont="1" applyFill="1" applyBorder="1" applyAlignment="1">
      <alignment horizontal="center" vertical="center" wrapText="1"/>
    </xf>
    <xf numFmtId="49" fontId="16" fillId="0" borderId="128" xfId="3" applyNumberFormat="1" applyFont="1" applyFill="1" applyBorder="1" applyAlignment="1">
      <alignment horizontal="center" vertical="center"/>
    </xf>
    <xf numFmtId="165" fontId="16" fillId="0" borderId="129" xfId="3" applyFont="1" applyFill="1" applyBorder="1" applyAlignment="1">
      <alignment horizontal="left" vertical="center" wrapText="1"/>
    </xf>
    <xf numFmtId="165" fontId="16" fillId="0" borderId="130" xfId="3" applyFont="1" applyFill="1" applyBorder="1" applyAlignment="1">
      <alignment horizontal="center" vertical="center" wrapText="1"/>
    </xf>
    <xf numFmtId="164" fontId="32" fillId="2" borderId="129" xfId="0" applyNumberFormat="1" applyFont="1" applyFill="1" applyBorder="1" applyAlignment="1">
      <alignment horizontal="center" vertical="center"/>
    </xf>
    <xf numFmtId="164" fontId="32" fillId="2" borderId="130" xfId="0" applyNumberFormat="1" applyFont="1" applyFill="1" applyBorder="1" applyAlignment="1">
      <alignment horizontal="center" vertical="center"/>
    </xf>
    <xf numFmtId="164" fontId="32" fillId="2" borderId="133" xfId="0" applyNumberFormat="1" applyFont="1" applyFill="1" applyBorder="1" applyAlignment="1">
      <alignment horizontal="center" vertical="center"/>
    </xf>
    <xf numFmtId="205" fontId="37" fillId="6" borderId="136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129" xfId="2" applyNumberFormat="1" applyFont="1" applyFill="1" applyBorder="1" applyAlignment="1" applyProtection="1">
      <alignment horizontal="center" vertical="center" wrapText="1"/>
      <protection locked="0"/>
    </xf>
    <xf numFmtId="205" fontId="37" fillId="6" borderId="131" xfId="2" applyNumberFormat="1" applyFont="1" applyFill="1" applyBorder="1" applyAlignment="1" applyProtection="1">
      <alignment horizontal="center" vertical="center" wrapText="1"/>
      <protection locked="0"/>
    </xf>
    <xf numFmtId="165" fontId="16" fillId="2" borderId="126" xfId="3" applyFont="1" applyFill="1" applyBorder="1" applyAlignment="1">
      <alignment horizontal="center" vertical="center" wrapText="1"/>
    </xf>
    <xf numFmtId="165" fontId="17" fillId="2" borderId="126" xfId="3" applyFont="1" applyFill="1" applyBorder="1" applyAlignment="1">
      <alignment horizontal="center" vertical="center" wrapText="1"/>
    </xf>
    <xf numFmtId="164" fontId="30" fillId="2" borderId="126" xfId="0" applyNumberFormat="1" applyFont="1" applyFill="1" applyBorder="1" applyAlignment="1">
      <alignment horizontal="center" vertical="center"/>
    </xf>
    <xf numFmtId="205" fontId="19" fillId="6" borderId="105" xfId="2" applyNumberFormat="1" applyFont="1" applyFill="1" applyBorder="1" applyAlignment="1" applyProtection="1">
      <alignment horizontal="center" vertical="center" wrapText="1"/>
      <protection locked="0"/>
    </xf>
    <xf numFmtId="165" fontId="146" fillId="2" borderId="126" xfId="3" applyFont="1" applyFill="1" applyBorder="1" applyAlignment="1">
      <alignment horizontal="center" vertical="center" wrapText="1"/>
    </xf>
    <xf numFmtId="164" fontId="149" fillId="2" borderId="126" xfId="0" applyNumberFormat="1" applyFont="1" applyFill="1" applyBorder="1" applyAlignment="1">
      <alignment horizontal="center" vertical="center"/>
    </xf>
    <xf numFmtId="164" fontId="150" fillId="2" borderId="126" xfId="0" applyNumberFormat="1" applyFont="1" applyFill="1" applyBorder="1" applyAlignment="1">
      <alignment horizontal="center" vertical="center"/>
    </xf>
    <xf numFmtId="205" fontId="146" fillId="6" borderId="105" xfId="2" applyNumberFormat="1" applyFont="1" applyFill="1" applyBorder="1" applyAlignment="1" applyProtection="1">
      <alignment horizontal="center" vertical="center" wrapText="1"/>
      <protection locked="0"/>
    </xf>
    <xf numFmtId="165" fontId="17" fillId="0" borderId="126" xfId="3" applyFont="1" applyFill="1" applyBorder="1" applyAlignment="1">
      <alignment horizontal="center" vertical="center" wrapText="1"/>
    </xf>
    <xf numFmtId="49" fontId="17" fillId="0" borderId="128" xfId="3" applyNumberFormat="1" applyFont="1" applyFill="1" applyBorder="1" applyAlignment="1">
      <alignment horizontal="center" vertical="center"/>
    </xf>
    <xf numFmtId="165" fontId="17" fillId="0" borderId="129" xfId="3" applyFont="1" applyFill="1" applyBorder="1" applyAlignment="1">
      <alignment horizontal="left" vertical="center" wrapText="1" indent="2"/>
    </xf>
    <xf numFmtId="165" fontId="17" fillId="0" borderId="130" xfId="3" applyFont="1" applyFill="1" applyBorder="1" applyAlignment="1">
      <alignment horizontal="center" vertical="center" wrapText="1"/>
    </xf>
    <xf numFmtId="164" fontId="30" fillId="49" borderId="129" xfId="0" applyNumberFormat="1" applyFont="1" applyFill="1" applyBorder="1" applyAlignment="1">
      <alignment horizontal="center" vertical="center"/>
    </xf>
    <xf numFmtId="164" fontId="30" fillId="49" borderId="130" xfId="0" applyNumberFormat="1" applyFont="1" applyFill="1" applyBorder="1" applyAlignment="1">
      <alignment horizontal="center" vertical="center"/>
    </xf>
    <xf numFmtId="164" fontId="30" fillId="49" borderId="133" xfId="0" applyNumberFormat="1" applyFont="1" applyFill="1" applyBorder="1" applyAlignment="1">
      <alignment horizontal="center" vertical="center"/>
    </xf>
    <xf numFmtId="164" fontId="30" fillId="2" borderId="129" xfId="0" applyNumberFormat="1" applyFont="1" applyFill="1" applyBorder="1" applyAlignment="1">
      <alignment horizontal="center" vertical="center"/>
    </xf>
    <xf numFmtId="164" fontId="30" fillId="2" borderId="130" xfId="0" applyNumberFormat="1" applyFont="1" applyFill="1" applyBorder="1" applyAlignment="1">
      <alignment horizontal="center" vertical="center"/>
    </xf>
    <xf numFmtId="164" fontId="30" fillId="2" borderId="133" xfId="0" applyNumberFormat="1" applyFont="1" applyFill="1" applyBorder="1" applyAlignment="1">
      <alignment horizontal="center" vertical="center"/>
    </xf>
    <xf numFmtId="165" fontId="17" fillId="0" borderId="136" xfId="3" applyFont="1" applyFill="1" applyBorder="1" applyAlignment="1">
      <alignment horizontal="left" vertical="center" wrapText="1" indent="2"/>
    </xf>
    <xf numFmtId="0" fontId="22" fillId="2" borderId="134" xfId="0" applyFont="1" applyFill="1" applyBorder="1" applyAlignment="1">
      <alignment wrapText="1"/>
    </xf>
    <xf numFmtId="0" fontId="17" fillId="0" borderId="134" xfId="0" applyFont="1" applyBorder="1"/>
    <xf numFmtId="0" fontId="17" fillId="0" borderId="126" xfId="9" applyFont="1" applyFill="1" applyBorder="1" applyAlignment="1">
      <alignment horizontal="center" vertical="center" wrapText="1"/>
    </xf>
    <xf numFmtId="0" fontId="16" fillId="0" borderId="126" xfId="9" applyFont="1" applyFill="1" applyBorder="1" applyAlignment="1">
      <alignment horizontal="center" vertical="center" wrapText="1"/>
    </xf>
    <xf numFmtId="164" fontId="17" fillId="2" borderId="126" xfId="0" applyNumberFormat="1" applyFont="1" applyFill="1" applyBorder="1" applyAlignment="1">
      <alignment horizontal="center" vertical="center"/>
    </xf>
    <xf numFmtId="164" fontId="16" fillId="2" borderId="126" xfId="0" applyNumberFormat="1" applyFont="1" applyFill="1" applyBorder="1" applyAlignment="1">
      <alignment horizontal="center" vertical="center"/>
    </xf>
    <xf numFmtId="165" fontId="16" fillId="0" borderId="129" xfId="3" applyFont="1" applyFill="1" applyBorder="1" applyAlignment="1">
      <alignment vertical="center" wrapText="1"/>
    </xf>
    <xf numFmtId="205" fontId="136" fillId="6" borderId="131" xfId="2" applyNumberFormat="1" applyFont="1" applyFill="1" applyBorder="1" applyAlignment="1" applyProtection="1">
      <alignment horizontal="center" vertical="center" wrapText="1"/>
      <protection locked="0"/>
    </xf>
    <xf numFmtId="0" fontId="17" fillId="0" borderId="129" xfId="9" applyFont="1" applyFill="1" applyBorder="1" applyAlignment="1">
      <alignment horizontal="left" vertical="center" wrapText="1"/>
    </xf>
    <xf numFmtId="165" fontId="17" fillId="0" borderId="126" xfId="3" applyFont="1" applyFill="1" applyBorder="1" applyAlignment="1">
      <alignment horizontal="center" vertical="center"/>
    </xf>
    <xf numFmtId="0" fontId="22" fillId="2" borderId="126" xfId="0" applyFont="1" applyFill="1" applyBorder="1" applyAlignment="1">
      <alignment horizontal="center" vertical="center"/>
    </xf>
    <xf numFmtId="205" fontId="19" fillId="2" borderId="135" xfId="2" applyNumberFormat="1" applyFont="1" applyFill="1" applyBorder="1" applyAlignment="1" applyProtection="1">
      <alignment vertical="center" wrapText="1"/>
      <protection locked="0"/>
    </xf>
    <xf numFmtId="205" fontId="19" fillId="2" borderId="127" xfId="2" applyNumberFormat="1" applyFont="1" applyFill="1" applyBorder="1" applyAlignment="1" applyProtection="1">
      <alignment vertical="center" wrapText="1"/>
      <protection locked="0"/>
    </xf>
    <xf numFmtId="4" fontId="30" fillId="50" borderId="126" xfId="0" applyNumberFormat="1" applyFont="1" applyFill="1" applyBorder="1" applyAlignment="1">
      <alignment vertical="center"/>
    </xf>
    <xf numFmtId="4" fontId="30" fillId="2" borderId="126" xfId="0" applyNumberFormat="1" applyFont="1" applyFill="1" applyBorder="1" applyAlignment="1">
      <alignment vertical="center"/>
    </xf>
    <xf numFmtId="165" fontId="157" fillId="0" borderId="126" xfId="3" applyFont="1" applyFill="1" applyBorder="1" applyAlignment="1">
      <alignment horizontal="center" vertical="center"/>
    </xf>
    <xf numFmtId="4" fontId="158" fillId="51" borderId="128" xfId="0" applyNumberFormat="1" applyFont="1" applyFill="1" applyBorder="1" applyAlignment="1">
      <alignment vertical="center"/>
    </xf>
    <xf numFmtId="4" fontId="159" fillId="49" borderId="129" xfId="0" applyNumberFormat="1" applyFont="1" applyFill="1" applyBorder="1" applyAlignment="1">
      <alignment vertical="center"/>
    </xf>
    <xf numFmtId="4" fontId="159" fillId="0" borderId="130" xfId="0" applyNumberFormat="1" applyFont="1" applyFill="1" applyBorder="1" applyAlignment="1">
      <alignment vertical="center"/>
    </xf>
    <xf numFmtId="4" fontId="158" fillId="50" borderId="128" xfId="0" applyNumberFormat="1" applyFont="1" applyFill="1" applyBorder="1" applyAlignment="1">
      <alignment vertical="center"/>
    </xf>
    <xf numFmtId="4" fontId="159" fillId="2" borderId="129" xfId="0" applyNumberFormat="1" applyFont="1" applyFill="1" applyBorder="1" applyAlignment="1">
      <alignment vertical="center"/>
    </xf>
    <xf numFmtId="4" fontId="159" fillId="2" borderId="130" xfId="0" applyNumberFormat="1" applyFont="1" applyFill="1" applyBorder="1" applyAlignment="1">
      <alignment vertical="center"/>
    </xf>
    <xf numFmtId="4" fontId="159" fillId="2" borderId="126" xfId="0" applyNumberFormat="1" applyFont="1" applyFill="1" applyBorder="1" applyAlignment="1">
      <alignment vertical="center"/>
    </xf>
    <xf numFmtId="205" fontId="160" fillId="6" borderId="105" xfId="2" applyNumberFormat="1" applyFont="1" applyFill="1" applyBorder="1" applyAlignment="1" applyProtection="1">
      <alignment horizontal="center" vertical="center" wrapText="1"/>
      <protection locked="0"/>
    </xf>
    <xf numFmtId="0" fontId="158" fillId="51" borderId="126" xfId="0" applyNumberFormat="1" applyFont="1" applyFill="1" applyBorder="1" applyAlignment="1">
      <alignment vertical="center"/>
    </xf>
    <xf numFmtId="4" fontId="158" fillId="51" borderId="126" xfId="0" applyNumberFormat="1" applyFont="1" applyFill="1" applyBorder="1" applyAlignment="1">
      <alignment vertical="center"/>
    </xf>
    <xf numFmtId="4" fontId="21" fillId="0" borderId="136" xfId="17" applyNumberFormat="1" applyFont="1" applyFill="1" applyBorder="1" applyAlignment="1">
      <alignment horizontal="center" vertical="center"/>
    </xf>
    <xf numFmtId="166" fontId="136" fillId="6" borderId="133" xfId="5" applyNumberFormat="1" applyFont="1" applyFill="1" applyBorder="1" applyAlignment="1">
      <alignment horizontal="center" vertical="center"/>
    </xf>
    <xf numFmtId="4" fontId="21" fillId="0" borderId="128" xfId="17" applyNumberFormat="1" applyFont="1" applyFill="1" applyBorder="1" applyAlignment="1">
      <alignment horizontal="center" vertical="center"/>
    </xf>
    <xf numFmtId="4" fontId="21" fillId="0" borderId="129" xfId="17" applyNumberFormat="1" applyFont="1" applyFill="1" applyBorder="1" applyAlignment="1">
      <alignment horizontal="center" vertical="center"/>
    </xf>
    <xf numFmtId="4" fontId="21" fillId="0" borderId="131" xfId="17" applyNumberFormat="1" applyFont="1" applyFill="1" applyBorder="1" applyAlignment="1">
      <alignment horizontal="center" vertical="center"/>
    </xf>
    <xf numFmtId="4" fontId="21" fillId="0" borderId="134" xfId="17" applyNumberFormat="1" applyFont="1" applyFill="1" applyBorder="1" applyAlignment="1">
      <alignment horizontal="center" vertical="center"/>
    </xf>
    <xf numFmtId="0" fontId="21" fillId="0" borderId="128" xfId="17" applyFont="1" applyFill="1" applyBorder="1" applyAlignment="1">
      <alignment horizontal="center" vertical="center" wrapText="1"/>
    </xf>
    <xf numFmtId="0" fontId="21" fillId="0" borderId="130" xfId="17" applyFont="1" applyFill="1" applyBorder="1" applyAlignment="1">
      <alignment horizontal="center" vertical="center"/>
    </xf>
    <xf numFmtId="0" fontId="259" fillId="97" borderId="126" xfId="0" applyFont="1" applyFill="1" applyBorder="1" applyAlignment="1">
      <alignment horizontal="center" vertical="center" wrapText="1"/>
    </xf>
    <xf numFmtId="4" fontId="266" fillId="97" borderId="126" xfId="0" applyNumberFormat="1" applyFont="1" applyFill="1" applyBorder="1" applyAlignment="1">
      <alignment horizontal="right" vertical="center" wrapText="1"/>
    </xf>
    <xf numFmtId="4" fontId="266" fillId="101" borderId="126" xfId="0" applyNumberFormat="1" applyFont="1" applyFill="1" applyBorder="1" applyAlignment="1">
      <alignment horizontal="right" vertical="center" wrapText="1"/>
    </xf>
    <xf numFmtId="4" fontId="272" fillId="97" borderId="126" xfId="0" applyNumberFormat="1" applyFont="1" applyFill="1" applyBorder="1" applyAlignment="1">
      <alignment horizontal="right" vertical="center" wrapText="1"/>
    </xf>
    <xf numFmtId="172" fontId="16" fillId="8" borderId="7" xfId="3695" applyNumberFormat="1" applyFont="1" applyFill="1" applyBorder="1" applyAlignment="1">
      <alignment horizontal="center" vertical="center"/>
    </xf>
    <xf numFmtId="172" fontId="16" fillId="8" borderId="19" xfId="3695" applyNumberFormat="1" applyFont="1" applyFill="1" applyBorder="1" applyAlignment="1">
      <alignment horizontal="center" vertical="center"/>
    </xf>
    <xf numFmtId="172" fontId="16" fillId="8" borderId="50" xfId="3695" applyNumberFormat="1" applyFont="1" applyFill="1" applyBorder="1" applyAlignment="1">
      <alignment horizontal="center" vertical="center"/>
    </xf>
    <xf numFmtId="172" fontId="16" fillId="8" borderId="9" xfId="3695" applyNumberFormat="1" applyFont="1" applyFill="1" applyBorder="1" applyAlignment="1">
      <alignment horizontal="center" vertical="center"/>
    </xf>
    <xf numFmtId="172" fontId="16" fillId="8" borderId="57" xfId="3695" applyNumberFormat="1" applyFont="1" applyFill="1" applyBorder="1" applyAlignment="1">
      <alignment horizontal="center" vertical="center"/>
    </xf>
    <xf numFmtId="172" fontId="16" fillId="8" borderId="10" xfId="3695" applyNumberFormat="1" applyFont="1" applyFill="1" applyBorder="1" applyAlignment="1">
      <alignment horizontal="center" vertical="center"/>
    </xf>
    <xf numFmtId="172" fontId="16" fillId="8" borderId="13" xfId="3695" applyNumberFormat="1" applyFont="1" applyFill="1" applyBorder="1" applyAlignment="1">
      <alignment horizontal="center" vertical="center"/>
    </xf>
    <xf numFmtId="172" fontId="16" fillId="8" borderId="51" xfId="3695" applyNumberFormat="1" applyFont="1" applyFill="1" applyBorder="1" applyAlignment="1">
      <alignment horizontal="center" vertical="center"/>
    </xf>
    <xf numFmtId="172" fontId="16" fillId="8" borderId="12" xfId="3695" applyNumberFormat="1" applyFont="1" applyFill="1" applyBorder="1" applyAlignment="1">
      <alignment horizontal="center" vertical="center"/>
    </xf>
    <xf numFmtId="172" fontId="16" fillId="8" borderId="54" xfId="3695" applyNumberFormat="1" applyFont="1" applyFill="1" applyBorder="1" applyAlignment="1">
      <alignment horizontal="center" vertical="center"/>
    </xf>
    <xf numFmtId="172" fontId="16" fillId="8" borderId="129" xfId="3695" applyNumberFormat="1" applyFont="1" applyFill="1" applyBorder="1" applyAlignment="1">
      <alignment horizontal="center" vertical="center"/>
    </xf>
    <xf numFmtId="172" fontId="16" fillId="8" borderId="130" xfId="3695" applyNumberFormat="1" applyFont="1" applyFill="1" applyBorder="1" applyAlignment="1">
      <alignment horizontal="center" vertical="center"/>
    </xf>
    <xf numFmtId="172" fontId="16" fillId="8" borderId="133" xfId="3695" applyNumberFormat="1" applyFont="1" applyFill="1" applyBorder="1" applyAlignment="1">
      <alignment horizontal="center" vertical="center"/>
    </xf>
    <xf numFmtId="172" fontId="16" fillId="8" borderId="131" xfId="3695" applyNumberFormat="1" applyFont="1" applyFill="1" applyBorder="1" applyAlignment="1">
      <alignment horizontal="center" vertical="center"/>
    </xf>
    <xf numFmtId="172" fontId="16" fillId="8" borderId="132" xfId="3695" applyNumberFormat="1" applyFont="1" applyFill="1" applyBorder="1" applyAlignment="1">
      <alignment horizontal="center" vertical="center"/>
    </xf>
    <xf numFmtId="172" fontId="16" fillId="8" borderId="6" xfId="3695" applyNumberFormat="1" applyFont="1" applyFill="1" applyBorder="1" applyAlignment="1">
      <alignment horizontal="center" vertical="center"/>
    </xf>
    <xf numFmtId="0" fontId="291" fillId="0" borderId="7" xfId="3688" applyFont="1" applyBorder="1" applyAlignment="1">
      <alignment horizontal="center" vertical="center" wrapText="1"/>
    </xf>
    <xf numFmtId="0" fontId="22" fillId="0" borderId="24" xfId="6" applyFont="1" applyBorder="1" applyAlignment="1">
      <alignment horizontal="left" wrapText="1"/>
    </xf>
    <xf numFmtId="0" fontId="22" fillId="0" borderId="0" xfId="6" applyFont="1" applyBorder="1" applyAlignment="1">
      <alignment horizontal="left" wrapText="1"/>
    </xf>
    <xf numFmtId="0" fontId="16" fillId="77" borderId="0" xfId="6" applyFont="1" applyFill="1" applyBorder="1" applyAlignment="1">
      <alignment horizontal="center"/>
    </xf>
    <xf numFmtId="0" fontId="141" fillId="0" borderId="69" xfId="6" applyFont="1" applyBorder="1" applyAlignment="1">
      <alignment horizontal="center" vertical="center" wrapText="1"/>
    </xf>
    <xf numFmtId="0" fontId="141" fillId="0" borderId="68" xfId="6" applyFont="1" applyBorder="1" applyAlignment="1">
      <alignment horizontal="center" vertical="center" wrapText="1"/>
    </xf>
    <xf numFmtId="0" fontId="141" fillId="0" borderId="53" xfId="6" applyFont="1" applyBorder="1" applyAlignment="1">
      <alignment horizontal="center" vertical="center" wrapText="1"/>
    </xf>
    <xf numFmtId="0" fontId="141" fillId="0" borderId="1" xfId="6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2" fillId="0" borderId="36" xfId="6" applyFont="1" applyBorder="1" applyAlignment="1">
      <alignment horizontal="center"/>
    </xf>
    <xf numFmtId="49" fontId="15" fillId="45" borderId="71" xfId="0" applyNumberFormat="1" applyFont="1" applyFill="1" applyBorder="1" applyAlignment="1">
      <alignment horizontal="left" vertical="center" wrapText="1"/>
    </xf>
    <xf numFmtId="0" fontId="144" fillId="0" borderId="60" xfId="0" applyFont="1" applyBorder="1" applyAlignment="1">
      <alignment horizontal="left" vertical="center" wrapText="1"/>
    </xf>
    <xf numFmtId="49" fontId="15" fillId="45" borderId="15" xfId="0" applyNumberFormat="1" applyFont="1" applyFill="1" applyBorder="1" applyAlignment="1">
      <alignment horizontal="left" vertical="center" wrapText="1"/>
    </xf>
    <xf numFmtId="0" fontId="144" fillId="0" borderId="16" xfId="0" applyFont="1" applyBorder="1" applyAlignment="1">
      <alignment horizontal="left" vertical="center" wrapText="1"/>
    </xf>
    <xf numFmtId="49" fontId="15" fillId="45" borderId="92" xfId="0" applyNumberFormat="1" applyFont="1" applyFill="1" applyBorder="1" applyAlignment="1">
      <alignment horizontal="left" vertical="center" wrapText="1"/>
    </xf>
    <xf numFmtId="49" fontId="15" fillId="45" borderId="65" xfId="0" applyNumberFormat="1" applyFont="1" applyFill="1" applyBorder="1" applyAlignment="1">
      <alignment horizontal="left" vertical="center" wrapText="1"/>
    </xf>
    <xf numFmtId="0" fontId="16" fillId="46" borderId="124" xfId="9" applyFont="1" applyFill="1" applyBorder="1" applyAlignment="1">
      <alignment horizontal="center" vertical="center" wrapText="1"/>
    </xf>
    <xf numFmtId="0" fontId="16" fillId="46" borderId="4" xfId="9" applyFont="1" applyFill="1" applyBorder="1" applyAlignment="1">
      <alignment horizontal="center" vertical="center" wrapText="1"/>
    </xf>
    <xf numFmtId="0" fontId="16" fillId="46" borderId="125" xfId="9" applyFont="1" applyFill="1" applyBorder="1" applyAlignment="1">
      <alignment horizontal="center" vertical="center" wrapText="1"/>
    </xf>
    <xf numFmtId="0" fontId="16" fillId="46" borderId="126" xfId="9" applyFont="1" applyFill="1" applyBorder="1" applyAlignment="1">
      <alignment horizontal="center" vertical="center" wrapText="1"/>
    </xf>
    <xf numFmtId="0" fontId="16" fillId="46" borderId="48" xfId="9" applyFont="1" applyFill="1" applyBorder="1" applyAlignment="1">
      <alignment horizontal="center" vertical="center" wrapText="1"/>
    </xf>
    <xf numFmtId="0" fontId="16" fillId="46" borderId="49" xfId="9" applyFont="1" applyFill="1" applyBorder="1" applyAlignment="1">
      <alignment horizontal="center" vertical="center" wrapText="1"/>
    </xf>
    <xf numFmtId="0" fontId="16" fillId="2" borderId="48" xfId="9" applyFont="1" applyFill="1" applyBorder="1" applyAlignment="1">
      <alignment horizontal="center" vertical="center" wrapText="1"/>
    </xf>
    <xf numFmtId="0" fontId="16" fillId="2" borderId="49" xfId="9" applyFont="1" applyFill="1" applyBorder="1" applyAlignment="1">
      <alignment horizontal="center" vertical="center" wrapText="1"/>
    </xf>
    <xf numFmtId="0" fontId="16" fillId="2" borderId="124" xfId="9" applyFont="1" applyFill="1" applyBorder="1" applyAlignment="1">
      <alignment horizontal="center" vertical="center" wrapText="1"/>
    </xf>
    <xf numFmtId="0" fontId="16" fillId="2" borderId="4" xfId="9" applyFont="1" applyFill="1" applyBorder="1" applyAlignment="1">
      <alignment horizontal="center" vertical="center" wrapText="1"/>
    </xf>
    <xf numFmtId="0" fontId="16" fillId="2" borderId="125" xfId="9" applyFont="1" applyFill="1" applyBorder="1" applyAlignment="1">
      <alignment horizontal="center" vertical="center" wrapText="1"/>
    </xf>
    <xf numFmtId="0" fontId="16" fillId="2" borderId="126" xfId="9" applyFont="1" applyFill="1" applyBorder="1" applyAlignment="1">
      <alignment horizontal="center" vertical="center" wrapText="1"/>
    </xf>
    <xf numFmtId="205" fontId="17" fillId="6" borderId="2" xfId="3" applyNumberFormat="1" applyFont="1" applyFill="1" applyBorder="1" applyAlignment="1">
      <alignment horizontal="center" vertical="center" wrapText="1"/>
    </xf>
    <xf numFmtId="205" fontId="17" fillId="6" borderId="23" xfId="3" applyNumberFormat="1" applyFont="1" applyFill="1" applyBorder="1" applyAlignment="1">
      <alignment horizontal="center" vertical="center" wrapText="1"/>
    </xf>
    <xf numFmtId="205" fontId="17" fillId="6" borderId="5" xfId="3" applyNumberFormat="1" applyFont="1" applyFill="1" applyBorder="1" applyAlignment="1">
      <alignment horizontal="center" vertical="center" wrapText="1"/>
    </xf>
    <xf numFmtId="205" fontId="17" fillId="6" borderId="3" xfId="3" applyNumberFormat="1" applyFont="1" applyFill="1" applyBorder="1" applyAlignment="1">
      <alignment horizontal="center" vertical="center" wrapText="1"/>
    </xf>
    <xf numFmtId="205" fontId="17" fillId="6" borderId="78" xfId="3" applyNumberFormat="1" applyFont="1" applyFill="1" applyBorder="1" applyAlignment="1">
      <alignment horizontal="center" vertical="center" wrapText="1"/>
    </xf>
    <xf numFmtId="205" fontId="17" fillId="6" borderId="6" xfId="3" applyNumberFormat="1" applyFont="1" applyFill="1" applyBorder="1" applyAlignment="1">
      <alignment horizontal="center" vertical="center" wrapText="1"/>
    </xf>
    <xf numFmtId="49" fontId="16" fillId="0" borderId="65" xfId="9" applyNumberFormat="1" applyFont="1" applyFill="1" applyBorder="1" applyAlignment="1">
      <alignment horizontal="center" vertical="center" wrapText="1"/>
    </xf>
    <xf numFmtId="49" fontId="16" fillId="0" borderId="64" xfId="9" applyNumberFormat="1" applyFont="1" applyFill="1" applyBorder="1" applyAlignment="1">
      <alignment horizontal="center" vertical="center" wrapText="1"/>
    </xf>
    <xf numFmtId="49" fontId="16" fillId="0" borderId="66" xfId="9" applyNumberFormat="1" applyFont="1" applyFill="1" applyBorder="1" applyAlignment="1">
      <alignment horizontal="center" vertical="center" wrapText="1"/>
    </xf>
    <xf numFmtId="0" fontId="16" fillId="46" borderId="69" xfId="9" applyFont="1" applyFill="1" applyBorder="1" applyAlignment="1">
      <alignment horizontal="center" vertical="center" wrapText="1"/>
    </xf>
    <xf numFmtId="0" fontId="16" fillId="46" borderId="68" xfId="9" applyFont="1" applyFill="1" applyBorder="1" applyAlignment="1">
      <alignment horizontal="center" vertical="center" wrapText="1"/>
    </xf>
    <xf numFmtId="0" fontId="16" fillId="46" borderId="53" xfId="9" applyFont="1" applyFill="1" applyBorder="1" applyAlignment="1">
      <alignment horizontal="center" vertical="center" wrapText="1"/>
    </xf>
    <xf numFmtId="205" fontId="17" fillId="6" borderId="1" xfId="3" applyNumberFormat="1" applyFont="1" applyFill="1" applyBorder="1" applyAlignment="1">
      <alignment horizontal="center" vertical="center" wrapText="1"/>
    </xf>
    <xf numFmtId="205" fontId="17" fillId="6" borderId="76" xfId="3" applyNumberFormat="1" applyFont="1" applyFill="1" applyBorder="1" applyAlignment="1">
      <alignment horizontal="center" vertical="center" wrapText="1"/>
    </xf>
    <xf numFmtId="205" fontId="17" fillId="6" borderId="4" xfId="3" applyNumberFormat="1" applyFont="1" applyFill="1" applyBorder="1" applyAlignment="1">
      <alignment horizontal="center" vertical="center" wrapText="1"/>
    </xf>
    <xf numFmtId="205" fontId="17" fillId="6" borderId="93" xfId="3" applyNumberFormat="1" applyFont="1" applyFill="1" applyBorder="1" applyAlignment="1">
      <alignment horizontal="center" vertical="center" wrapText="1"/>
    </xf>
    <xf numFmtId="205" fontId="17" fillId="6" borderId="37" xfId="3" applyNumberFormat="1" applyFont="1" applyFill="1" applyBorder="1" applyAlignment="1">
      <alignment horizontal="center" vertical="center" wrapText="1"/>
    </xf>
    <xf numFmtId="205" fontId="17" fillId="6" borderId="94" xfId="3" applyNumberFormat="1" applyFont="1" applyFill="1" applyBorder="1" applyAlignment="1">
      <alignment horizontal="center" vertical="center" wrapText="1"/>
    </xf>
    <xf numFmtId="0" fontId="16" fillId="46" borderId="65" xfId="9" applyFont="1" applyFill="1" applyBorder="1" applyAlignment="1">
      <alignment horizontal="center" vertical="center" wrapText="1"/>
    </xf>
    <xf numFmtId="0" fontId="16" fillId="46" borderId="64" xfId="9" applyFont="1" applyFill="1" applyBorder="1" applyAlignment="1">
      <alignment horizontal="center" vertical="center" wrapText="1"/>
    </xf>
    <xf numFmtId="0" fontId="16" fillId="46" borderId="66" xfId="9" applyFont="1" applyFill="1" applyBorder="1" applyAlignment="1">
      <alignment horizontal="center" vertical="center" wrapText="1"/>
    </xf>
    <xf numFmtId="49" fontId="16" fillId="0" borderId="20" xfId="9" applyNumberFormat="1" applyFont="1" applyFill="1" applyBorder="1" applyAlignment="1">
      <alignment horizontal="center" vertical="center" wrapText="1"/>
    </xf>
    <xf numFmtId="49" fontId="16" fillId="0" borderId="76" xfId="9" applyNumberFormat="1" applyFont="1" applyFill="1" applyBorder="1" applyAlignment="1">
      <alignment horizontal="center" vertical="center" wrapText="1"/>
    </xf>
    <xf numFmtId="49" fontId="16" fillId="0" borderId="75" xfId="9" applyNumberFormat="1" applyFont="1" applyFill="1" applyBorder="1" applyAlignment="1">
      <alignment horizontal="center" vertical="center" wrapText="1"/>
    </xf>
    <xf numFmtId="49" fontId="16" fillId="0" borderId="23" xfId="9" applyNumberFormat="1" applyFont="1" applyFill="1" applyBorder="1" applyAlignment="1">
      <alignment horizontal="center" vertical="center" wrapText="1"/>
    </xf>
    <xf numFmtId="49" fontId="16" fillId="0" borderId="63" xfId="9" applyNumberFormat="1" applyFont="1" applyFill="1" applyBorder="1" applyAlignment="1">
      <alignment horizontal="center" vertical="center" wrapText="1"/>
    </xf>
    <xf numFmtId="49" fontId="16" fillId="0" borderId="24" xfId="9" applyNumberFormat="1" applyFont="1" applyFill="1" applyBorder="1" applyAlignment="1">
      <alignment horizontal="center" vertical="center" wrapText="1"/>
    </xf>
    <xf numFmtId="0" fontId="16" fillId="46" borderId="1" xfId="9" applyFont="1" applyFill="1" applyBorder="1" applyAlignment="1">
      <alignment horizontal="center" vertical="center" wrapText="1"/>
    </xf>
    <xf numFmtId="0" fontId="16" fillId="46" borderId="2" xfId="9" applyFont="1" applyFill="1" applyBorder="1" applyAlignment="1">
      <alignment horizontal="center" vertical="center" wrapText="1"/>
    </xf>
    <xf numFmtId="0" fontId="16" fillId="46" borderId="67" xfId="9" applyFont="1" applyFill="1" applyBorder="1" applyAlignment="1">
      <alignment horizontal="center" vertical="center" wrapText="1"/>
    </xf>
    <xf numFmtId="0" fontId="16" fillId="46" borderId="11" xfId="9" applyFont="1" applyFill="1" applyBorder="1" applyAlignment="1">
      <alignment horizontal="center" vertical="center" wrapText="1"/>
    </xf>
    <xf numFmtId="0" fontId="16" fillId="46" borderId="10" xfId="9" applyFont="1" applyFill="1" applyBorder="1" applyAlignment="1">
      <alignment horizontal="center" vertical="center" wrapText="1"/>
    </xf>
    <xf numFmtId="0" fontId="16" fillId="46" borderId="13" xfId="9" applyFont="1" applyFill="1" applyBorder="1" applyAlignment="1">
      <alignment horizontal="center" vertical="center" wrapText="1"/>
    </xf>
    <xf numFmtId="0" fontId="16" fillId="2" borderId="11" xfId="9" applyFont="1" applyFill="1" applyBorder="1" applyAlignment="1">
      <alignment horizontal="center" vertical="center" wrapText="1"/>
    </xf>
    <xf numFmtId="0" fontId="16" fillId="2" borderId="10" xfId="9" applyFont="1" applyFill="1" applyBorder="1" applyAlignment="1">
      <alignment horizontal="center" vertical="center" wrapText="1"/>
    </xf>
    <xf numFmtId="0" fontId="16" fillId="2" borderId="13" xfId="9" applyFont="1" applyFill="1" applyBorder="1" applyAlignment="1">
      <alignment horizontal="center" vertical="center" wrapText="1"/>
    </xf>
    <xf numFmtId="0" fontId="16" fillId="46" borderId="102" xfId="9" applyFont="1" applyFill="1" applyBorder="1" applyAlignment="1">
      <alignment horizontal="center" vertical="center" wrapText="1"/>
    </xf>
    <xf numFmtId="0" fontId="16" fillId="2" borderId="102" xfId="9" applyFont="1" applyFill="1" applyBorder="1" applyAlignment="1">
      <alignment horizontal="center" vertical="center" wrapText="1"/>
    </xf>
    <xf numFmtId="0" fontId="264" fillId="0" borderId="11" xfId="0" applyFont="1" applyFill="1" applyBorder="1" applyAlignment="1">
      <alignment horizontal="center" vertical="center" wrapText="1"/>
    </xf>
    <xf numFmtId="0" fontId="264" fillId="0" borderId="128" xfId="0" applyFont="1" applyFill="1" applyBorder="1" applyAlignment="1">
      <alignment horizontal="center" vertical="center" wrapText="1"/>
    </xf>
    <xf numFmtId="0" fontId="264" fillId="0" borderId="10" xfId="0" applyFont="1" applyFill="1" applyBorder="1" applyAlignment="1">
      <alignment horizontal="center" vertical="center" wrapText="1"/>
    </xf>
    <xf numFmtId="0" fontId="264" fillId="0" borderId="129" xfId="0" applyFont="1" applyFill="1" applyBorder="1" applyAlignment="1">
      <alignment horizontal="center" vertical="center" wrapText="1"/>
    </xf>
    <xf numFmtId="0" fontId="265" fillId="0" borderId="2" xfId="0" applyFont="1" applyFill="1" applyBorder="1" applyAlignment="1">
      <alignment horizontal="center" vertical="center" wrapText="1"/>
    </xf>
    <xf numFmtId="0" fontId="265" fillId="0" borderId="10" xfId="0" applyFont="1" applyFill="1" applyBorder="1" applyAlignment="1">
      <alignment horizontal="center" vertical="center" wrapText="1"/>
    </xf>
    <xf numFmtId="0" fontId="265" fillId="0" borderId="5" xfId="0" applyFont="1" applyFill="1" applyBorder="1" applyAlignment="1">
      <alignment horizontal="center" vertical="center" wrapText="1"/>
    </xf>
    <xf numFmtId="0" fontId="262" fillId="6" borderId="10" xfId="0" applyFont="1" applyFill="1" applyBorder="1" applyAlignment="1">
      <alignment horizontal="center" vertical="center" wrapText="1"/>
    </xf>
    <xf numFmtId="0" fontId="262" fillId="6" borderId="129" xfId="0" applyFont="1" applyFill="1" applyBorder="1" applyAlignment="1">
      <alignment horizontal="center" vertical="center" wrapText="1"/>
    </xf>
    <xf numFmtId="0" fontId="261" fillId="97" borderId="126" xfId="0" applyFont="1" applyFill="1" applyBorder="1" applyAlignment="1">
      <alignment horizontal="center" vertical="center" wrapText="1"/>
    </xf>
    <xf numFmtId="0" fontId="261" fillId="97" borderId="130" xfId="0" applyFont="1" applyFill="1" applyBorder="1" applyAlignment="1">
      <alignment horizontal="center" vertical="center" wrapText="1"/>
    </xf>
    <xf numFmtId="0" fontId="162" fillId="6" borderId="61" xfId="0" applyFont="1" applyFill="1" applyBorder="1" applyAlignment="1">
      <alignment horizontal="center" vertical="center" wrapText="1"/>
    </xf>
    <xf numFmtId="0" fontId="162" fillId="6" borderId="81" xfId="0" applyFont="1" applyFill="1" applyBorder="1" applyAlignment="1">
      <alignment horizontal="center" vertical="center" wrapText="1"/>
    </xf>
    <xf numFmtId="0" fontId="260" fillId="0" borderId="1" xfId="0" applyFont="1" applyFill="1" applyBorder="1" applyAlignment="1">
      <alignment horizontal="center" vertical="center" wrapText="1"/>
    </xf>
    <xf numFmtId="0" fontId="260" fillId="0" borderId="2" xfId="0" applyFont="1" applyFill="1" applyBorder="1" applyAlignment="1">
      <alignment horizontal="center" vertical="center" wrapText="1"/>
    </xf>
    <xf numFmtId="0" fontId="162" fillId="6" borderId="68" xfId="0" applyFont="1" applyFill="1" applyBorder="1" applyAlignment="1">
      <alignment horizontal="center" vertical="center" wrapText="1"/>
    </xf>
    <xf numFmtId="0" fontId="162" fillId="6" borderId="88" xfId="0" applyFont="1" applyFill="1" applyBorder="1" applyAlignment="1">
      <alignment horizontal="center" vertical="center" wrapText="1"/>
    </xf>
    <xf numFmtId="0" fontId="15" fillId="0" borderId="65" xfId="17" applyFont="1" applyFill="1" applyBorder="1" applyAlignment="1">
      <alignment horizontal="center" vertical="center" wrapText="1"/>
    </xf>
    <xf numFmtId="0" fontId="15" fillId="0" borderId="64" xfId="17" applyFont="1" applyFill="1" applyBorder="1" applyAlignment="1">
      <alignment horizontal="center" vertical="center" wrapText="1"/>
    </xf>
    <xf numFmtId="0" fontId="15" fillId="0" borderId="66" xfId="17" applyFont="1" applyFill="1" applyBorder="1" applyAlignment="1">
      <alignment horizontal="center" vertical="center" wrapText="1"/>
    </xf>
    <xf numFmtId="0" fontId="15" fillId="0" borderId="69" xfId="17" applyFont="1" applyFill="1" applyBorder="1" applyAlignment="1">
      <alignment horizontal="center" vertical="center" wrapText="1"/>
    </xf>
    <xf numFmtId="0" fontId="15" fillId="0" borderId="68" xfId="17" applyFont="1" applyFill="1" applyBorder="1" applyAlignment="1">
      <alignment horizontal="center" vertical="center" wrapText="1"/>
    </xf>
    <xf numFmtId="0" fontId="15" fillId="0" borderId="53" xfId="17" applyFont="1" applyFill="1" applyBorder="1" applyAlignment="1">
      <alignment horizontal="center" vertical="center" wrapText="1"/>
    </xf>
    <xf numFmtId="164" fontId="15" fillId="0" borderId="65" xfId="17" applyNumberFormat="1" applyFont="1" applyFill="1" applyBorder="1" applyAlignment="1">
      <alignment horizontal="center" vertical="center" wrapText="1"/>
    </xf>
    <xf numFmtId="0" fontId="15" fillId="0" borderId="20" xfId="17" applyFont="1" applyFill="1" applyBorder="1" applyAlignment="1">
      <alignment horizontal="center" vertical="center" wrapText="1"/>
    </xf>
    <xf numFmtId="0" fontId="162" fillId="0" borderId="62" xfId="0" applyFont="1" applyFill="1" applyBorder="1" applyAlignment="1"/>
    <xf numFmtId="0" fontId="15" fillId="0" borderId="67" xfId="17" applyFont="1" applyFill="1" applyBorder="1" applyAlignment="1">
      <alignment horizontal="center" vertical="center" wrapText="1"/>
    </xf>
    <xf numFmtId="0" fontId="162" fillId="0" borderId="80" xfId="0" applyFont="1" applyFill="1" applyBorder="1" applyAlignment="1"/>
    <xf numFmtId="0" fontId="261" fillId="97" borderId="13" xfId="0" applyFont="1" applyFill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73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49" fontId="141" fillId="45" borderId="13" xfId="0" applyNumberFormat="1" applyFont="1" applyFill="1" applyBorder="1" applyAlignment="1">
      <alignment horizontal="left" vertical="center" wrapText="1"/>
    </xf>
    <xf numFmtId="0" fontId="27" fillId="0" borderId="18" xfId="0" applyFont="1" applyBorder="1" applyAlignment="1">
      <alignment horizontal="left" vertical="center" wrapText="1"/>
    </xf>
    <xf numFmtId="4" fontId="30" fillId="0" borderId="126" xfId="3431" applyNumberFormat="1" applyFont="1" applyBorder="1" applyAlignment="1">
      <alignment horizontal="left" vertical="center"/>
    </xf>
    <xf numFmtId="4" fontId="30" fillId="0" borderId="135" xfId="3431" applyNumberFormat="1" applyFont="1" applyBorder="1" applyAlignment="1">
      <alignment horizontal="left" vertical="center"/>
    </xf>
    <xf numFmtId="4" fontId="30" fillId="0" borderId="105" xfId="3431" applyNumberFormat="1" applyFont="1" applyBorder="1" applyAlignment="1">
      <alignment horizontal="left" vertical="center"/>
    </xf>
    <xf numFmtId="0" fontId="147" fillId="0" borderId="0" xfId="3688" applyFont="1" applyAlignment="1">
      <alignment horizontal="left" vertical="center" wrapText="1" indent="15"/>
    </xf>
    <xf numFmtId="0" fontId="0" fillId="0" borderId="0" xfId="0" applyAlignment="1">
      <alignment horizontal="left" vertical="center" wrapText="1" indent="15"/>
    </xf>
    <xf numFmtId="0" fontId="147" fillId="0" borderId="0" xfId="3688" applyFont="1" applyAlignment="1">
      <alignment horizontal="right" vertical="center" wrapText="1"/>
    </xf>
    <xf numFmtId="0" fontId="32" fillId="0" borderId="36" xfId="3688" applyFont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24" fillId="0" borderId="129" xfId="3688" applyFont="1" applyBorder="1" applyAlignment="1">
      <alignment horizontal="center" vertical="center"/>
    </xf>
    <xf numFmtId="0" fontId="24" fillId="0" borderId="7" xfId="3688" applyFont="1" applyBorder="1" applyAlignment="1">
      <alignment horizontal="center" vertical="center"/>
    </xf>
    <xf numFmtId="0" fontId="24" fillId="0" borderId="129" xfId="3688" applyFont="1" applyBorder="1" applyAlignment="1">
      <alignment horizontal="center" vertical="center" wrapText="1"/>
    </xf>
    <xf numFmtId="0" fontId="24" fillId="0" borderId="7" xfId="3688" applyFont="1" applyBorder="1" applyAlignment="1">
      <alignment horizontal="center" vertical="center" wrapText="1"/>
    </xf>
    <xf numFmtId="0" fontId="24" fillId="2" borderId="126" xfId="3688" applyFont="1" applyFill="1" applyBorder="1" applyAlignment="1">
      <alignment horizontal="center" vertical="center" wrapText="1"/>
    </xf>
    <xf numFmtId="0" fontId="24" fillId="2" borderId="135" xfId="3688" applyFont="1" applyFill="1" applyBorder="1" applyAlignment="1">
      <alignment horizontal="center" vertical="center" wrapText="1"/>
    </xf>
    <xf numFmtId="0" fontId="0" fillId="0" borderId="135" xfId="0" applyBorder="1" applyAlignment="1">
      <alignment vertical="center" wrapText="1"/>
    </xf>
    <xf numFmtId="0" fontId="0" fillId="0" borderId="105" xfId="0" applyBorder="1" applyAlignment="1">
      <alignment vertical="center" wrapText="1"/>
    </xf>
    <xf numFmtId="0" fontId="147" fillId="0" borderId="129" xfId="3688" applyFont="1" applyBorder="1" applyAlignment="1">
      <alignment horizontal="center" vertical="center" wrapText="1"/>
    </xf>
    <xf numFmtId="0" fontId="147" fillId="0" borderId="23" xfId="3688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3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4" fontId="147" fillId="2" borderId="129" xfId="3688" applyNumberFormat="1" applyFont="1" applyFill="1" applyBorder="1" applyAlignment="1">
      <alignment horizontal="center" vertical="center" wrapText="1"/>
    </xf>
    <xf numFmtId="4" fontId="147" fillId="2" borderId="23" xfId="3688" applyNumberFormat="1" applyFont="1" applyFill="1" applyBorder="1" applyAlignment="1">
      <alignment horizontal="center" vertical="center" wrapText="1"/>
    </xf>
    <xf numFmtId="0" fontId="147" fillId="0" borderId="0" xfId="3688" applyFont="1" applyAlignment="1">
      <alignment horizontal="left" vertical="center" wrapText="1" indent="14"/>
    </xf>
    <xf numFmtId="0" fontId="0" fillId="0" borderId="0" xfId="0" applyAlignment="1">
      <alignment horizontal="left" vertical="center" wrapText="1" indent="14"/>
    </xf>
    <xf numFmtId="0" fontId="32" fillId="0" borderId="36" xfId="3688" applyFont="1" applyBorder="1" applyAlignment="1">
      <alignment horizontal="center" vertical="top" wrapText="1"/>
    </xf>
    <xf numFmtId="0" fontId="291" fillId="0" borderId="129" xfId="3688" applyFont="1" applyBorder="1" applyAlignment="1">
      <alignment horizontal="center" vertical="center" wrapText="1"/>
    </xf>
    <xf numFmtId="0" fontId="291" fillId="0" borderId="23" xfId="3688" applyFont="1" applyBorder="1" applyAlignment="1">
      <alignment horizontal="center" vertical="center" wrapText="1"/>
    </xf>
    <xf numFmtId="0" fontId="291" fillId="0" borderId="7" xfId="3688" applyFont="1" applyBorder="1" applyAlignment="1">
      <alignment horizontal="center" vertical="center" wrapText="1"/>
    </xf>
    <xf numFmtId="0" fontId="291" fillId="0" borderId="7" xfId="3688" applyFont="1" applyBorder="1" applyAlignment="1">
      <alignment horizontal="center" vertical="center"/>
    </xf>
    <xf numFmtId="0" fontId="291" fillId="0" borderId="126" xfId="3688" applyFont="1" applyBorder="1" applyAlignment="1">
      <alignment horizontal="center" vertical="center" wrapText="1"/>
    </xf>
    <xf numFmtId="0" fontId="291" fillId="0" borderId="105" xfId="3688" applyFont="1" applyBorder="1" applyAlignment="1">
      <alignment horizontal="center" vertical="center" wrapText="1"/>
    </xf>
    <xf numFmtId="0" fontId="27" fillId="0" borderId="0" xfId="3688" applyFont="1" applyAlignment="1">
      <alignment horizontal="left" vertical="center" wrapText="1"/>
    </xf>
    <xf numFmtId="0" fontId="291" fillId="0" borderId="135" xfId="3688" applyFont="1" applyBorder="1" applyAlignment="1">
      <alignment horizontal="center" vertical="center" wrapText="1"/>
    </xf>
    <xf numFmtId="0" fontId="141" fillId="0" borderId="129" xfId="9" applyFont="1" applyFill="1" applyBorder="1" applyAlignment="1">
      <alignment horizontal="center" vertical="center" wrapText="1"/>
    </xf>
    <xf numFmtId="0" fontId="141" fillId="0" borderId="7" xfId="9" applyFont="1" applyFill="1" applyBorder="1" applyAlignment="1">
      <alignment horizontal="center" vertical="center" wrapText="1"/>
    </xf>
    <xf numFmtId="49" fontId="141" fillId="0" borderId="125" xfId="9" applyNumberFormat="1" applyFont="1" applyFill="1" applyBorder="1" applyAlignment="1">
      <alignment horizontal="center" vertical="center" wrapText="1"/>
    </xf>
    <xf numFmtId="0" fontId="22" fillId="0" borderId="125" xfId="0" applyFont="1" applyFill="1" applyBorder="1" applyAlignment="1">
      <alignment horizontal="center" vertical="center" wrapText="1"/>
    </xf>
    <xf numFmtId="0" fontId="141" fillId="0" borderId="125" xfId="9" applyFont="1" applyFill="1" applyBorder="1" applyAlignment="1">
      <alignment horizontal="center" vertical="center" wrapText="1"/>
    </xf>
    <xf numFmtId="0" fontId="30" fillId="0" borderId="0" xfId="3431" applyNumberFormat="1" applyFont="1" applyFill="1" applyAlignment="1">
      <alignment horizontal="left" vertical="center" wrapText="1" indent="14"/>
    </xf>
    <xf numFmtId="0" fontId="0" fillId="0" borderId="0" xfId="0" applyAlignment="1">
      <alignment horizontal="left" wrapText="1" indent="14"/>
    </xf>
    <xf numFmtId="49" fontId="15" fillId="0" borderId="125" xfId="0" applyNumberFormat="1" applyFont="1" applyFill="1" applyBorder="1" applyAlignment="1">
      <alignment horizontal="left" vertical="center" wrapText="1"/>
    </xf>
    <xf numFmtId="0" fontId="144" fillId="0" borderId="125" xfId="0" applyFont="1" applyFill="1" applyBorder="1" applyAlignment="1">
      <alignment horizontal="left" vertical="center" wrapText="1"/>
    </xf>
    <xf numFmtId="0" fontId="141" fillId="2" borderId="129" xfId="9" applyFont="1" applyFill="1" applyBorder="1" applyAlignment="1">
      <alignment horizontal="center" vertical="center" wrapText="1"/>
    </xf>
    <xf numFmtId="0" fontId="141" fillId="2" borderId="7" xfId="9" applyFont="1" applyFill="1" applyBorder="1" applyAlignment="1">
      <alignment horizontal="center" vertical="center" wrapText="1"/>
    </xf>
    <xf numFmtId="49" fontId="294" fillId="0" borderId="125" xfId="0" applyNumberFormat="1" applyFont="1" applyFill="1" applyBorder="1" applyAlignment="1">
      <alignment horizontal="left" vertical="center" wrapText="1"/>
    </xf>
    <xf numFmtId="0" fontId="0" fillId="0" borderId="125" xfId="0" applyFill="1" applyBorder="1" applyAlignment="1">
      <alignment horizontal="left" vertical="center" wrapText="1"/>
    </xf>
    <xf numFmtId="172" fontId="292" fillId="2" borderId="125" xfId="3690" applyNumberFormat="1" applyFont="1" applyFill="1" applyBorder="1" applyAlignment="1">
      <alignment horizontal="center" vertical="center" wrapText="1"/>
    </xf>
    <xf numFmtId="49" fontId="22" fillId="0" borderId="125" xfId="3" applyNumberFormat="1" applyFont="1" applyFill="1" applyBorder="1" applyAlignment="1">
      <alignment horizontal="center" vertical="center" wrapText="1"/>
    </xf>
    <xf numFmtId="165" fontId="22" fillId="0" borderId="125" xfId="3" applyFont="1" applyFill="1" applyBorder="1" applyAlignment="1">
      <alignment horizontal="center" vertical="center" wrapText="1"/>
    </xf>
    <xf numFmtId="0" fontId="220" fillId="0" borderId="0" xfId="3690" applyFont="1" applyFill="1" applyBorder="1" applyAlignment="1">
      <alignment horizontal="center" vertical="center" wrapText="1"/>
    </xf>
    <xf numFmtId="0" fontId="287" fillId="0" borderId="0" xfId="3690" applyFont="1" applyFill="1" applyBorder="1" applyAlignment="1">
      <alignment horizontal="center" vertical="center" wrapText="1"/>
    </xf>
    <xf numFmtId="49" fontId="22" fillId="0" borderId="125" xfId="0" applyNumberFormat="1" applyFont="1" applyFill="1" applyBorder="1" applyAlignment="1">
      <alignment horizontal="center" vertical="center" wrapText="1"/>
    </xf>
    <xf numFmtId="165" fontId="15" fillId="0" borderId="126" xfId="3" applyFont="1" applyFill="1" applyBorder="1" applyAlignment="1">
      <alignment vertical="center" wrapText="1"/>
    </xf>
    <xf numFmtId="0" fontId="220" fillId="0" borderId="105" xfId="0" applyFont="1" applyBorder="1" applyAlignment="1">
      <alignment vertical="center" wrapText="1"/>
    </xf>
    <xf numFmtId="4" fontId="147" fillId="2" borderId="129" xfId="0" applyNumberFormat="1" applyFont="1" applyFill="1" applyBorder="1" applyAlignment="1">
      <alignment horizontal="center" vertical="center" wrapText="1"/>
    </xf>
    <xf numFmtId="4" fontId="147" fillId="2" borderId="7" xfId="0" applyNumberFormat="1" applyFont="1" applyFill="1" applyBorder="1" applyAlignment="1">
      <alignment horizontal="center" vertical="center" wrapText="1"/>
    </xf>
    <xf numFmtId="4" fontId="147" fillId="2" borderId="23" xfId="0" applyNumberFormat="1" applyFont="1" applyFill="1" applyBorder="1" applyAlignment="1">
      <alignment horizontal="center" vertical="center" wrapText="1"/>
    </xf>
    <xf numFmtId="4" fontId="147" fillId="2" borderId="129" xfId="2391" applyNumberFormat="1" applyFont="1" applyFill="1" applyBorder="1" applyAlignment="1">
      <alignment horizontal="center" vertical="center" wrapText="1"/>
    </xf>
    <xf numFmtId="4" fontId="147" fillId="2" borderId="23" xfId="2391" applyNumberFormat="1" applyFont="1" applyFill="1" applyBorder="1" applyAlignment="1">
      <alignment horizontal="center" vertical="center" wrapText="1"/>
    </xf>
    <xf numFmtId="0" fontId="16" fillId="4" borderId="0" xfId="6" applyFont="1" applyFill="1" applyAlignment="1">
      <alignment horizontal="left" vertical="center" wrapText="1"/>
    </xf>
    <xf numFmtId="0" fontId="220" fillId="0" borderId="15" xfId="2393" applyFont="1" applyBorder="1" applyAlignment="1">
      <alignment horizontal="center" vertical="center" wrapText="1"/>
    </xf>
    <xf numFmtId="0" fontId="220" fillId="0" borderId="16" xfId="2393" applyFont="1" applyBorder="1" applyAlignment="1">
      <alignment horizontal="center" vertical="center" wrapText="1"/>
    </xf>
    <xf numFmtId="0" fontId="30" fillId="0" borderId="71" xfId="2393" applyFont="1" applyBorder="1" applyAlignment="1">
      <alignment horizontal="center" vertical="center" wrapText="1"/>
    </xf>
    <xf numFmtId="0" fontId="30" fillId="0" borderId="86" xfId="2393" applyFont="1" applyBorder="1" applyAlignment="1">
      <alignment horizontal="center" vertical="center" wrapText="1"/>
    </xf>
    <xf numFmtId="0" fontId="30" fillId="0" borderId="59" xfId="2393" applyFont="1" applyBorder="1" applyAlignment="1">
      <alignment horizontal="center" vertical="center" wrapText="1"/>
    </xf>
    <xf numFmtId="0" fontId="30" fillId="0" borderId="103" xfId="2393" applyFont="1" applyBorder="1" applyAlignment="1">
      <alignment horizontal="center" vertical="center" wrapText="1"/>
    </xf>
    <xf numFmtId="0" fontId="30" fillId="0" borderId="19" xfId="2393" applyFont="1" applyBorder="1" applyAlignment="1">
      <alignment horizontal="center" vertical="center" wrapText="1"/>
    </xf>
    <xf numFmtId="0" fontId="30" fillId="0" borderId="100" xfId="2393" applyFont="1" applyBorder="1" applyAlignment="1">
      <alignment horizontal="center" vertical="center" wrapText="1"/>
    </xf>
    <xf numFmtId="0" fontId="30" fillId="0" borderId="37" xfId="2393" applyFont="1" applyBorder="1" applyAlignment="1">
      <alignment horizontal="center" vertical="center" wrapText="1"/>
    </xf>
    <xf numFmtId="0" fontId="30" fillId="0" borderId="99" xfId="2393" applyFont="1" applyBorder="1" applyAlignment="1">
      <alignment horizontal="center" vertical="center" wrapText="1"/>
    </xf>
    <xf numFmtId="0" fontId="30" fillId="0" borderId="101" xfId="2393" applyFont="1" applyBorder="1" applyAlignment="1">
      <alignment horizontal="center" vertical="center" wrapText="1"/>
    </xf>
    <xf numFmtId="0" fontId="30" fillId="0" borderId="7" xfId="2393" applyFont="1" applyBorder="1" applyAlignment="1">
      <alignment horizontal="center" vertical="center" wrapText="1"/>
    </xf>
    <xf numFmtId="0" fontId="285" fillId="0" borderId="61" xfId="0" applyFont="1" applyBorder="1" applyAlignment="1">
      <alignment horizontal="center" vertical="center" wrapText="1"/>
    </xf>
    <xf numFmtId="0" fontId="285" fillId="0" borderId="81" xfId="0" applyFont="1" applyBorder="1" applyAlignment="1">
      <alignment horizontal="center" vertical="center" wrapText="1"/>
    </xf>
  </cellXfs>
  <cellStyles count="3696">
    <cellStyle name="_x0012_" xfId="2782"/>
    <cellStyle name=" 1" xfId="424"/>
    <cellStyle name="_x000a_bidires=100_x000d_" xfId="20"/>
    <cellStyle name="_x000a_bidires=100_x000d_ 2" xfId="425"/>
    <cellStyle name="_x000a_bidires=100_x000d_ 3" xfId="3536"/>
    <cellStyle name="%" xfId="426"/>
    <cellStyle name="%_Inputs" xfId="427"/>
    <cellStyle name="%_Inputs (const)" xfId="428"/>
    <cellStyle name="%_Inputs Co" xfId="429"/>
    <cellStyle name="?_x0001_" xfId="21"/>
    <cellStyle name="?_x0001_ 2" xfId="3537"/>
    <cellStyle name="?????? [0]_cogs" xfId="22"/>
    <cellStyle name="???????_??????? (2)" xfId="23"/>
    <cellStyle name="??????_cogs" xfId="24"/>
    <cellStyle name="??_PL-CF sheet" xfId="25"/>
    <cellStyle name="?…?ж?Ш?и [0.00]" xfId="26"/>
    <cellStyle name="?W??_‘O’с?р??" xfId="27"/>
    <cellStyle name="]_x000d__x000a_Zoomed=1_x000d__x000a_Row=0_x000d__x000a_Column=0_x000d__x000a_Height=0_x000d__x000a_Width=0_x000d__x000a_FontName=FoxFont_x000d__x000a_FontStyle=0_x000d__x000a_FontSize=9_x000d__x000a_PrtFontName=FoxPrin" xfId="2783"/>
    <cellStyle name="___________ __ ______ 2007_ (2)" xfId="2784"/>
    <cellStyle name="_051222_ОС_ГРЭС-24 (отчет от Эксперта)" xfId="2785"/>
    <cellStyle name="_051222_ОС_ГРЭС-24 (отчет от Эксперта)_НМА" xfId="2786"/>
    <cellStyle name="_051222_ОС_ГРЭС-24 (отчет от Эксперта)_ОС 2006" xfId="2787"/>
    <cellStyle name="_051222_ОС_ГРЭС-24 (отчет от Эксперта)_ОС_2" xfId="2788"/>
    <cellStyle name="_051228_сооружения" xfId="2789"/>
    <cellStyle name="_051228_сооружения_НМА" xfId="2790"/>
    <cellStyle name="_051228_сооружения_ОС 2006" xfId="2791"/>
    <cellStyle name="_051228_сооружения_ОС_2" xfId="2792"/>
    <cellStyle name="_060725 NEW модель баланс все Со" xfId="2793"/>
    <cellStyle name="_060821 n=10, Э2007 55, ИП 119, ЗС 07г 15" xfId="2794"/>
    <cellStyle name="_070130 model_strategy_18 12 06_Э07_324__Э09_292_(2)2" xfId="2795"/>
    <cellStyle name="_2011 часть1 1" xfId="2796"/>
    <cellStyle name="_5 БР по заявкам май" xfId="2797"/>
    <cellStyle name="_6.1." xfId="2798"/>
    <cellStyle name="_7.4.6Перечень платежей (метрол.) ФК на январь 2008г." xfId="2799"/>
    <cellStyle name="_7.6." xfId="2800"/>
    <cellStyle name="_7.6. Информационные службы" xfId="2801"/>
    <cellStyle name="_91 acc" xfId="2802"/>
    <cellStyle name="_91 приг р" xfId="2803"/>
    <cellStyle name="_ADJ&amp;RJE for the KZ and minor companies(рус)" xfId="2804"/>
    <cellStyle name="_ART1_09R" xfId="2805"/>
    <cellStyle name="_ART1_09R_Доходы-Расходы" xfId="2806"/>
    <cellStyle name="_ART12_00D" xfId="2807"/>
    <cellStyle name="_ART12_00D_Доходы-Расходы" xfId="2808"/>
    <cellStyle name="_ART2_03R" xfId="2809"/>
    <cellStyle name="_ART2_03R_Доходы-Расходы" xfId="2810"/>
    <cellStyle name="_ART2_05D" xfId="2811"/>
    <cellStyle name="_ART2_05D_Доходы-Расходы" xfId="2812"/>
    <cellStyle name="_ART2_07D" xfId="2813"/>
    <cellStyle name="_ART2_07D_Доходы-Расходы" xfId="2814"/>
    <cellStyle name="_CashFlow_2007_проект_02_02_final" xfId="28"/>
    <cellStyle name="_CashFlow_2007_проект_02_02_final 2" xfId="430"/>
    <cellStyle name="_CashFlow_2007_проект_02_02_final 3" xfId="3538"/>
    <cellStyle name="_Deloitte Славнефтехим" xfId="2815"/>
    <cellStyle name="_Final ADJ" xfId="2816"/>
    <cellStyle name="_Final отложен налог_Таня" xfId="2817"/>
    <cellStyle name="_INVGEN.G_TGC-1_NevTES_08" xfId="2818"/>
    <cellStyle name="_IPr_TGK_2005" xfId="2819"/>
    <cellStyle name="_IPr_TGK_2005_4q0" xfId="2820"/>
    <cellStyle name="_IPr_TGK_2005_4q0_КАЛЬК ТГК (ТО ЧТО НА МАХ ГЕННЕРАЦИЮ)" xfId="2821"/>
    <cellStyle name="_IPr_TGK_2005_КАЛЬК ТГК (ТО ЧТО НА МАХ ГЕННЕРАЦИЮ)" xfId="2822"/>
    <cellStyle name="_Iквартал 2008 г._7.1" xfId="2823"/>
    <cellStyle name="_Iквартал 2008 г._7.4.1" xfId="2824"/>
    <cellStyle name="_Iквартал 2008 г._9" xfId="2825"/>
    <cellStyle name="_Kirovski Consol_2006" xfId="2826"/>
    <cellStyle name="_Kirovski Consol_2006 без связей" xfId="2827"/>
    <cellStyle name="_KZ, KLT, CJSC Tetra" xfId="2828"/>
    <cellStyle name="_LTC_Sipat_2006" xfId="2829"/>
    <cellStyle name="_LTC_Sipat_20061" xfId="2830"/>
    <cellStyle name="_Model_RAB Мой" xfId="431"/>
    <cellStyle name="_Model_RAB Мой 2" xfId="432"/>
    <cellStyle name="_Model_RAB Мой 2_OREP.KU.2011.MONTHLY.02(v0.1)" xfId="433"/>
    <cellStyle name="_Model_RAB Мой 2_OREP.KU.2011.MONTHLY.02(v0.4)" xfId="434"/>
    <cellStyle name="_Model_RAB Мой 2_OREP.KU.2011.MONTHLY.11(v1.4)" xfId="435"/>
    <cellStyle name="_Model_RAB Мой 2_OREP.KU.2011.MONTHLY.11(v1.4)_UPDATE.BALANCE.WARM.2012YEAR.TO.1.1" xfId="436"/>
    <cellStyle name="_Model_RAB Мой 2_OREP.KU.2011.MONTHLY.11(v1.4)_UPDATE.CALC.WARM.2012YEAR.TO.1.1" xfId="437"/>
    <cellStyle name="_Model_RAB Мой 2_UPDATE.BALANCE.WARM.2012YEAR.TO.1.1" xfId="438"/>
    <cellStyle name="_Model_RAB Мой 2_UPDATE.CALC.WARM.2012YEAR.TO.1.1" xfId="439"/>
    <cellStyle name="_Model_RAB Мой 2_UPDATE.MONITORING.OS.EE.2.02.TO.1.3.64" xfId="440"/>
    <cellStyle name="_Model_RAB Мой 2_UPDATE.OREP.KU.2011.MONTHLY.02.TO.1.2" xfId="441"/>
    <cellStyle name="_Model_RAB Мой 3" xfId="2831"/>
    <cellStyle name="_Model_RAB Мой 4" xfId="2832"/>
    <cellStyle name="_Model_RAB Мой 5" xfId="2833"/>
    <cellStyle name="_Model_RAB Мой 6" xfId="2834"/>
    <cellStyle name="_Model_RAB Мой_46EE.2011(v1.0)" xfId="442"/>
    <cellStyle name="_Model_RAB Мой_46EE.2011(v1.0)_46TE.2011(v1.0)" xfId="443"/>
    <cellStyle name="_Model_RAB Мой_46EE.2011(v1.0)_INDEX.STATION.2012(v1.0)_" xfId="444"/>
    <cellStyle name="_Model_RAB Мой_46EE.2011(v1.0)_INDEX.STATION.2012(v2.0)" xfId="445"/>
    <cellStyle name="_Model_RAB Мой_46EE.2011(v1.0)_INDEX.STATION.2012(v2.1)" xfId="446"/>
    <cellStyle name="_Model_RAB Мой_46EE.2011(v1.0)_TEPLO.PREDEL.2012.M(v1.1)_test" xfId="447"/>
    <cellStyle name="_Model_RAB Мой_46EE.2011(v1.2)" xfId="448"/>
    <cellStyle name="_Model_RAB Мой_46EP.2011(v2.0)" xfId="449"/>
    <cellStyle name="_Model_RAB Мой_46EP.2012(v0.1)" xfId="450"/>
    <cellStyle name="_Model_RAB Мой_46TE.2011(v1.0)" xfId="451"/>
    <cellStyle name="_Model_RAB Мой_4DNS.UPDATE.EXAMPLE" xfId="452"/>
    <cellStyle name="_Model_RAB Мой_ARMRAZR" xfId="453"/>
    <cellStyle name="_Model_RAB Мой_BALANCE.WARM.2010.FACT(v1.0)" xfId="454"/>
    <cellStyle name="_Model_RAB Мой_BALANCE.WARM.2010.PLAN" xfId="455"/>
    <cellStyle name="_Model_RAB Мой_BALANCE.WARM.2011YEAR(v0.7)" xfId="456"/>
    <cellStyle name="_Model_RAB Мой_BALANCE.WARM.2011YEAR.NEW.UPDATE.SCHEME" xfId="457"/>
    <cellStyle name="_Model_RAB Мой_CALC.NORMATIV.KU(v0.2)" xfId="458"/>
    <cellStyle name="_Model_RAB Мой_EE.2REK.P2011.4.78(v0.3)" xfId="459"/>
    <cellStyle name="_Model_RAB Мой_FORM3.1.2013(v0.2)" xfId="460"/>
    <cellStyle name="_Model_RAB Мой_FORM3.2013(v1.0)" xfId="461"/>
    <cellStyle name="_Model_RAB Мой_FORM3.REG(v1.0)" xfId="462"/>
    <cellStyle name="_Model_RAB Мой_FORM910.2012(v1.1)" xfId="463"/>
    <cellStyle name="_Model_RAB Мой_INDEX.STATION.2012(v2.1)" xfId="464"/>
    <cellStyle name="_Model_RAB Мой_INDEX.STATION.2013(v1.0)_патч до 1.1" xfId="465"/>
    <cellStyle name="_Model_RAB Мой_INVEST.EE.PLAN.4.78(v0.1)" xfId="466"/>
    <cellStyle name="_Model_RAB Мой_INVEST.EE.PLAN.4.78(v0.3)" xfId="467"/>
    <cellStyle name="_Model_RAB Мой_INVEST.EE.PLAN.4.78(v1.0)" xfId="468"/>
    <cellStyle name="_Model_RAB Мой_INVEST.EE.PLAN.4.78(v1.0)_PASSPORT.TEPLO.PROIZV(v2.0)" xfId="469"/>
    <cellStyle name="_Model_RAB Мой_INVEST.EE.PLAN.4.78(v1.0)_PASSPORT.TEPLO.PROIZV(v2.0)_INDEX.STATION.2013(v1.0)_патч до 1.1" xfId="470"/>
    <cellStyle name="_Model_RAB Мой_INVEST.EE.PLAN.4.78(v1.0)_PASSPORT.TEPLO.PROIZV(v2.0)_TEPLO.PREDEL.2013(v2.0)" xfId="471"/>
    <cellStyle name="_Model_RAB Мой_INVEST.PLAN.4.78(v0.1)" xfId="472"/>
    <cellStyle name="_Model_RAB Мой_INVEST.WARM.PLAN.4.78(v0.1)" xfId="473"/>
    <cellStyle name="_Model_RAB Мой_INVEST_WARM_PLAN" xfId="474"/>
    <cellStyle name="_Model_RAB Мой_NADB.JNVLP.APTEKA.2012(v1.0)_21_02_12" xfId="475"/>
    <cellStyle name="_Model_RAB Мой_NADB.JNVLS.APTEKA.2011(v1.3.3)" xfId="476"/>
    <cellStyle name="_Model_RAB Мой_NADB.JNVLS.APTEKA.2011(v1.3.3)_46TE.2011(v1.0)" xfId="477"/>
    <cellStyle name="_Model_RAB Мой_NADB.JNVLS.APTEKA.2011(v1.3.3)_INDEX.STATION.2012(v1.0)_" xfId="478"/>
    <cellStyle name="_Model_RAB Мой_NADB.JNVLS.APTEKA.2011(v1.3.3)_INDEX.STATION.2012(v2.0)" xfId="479"/>
    <cellStyle name="_Model_RAB Мой_NADB.JNVLS.APTEKA.2011(v1.3.3)_INDEX.STATION.2012(v2.1)" xfId="480"/>
    <cellStyle name="_Model_RAB Мой_NADB.JNVLS.APTEKA.2011(v1.3.3)_TEPLO.PREDEL.2012.M(v1.1)_test" xfId="481"/>
    <cellStyle name="_Model_RAB Мой_NADB.JNVLS.APTEKA.2011(v1.3.4)" xfId="482"/>
    <cellStyle name="_Model_RAB Мой_NADB.JNVLS.APTEKA.2011(v1.3.4)_46TE.2011(v1.0)" xfId="483"/>
    <cellStyle name="_Model_RAB Мой_NADB.JNVLS.APTEKA.2011(v1.3.4)_INDEX.STATION.2012(v1.0)_" xfId="484"/>
    <cellStyle name="_Model_RAB Мой_NADB.JNVLS.APTEKA.2011(v1.3.4)_INDEX.STATION.2012(v2.0)" xfId="485"/>
    <cellStyle name="_Model_RAB Мой_NADB.JNVLS.APTEKA.2011(v1.3.4)_INDEX.STATION.2012(v2.1)" xfId="486"/>
    <cellStyle name="_Model_RAB Мой_NADB.JNVLS.APTEKA.2011(v1.3.4)_TEPLO.PREDEL.2012.M(v1.1)_test" xfId="487"/>
    <cellStyle name="_Model_RAB Мой_PASSPORT.TEPLO.PROIZV(v2.0)" xfId="488"/>
    <cellStyle name="_Model_RAB Мой_PASSPORT.TEPLO.PROIZV(v2.1)" xfId="489"/>
    <cellStyle name="_Model_RAB Мой_PASSPORT.TEPLO.SETI(v0.7)" xfId="490"/>
    <cellStyle name="_Model_RAB Мой_PASSPORT.TEPLO.SETI(v1.0)" xfId="491"/>
    <cellStyle name="_Model_RAB Мой_PREDEL.JKH.UTV.2011(v1.0.1)" xfId="492"/>
    <cellStyle name="_Model_RAB Мой_PREDEL.JKH.UTV.2011(v1.0.1)_46TE.2011(v1.0)" xfId="493"/>
    <cellStyle name="_Model_RAB Мой_PREDEL.JKH.UTV.2011(v1.0.1)_INDEX.STATION.2012(v1.0)_" xfId="494"/>
    <cellStyle name="_Model_RAB Мой_PREDEL.JKH.UTV.2011(v1.0.1)_INDEX.STATION.2012(v2.0)" xfId="495"/>
    <cellStyle name="_Model_RAB Мой_PREDEL.JKH.UTV.2011(v1.0.1)_INDEX.STATION.2012(v2.1)" xfId="496"/>
    <cellStyle name="_Model_RAB Мой_PREDEL.JKH.UTV.2011(v1.0.1)_TEPLO.PREDEL.2012.M(v1.1)_test" xfId="497"/>
    <cellStyle name="_Model_RAB Мой_PREDEL.JKH.UTV.2011(v1.1)" xfId="498"/>
    <cellStyle name="_Model_RAB Мой_REP.BLR.2012(v1.0)" xfId="499"/>
    <cellStyle name="_Model_RAB Мой_TEHSHEET" xfId="500"/>
    <cellStyle name="_Model_RAB Мой_TEPLO.PREDEL.2012.M(v1.1)" xfId="501"/>
    <cellStyle name="_Model_RAB Мой_TEPLO.PREDEL.2013(v2.0)" xfId="502"/>
    <cellStyle name="_Model_RAB Мой_TEST.TEMPLATE" xfId="503"/>
    <cellStyle name="_Model_RAB Мой_UPDATE.46EE.2011.TO.1.1" xfId="504"/>
    <cellStyle name="_Model_RAB Мой_UPDATE.46TE.2011.TO.1.1" xfId="505"/>
    <cellStyle name="_Model_RAB Мой_UPDATE.46TE.2011.TO.1.2" xfId="506"/>
    <cellStyle name="_Model_RAB Мой_UPDATE.BALANCE.WARM.2011YEAR.TO.1.1" xfId="507"/>
    <cellStyle name="_Model_RAB Мой_UPDATE.BALANCE.WARM.2011YEAR.TO.1.1_46TE.2011(v1.0)" xfId="508"/>
    <cellStyle name="_Model_RAB Мой_UPDATE.BALANCE.WARM.2011YEAR.TO.1.1_INDEX.STATION.2012(v1.0)_" xfId="509"/>
    <cellStyle name="_Model_RAB Мой_UPDATE.BALANCE.WARM.2011YEAR.TO.1.1_INDEX.STATION.2012(v2.0)" xfId="510"/>
    <cellStyle name="_Model_RAB Мой_UPDATE.BALANCE.WARM.2011YEAR.TO.1.1_INDEX.STATION.2012(v2.1)" xfId="511"/>
    <cellStyle name="_Model_RAB Мой_UPDATE.BALANCE.WARM.2011YEAR.TO.1.1_OREP.KU.2011.MONTHLY.02(v1.1)" xfId="512"/>
    <cellStyle name="_Model_RAB Мой_UPDATE.BALANCE.WARM.2011YEAR.TO.1.1_TEPLO.PREDEL.2012.M(v1.1)_test" xfId="513"/>
    <cellStyle name="_Model_RAB Мой_UPDATE.BALANCE.WARM.2011YEAR.TO.1.2" xfId="514"/>
    <cellStyle name="_Model_RAB Мой_UPDATE.BALANCE.WARM.2011YEAR.TO.1.4.64" xfId="515"/>
    <cellStyle name="_Model_RAB Мой_UPDATE.BALANCE.WARM.2011YEAR.TO.1.5.64" xfId="516"/>
    <cellStyle name="_Model_RAB Мой_UPDATE.MONITORING.OS.EE.2.02.TO.1.3.64" xfId="517"/>
    <cellStyle name="_Model_RAB Мой_UPDATE.NADB.JNVLS.APTEKA.2011.TO.1.3.4" xfId="518"/>
    <cellStyle name="_Model_RAB Мой_Вариант с макс ИК" xfId="2835"/>
    <cellStyle name="_Model_RAB Мой_Модель расчет отправка" xfId="2836"/>
    <cellStyle name="_Model_RAB_MRSK_svod" xfId="519"/>
    <cellStyle name="_Model_RAB_MRSK_svod 2" xfId="520"/>
    <cellStyle name="_Model_RAB_MRSK_svod 2_OREP.KU.2011.MONTHLY.02(v0.1)" xfId="521"/>
    <cellStyle name="_Model_RAB_MRSK_svod 2_OREP.KU.2011.MONTHLY.02(v0.4)" xfId="522"/>
    <cellStyle name="_Model_RAB_MRSK_svod 2_OREP.KU.2011.MONTHLY.11(v1.4)" xfId="523"/>
    <cellStyle name="_Model_RAB_MRSK_svod 2_OREP.KU.2011.MONTHLY.11(v1.4)_UPDATE.BALANCE.WARM.2012YEAR.TO.1.1" xfId="524"/>
    <cellStyle name="_Model_RAB_MRSK_svod 2_OREP.KU.2011.MONTHLY.11(v1.4)_UPDATE.CALC.WARM.2012YEAR.TO.1.1" xfId="525"/>
    <cellStyle name="_Model_RAB_MRSK_svod 2_UPDATE.BALANCE.WARM.2012YEAR.TO.1.1" xfId="526"/>
    <cellStyle name="_Model_RAB_MRSK_svod 2_UPDATE.CALC.WARM.2012YEAR.TO.1.1" xfId="527"/>
    <cellStyle name="_Model_RAB_MRSK_svod 2_UPDATE.MONITORING.OS.EE.2.02.TO.1.3.64" xfId="528"/>
    <cellStyle name="_Model_RAB_MRSK_svod 2_UPDATE.OREP.KU.2011.MONTHLY.02.TO.1.2" xfId="529"/>
    <cellStyle name="_Model_RAB_MRSK_svod 3" xfId="2837"/>
    <cellStyle name="_Model_RAB_MRSK_svod 4" xfId="2838"/>
    <cellStyle name="_Model_RAB_MRSK_svod 5" xfId="2839"/>
    <cellStyle name="_Model_RAB_MRSK_svod 6" xfId="2840"/>
    <cellStyle name="_Model_RAB_MRSK_svod_46EE.2011(v1.0)" xfId="530"/>
    <cellStyle name="_Model_RAB_MRSK_svod_46EE.2011(v1.0)_46TE.2011(v1.0)" xfId="531"/>
    <cellStyle name="_Model_RAB_MRSK_svod_46EE.2011(v1.0)_INDEX.STATION.2012(v1.0)_" xfId="532"/>
    <cellStyle name="_Model_RAB_MRSK_svod_46EE.2011(v1.0)_INDEX.STATION.2012(v2.0)" xfId="533"/>
    <cellStyle name="_Model_RAB_MRSK_svod_46EE.2011(v1.0)_INDEX.STATION.2012(v2.1)" xfId="534"/>
    <cellStyle name="_Model_RAB_MRSK_svod_46EE.2011(v1.0)_TEPLO.PREDEL.2012.M(v1.1)_test" xfId="535"/>
    <cellStyle name="_Model_RAB_MRSK_svod_46EE.2011(v1.2)" xfId="536"/>
    <cellStyle name="_Model_RAB_MRSK_svod_46EP.2011(v2.0)" xfId="537"/>
    <cellStyle name="_Model_RAB_MRSK_svod_46EP.2012(v0.1)" xfId="538"/>
    <cellStyle name="_Model_RAB_MRSK_svod_46TE.2011(v1.0)" xfId="539"/>
    <cellStyle name="_Model_RAB_MRSK_svod_4DNS.UPDATE.EXAMPLE" xfId="540"/>
    <cellStyle name="_Model_RAB_MRSK_svod_ARMRAZR" xfId="541"/>
    <cellStyle name="_Model_RAB_MRSK_svod_BALANCE.WARM.2010.FACT(v1.0)" xfId="542"/>
    <cellStyle name="_Model_RAB_MRSK_svod_BALANCE.WARM.2010.PLAN" xfId="543"/>
    <cellStyle name="_Model_RAB_MRSK_svod_BALANCE.WARM.2011YEAR(v0.7)" xfId="544"/>
    <cellStyle name="_Model_RAB_MRSK_svod_BALANCE.WARM.2011YEAR.NEW.UPDATE.SCHEME" xfId="545"/>
    <cellStyle name="_Model_RAB_MRSK_svod_CALC.NORMATIV.KU(v0.2)" xfId="546"/>
    <cellStyle name="_Model_RAB_MRSK_svod_EE.2REK.P2011.4.78(v0.3)" xfId="547"/>
    <cellStyle name="_Model_RAB_MRSK_svod_FORM3.1.2013(v0.2)" xfId="548"/>
    <cellStyle name="_Model_RAB_MRSK_svod_FORM3.2013(v1.0)" xfId="549"/>
    <cellStyle name="_Model_RAB_MRSK_svod_FORM3.REG(v1.0)" xfId="550"/>
    <cellStyle name="_Model_RAB_MRSK_svod_FORM910.2012(v1.1)" xfId="551"/>
    <cellStyle name="_Model_RAB_MRSK_svod_INDEX.STATION.2012(v2.1)" xfId="552"/>
    <cellStyle name="_Model_RAB_MRSK_svod_INDEX.STATION.2013(v1.0)_патч до 1.1" xfId="553"/>
    <cellStyle name="_Model_RAB_MRSK_svod_INVEST.EE.PLAN.4.78(v0.1)" xfId="554"/>
    <cellStyle name="_Model_RAB_MRSK_svod_INVEST.EE.PLAN.4.78(v0.3)" xfId="555"/>
    <cellStyle name="_Model_RAB_MRSK_svod_INVEST.EE.PLAN.4.78(v1.0)" xfId="556"/>
    <cellStyle name="_Model_RAB_MRSK_svod_INVEST.EE.PLAN.4.78(v1.0)_PASSPORT.TEPLO.PROIZV(v2.0)" xfId="557"/>
    <cellStyle name="_Model_RAB_MRSK_svod_INVEST.EE.PLAN.4.78(v1.0)_PASSPORT.TEPLO.PROIZV(v2.0)_INDEX.STATION.2013(v1.0)_патч до 1.1" xfId="558"/>
    <cellStyle name="_Model_RAB_MRSK_svod_INVEST.EE.PLAN.4.78(v1.0)_PASSPORT.TEPLO.PROIZV(v2.0)_TEPLO.PREDEL.2013(v2.0)" xfId="559"/>
    <cellStyle name="_Model_RAB_MRSK_svod_INVEST.PLAN.4.78(v0.1)" xfId="560"/>
    <cellStyle name="_Model_RAB_MRSK_svod_INVEST.WARM.PLAN.4.78(v0.1)" xfId="561"/>
    <cellStyle name="_Model_RAB_MRSK_svod_INVEST_WARM_PLAN" xfId="562"/>
    <cellStyle name="_Model_RAB_MRSK_svod_NADB.JNVLP.APTEKA.2012(v1.0)_21_02_12" xfId="563"/>
    <cellStyle name="_Model_RAB_MRSK_svod_NADB.JNVLS.APTEKA.2011(v1.3.3)" xfId="564"/>
    <cellStyle name="_Model_RAB_MRSK_svod_NADB.JNVLS.APTEKA.2011(v1.3.3)_46TE.2011(v1.0)" xfId="565"/>
    <cellStyle name="_Model_RAB_MRSK_svod_NADB.JNVLS.APTEKA.2011(v1.3.3)_INDEX.STATION.2012(v1.0)_" xfId="566"/>
    <cellStyle name="_Model_RAB_MRSK_svod_NADB.JNVLS.APTEKA.2011(v1.3.3)_INDEX.STATION.2012(v2.0)" xfId="567"/>
    <cellStyle name="_Model_RAB_MRSK_svod_NADB.JNVLS.APTEKA.2011(v1.3.3)_INDEX.STATION.2012(v2.1)" xfId="568"/>
    <cellStyle name="_Model_RAB_MRSK_svod_NADB.JNVLS.APTEKA.2011(v1.3.3)_TEPLO.PREDEL.2012.M(v1.1)_test" xfId="569"/>
    <cellStyle name="_Model_RAB_MRSK_svod_NADB.JNVLS.APTEKA.2011(v1.3.4)" xfId="570"/>
    <cellStyle name="_Model_RAB_MRSK_svod_NADB.JNVLS.APTEKA.2011(v1.3.4)_46TE.2011(v1.0)" xfId="571"/>
    <cellStyle name="_Model_RAB_MRSK_svod_NADB.JNVLS.APTEKA.2011(v1.3.4)_INDEX.STATION.2012(v1.0)_" xfId="572"/>
    <cellStyle name="_Model_RAB_MRSK_svod_NADB.JNVLS.APTEKA.2011(v1.3.4)_INDEX.STATION.2012(v2.0)" xfId="573"/>
    <cellStyle name="_Model_RAB_MRSK_svod_NADB.JNVLS.APTEKA.2011(v1.3.4)_INDEX.STATION.2012(v2.1)" xfId="574"/>
    <cellStyle name="_Model_RAB_MRSK_svod_NADB.JNVLS.APTEKA.2011(v1.3.4)_TEPLO.PREDEL.2012.M(v1.1)_test" xfId="575"/>
    <cellStyle name="_Model_RAB_MRSK_svod_PASSPORT.TEPLO.PROIZV(v2.0)" xfId="576"/>
    <cellStyle name="_Model_RAB_MRSK_svod_PASSPORT.TEPLO.PROIZV(v2.1)" xfId="577"/>
    <cellStyle name="_Model_RAB_MRSK_svod_PASSPORT.TEPLO.SETI(v0.7)" xfId="578"/>
    <cellStyle name="_Model_RAB_MRSK_svod_PASSPORT.TEPLO.SETI(v1.0)" xfId="579"/>
    <cellStyle name="_Model_RAB_MRSK_svod_PREDEL.JKH.UTV.2011(v1.0.1)" xfId="580"/>
    <cellStyle name="_Model_RAB_MRSK_svod_PREDEL.JKH.UTV.2011(v1.0.1)_46TE.2011(v1.0)" xfId="581"/>
    <cellStyle name="_Model_RAB_MRSK_svod_PREDEL.JKH.UTV.2011(v1.0.1)_INDEX.STATION.2012(v1.0)_" xfId="582"/>
    <cellStyle name="_Model_RAB_MRSK_svod_PREDEL.JKH.UTV.2011(v1.0.1)_INDEX.STATION.2012(v2.0)" xfId="583"/>
    <cellStyle name="_Model_RAB_MRSK_svod_PREDEL.JKH.UTV.2011(v1.0.1)_INDEX.STATION.2012(v2.1)" xfId="584"/>
    <cellStyle name="_Model_RAB_MRSK_svod_PREDEL.JKH.UTV.2011(v1.0.1)_TEPLO.PREDEL.2012.M(v1.1)_test" xfId="585"/>
    <cellStyle name="_Model_RAB_MRSK_svod_PREDEL.JKH.UTV.2011(v1.1)" xfId="586"/>
    <cellStyle name="_Model_RAB_MRSK_svod_REP.BLR.2012(v1.0)" xfId="587"/>
    <cellStyle name="_Model_RAB_MRSK_svod_TEHSHEET" xfId="588"/>
    <cellStyle name="_Model_RAB_MRSK_svod_TEPLO.PREDEL.2012.M(v1.1)" xfId="589"/>
    <cellStyle name="_Model_RAB_MRSK_svod_TEPLO.PREDEL.2013(v2.0)" xfId="590"/>
    <cellStyle name="_Model_RAB_MRSK_svod_TEST.TEMPLATE" xfId="591"/>
    <cellStyle name="_Model_RAB_MRSK_svod_UPDATE.46EE.2011.TO.1.1" xfId="592"/>
    <cellStyle name="_Model_RAB_MRSK_svod_UPDATE.46TE.2011.TO.1.1" xfId="593"/>
    <cellStyle name="_Model_RAB_MRSK_svod_UPDATE.46TE.2011.TO.1.2" xfId="594"/>
    <cellStyle name="_Model_RAB_MRSK_svod_UPDATE.BALANCE.WARM.2011YEAR.TO.1.1" xfId="595"/>
    <cellStyle name="_Model_RAB_MRSK_svod_UPDATE.BALANCE.WARM.2011YEAR.TO.1.1_46TE.2011(v1.0)" xfId="596"/>
    <cellStyle name="_Model_RAB_MRSK_svod_UPDATE.BALANCE.WARM.2011YEAR.TO.1.1_INDEX.STATION.2012(v1.0)_" xfId="597"/>
    <cellStyle name="_Model_RAB_MRSK_svod_UPDATE.BALANCE.WARM.2011YEAR.TO.1.1_INDEX.STATION.2012(v2.0)" xfId="598"/>
    <cellStyle name="_Model_RAB_MRSK_svod_UPDATE.BALANCE.WARM.2011YEAR.TO.1.1_INDEX.STATION.2012(v2.1)" xfId="599"/>
    <cellStyle name="_Model_RAB_MRSK_svod_UPDATE.BALANCE.WARM.2011YEAR.TO.1.1_OREP.KU.2011.MONTHLY.02(v1.1)" xfId="600"/>
    <cellStyle name="_Model_RAB_MRSK_svod_UPDATE.BALANCE.WARM.2011YEAR.TO.1.1_TEPLO.PREDEL.2012.M(v1.1)_test" xfId="601"/>
    <cellStyle name="_Model_RAB_MRSK_svod_UPDATE.BALANCE.WARM.2011YEAR.TO.1.2" xfId="602"/>
    <cellStyle name="_Model_RAB_MRSK_svod_UPDATE.BALANCE.WARM.2011YEAR.TO.1.4.64" xfId="603"/>
    <cellStyle name="_Model_RAB_MRSK_svod_UPDATE.BALANCE.WARM.2011YEAR.TO.1.5.64" xfId="604"/>
    <cellStyle name="_Model_RAB_MRSK_svod_UPDATE.MONITORING.OS.EE.2.02.TO.1.3.64" xfId="605"/>
    <cellStyle name="_Model_RAB_MRSK_svod_UPDATE.NADB.JNVLS.APTEKA.2011.TO.1.3.4" xfId="606"/>
    <cellStyle name="_Model_RAB_MRSK_svod_Вариант с макс ИК" xfId="2841"/>
    <cellStyle name="_Model_RAB_MRSK_svod_Модель расчет отправка" xfId="2842"/>
    <cellStyle name="_Plug" xfId="29"/>
    <cellStyle name="_Plug_4DNS.UPDATE.EXAMPLE" xfId="607"/>
    <cellStyle name="_Plug_4DNS.UPDATE.EXAMPLE_INDEX.STATION.2013(v1.0)_патч до 1.1" xfId="608"/>
    <cellStyle name="_Plug_4DNS.UPDATE.EXAMPLE_TEPLO.PREDEL.2013(v2.1)_FST" xfId="2843"/>
    <cellStyle name="_Plug_4DNS.UPDATE.EXAMPLE_TEPLO.PREDEL.2013.FST_update1" xfId="2844"/>
    <cellStyle name="_Plug_Б1-УТВ.ТАРИФЫ" xfId="30"/>
    <cellStyle name="_Plug_Б1-УТВ.ТАРИФЫ_ТАБЛ_ГСР_ТЭЦ_2011_1" xfId="31"/>
    <cellStyle name="_Plug_Б2-УТВ.ТАРИФЫ" xfId="32"/>
    <cellStyle name="_Plug_Б2-УТВ.ТАРИФЫ_ТАБЛ_ГСР_ТЭЦ_2011_1" xfId="33"/>
    <cellStyle name="_Plug_Б4" xfId="34"/>
    <cellStyle name="_Plug_Б4_ТАБЛ_ГСР_ТЭЦ_2011_1" xfId="35"/>
    <cellStyle name="_Plug_Б4-УТВЕРЖДЕНО" xfId="36"/>
    <cellStyle name="_Plug_Б4-УТВЕРЖДЕНО_ТАБЛ_ГСР_ТЭЦ_2011_1" xfId="37"/>
    <cellStyle name="_Plug_Б5-УТВ.ТАРИФЫ" xfId="38"/>
    <cellStyle name="_Plug_Б5-УТВ.ТАРИФЫ_ТАБЛ_ГСР_ТЭЦ_2011_1" xfId="39"/>
    <cellStyle name="_Plug_Бюджет капитальных вложений - по Группе - 2009" xfId="40"/>
    <cellStyle name="_Plug_Бюджет капитальных вложений - по Группе - 2009_ТАБЛ_ГСР_ТЭЦ_2011_1" xfId="41"/>
    <cellStyle name="_Plug_Бюджет ФОТ" xfId="42"/>
    <cellStyle name="_Plug_Бюджет ФОТ_ТАБЛ_ГСР_ТЭЦ_2011_1" xfId="43"/>
    <cellStyle name="_Plug_Бюджет_тариф 2009" xfId="44"/>
    <cellStyle name="_Plug_Бюджет_тариф 2009_ТАБЛ_ГСР_ТЭЦ_2011_1" xfId="45"/>
    <cellStyle name="_Plug_Консолидация-по-ЮЛ" xfId="46"/>
    <cellStyle name="_Plug_Консолидация-по-ЮЛ_ТАБЛ_ГСР_ТЭЦ_2011_1" xfId="47"/>
    <cellStyle name="_Plug_Консолидация-по-ЮЛ-УТВ.ТАРИФЫ" xfId="48"/>
    <cellStyle name="_Plug_Консолидация-по-ЮЛ-УТВ.ТАРИФЫ_ТАБЛ_ГСР_ТЭЦ_2011_1" xfId="49"/>
    <cellStyle name="_Plug_КПЭ-Формат-05.12" xfId="50"/>
    <cellStyle name="_Plug_КПЭ-Формат-05.12_Б4-УТВЕРЖДЕНО" xfId="51"/>
    <cellStyle name="_Plug_КПЭ-Формат-05.12_Б4-УТВЕРЖДЕНО_ТАБЛ_ГСР_ТЭЦ_2011_1" xfId="52"/>
    <cellStyle name="_Plug_КПЭ-Формат-05.12_ТАБЛ_ГСР_ТЭЦ_2011_1" xfId="53"/>
    <cellStyle name="_Plug_расчет % за пользование кредитом на 2011год" xfId="54"/>
    <cellStyle name="_Plug_Расшифровка для аудита 2011 КСК" xfId="55"/>
    <cellStyle name="_Plug_ТАБЛ_КСК_2011" xfId="56"/>
    <cellStyle name="_Plug_ФОТ 2009-2008" xfId="57"/>
    <cellStyle name="_Plug_ФОТ 2009-2008_ТАБЛ_ГСР_ТЭЦ_2011_1" xfId="58"/>
    <cellStyle name="_Plug_ЦФО-зам.директора по ремонтам-КРиТР" xfId="59"/>
    <cellStyle name="_Plug_ЦФО-зам.директора по ремонтам-КРиТР_ТАБЛ_ГСР_ТЭЦ_2011_1" xfId="60"/>
    <cellStyle name="_Plug_ЦФО-ИД Б8-2009-УТВЕРЖДЕНО." xfId="61"/>
    <cellStyle name="_Plug_ЦФО-ИД Б8-2009-УТВЕРЖДЕНО._ТАБЛ_ГСР_ТЭЦ_2011_1" xfId="62"/>
    <cellStyle name="_RP-2000" xfId="2845"/>
    <cellStyle name="_SZNP - Eqiuty Roll" xfId="2846"/>
    <cellStyle name="_SZNP - rasshifrovki-002000-333" xfId="2847"/>
    <cellStyle name="_SZNP - TRS-092000" xfId="2848"/>
    <cellStyle name="_Worksheet in   Deferred tax" xfId="2849"/>
    <cellStyle name="_Worksheet in   IFRS-RAS-TAX" xfId="2850"/>
    <cellStyle name="_Worksheet in   Reconciliation RAS" xfId="2851"/>
    <cellStyle name="_Worksheet in  XXX  Disclosures" xfId="2852"/>
    <cellStyle name="_Worksheet in (C) 5441-SNH Inventory Test" xfId="2853"/>
    <cellStyle name="_Worksheet in 5341-SNH Receivables Test" xfId="2854"/>
    <cellStyle name="_Worksheet in 6551 Deferred Tax Workpapers (RAS) - Template" xfId="2855"/>
    <cellStyle name="_Worksheet in 6551 KZ Deferred tax" xfId="2856"/>
    <cellStyle name="_Worksheet in 6551A Deferred Tax Workpapers (IFRS) - Template" xfId="2857"/>
    <cellStyle name="_Анализ Долговой позиции на 2005 г" xfId="2858"/>
    <cellStyle name="_Анализ Долговой позиции на 2005 г_КАЛЬК ТГК (ТО ЧТО НА МАХ ГЕННЕРАЦИЮ)" xfId="2859"/>
    <cellStyle name="_аполнение по ст. 19. и 7.10" xfId="2860"/>
    <cellStyle name="_Аренда земли и имущества 2010" xfId="2861"/>
    <cellStyle name="_АРМ_БП_РСК_V6.1.unprotec" xfId="63"/>
    <cellStyle name="_АТП_ второй (третий) вариант" xfId="2862"/>
    <cellStyle name="_Б1 упр вариант 28_02_08" xfId="64"/>
    <cellStyle name="_Б1 упр вариант 28_02_08 2" xfId="3539"/>
    <cellStyle name="_Б1 упр вариант 28_02_08_Анализ_Calc А2" xfId="65"/>
    <cellStyle name="_Б1 упр вариант 28_02_08_Анализ_Calc А2 2" xfId="3540"/>
    <cellStyle name="_Б1 упр вариант 28_02_08_Б4-УТВЕРЖДЕНО" xfId="66"/>
    <cellStyle name="_Б1 упр вариант 28_02_08_Б4-УТВЕРЖДЕНО 2" xfId="3541"/>
    <cellStyle name="_Б1 упр вариант 28_02_08_ЦФО-ИД Б8-2009-УТВЕРЖДЕНО." xfId="67"/>
    <cellStyle name="_Б1 упр вариант 28_02_08_ЦФО-ИД Б8-2009-УТВЕРЖДЕНО. 2" xfId="3542"/>
    <cellStyle name="_ББюджетные формы.Инвестиции" xfId="68"/>
    <cellStyle name="_ББюджетные формы.Расходы" xfId="69"/>
    <cellStyle name="_БДДС" xfId="2863"/>
    <cellStyle name="_Бизнес план 2007 мес. 21.03.2007" xfId="2864"/>
    <cellStyle name="_Бизнес-план 2007 по м-цам" xfId="2865"/>
    <cellStyle name="_бизнес-план на 2005 год" xfId="2866"/>
    <cellStyle name="_бизнес-план на 2005 год 2" xfId="2867"/>
    <cellStyle name="_Б-П 2006г по месяцам 27 03 06" xfId="2868"/>
    <cellStyle name="_Б-П 2006г по месяцам 27 03 06 первонач" xfId="2869"/>
    <cellStyle name="_Б-П 2006г по месяцам 27 03 06 первонач 2" xfId="2870"/>
    <cellStyle name="_Б-П 2006г по месяцам 27 03 06 первонач_Разбивка прибыли_12 мес_2010" xfId="2871"/>
    <cellStyle name="_Б-П 2006г по месяцам 27 03 06_Разбивка прибыли_12 мес_2010" xfId="2872"/>
    <cellStyle name="_Б-П 2006г по месяцам 31 05 06_2посл коорект" xfId="2873"/>
    <cellStyle name="_Б-П 2006г по месяцам 31 05 06_2посл коорект 2" xfId="2874"/>
    <cellStyle name="_Б-П 2006г по месяцам 31 05 06_2посл коорект_Разбивка прибыли_12 мес_2010" xfId="2875"/>
    <cellStyle name="_БП 2008 Филиала Кольский по приказу №12" xfId="2876"/>
    <cellStyle name="_БП КГК 4 кв_12-10" xfId="2877"/>
    <cellStyle name="_БП КГК 4 кв_12-10_КАЛЬК ТГК (ТО ЧТО НА МАХ ГЕННЕРАЦИЮ)" xfId="2878"/>
    <cellStyle name="_БП Невского филиала" xfId="2879"/>
    <cellStyle name="_БП прогн 2007 Операц. внер 1,075 1" xfId="2880"/>
    <cellStyle name="_БП прогн 2007 Операц. внер 1,075 1 (1)" xfId="2881"/>
    <cellStyle name="_БП прогн 2007 Операц. внер 1,075 1 (1)_КАЛЬК ТГК (ТО ЧТО НА МАХ ГЕННЕРАЦИЮ)" xfId="2882"/>
    <cellStyle name="_БП прогн 2007 Операц. внер 1,075 1_КАЛЬК ТГК (ТО ЧТО НА МАХ ГЕННЕРАЦИЮ)" xfId="2883"/>
    <cellStyle name="_БП_2006_НФ" xfId="2884"/>
    <cellStyle name="_БП_2006_НФ_КАЛЬК ТГК (ТО ЧТО НА МАХ ГЕННЕРАЦИЮ)" xfId="2885"/>
    <cellStyle name="_БР августа с наполнением" xfId="2886"/>
    <cellStyle name="_БР на сентябрь" xfId="2887"/>
    <cellStyle name="_бр октября" xfId="2888"/>
    <cellStyle name="_Бюджет 11111" xfId="2889"/>
    <cellStyle name="_Бюджет 2008г_КСК утвержденный МО" xfId="70"/>
    <cellStyle name="_Бюджет 2008г_КСК утвержденный МО 2" xfId="3543"/>
    <cellStyle name="_Бюджет 2008г_КСК утвержденный МО_Анализ_Calc А2" xfId="71"/>
    <cellStyle name="_Бюджет 2008г_КСК утвержденный МО_Анализ_Calc А2 2" xfId="3544"/>
    <cellStyle name="_Бюджет 2008г_УК утвержденный МО" xfId="72"/>
    <cellStyle name="_Бюджет 2008г_УК утвержденный МО 2" xfId="3545"/>
    <cellStyle name="_Бюджет 2008г_УК утвержденный МО_Анализ_Calc А2" xfId="73"/>
    <cellStyle name="_Бюджет 2008г_УК утвержденный МО_Анализ_Calc А2 2" xfId="3546"/>
    <cellStyle name="_БЮДЖЕТ декабрь  2007 с данными ТГК-1" xfId="2890"/>
    <cellStyle name="_Бюджет капитальных вложений - по Группе - 2009" xfId="74"/>
    <cellStyle name="_Бюджет капитальных вложений - по Группе - 2009 2" xfId="3547"/>
    <cellStyle name="_Бюджет капитальных вложений - по Группе - 2009_Анализ_Calc А2" xfId="75"/>
    <cellStyle name="_Бюджет капитальных вложений - по Группе - 2009_Анализ_Calc А2 2" xfId="3548"/>
    <cellStyle name="_БЮДЖЕТ на сентябрь 2007" xfId="2891"/>
    <cellStyle name="_Бюджет ФОТ" xfId="76"/>
    <cellStyle name="_Бюджет ФОТ 2" xfId="3549"/>
    <cellStyle name="_Бюджет ФОТ_Анализ_Calc А2" xfId="77"/>
    <cellStyle name="_Бюджет ФОТ_Анализ_Calc А2 2" xfId="3550"/>
    <cellStyle name="_Бюджет2006_ПОКАЗАТЕЛИ СВОДНЫЕ" xfId="78"/>
    <cellStyle name="_Бюджет2006_ПОКАЗАТЕЛИ СВОДНЫЕ 2" xfId="609"/>
    <cellStyle name="_Бюджет2006_ПОКАЗАТЕЛИ СВОДНЫЕ 3" xfId="3551"/>
    <cellStyle name="_Бюджет2006_ПОКАЗАТЕЛИ СВОДНЫЕ_Анализ_Calc А2" xfId="79"/>
    <cellStyle name="_Бюджет2006_ПОКАЗАТЕЛИ СВОДНЫЕ_Анализ_Calc А2 2" xfId="3552"/>
    <cellStyle name="_Бюджет2006_ПОКАЗАТЕЛИ СВОДНЫЕ_Б4-УТВЕРЖДЕНО" xfId="80"/>
    <cellStyle name="_Бюджет2006_ПОКАЗАТЕЛИ СВОДНЫЕ_Б4-УТВЕРЖДЕНО 2" xfId="3553"/>
    <cellStyle name="_Бюджет2006_ПОКАЗАТЕЛИ СВОДНЫЕ_Бюджет_тариф 2009" xfId="81"/>
    <cellStyle name="_Бюджет2006_ПОКАЗАТЕЛИ СВОДНЫЕ_Бюджет_тариф 2009 2" xfId="3554"/>
    <cellStyle name="_Бюджет2006_ПОКАЗАТЕЛИ СВОДНЫЕ_ЦФО-ИД Б8-2009-УТВЕРЖДЕНО." xfId="82"/>
    <cellStyle name="_Бюджет2006_ПОКАЗАТЕЛИ СВОДНЫЕ_ЦФО-ИД Б8-2009-УТВЕРЖДЕНО. 2" xfId="3555"/>
    <cellStyle name="_Бюджетные формы. Закупки" xfId="83"/>
    <cellStyle name="_Бюджетные формы.Доходы" xfId="84"/>
    <cellStyle name="_Бюджетные формы.Расходы_19.10.07" xfId="85"/>
    <cellStyle name="_Бюджетные формы.Финансы" xfId="86"/>
    <cellStyle name="_Бюджетные формы.ФинБюджеты" xfId="87"/>
    <cellStyle name="_Внутригруппа Обороты расхождения" xfId="2892"/>
    <cellStyle name="_ВО ОП ТЭС-ОТ- 2007" xfId="610"/>
    <cellStyle name="_ВО ОП ТЭС-ОТ- 2007_Новая инструкция1_фст" xfId="611"/>
    <cellStyle name="_ВФ ОАО ТЭС-ОТ- 2009" xfId="612"/>
    <cellStyle name="_ВФ ОАО ТЭС-ОТ- 2009_Новая инструкция1_фст" xfId="613"/>
    <cellStyle name="_Выполнение. 2007" xfId="2893"/>
    <cellStyle name="_выручка по присоединениям2" xfId="88"/>
    <cellStyle name="_выручка по присоединениям2 2" xfId="614"/>
    <cellStyle name="_выручка по присоединениям2_Новая инструкция1_фст" xfId="615"/>
    <cellStyle name="_Выручка_анализ по филиалам_апрель" xfId="2894"/>
    <cellStyle name="_Выручка_анализ по филиалам_май" xfId="2895"/>
    <cellStyle name="_ГКПЗ 2009.Прочие" xfId="2896"/>
    <cellStyle name="_ГУП ТЭК 2010-2012 1" xfId="2897"/>
    <cellStyle name="_Договор аренды ЯЭ с разбивкой" xfId="616"/>
    <cellStyle name="_Договор аренды ЯЭ с разбивкой_Новая инструкция1_фст" xfId="617"/>
    <cellStyle name="_Доходы, финансовые бюджеты" xfId="89"/>
    <cellStyle name="_Ежемес разбивка по филиалам на 2009 г _февраль (2)" xfId="2898"/>
    <cellStyle name="_Ежемес разбивка по филиалам на 2009 г _февраль (3)" xfId="2899"/>
    <cellStyle name="_Ежемесячная квота 2007  тправка 09 апреля" xfId="2900"/>
    <cellStyle name="_Ежемесячный план 2008 помесячно" xfId="2901"/>
    <cellStyle name="_Ежемесячный план 2008 помесячно_Разбивка прибыли_12 мес_2010" xfId="2902"/>
    <cellStyle name="_Защита ФЗП" xfId="90"/>
    <cellStyle name="_Защита ФЗП 2" xfId="618"/>
    <cellStyle name="_Защита ФЗП 3" xfId="3556"/>
    <cellStyle name="_Защита ФЗП_Анализ_Calc А2" xfId="91"/>
    <cellStyle name="_Защита ФЗП_Анализ_Calc А2 2" xfId="3557"/>
    <cellStyle name="_Защита ФЗП_Бюджет_тариф 2009" xfId="92"/>
    <cellStyle name="_Защита ФЗП_Бюджет_тариф 2009 2" xfId="3558"/>
    <cellStyle name="_Заявка на квоту по ст. 7.4.4. на июль 08._ф. Кольский" xfId="2903"/>
    <cellStyle name="_Заявка на квоту по ст. 7.4.6. на июль 08г._ф. Кольский" xfId="2904"/>
    <cellStyle name="_Инвест. программа-лизинг(Яковлев)" xfId="93"/>
    <cellStyle name="_Инвестиционная программа" xfId="94"/>
    <cellStyle name="_Инвестиционная программа 2" xfId="3559"/>
    <cellStyle name="_Инвестиционная программа_Анализ_Calc А2" xfId="95"/>
    <cellStyle name="_Инвестиционная программа_Анализ_Calc А2 2" xfId="3560"/>
    <cellStyle name="_Инвестиционная программа_Б4-УТВЕРЖДЕНО" xfId="96"/>
    <cellStyle name="_Инвестиционная программа_Б4-УТВЕРЖДЕНО 2" xfId="3561"/>
    <cellStyle name="_Инвестиционная программа_ЦФО-ИД Б8-2009-УТВЕРЖДЕНО." xfId="97"/>
    <cellStyle name="_Инвестиционная программа_ЦФО-ИД Б8-2009-УТВЕРЖДЕНО. 2" xfId="3562"/>
    <cellStyle name="_Инвестпрограмма на 2007 г." xfId="619"/>
    <cellStyle name="_Информация для филиалов" xfId="2905"/>
    <cellStyle name="_Информация для филиалов 2" xfId="2906"/>
    <cellStyle name="_Информация для филиалов_Разбивка прибыли_12 мес_2010" xfId="2907"/>
    <cellStyle name="_ИП" xfId="2908"/>
    <cellStyle name="_ИП, ПП для финмодели ВЭК" xfId="2909"/>
    <cellStyle name="_Исходные данные для модели" xfId="620"/>
    <cellStyle name="_Исходные данные для модели_Новая инструкция1_фст" xfId="621"/>
    <cellStyle name="_итоговый файл 1" xfId="98"/>
    <cellStyle name="_КАЛЬК ТГК (ТО ЧТО НА МАХ ГЕННЕРАЦИЮ)" xfId="2910"/>
    <cellStyle name="_Карельский филиал" xfId="2911"/>
    <cellStyle name="_Карельский филиал_приказ №12" xfId="2912"/>
    <cellStyle name="_Карельский филиал_Разбивка прибыли_12 мес_2010" xfId="2913"/>
    <cellStyle name="_Карельский_GES.2007.5_исп" xfId="2914"/>
    <cellStyle name="_Карельский_GES.2007.5_исп_КАЛЬК ТГК (ТО ЧТО НА МАХ ГЕННЕРАЦИЮ)" xfId="2915"/>
    <cellStyle name="_Карельский_GRES.2007.5_исп" xfId="2916"/>
    <cellStyle name="_Карельский_GRES.2007.5_исп_КАЛЬК ТГК (ТО ЧТО НА МАХ ГЕННЕРАЦИЮ)" xfId="2917"/>
    <cellStyle name="_КВОТА ОМТО к бюджету апрель" xfId="2918"/>
    <cellStyle name="_КВОТА ОМТО к бюджету май" xfId="2919"/>
    <cellStyle name="_КВОТА ОМТО к бюджету март " xfId="2920"/>
    <cellStyle name="_КВОТА ОМТО к бюджету февраль " xfId="2921"/>
    <cellStyle name="_квота_сентябрь" xfId="2922"/>
    <cellStyle name="_КЗ и прочие_Таня_с изменениями" xfId="2923"/>
    <cellStyle name="_Книга1" xfId="99"/>
    <cellStyle name="_Книга1 (5)" xfId="2924"/>
    <cellStyle name="_Книга1 2" xfId="2925"/>
    <cellStyle name="_Книга1_1" xfId="2926"/>
    <cellStyle name="_Книга3" xfId="2927"/>
    <cellStyle name="_Книга3_Доходы-Расходы" xfId="2928"/>
    <cellStyle name="_Книга4" xfId="2929"/>
    <cellStyle name="_Кольский филиал_На январь 2008 г._7.1" xfId="2930"/>
    <cellStyle name="_Кольский филиал_На январь 2008 г._9" xfId="2931"/>
    <cellStyle name="_Кольский филиал_приказ №12" xfId="2932"/>
    <cellStyle name="_Кольский филиал_ПТО  затраты по статье 6.1на январь" xfId="2933"/>
    <cellStyle name="_КОНВЕРТАТОР_15.02.06" xfId="2934"/>
    <cellStyle name="_КОНВЕРТАТОР_15.02.06_КАЛЬК ТГК (ТО ЧТО НА МАХ ГЕННЕРАЦИЮ)" xfId="2935"/>
    <cellStyle name="_Консолидация-2008-проект-new" xfId="100"/>
    <cellStyle name="_Консолидация-2008-проект-new 2" xfId="622"/>
    <cellStyle name="_Консолидация-2008-проект-new 3" xfId="3563"/>
    <cellStyle name="_Консолидация-2008-проект-new_Анализ_Calc А2" xfId="101"/>
    <cellStyle name="_Консолидация-2008-проект-new_Анализ_Calc А2 2" xfId="3564"/>
    <cellStyle name="_Консолидация-2008-проект-new_Бюджет_тариф 2009" xfId="102"/>
    <cellStyle name="_Консолидация-2008-проект-new_Бюджет_тариф 2009 2" xfId="3565"/>
    <cellStyle name="_Копия Программа первоочередных мер_(правка 18 05 06 Усаров_2А_3)" xfId="103"/>
    <cellStyle name="_Копия Форматы УУ15" xfId="104"/>
    <cellStyle name="_Лизинг" xfId="2936"/>
    <cellStyle name="_лимит по МТЭЦ согласованный" xfId="2937"/>
    <cellStyle name="_лимиты III кв 2007 раб" xfId="2938"/>
    <cellStyle name="_Лист2" xfId="2939"/>
    <cellStyle name="_Лист2_НМА" xfId="2940"/>
    <cellStyle name="_Лист2_ОС 2006" xfId="2941"/>
    <cellStyle name="_Лист2_ОС_2" xfId="2942"/>
    <cellStyle name="_МОДЕЛЬ_1 (2)" xfId="623"/>
    <cellStyle name="_МОДЕЛЬ_1 (2) 2" xfId="624"/>
    <cellStyle name="_МОДЕЛЬ_1 (2) 2_OREP.KU.2011.MONTHLY.02(v0.1)" xfId="625"/>
    <cellStyle name="_МОДЕЛЬ_1 (2) 2_OREP.KU.2011.MONTHLY.02(v0.4)" xfId="626"/>
    <cellStyle name="_МОДЕЛЬ_1 (2) 2_OREP.KU.2011.MONTHLY.11(v1.4)" xfId="627"/>
    <cellStyle name="_МОДЕЛЬ_1 (2) 2_OREP.KU.2011.MONTHLY.11(v1.4)_UPDATE.BALANCE.WARM.2012YEAR.TO.1.1" xfId="628"/>
    <cellStyle name="_МОДЕЛЬ_1 (2) 2_OREP.KU.2011.MONTHLY.11(v1.4)_UPDATE.CALC.WARM.2012YEAR.TO.1.1" xfId="629"/>
    <cellStyle name="_МОДЕЛЬ_1 (2) 2_UPDATE.BALANCE.WARM.2012YEAR.TO.1.1" xfId="630"/>
    <cellStyle name="_МОДЕЛЬ_1 (2) 2_UPDATE.CALC.WARM.2012YEAR.TO.1.1" xfId="631"/>
    <cellStyle name="_МОДЕЛЬ_1 (2) 2_UPDATE.MONITORING.OS.EE.2.02.TO.1.3.64" xfId="632"/>
    <cellStyle name="_МОДЕЛЬ_1 (2) 2_UPDATE.OREP.KU.2011.MONTHLY.02.TO.1.2" xfId="633"/>
    <cellStyle name="_МОДЕЛЬ_1 (2) 3" xfId="2943"/>
    <cellStyle name="_МОДЕЛЬ_1 (2) 4" xfId="2944"/>
    <cellStyle name="_МОДЕЛЬ_1 (2) 5" xfId="2945"/>
    <cellStyle name="_МОДЕЛЬ_1 (2) 6" xfId="2946"/>
    <cellStyle name="_МОДЕЛЬ_1 (2)_46EE.2011(v1.0)" xfId="634"/>
    <cellStyle name="_МОДЕЛЬ_1 (2)_46EE.2011(v1.0)_46TE.2011(v1.0)" xfId="635"/>
    <cellStyle name="_МОДЕЛЬ_1 (2)_46EE.2011(v1.0)_INDEX.STATION.2012(v1.0)_" xfId="636"/>
    <cellStyle name="_МОДЕЛЬ_1 (2)_46EE.2011(v1.0)_INDEX.STATION.2012(v2.0)" xfId="637"/>
    <cellStyle name="_МОДЕЛЬ_1 (2)_46EE.2011(v1.0)_INDEX.STATION.2012(v2.1)" xfId="638"/>
    <cellStyle name="_МОДЕЛЬ_1 (2)_46EE.2011(v1.0)_TEPLO.PREDEL.2012.M(v1.1)_test" xfId="639"/>
    <cellStyle name="_МОДЕЛЬ_1 (2)_46EE.2011(v1.2)" xfId="640"/>
    <cellStyle name="_МОДЕЛЬ_1 (2)_46EP.2011(v2.0)" xfId="641"/>
    <cellStyle name="_МОДЕЛЬ_1 (2)_46EP.2012(v0.1)" xfId="642"/>
    <cellStyle name="_МОДЕЛЬ_1 (2)_46TE.2011(v1.0)" xfId="643"/>
    <cellStyle name="_МОДЕЛЬ_1 (2)_4DNS.UPDATE.EXAMPLE" xfId="644"/>
    <cellStyle name="_МОДЕЛЬ_1 (2)_ARMRAZR" xfId="645"/>
    <cellStyle name="_МОДЕЛЬ_1 (2)_BALANCE.WARM.2010.FACT(v1.0)" xfId="646"/>
    <cellStyle name="_МОДЕЛЬ_1 (2)_BALANCE.WARM.2010.PLAN" xfId="647"/>
    <cellStyle name="_МОДЕЛЬ_1 (2)_BALANCE.WARM.2011YEAR(v0.7)" xfId="648"/>
    <cellStyle name="_МОДЕЛЬ_1 (2)_BALANCE.WARM.2011YEAR.NEW.UPDATE.SCHEME" xfId="649"/>
    <cellStyle name="_МОДЕЛЬ_1 (2)_CALC.NORMATIV.KU(v0.2)" xfId="650"/>
    <cellStyle name="_МОДЕЛЬ_1 (2)_EE.2REK.P2011.4.78(v0.3)" xfId="651"/>
    <cellStyle name="_МОДЕЛЬ_1 (2)_FORM3.1.2013(v0.2)" xfId="652"/>
    <cellStyle name="_МОДЕЛЬ_1 (2)_FORM3.2013(v1.0)" xfId="653"/>
    <cellStyle name="_МОДЕЛЬ_1 (2)_FORM3.REG(v1.0)" xfId="654"/>
    <cellStyle name="_МОДЕЛЬ_1 (2)_FORM910.2012(v1.1)" xfId="655"/>
    <cellStyle name="_МОДЕЛЬ_1 (2)_INDEX.STATION.2012(v2.1)" xfId="656"/>
    <cellStyle name="_МОДЕЛЬ_1 (2)_INDEX.STATION.2013(v1.0)_патч до 1.1" xfId="657"/>
    <cellStyle name="_МОДЕЛЬ_1 (2)_INVEST.EE.PLAN.4.78(v0.1)" xfId="658"/>
    <cellStyle name="_МОДЕЛЬ_1 (2)_INVEST.EE.PLAN.4.78(v0.3)" xfId="659"/>
    <cellStyle name="_МОДЕЛЬ_1 (2)_INVEST.EE.PLAN.4.78(v1.0)" xfId="660"/>
    <cellStyle name="_МОДЕЛЬ_1 (2)_INVEST.EE.PLAN.4.78(v1.0)_PASSPORT.TEPLO.PROIZV(v2.0)" xfId="661"/>
    <cellStyle name="_МОДЕЛЬ_1 (2)_INVEST.EE.PLAN.4.78(v1.0)_PASSPORT.TEPLO.PROIZV(v2.0)_INDEX.STATION.2013(v1.0)_патч до 1.1" xfId="662"/>
    <cellStyle name="_МОДЕЛЬ_1 (2)_INVEST.EE.PLAN.4.78(v1.0)_PASSPORT.TEPLO.PROIZV(v2.0)_TEPLO.PREDEL.2013(v2.0)" xfId="663"/>
    <cellStyle name="_МОДЕЛЬ_1 (2)_INVEST.PLAN.4.78(v0.1)" xfId="664"/>
    <cellStyle name="_МОДЕЛЬ_1 (2)_INVEST.WARM.PLAN.4.78(v0.1)" xfId="665"/>
    <cellStyle name="_МОДЕЛЬ_1 (2)_INVEST_WARM_PLAN" xfId="666"/>
    <cellStyle name="_МОДЕЛЬ_1 (2)_NADB.JNVLP.APTEKA.2012(v1.0)_21_02_12" xfId="667"/>
    <cellStyle name="_МОДЕЛЬ_1 (2)_NADB.JNVLS.APTEKA.2011(v1.3.3)" xfId="668"/>
    <cellStyle name="_МОДЕЛЬ_1 (2)_NADB.JNVLS.APTEKA.2011(v1.3.3)_46TE.2011(v1.0)" xfId="669"/>
    <cellStyle name="_МОДЕЛЬ_1 (2)_NADB.JNVLS.APTEKA.2011(v1.3.3)_INDEX.STATION.2012(v1.0)_" xfId="670"/>
    <cellStyle name="_МОДЕЛЬ_1 (2)_NADB.JNVLS.APTEKA.2011(v1.3.3)_INDEX.STATION.2012(v2.0)" xfId="671"/>
    <cellStyle name="_МОДЕЛЬ_1 (2)_NADB.JNVLS.APTEKA.2011(v1.3.3)_INDEX.STATION.2012(v2.1)" xfId="672"/>
    <cellStyle name="_МОДЕЛЬ_1 (2)_NADB.JNVLS.APTEKA.2011(v1.3.3)_TEPLO.PREDEL.2012.M(v1.1)_test" xfId="673"/>
    <cellStyle name="_МОДЕЛЬ_1 (2)_NADB.JNVLS.APTEKA.2011(v1.3.4)" xfId="674"/>
    <cellStyle name="_МОДЕЛЬ_1 (2)_NADB.JNVLS.APTEKA.2011(v1.3.4)_46TE.2011(v1.0)" xfId="675"/>
    <cellStyle name="_МОДЕЛЬ_1 (2)_NADB.JNVLS.APTEKA.2011(v1.3.4)_INDEX.STATION.2012(v1.0)_" xfId="676"/>
    <cellStyle name="_МОДЕЛЬ_1 (2)_NADB.JNVLS.APTEKA.2011(v1.3.4)_INDEX.STATION.2012(v2.0)" xfId="677"/>
    <cellStyle name="_МОДЕЛЬ_1 (2)_NADB.JNVLS.APTEKA.2011(v1.3.4)_INDEX.STATION.2012(v2.1)" xfId="678"/>
    <cellStyle name="_МОДЕЛЬ_1 (2)_NADB.JNVLS.APTEKA.2011(v1.3.4)_TEPLO.PREDEL.2012.M(v1.1)_test" xfId="679"/>
    <cellStyle name="_МОДЕЛЬ_1 (2)_PASSPORT.TEPLO.PROIZV(v2.0)" xfId="680"/>
    <cellStyle name="_МОДЕЛЬ_1 (2)_PASSPORT.TEPLO.PROIZV(v2.1)" xfId="681"/>
    <cellStyle name="_МОДЕЛЬ_1 (2)_PASSPORT.TEPLO.SETI(v0.7)" xfId="682"/>
    <cellStyle name="_МОДЕЛЬ_1 (2)_PASSPORT.TEPLO.SETI(v1.0)" xfId="683"/>
    <cellStyle name="_МОДЕЛЬ_1 (2)_PREDEL.JKH.UTV.2011(v1.0.1)" xfId="684"/>
    <cellStyle name="_МОДЕЛЬ_1 (2)_PREDEL.JKH.UTV.2011(v1.0.1)_46TE.2011(v1.0)" xfId="685"/>
    <cellStyle name="_МОДЕЛЬ_1 (2)_PREDEL.JKH.UTV.2011(v1.0.1)_INDEX.STATION.2012(v1.0)_" xfId="686"/>
    <cellStyle name="_МОДЕЛЬ_1 (2)_PREDEL.JKH.UTV.2011(v1.0.1)_INDEX.STATION.2012(v2.0)" xfId="687"/>
    <cellStyle name="_МОДЕЛЬ_1 (2)_PREDEL.JKH.UTV.2011(v1.0.1)_INDEX.STATION.2012(v2.1)" xfId="688"/>
    <cellStyle name="_МОДЕЛЬ_1 (2)_PREDEL.JKH.UTV.2011(v1.0.1)_TEPLO.PREDEL.2012.M(v1.1)_test" xfId="689"/>
    <cellStyle name="_МОДЕЛЬ_1 (2)_PREDEL.JKH.UTV.2011(v1.1)" xfId="690"/>
    <cellStyle name="_МОДЕЛЬ_1 (2)_REP.BLR.2012(v1.0)" xfId="691"/>
    <cellStyle name="_МОДЕЛЬ_1 (2)_TEHSHEET" xfId="692"/>
    <cellStyle name="_МОДЕЛЬ_1 (2)_TEPLO.PREDEL.2012.M(v1.1)" xfId="693"/>
    <cellStyle name="_МОДЕЛЬ_1 (2)_TEPLO.PREDEL.2013(v2.0)" xfId="694"/>
    <cellStyle name="_МОДЕЛЬ_1 (2)_TEST.TEMPLATE" xfId="695"/>
    <cellStyle name="_МОДЕЛЬ_1 (2)_UPDATE.46EE.2011.TO.1.1" xfId="696"/>
    <cellStyle name="_МОДЕЛЬ_1 (2)_UPDATE.46TE.2011.TO.1.1" xfId="697"/>
    <cellStyle name="_МОДЕЛЬ_1 (2)_UPDATE.46TE.2011.TO.1.2" xfId="698"/>
    <cellStyle name="_МОДЕЛЬ_1 (2)_UPDATE.BALANCE.WARM.2011YEAR.TO.1.1" xfId="699"/>
    <cellStyle name="_МОДЕЛЬ_1 (2)_UPDATE.BALANCE.WARM.2011YEAR.TO.1.1_46TE.2011(v1.0)" xfId="700"/>
    <cellStyle name="_МОДЕЛЬ_1 (2)_UPDATE.BALANCE.WARM.2011YEAR.TO.1.1_INDEX.STATION.2012(v1.0)_" xfId="701"/>
    <cellStyle name="_МОДЕЛЬ_1 (2)_UPDATE.BALANCE.WARM.2011YEAR.TO.1.1_INDEX.STATION.2012(v2.0)" xfId="702"/>
    <cellStyle name="_МОДЕЛЬ_1 (2)_UPDATE.BALANCE.WARM.2011YEAR.TO.1.1_INDEX.STATION.2012(v2.1)" xfId="703"/>
    <cellStyle name="_МОДЕЛЬ_1 (2)_UPDATE.BALANCE.WARM.2011YEAR.TO.1.1_OREP.KU.2011.MONTHLY.02(v1.1)" xfId="704"/>
    <cellStyle name="_МОДЕЛЬ_1 (2)_UPDATE.BALANCE.WARM.2011YEAR.TO.1.1_TEPLO.PREDEL.2012.M(v1.1)_test" xfId="705"/>
    <cellStyle name="_МОДЕЛЬ_1 (2)_UPDATE.BALANCE.WARM.2011YEAR.TO.1.2" xfId="706"/>
    <cellStyle name="_МОДЕЛЬ_1 (2)_UPDATE.BALANCE.WARM.2011YEAR.TO.1.4.64" xfId="707"/>
    <cellStyle name="_МОДЕЛЬ_1 (2)_UPDATE.BALANCE.WARM.2011YEAR.TO.1.5.64" xfId="708"/>
    <cellStyle name="_МОДЕЛЬ_1 (2)_UPDATE.MONITORING.OS.EE.2.02.TO.1.3.64" xfId="709"/>
    <cellStyle name="_МОДЕЛЬ_1 (2)_UPDATE.NADB.JNVLS.APTEKA.2011.TO.1.3.4" xfId="710"/>
    <cellStyle name="_МОДЕЛЬ_1 (2)_Вариант с макс ИК" xfId="2947"/>
    <cellStyle name="_МОДЕЛЬ_1 (2)_Модель расчет отправка" xfId="2948"/>
    <cellStyle name="_наполенение апрель 2008" xfId="2949"/>
    <cellStyle name="_наполенение май 2008" xfId="2950"/>
    <cellStyle name="_Наполнение за декабрь 2007г (2)" xfId="2951"/>
    <cellStyle name="_Наполнение за октябрь (1)" xfId="2952"/>
    <cellStyle name="_Наполнение на апрель_2008" xfId="2953"/>
    <cellStyle name="_Наполнение на март_2008" xfId="2954"/>
    <cellStyle name="_наполнение статей  отделов и лимиты ТГК" xfId="2955"/>
    <cellStyle name="_НВВ 2009 постатейно свод по филиалам_09_02_09" xfId="711"/>
    <cellStyle name="_НВВ 2009 постатейно свод по филиалам_09_02_09_Новая инструкция1_фст" xfId="712"/>
    <cellStyle name="_НВВ 2009 постатейно свод по филиалам_для Валентина" xfId="713"/>
    <cellStyle name="_НВВ 2009 постатейно свод по филиалам_для Валентина_Новая инструкция1_фст" xfId="714"/>
    <cellStyle name="_НФ_2008 (version 2)" xfId="2956"/>
    <cellStyle name="_НФ_2008 (version 2) 2" xfId="2957"/>
    <cellStyle name="_НФ_2008 (version 2)_Разбивка прибыли_12 мес_2010" xfId="2958"/>
    <cellStyle name="_Обсужденные корректировочные проводки - последняя версия" xfId="2959"/>
    <cellStyle name="_Ожид 3 и 4 квартал" xfId="2960"/>
    <cellStyle name="_Ожид 3 и 4 квартал_Разбивка прибыли_12 мес_2010" xfId="2961"/>
    <cellStyle name="_Ожидаемые прочие доходы и расходы и топливо" xfId="2962"/>
    <cellStyle name="_Омск" xfId="715"/>
    <cellStyle name="_Омск_Новая инструкция1_фст" xfId="716"/>
    <cellStyle name="_ОТ ИД 2009" xfId="717"/>
    <cellStyle name="_ОТ ИД 2009_Новая инструкция1_фст" xfId="718"/>
    <cellStyle name="_ответственные" xfId="2963"/>
    <cellStyle name="_ответственные_Разбивка прибыли_12 мес_2010" xfId="2964"/>
    <cellStyle name="_Отчет 1 кв_КарелФ" xfId="2965"/>
    <cellStyle name="_Отчет 1 кв_КарелФ_Вариант многолетней сметы_15%_20.04.2011" xfId="2966"/>
    <cellStyle name="_Отчет 1 кв_КарелФ_Варианты сметы 2011" xfId="2967"/>
    <cellStyle name="_Отчет 1 кв_КарелФ_Доли КРЕДИТНЫХ СРЕДСТВ_2008-2010" xfId="2968"/>
    <cellStyle name="_Отчет 1 кв_КарелФ_Кредитные ср-ва (доли по плану-факту 2010)" xfId="2969"/>
    <cellStyle name="_Отчет 1 кв_КарелФ_ПРИБЫЛЬ_2012_в тарифы" xfId="2970"/>
    <cellStyle name="_Отчет 1 кв_КарелФ_Разбивка прибыли_12 мес_2010" xfId="2971"/>
    <cellStyle name="_Отчет 1 кв_КарелФ_Смета затрат ТЕПЛОСЕТЬ Область 2011г" xfId="2972"/>
    <cellStyle name="_Отчет 1 кв_КарелФ_Смета ОАО Теплосеть СПб и приложения_к тарифу 2011_28.04.2010_корр ДЭ" xfId="2973"/>
    <cellStyle name="_Отчет за март 2007" xfId="2974"/>
    <cellStyle name="_Отчет об исполнении бюджета за I квартал 2008-РСБУ" xfId="105"/>
    <cellStyle name="_Отчет об исполнении бюджета за I квартал 2008-РСБУ 2" xfId="3566"/>
    <cellStyle name="_Отчет об исполнении бюджета за I квартал 2008-РСБУ_Анализ_Calc А2" xfId="106"/>
    <cellStyle name="_Отчет об исполнении бюджета за I квартал 2008-РСБУ_Анализ_Calc А2 2" xfId="3567"/>
    <cellStyle name="_Отчет об исполнении бюджета за I полугодие 2008-УО" xfId="107"/>
    <cellStyle name="_Отчет об исполнении бюджета за I полугодие 2008-УО 2" xfId="3568"/>
    <cellStyle name="_Отчет об исполнении бюджета за I полугодие 2008-УО_Анализ_Calc А2" xfId="108"/>
    <cellStyle name="_Отчет об исполнении бюджета за I полугодие 2008-УО_Анализ_Calc А2 2" xfId="3569"/>
    <cellStyle name="_Отчет по мес 2007г_9мес_07_врем" xfId="2975"/>
    <cellStyle name="_Отчет февраль" xfId="2976"/>
    <cellStyle name="_Перечень платежей (метрол.) ФК на сентябрь 2007г" xfId="2977"/>
    <cellStyle name="_Перечень платежей по ст. 4.6 ФК на август 2007г" xfId="2978"/>
    <cellStyle name="_Перечень платежей по ст. 4.6 ФК на июль 2008г." xfId="2979"/>
    <cellStyle name="_Перечень платежей по ст. 4.6 ФК на июнь 2008г." xfId="2980"/>
    <cellStyle name="_Перечень платежей по ст. 4.6 ФК на сентябрь 2007г" xfId="2981"/>
    <cellStyle name="_Перечень платежей по ст. 4.6 ФК на январь 2008г." xfId="2982"/>
    <cellStyle name="_Перечень платежей по ст. 7.4.4 и 7.4.6_ФК_июль 2008г." xfId="2983"/>
    <cellStyle name="_Перечень платежей по ст. 7.4.4 и 7.4.6_ФК_июнь 2008г." xfId="2984"/>
    <cellStyle name="_Перечень платежей по ст. 7.4.4 ФК на август 2007г" xfId="2985"/>
    <cellStyle name="_Перечень платежей по ст. 7.4.4 ФК на сентябрь 2007г" xfId="2986"/>
    <cellStyle name="_Перечень платежей по ст. 7.4.4 ФК на январь 2008г." xfId="2987"/>
    <cellStyle name="_Перечень платежей по ст. 7.4.5 ФК на июль  2008г." xfId="2988"/>
    <cellStyle name="_Перечень платежей по ст. 7.4.5 ФК на июнь  2008г." xfId="2989"/>
    <cellStyle name="_Перечень платежей по ст. 7.4.6 ФК на август 2007г" xfId="2990"/>
    <cellStyle name="_Перечень платежей по ст. 7.4.6 ФК на сентябрь 2007г" xfId="2991"/>
    <cellStyle name="_Перечень платежей по ст. 7.4.6 ФК на январь 2008г." xfId="2992"/>
    <cellStyle name="_план 2007 КПГЭС соц.сфера смета оконч к БП 2007 октябрь." xfId="2993"/>
    <cellStyle name="_План 2008 года с разбивкой по месяцам" xfId="2994"/>
    <cellStyle name="_План платежей на август месяц (ремонты, 7-4-6, ОТ, ПБ)" xfId="2995"/>
    <cellStyle name="_План платежей на июль_08 по ст. 7.9.2 и 7.9.3" xfId="2996"/>
    <cellStyle name="_План платежей на июнь_08 по ст. 7.9.2 и 7.9.3" xfId="2997"/>
    <cellStyle name="_План платежей на сентябрь по ст. 7.9.2 и 7.9.3" xfId="2998"/>
    <cellStyle name="_План платежей на январь (ремонты, 7-4-6, ОТ, ПБ)" xfId="2999"/>
    <cellStyle name="_План ремонтов на 2010 г. 29.04.09_в тарифах" xfId="3000"/>
    <cellStyle name="_План сметы АТП _общая_по видам деят-ти 2010_03.02.10." xfId="3001"/>
    <cellStyle name="_План сметы АТП _общая_по видам деят-ти 2010_05.02.10." xfId="3002"/>
    <cellStyle name="_Планы расходования денежных средств ИП 2008_согласованный Трибус" xfId="3003"/>
    <cellStyle name="_по 24 приказу 12  мес" xfId="3004"/>
    <cellStyle name="_по 24 приказу 12  мес (прил 1)" xfId="3005"/>
    <cellStyle name="_по 24 приказу 12  мес (прил 1)_Разбивка прибыли_12 мес_2010" xfId="3006"/>
    <cellStyle name="_по 24 приказу 12  мес_Разбивка прибыли_12 мес_2010" xfId="3007"/>
    <cellStyle name="_пр 5 тариф RAB" xfId="719"/>
    <cellStyle name="_пр 5 тариф RAB 2" xfId="720"/>
    <cellStyle name="_пр 5 тариф RAB 2_OREP.KU.2011.MONTHLY.02(v0.1)" xfId="721"/>
    <cellStyle name="_пр 5 тариф RAB 2_OREP.KU.2011.MONTHLY.02(v0.4)" xfId="722"/>
    <cellStyle name="_пр 5 тариф RAB 2_OREP.KU.2011.MONTHLY.11(v1.4)" xfId="723"/>
    <cellStyle name="_пр 5 тариф RAB 2_OREP.KU.2011.MONTHLY.11(v1.4)_UPDATE.BALANCE.WARM.2012YEAR.TO.1.1" xfId="724"/>
    <cellStyle name="_пр 5 тариф RAB 2_OREP.KU.2011.MONTHLY.11(v1.4)_UPDATE.CALC.WARM.2012YEAR.TO.1.1" xfId="725"/>
    <cellStyle name="_пр 5 тариф RAB 2_UPDATE.BALANCE.WARM.2012YEAR.TO.1.1" xfId="726"/>
    <cellStyle name="_пр 5 тариф RAB 2_UPDATE.CALC.WARM.2012YEAR.TO.1.1" xfId="727"/>
    <cellStyle name="_пр 5 тариф RAB 2_UPDATE.MONITORING.OS.EE.2.02.TO.1.3.64" xfId="728"/>
    <cellStyle name="_пр 5 тариф RAB 2_UPDATE.OREP.KU.2011.MONTHLY.02.TO.1.2" xfId="729"/>
    <cellStyle name="_пр 5 тариф RAB 3" xfId="3008"/>
    <cellStyle name="_пр 5 тариф RAB 4" xfId="3009"/>
    <cellStyle name="_пр 5 тариф RAB 5" xfId="3010"/>
    <cellStyle name="_пр 5 тариф RAB 6" xfId="3011"/>
    <cellStyle name="_пр 5 тариф RAB_46EE.2011(v1.0)" xfId="730"/>
    <cellStyle name="_пр 5 тариф RAB_46EE.2011(v1.0)_46TE.2011(v1.0)" xfId="731"/>
    <cellStyle name="_пр 5 тариф RAB_46EE.2011(v1.0)_INDEX.STATION.2012(v1.0)_" xfId="732"/>
    <cellStyle name="_пр 5 тариф RAB_46EE.2011(v1.0)_INDEX.STATION.2012(v2.0)" xfId="733"/>
    <cellStyle name="_пр 5 тариф RAB_46EE.2011(v1.0)_INDEX.STATION.2012(v2.1)" xfId="734"/>
    <cellStyle name="_пр 5 тариф RAB_46EE.2011(v1.0)_TEPLO.PREDEL.2012.M(v1.1)_test" xfId="735"/>
    <cellStyle name="_пр 5 тариф RAB_46EE.2011(v1.2)" xfId="736"/>
    <cellStyle name="_пр 5 тариф RAB_46EP.2011(v2.0)" xfId="737"/>
    <cellStyle name="_пр 5 тариф RAB_46EP.2012(v0.1)" xfId="738"/>
    <cellStyle name="_пр 5 тариф RAB_46TE.2011(v1.0)" xfId="739"/>
    <cellStyle name="_пр 5 тариф RAB_4DNS.UPDATE.EXAMPLE" xfId="740"/>
    <cellStyle name="_пр 5 тариф RAB_ARMRAZR" xfId="741"/>
    <cellStyle name="_пр 5 тариф RAB_BALANCE.WARM.2010.FACT(v1.0)" xfId="742"/>
    <cellStyle name="_пр 5 тариф RAB_BALANCE.WARM.2010.PLAN" xfId="743"/>
    <cellStyle name="_пр 5 тариф RAB_BALANCE.WARM.2011YEAR(v0.7)" xfId="744"/>
    <cellStyle name="_пр 5 тариф RAB_BALANCE.WARM.2011YEAR.NEW.UPDATE.SCHEME" xfId="745"/>
    <cellStyle name="_пр 5 тариф RAB_CALC.NORMATIV.KU(v0.2)" xfId="746"/>
    <cellStyle name="_пр 5 тариф RAB_EE.2REK.P2011.4.78(v0.3)" xfId="747"/>
    <cellStyle name="_пр 5 тариф RAB_FORM3.1.2013(v0.2)" xfId="748"/>
    <cellStyle name="_пр 5 тариф RAB_FORM3.2013(v1.0)" xfId="749"/>
    <cellStyle name="_пр 5 тариф RAB_FORM3.REG(v1.0)" xfId="750"/>
    <cellStyle name="_пр 5 тариф RAB_FORM910.2012(v1.1)" xfId="751"/>
    <cellStyle name="_пр 5 тариф RAB_INDEX.STATION.2012(v2.1)" xfId="752"/>
    <cellStyle name="_пр 5 тариф RAB_INDEX.STATION.2013(v1.0)_патч до 1.1" xfId="753"/>
    <cellStyle name="_пр 5 тариф RAB_INVEST.EE.PLAN.4.78(v0.1)" xfId="754"/>
    <cellStyle name="_пр 5 тариф RAB_INVEST.EE.PLAN.4.78(v0.3)" xfId="755"/>
    <cellStyle name="_пр 5 тариф RAB_INVEST.EE.PLAN.4.78(v1.0)" xfId="756"/>
    <cellStyle name="_пр 5 тариф RAB_INVEST.EE.PLAN.4.78(v1.0)_PASSPORT.TEPLO.PROIZV(v2.0)" xfId="757"/>
    <cellStyle name="_пр 5 тариф RAB_INVEST.EE.PLAN.4.78(v1.0)_PASSPORT.TEPLO.PROIZV(v2.0)_INDEX.STATION.2013(v1.0)_патч до 1.1" xfId="758"/>
    <cellStyle name="_пр 5 тариф RAB_INVEST.EE.PLAN.4.78(v1.0)_PASSPORT.TEPLO.PROIZV(v2.0)_TEPLO.PREDEL.2013(v2.0)" xfId="759"/>
    <cellStyle name="_пр 5 тариф RAB_INVEST.PLAN.4.78(v0.1)" xfId="760"/>
    <cellStyle name="_пр 5 тариф RAB_INVEST.WARM.PLAN.4.78(v0.1)" xfId="761"/>
    <cellStyle name="_пр 5 тариф RAB_INVEST_WARM_PLAN" xfId="762"/>
    <cellStyle name="_пр 5 тариф RAB_NADB.JNVLP.APTEKA.2012(v1.0)_21_02_12" xfId="763"/>
    <cellStyle name="_пр 5 тариф RAB_NADB.JNVLS.APTEKA.2011(v1.3.3)" xfId="764"/>
    <cellStyle name="_пр 5 тариф RAB_NADB.JNVLS.APTEKA.2011(v1.3.3)_46TE.2011(v1.0)" xfId="765"/>
    <cellStyle name="_пр 5 тариф RAB_NADB.JNVLS.APTEKA.2011(v1.3.3)_INDEX.STATION.2012(v1.0)_" xfId="766"/>
    <cellStyle name="_пр 5 тариф RAB_NADB.JNVLS.APTEKA.2011(v1.3.3)_INDEX.STATION.2012(v2.0)" xfId="767"/>
    <cellStyle name="_пр 5 тариф RAB_NADB.JNVLS.APTEKA.2011(v1.3.3)_INDEX.STATION.2012(v2.1)" xfId="768"/>
    <cellStyle name="_пр 5 тариф RAB_NADB.JNVLS.APTEKA.2011(v1.3.3)_TEPLO.PREDEL.2012.M(v1.1)_test" xfId="769"/>
    <cellStyle name="_пр 5 тариф RAB_NADB.JNVLS.APTEKA.2011(v1.3.4)" xfId="770"/>
    <cellStyle name="_пр 5 тариф RAB_NADB.JNVLS.APTEKA.2011(v1.3.4)_46TE.2011(v1.0)" xfId="771"/>
    <cellStyle name="_пр 5 тариф RAB_NADB.JNVLS.APTEKA.2011(v1.3.4)_INDEX.STATION.2012(v1.0)_" xfId="772"/>
    <cellStyle name="_пр 5 тариф RAB_NADB.JNVLS.APTEKA.2011(v1.3.4)_INDEX.STATION.2012(v2.0)" xfId="773"/>
    <cellStyle name="_пр 5 тариф RAB_NADB.JNVLS.APTEKA.2011(v1.3.4)_INDEX.STATION.2012(v2.1)" xfId="774"/>
    <cellStyle name="_пр 5 тариф RAB_NADB.JNVLS.APTEKA.2011(v1.3.4)_TEPLO.PREDEL.2012.M(v1.1)_test" xfId="775"/>
    <cellStyle name="_пр 5 тариф RAB_PASSPORT.TEPLO.PROIZV(v2.0)" xfId="776"/>
    <cellStyle name="_пр 5 тариф RAB_PASSPORT.TEPLO.PROIZV(v2.1)" xfId="777"/>
    <cellStyle name="_пр 5 тариф RAB_PASSPORT.TEPLO.SETI(v0.7)" xfId="778"/>
    <cellStyle name="_пр 5 тариф RAB_PASSPORT.TEPLO.SETI(v1.0)" xfId="779"/>
    <cellStyle name="_пр 5 тариф RAB_PREDEL.JKH.UTV.2011(v1.0.1)" xfId="780"/>
    <cellStyle name="_пр 5 тариф RAB_PREDEL.JKH.UTV.2011(v1.0.1)_46TE.2011(v1.0)" xfId="781"/>
    <cellStyle name="_пр 5 тариф RAB_PREDEL.JKH.UTV.2011(v1.0.1)_INDEX.STATION.2012(v1.0)_" xfId="782"/>
    <cellStyle name="_пр 5 тариф RAB_PREDEL.JKH.UTV.2011(v1.0.1)_INDEX.STATION.2012(v2.0)" xfId="783"/>
    <cellStyle name="_пр 5 тариф RAB_PREDEL.JKH.UTV.2011(v1.0.1)_INDEX.STATION.2012(v2.1)" xfId="784"/>
    <cellStyle name="_пр 5 тариф RAB_PREDEL.JKH.UTV.2011(v1.0.1)_TEPLO.PREDEL.2012.M(v1.1)_test" xfId="785"/>
    <cellStyle name="_пр 5 тариф RAB_PREDEL.JKH.UTV.2011(v1.1)" xfId="786"/>
    <cellStyle name="_пр 5 тариф RAB_REP.BLR.2012(v1.0)" xfId="787"/>
    <cellStyle name="_пр 5 тариф RAB_TEHSHEET" xfId="788"/>
    <cellStyle name="_пр 5 тариф RAB_TEPLO.PREDEL.2012.M(v1.1)" xfId="789"/>
    <cellStyle name="_пр 5 тариф RAB_TEPLO.PREDEL.2013(v2.0)" xfId="790"/>
    <cellStyle name="_пр 5 тариф RAB_TEST.TEMPLATE" xfId="791"/>
    <cellStyle name="_пр 5 тариф RAB_UPDATE.46EE.2011.TO.1.1" xfId="792"/>
    <cellStyle name="_пр 5 тариф RAB_UPDATE.46TE.2011.TO.1.1" xfId="793"/>
    <cellStyle name="_пр 5 тариф RAB_UPDATE.46TE.2011.TO.1.2" xfId="794"/>
    <cellStyle name="_пр 5 тариф RAB_UPDATE.BALANCE.WARM.2011YEAR.TO.1.1" xfId="795"/>
    <cellStyle name="_пр 5 тариф RAB_UPDATE.BALANCE.WARM.2011YEAR.TO.1.1_46TE.2011(v1.0)" xfId="796"/>
    <cellStyle name="_пр 5 тариф RAB_UPDATE.BALANCE.WARM.2011YEAR.TO.1.1_INDEX.STATION.2012(v1.0)_" xfId="797"/>
    <cellStyle name="_пр 5 тариф RAB_UPDATE.BALANCE.WARM.2011YEAR.TO.1.1_INDEX.STATION.2012(v2.0)" xfId="798"/>
    <cellStyle name="_пр 5 тариф RAB_UPDATE.BALANCE.WARM.2011YEAR.TO.1.1_INDEX.STATION.2012(v2.1)" xfId="799"/>
    <cellStyle name="_пр 5 тариф RAB_UPDATE.BALANCE.WARM.2011YEAR.TO.1.1_OREP.KU.2011.MONTHLY.02(v1.1)" xfId="800"/>
    <cellStyle name="_пр 5 тариф RAB_UPDATE.BALANCE.WARM.2011YEAR.TO.1.1_TEPLO.PREDEL.2012.M(v1.1)_test" xfId="801"/>
    <cellStyle name="_пр 5 тариф RAB_UPDATE.BALANCE.WARM.2011YEAR.TO.1.2" xfId="802"/>
    <cellStyle name="_пр 5 тариф RAB_UPDATE.BALANCE.WARM.2011YEAR.TO.1.4.64" xfId="803"/>
    <cellStyle name="_пр 5 тариф RAB_UPDATE.BALANCE.WARM.2011YEAR.TO.1.5.64" xfId="804"/>
    <cellStyle name="_пр 5 тариф RAB_UPDATE.MONITORING.OS.EE.2.02.TO.1.3.64" xfId="805"/>
    <cellStyle name="_пр 5 тариф RAB_UPDATE.NADB.JNVLS.APTEKA.2011.TO.1.3.4" xfId="806"/>
    <cellStyle name="_пр 5 тариф RAB_Вариант с макс ИК" xfId="3012"/>
    <cellStyle name="_пр 5 тариф RAB_Модель расчет отправка" xfId="3013"/>
    <cellStyle name="_Предожение _ДБП_2009 г ( согласованные БП)  (2)" xfId="807"/>
    <cellStyle name="_Предожение _ДБП_2009 г ( согласованные БП)  (2)_Новая инструкция1_фст" xfId="808"/>
    <cellStyle name="_Приказ_форматы_2006_08.02.06" xfId="3014"/>
    <cellStyle name="_Прил 3_Пакет форм  бюджета_ год" xfId="109"/>
    <cellStyle name="_Прил 3_Пакет форм  бюджета_ год 2" xfId="3570"/>
    <cellStyle name="_Прил 3_Пакет форм  бюджета_ год_Анализ_Calc А2" xfId="110"/>
    <cellStyle name="_Прил 3_Пакет форм  бюджета_ год_Анализ_Calc А2 2" xfId="3571"/>
    <cellStyle name="_Прил 4,4б_ИПсентябрь" xfId="3015"/>
    <cellStyle name="_Прил 4_Формат-РСК_29.11.06_new finalприм" xfId="111"/>
    <cellStyle name="_прил 6 6" xfId="3016"/>
    <cellStyle name="_Прил. 2 к расп.РАО" xfId="3017"/>
    <cellStyle name="_Приложение _5 (прочие доходы и расходы)" xfId="3018"/>
    <cellStyle name="_Приложение 1 ИП на 2005" xfId="3019"/>
    <cellStyle name="_Приложение 1 ИП на 2005 2" xfId="3020"/>
    <cellStyle name="_Приложение 1 к Соглашению за 2007" xfId="112"/>
    <cellStyle name="_Приложение 2 0806 факт" xfId="113"/>
    <cellStyle name="_Приложение 2 0806 факт 2" xfId="809"/>
    <cellStyle name="_Приложение 2 0806 факт 3" xfId="3572"/>
    <cellStyle name="_Приложение 2 ТГК" xfId="3021"/>
    <cellStyle name="_Приложение 4,4б_август" xfId="3022"/>
    <cellStyle name="_Приложение 8 ИП на 2005 для РАО ОКС" xfId="3023"/>
    <cellStyle name="_Приложение 8 ИП на 2005 для РАО ОКС_КАЛЬК ТГК (ТО ЧТО НА МАХ ГЕННЕРАЦИЮ)" xfId="3024"/>
    <cellStyle name="_Приложение №1-смета 2009г пятый вариант после снятия 6 мл. Газпром (1)" xfId="3025"/>
    <cellStyle name="_Приложение МТС-3-КС" xfId="114"/>
    <cellStyle name="_Приложение МТС-3-КС 2" xfId="810"/>
    <cellStyle name="_Приложение МТС-3-КС_Новая инструкция1_фст" xfId="811"/>
    <cellStyle name="_Приложение-МТС--2-1" xfId="115"/>
    <cellStyle name="_Приложение-МТС--2-1 2" xfId="812"/>
    <cellStyle name="_Приложение-МТС--2-1_Новая инструкция1_фст" xfId="813"/>
    <cellStyle name="_Приложения" xfId="116"/>
    <cellStyle name="_Приложения 3,4,5" xfId="117"/>
    <cellStyle name="_Приложения к приказу" xfId="3026"/>
    <cellStyle name="_Приложения к приказу _ БП2007_согласование" xfId="3027"/>
    <cellStyle name="_Приложения к приказу_ бюджет_2008_год_в приказ_30.01" xfId="3028"/>
    <cellStyle name="_Приложения к приказу_КАЛЬК ТГК (ТО ЧТО НА МАХ ГЕННЕРАЦИЮ)" xfId="3029"/>
    <cellStyle name="_Проект ГКПЗ 2008 год по ст. 2.22. ОТПРАВКА 08_09_08" xfId="3030"/>
    <cellStyle name="_Проект_бизнесплана ТГК-1_ для филиалов" xfId="3031"/>
    <cellStyle name="_Проект_бизнесплана ТГК-1_ для филиалов_Разбивка прибыли_12 мес_2010" xfId="3032"/>
    <cellStyle name="_ПТО  затраты по статье 6.1на сентябрь" xfId="3033"/>
    <cellStyle name="_ПТО АТЭЦ  затраты по статье 6.1на август" xfId="3034"/>
    <cellStyle name="_Расходы" xfId="118"/>
    <cellStyle name="_Расходы 2007 с коррект НДС для БП" xfId="3035"/>
    <cellStyle name="_Расходы 2007 с коррект НДС для БП_ОБЩ.СВОД" xfId="3036"/>
    <cellStyle name="_Расходы 2007 с коррект НДС для БП_Реестр" xfId="3037"/>
    <cellStyle name="_Расходы 2007 с коррект НДС для БП_Реестр_ОБЩ.СВОД" xfId="3038"/>
    <cellStyle name="_Расходы 2007 с коррект НДС для БП_свод" xfId="3039"/>
    <cellStyle name="_Расходы 2007 с коррект НДС для БП_СВОД_ОБЩИЙ СВОД ПО РЕЕСТРУ ЗА ИЮЛЬ" xfId="3040"/>
    <cellStyle name="_Расчет RAB_22072008" xfId="814"/>
    <cellStyle name="_Расчет RAB_22072008 2" xfId="815"/>
    <cellStyle name="_Расчет RAB_22072008 2_OREP.KU.2011.MONTHLY.02(v0.1)" xfId="816"/>
    <cellStyle name="_Расчет RAB_22072008 2_OREP.KU.2011.MONTHLY.02(v0.4)" xfId="817"/>
    <cellStyle name="_Расчет RAB_22072008 2_OREP.KU.2011.MONTHLY.11(v1.4)" xfId="818"/>
    <cellStyle name="_Расчет RAB_22072008 2_OREP.KU.2011.MONTHLY.11(v1.4)_UPDATE.BALANCE.WARM.2012YEAR.TO.1.1" xfId="819"/>
    <cellStyle name="_Расчет RAB_22072008 2_OREP.KU.2011.MONTHLY.11(v1.4)_UPDATE.CALC.WARM.2012YEAR.TO.1.1" xfId="820"/>
    <cellStyle name="_Расчет RAB_22072008 2_UPDATE.BALANCE.WARM.2012YEAR.TO.1.1" xfId="821"/>
    <cellStyle name="_Расчет RAB_22072008 2_UPDATE.CALC.WARM.2012YEAR.TO.1.1" xfId="822"/>
    <cellStyle name="_Расчет RAB_22072008 2_UPDATE.MONITORING.OS.EE.2.02.TO.1.3.64" xfId="823"/>
    <cellStyle name="_Расчет RAB_22072008 2_UPDATE.OREP.KU.2011.MONTHLY.02.TO.1.2" xfId="824"/>
    <cellStyle name="_Расчет RAB_22072008 3" xfId="3041"/>
    <cellStyle name="_Расчет RAB_22072008 4" xfId="3042"/>
    <cellStyle name="_Расчет RAB_22072008 5" xfId="3043"/>
    <cellStyle name="_Расчет RAB_22072008 6" xfId="3044"/>
    <cellStyle name="_Расчет RAB_22072008_46EE.2011(v1.0)" xfId="825"/>
    <cellStyle name="_Расчет RAB_22072008_46EE.2011(v1.0)_46TE.2011(v1.0)" xfId="826"/>
    <cellStyle name="_Расчет RAB_22072008_46EE.2011(v1.0)_INDEX.STATION.2012(v1.0)_" xfId="827"/>
    <cellStyle name="_Расчет RAB_22072008_46EE.2011(v1.0)_INDEX.STATION.2012(v2.0)" xfId="828"/>
    <cellStyle name="_Расчет RAB_22072008_46EE.2011(v1.0)_INDEX.STATION.2012(v2.1)" xfId="829"/>
    <cellStyle name="_Расчет RAB_22072008_46EE.2011(v1.0)_TEPLO.PREDEL.2012.M(v1.1)_test" xfId="830"/>
    <cellStyle name="_Расчет RAB_22072008_46EE.2011(v1.2)" xfId="831"/>
    <cellStyle name="_Расчет RAB_22072008_46EP.2011(v2.0)" xfId="832"/>
    <cellStyle name="_Расчет RAB_22072008_46EP.2012(v0.1)" xfId="833"/>
    <cellStyle name="_Расчет RAB_22072008_46TE.2011(v1.0)" xfId="834"/>
    <cellStyle name="_Расчет RAB_22072008_4DNS.UPDATE.EXAMPLE" xfId="835"/>
    <cellStyle name="_Расчет RAB_22072008_ARMRAZR" xfId="836"/>
    <cellStyle name="_Расчет RAB_22072008_BALANCE.WARM.2010.FACT(v1.0)" xfId="837"/>
    <cellStyle name="_Расчет RAB_22072008_BALANCE.WARM.2010.PLAN" xfId="838"/>
    <cellStyle name="_Расчет RAB_22072008_BALANCE.WARM.2011YEAR(v0.7)" xfId="839"/>
    <cellStyle name="_Расчет RAB_22072008_BALANCE.WARM.2011YEAR.NEW.UPDATE.SCHEME" xfId="840"/>
    <cellStyle name="_Расчет RAB_22072008_CALC.NORMATIV.KU(v0.2)" xfId="841"/>
    <cellStyle name="_Расчет RAB_22072008_EE.2REK.P2011.4.78(v0.3)" xfId="842"/>
    <cellStyle name="_Расчет RAB_22072008_FORM3.1.2013(v0.2)" xfId="843"/>
    <cellStyle name="_Расчет RAB_22072008_FORM3.2013(v1.0)" xfId="844"/>
    <cellStyle name="_Расчет RAB_22072008_FORM3.REG(v1.0)" xfId="845"/>
    <cellStyle name="_Расчет RAB_22072008_FORM910.2012(v1.1)" xfId="846"/>
    <cellStyle name="_Расчет RAB_22072008_INDEX.STATION.2012(v2.1)" xfId="847"/>
    <cellStyle name="_Расчет RAB_22072008_INDEX.STATION.2013(v1.0)_патч до 1.1" xfId="848"/>
    <cellStyle name="_Расчет RAB_22072008_INVEST.EE.PLAN.4.78(v0.1)" xfId="849"/>
    <cellStyle name="_Расчет RAB_22072008_INVEST.EE.PLAN.4.78(v0.3)" xfId="850"/>
    <cellStyle name="_Расчет RAB_22072008_INVEST.EE.PLAN.4.78(v1.0)" xfId="851"/>
    <cellStyle name="_Расчет RAB_22072008_INVEST.EE.PLAN.4.78(v1.0)_PASSPORT.TEPLO.PROIZV(v2.0)" xfId="852"/>
    <cellStyle name="_Расчет RAB_22072008_INVEST.EE.PLAN.4.78(v1.0)_PASSPORT.TEPLO.PROIZV(v2.0)_INDEX.STATION.2013(v1.0)_патч до 1.1" xfId="853"/>
    <cellStyle name="_Расчет RAB_22072008_INVEST.EE.PLAN.4.78(v1.0)_PASSPORT.TEPLO.PROIZV(v2.0)_TEPLO.PREDEL.2013(v2.0)" xfId="854"/>
    <cellStyle name="_Расчет RAB_22072008_INVEST.PLAN.4.78(v0.1)" xfId="855"/>
    <cellStyle name="_Расчет RAB_22072008_INVEST.WARM.PLAN.4.78(v0.1)" xfId="856"/>
    <cellStyle name="_Расчет RAB_22072008_INVEST_WARM_PLAN" xfId="857"/>
    <cellStyle name="_Расчет RAB_22072008_NADB.JNVLP.APTEKA.2012(v1.0)_21_02_12" xfId="858"/>
    <cellStyle name="_Расчет RAB_22072008_NADB.JNVLS.APTEKA.2011(v1.3.3)" xfId="859"/>
    <cellStyle name="_Расчет RAB_22072008_NADB.JNVLS.APTEKA.2011(v1.3.3)_46TE.2011(v1.0)" xfId="860"/>
    <cellStyle name="_Расчет RAB_22072008_NADB.JNVLS.APTEKA.2011(v1.3.3)_INDEX.STATION.2012(v1.0)_" xfId="861"/>
    <cellStyle name="_Расчет RAB_22072008_NADB.JNVLS.APTEKA.2011(v1.3.3)_INDEX.STATION.2012(v2.0)" xfId="862"/>
    <cellStyle name="_Расчет RAB_22072008_NADB.JNVLS.APTEKA.2011(v1.3.3)_INDEX.STATION.2012(v2.1)" xfId="863"/>
    <cellStyle name="_Расчет RAB_22072008_NADB.JNVLS.APTEKA.2011(v1.3.3)_TEPLO.PREDEL.2012.M(v1.1)_test" xfId="864"/>
    <cellStyle name="_Расчет RAB_22072008_NADB.JNVLS.APTEKA.2011(v1.3.4)" xfId="865"/>
    <cellStyle name="_Расчет RAB_22072008_NADB.JNVLS.APTEKA.2011(v1.3.4)_46TE.2011(v1.0)" xfId="866"/>
    <cellStyle name="_Расчет RAB_22072008_NADB.JNVLS.APTEKA.2011(v1.3.4)_INDEX.STATION.2012(v1.0)_" xfId="867"/>
    <cellStyle name="_Расчет RAB_22072008_NADB.JNVLS.APTEKA.2011(v1.3.4)_INDEX.STATION.2012(v2.0)" xfId="868"/>
    <cellStyle name="_Расчет RAB_22072008_NADB.JNVLS.APTEKA.2011(v1.3.4)_INDEX.STATION.2012(v2.1)" xfId="869"/>
    <cellStyle name="_Расчет RAB_22072008_NADB.JNVLS.APTEKA.2011(v1.3.4)_TEPLO.PREDEL.2012.M(v1.1)_test" xfId="870"/>
    <cellStyle name="_Расчет RAB_22072008_PASSPORT.TEPLO.PROIZV(v2.0)" xfId="871"/>
    <cellStyle name="_Расчет RAB_22072008_PASSPORT.TEPLO.PROIZV(v2.1)" xfId="872"/>
    <cellStyle name="_Расчет RAB_22072008_PASSPORT.TEPLO.SETI(v0.7)" xfId="873"/>
    <cellStyle name="_Расчет RAB_22072008_PASSPORT.TEPLO.SETI(v1.0)" xfId="874"/>
    <cellStyle name="_Расчет RAB_22072008_PREDEL.JKH.UTV.2011(v1.0.1)" xfId="875"/>
    <cellStyle name="_Расчет RAB_22072008_PREDEL.JKH.UTV.2011(v1.0.1)_46TE.2011(v1.0)" xfId="876"/>
    <cellStyle name="_Расчет RAB_22072008_PREDEL.JKH.UTV.2011(v1.0.1)_INDEX.STATION.2012(v1.0)_" xfId="877"/>
    <cellStyle name="_Расчет RAB_22072008_PREDEL.JKH.UTV.2011(v1.0.1)_INDEX.STATION.2012(v2.0)" xfId="878"/>
    <cellStyle name="_Расчет RAB_22072008_PREDEL.JKH.UTV.2011(v1.0.1)_INDEX.STATION.2012(v2.1)" xfId="879"/>
    <cellStyle name="_Расчет RAB_22072008_PREDEL.JKH.UTV.2011(v1.0.1)_TEPLO.PREDEL.2012.M(v1.1)_test" xfId="880"/>
    <cellStyle name="_Расчет RAB_22072008_PREDEL.JKH.UTV.2011(v1.1)" xfId="881"/>
    <cellStyle name="_Расчет RAB_22072008_REP.BLR.2012(v1.0)" xfId="882"/>
    <cellStyle name="_Расчет RAB_22072008_TEHSHEET" xfId="883"/>
    <cellStyle name="_Расчет RAB_22072008_TEPLO.PREDEL.2012.M(v1.1)" xfId="884"/>
    <cellStyle name="_Расчет RAB_22072008_TEPLO.PREDEL.2013(v2.0)" xfId="885"/>
    <cellStyle name="_Расчет RAB_22072008_TEST.TEMPLATE" xfId="886"/>
    <cellStyle name="_Расчет RAB_22072008_UPDATE.46EE.2011.TO.1.1" xfId="887"/>
    <cellStyle name="_Расчет RAB_22072008_UPDATE.46TE.2011.TO.1.1" xfId="888"/>
    <cellStyle name="_Расчет RAB_22072008_UPDATE.46TE.2011.TO.1.2" xfId="889"/>
    <cellStyle name="_Расчет RAB_22072008_UPDATE.BALANCE.WARM.2011YEAR.TO.1.1" xfId="890"/>
    <cellStyle name="_Расчет RAB_22072008_UPDATE.BALANCE.WARM.2011YEAR.TO.1.1_46TE.2011(v1.0)" xfId="891"/>
    <cellStyle name="_Расчет RAB_22072008_UPDATE.BALANCE.WARM.2011YEAR.TO.1.1_INDEX.STATION.2012(v1.0)_" xfId="892"/>
    <cellStyle name="_Расчет RAB_22072008_UPDATE.BALANCE.WARM.2011YEAR.TO.1.1_INDEX.STATION.2012(v2.0)" xfId="893"/>
    <cellStyle name="_Расчет RAB_22072008_UPDATE.BALANCE.WARM.2011YEAR.TO.1.1_INDEX.STATION.2012(v2.1)" xfId="894"/>
    <cellStyle name="_Расчет RAB_22072008_UPDATE.BALANCE.WARM.2011YEAR.TO.1.1_OREP.KU.2011.MONTHLY.02(v1.1)" xfId="895"/>
    <cellStyle name="_Расчет RAB_22072008_UPDATE.BALANCE.WARM.2011YEAR.TO.1.1_TEPLO.PREDEL.2012.M(v1.1)_test" xfId="896"/>
    <cellStyle name="_Расчет RAB_22072008_UPDATE.BALANCE.WARM.2011YEAR.TO.1.2" xfId="897"/>
    <cellStyle name="_Расчет RAB_22072008_UPDATE.BALANCE.WARM.2011YEAR.TO.1.4.64" xfId="898"/>
    <cellStyle name="_Расчет RAB_22072008_UPDATE.BALANCE.WARM.2011YEAR.TO.1.5.64" xfId="899"/>
    <cellStyle name="_Расчет RAB_22072008_UPDATE.MONITORING.OS.EE.2.02.TO.1.3.64" xfId="900"/>
    <cellStyle name="_Расчет RAB_22072008_UPDATE.NADB.JNVLS.APTEKA.2011.TO.1.3.4" xfId="901"/>
    <cellStyle name="_Расчет RAB_22072008_Вариант с макс ИК" xfId="3045"/>
    <cellStyle name="_Расчет RAB_22072008_Модель расчет отправка" xfId="3046"/>
    <cellStyle name="_Расчет RAB_Лен и МОЭСК_с 2010 года_14.04.2009_со сглаж_version 3.0_без ФСК" xfId="902"/>
    <cellStyle name="_Расчет RAB_Лен и МОЭСК_с 2010 года_14.04.2009_со сглаж_version 3.0_без ФСК 2" xfId="903"/>
    <cellStyle name="_Расчет RAB_Лен и МОЭСК_с 2010 года_14.04.2009_со сглаж_version 3.0_без ФСК 2_OREP.KU.2011.MONTHLY.02(v0.1)" xfId="904"/>
    <cellStyle name="_Расчет RAB_Лен и МОЭСК_с 2010 года_14.04.2009_со сглаж_version 3.0_без ФСК 2_OREP.KU.2011.MONTHLY.02(v0.4)" xfId="905"/>
    <cellStyle name="_Расчет RAB_Лен и МОЭСК_с 2010 года_14.04.2009_со сглаж_version 3.0_без ФСК 2_OREP.KU.2011.MONTHLY.11(v1.4)" xfId="906"/>
    <cellStyle name="_Расчет RAB_Лен и МОЭСК_с 2010 года_14.04.2009_со сглаж_version 3.0_без ФСК 2_OREP.KU.2011.MONTHLY.11(v1.4)_UPDATE.BALANCE.WARM.2012YEAR.TO.1.1" xfId="907"/>
    <cellStyle name="_Расчет RAB_Лен и МОЭСК_с 2010 года_14.04.2009_со сглаж_version 3.0_без ФСК 2_OREP.KU.2011.MONTHLY.11(v1.4)_UPDATE.CALC.WARM.2012YEAR.TO.1.1" xfId="908"/>
    <cellStyle name="_Расчет RAB_Лен и МОЭСК_с 2010 года_14.04.2009_со сглаж_version 3.0_без ФСК 2_UPDATE.BALANCE.WARM.2012YEAR.TO.1.1" xfId="909"/>
    <cellStyle name="_Расчет RAB_Лен и МОЭСК_с 2010 года_14.04.2009_со сглаж_version 3.0_без ФСК 2_UPDATE.CALC.WARM.2012YEAR.TO.1.1" xfId="910"/>
    <cellStyle name="_Расчет RAB_Лен и МОЭСК_с 2010 года_14.04.2009_со сглаж_version 3.0_без ФСК 2_UPDATE.MONITORING.OS.EE.2.02.TO.1.3.64" xfId="911"/>
    <cellStyle name="_Расчет RAB_Лен и МОЭСК_с 2010 года_14.04.2009_со сглаж_version 3.0_без ФСК 2_UPDATE.OREP.KU.2011.MONTHLY.02.TO.1.2" xfId="912"/>
    <cellStyle name="_Расчет RAB_Лен и МОЭСК_с 2010 года_14.04.2009_со сглаж_version 3.0_без ФСК 3" xfId="3047"/>
    <cellStyle name="_Расчет RAB_Лен и МОЭСК_с 2010 года_14.04.2009_со сглаж_version 3.0_без ФСК 4" xfId="3048"/>
    <cellStyle name="_Расчет RAB_Лен и МОЭСК_с 2010 года_14.04.2009_со сглаж_version 3.0_без ФСК 5" xfId="3049"/>
    <cellStyle name="_Расчет RAB_Лен и МОЭСК_с 2010 года_14.04.2009_со сглаж_version 3.0_без ФСК 6" xfId="3050"/>
    <cellStyle name="_Расчет RAB_Лен и МОЭСК_с 2010 года_14.04.2009_со сглаж_version 3.0_без ФСК_46EE.2011(v1.0)" xfId="913"/>
    <cellStyle name="_Расчет RAB_Лен и МОЭСК_с 2010 года_14.04.2009_со сглаж_version 3.0_без ФСК_46EE.2011(v1.0)_46TE.2011(v1.0)" xfId="914"/>
    <cellStyle name="_Расчет RAB_Лен и МОЭСК_с 2010 года_14.04.2009_со сглаж_version 3.0_без ФСК_46EE.2011(v1.0)_INDEX.STATION.2012(v1.0)_" xfId="915"/>
    <cellStyle name="_Расчет RAB_Лен и МОЭСК_с 2010 года_14.04.2009_со сглаж_version 3.0_без ФСК_46EE.2011(v1.0)_INDEX.STATION.2012(v2.0)" xfId="916"/>
    <cellStyle name="_Расчет RAB_Лен и МОЭСК_с 2010 года_14.04.2009_со сглаж_version 3.0_без ФСК_46EE.2011(v1.0)_INDEX.STATION.2012(v2.1)" xfId="917"/>
    <cellStyle name="_Расчет RAB_Лен и МОЭСК_с 2010 года_14.04.2009_со сглаж_version 3.0_без ФСК_46EE.2011(v1.0)_TEPLO.PREDEL.2012.M(v1.1)_test" xfId="918"/>
    <cellStyle name="_Расчет RAB_Лен и МОЭСК_с 2010 года_14.04.2009_со сглаж_version 3.0_без ФСК_46EE.2011(v1.2)" xfId="919"/>
    <cellStyle name="_Расчет RAB_Лен и МОЭСК_с 2010 года_14.04.2009_со сглаж_version 3.0_без ФСК_46EP.2011(v2.0)" xfId="920"/>
    <cellStyle name="_Расчет RAB_Лен и МОЭСК_с 2010 года_14.04.2009_со сглаж_version 3.0_без ФСК_46EP.2012(v0.1)" xfId="921"/>
    <cellStyle name="_Расчет RAB_Лен и МОЭСК_с 2010 года_14.04.2009_со сглаж_version 3.0_без ФСК_46TE.2011(v1.0)" xfId="922"/>
    <cellStyle name="_Расчет RAB_Лен и МОЭСК_с 2010 года_14.04.2009_со сглаж_version 3.0_без ФСК_4DNS.UPDATE.EXAMPLE" xfId="923"/>
    <cellStyle name="_Расчет RAB_Лен и МОЭСК_с 2010 года_14.04.2009_со сглаж_version 3.0_без ФСК_ARMRAZR" xfId="924"/>
    <cellStyle name="_Расчет RAB_Лен и МОЭСК_с 2010 года_14.04.2009_со сглаж_version 3.0_без ФСК_BALANCE.WARM.2010.FACT(v1.0)" xfId="925"/>
    <cellStyle name="_Расчет RAB_Лен и МОЭСК_с 2010 года_14.04.2009_со сглаж_version 3.0_без ФСК_BALANCE.WARM.2010.PLAN" xfId="926"/>
    <cellStyle name="_Расчет RAB_Лен и МОЭСК_с 2010 года_14.04.2009_со сглаж_version 3.0_без ФСК_BALANCE.WARM.2011YEAR(v0.7)" xfId="927"/>
    <cellStyle name="_Расчет RAB_Лен и МОЭСК_с 2010 года_14.04.2009_со сглаж_version 3.0_без ФСК_BALANCE.WARM.2011YEAR.NEW.UPDATE.SCHEME" xfId="928"/>
    <cellStyle name="_Расчет RAB_Лен и МОЭСК_с 2010 года_14.04.2009_со сглаж_version 3.0_без ФСК_CALC.NORMATIV.KU(v0.2)" xfId="929"/>
    <cellStyle name="_Расчет RAB_Лен и МОЭСК_с 2010 года_14.04.2009_со сглаж_version 3.0_без ФСК_EE.2REK.P2011.4.78(v0.3)" xfId="930"/>
    <cellStyle name="_Расчет RAB_Лен и МОЭСК_с 2010 года_14.04.2009_со сглаж_version 3.0_без ФСК_FORM3.1.2013(v0.2)" xfId="931"/>
    <cellStyle name="_Расчет RAB_Лен и МОЭСК_с 2010 года_14.04.2009_со сглаж_version 3.0_без ФСК_FORM3.2013(v1.0)" xfId="932"/>
    <cellStyle name="_Расчет RAB_Лен и МОЭСК_с 2010 года_14.04.2009_со сглаж_version 3.0_без ФСК_FORM3.REG(v1.0)" xfId="933"/>
    <cellStyle name="_Расчет RAB_Лен и МОЭСК_с 2010 года_14.04.2009_со сглаж_version 3.0_без ФСК_FORM910.2012(v1.1)" xfId="934"/>
    <cellStyle name="_Расчет RAB_Лен и МОЭСК_с 2010 года_14.04.2009_со сглаж_version 3.0_без ФСК_INDEX.STATION.2012(v2.1)" xfId="935"/>
    <cellStyle name="_Расчет RAB_Лен и МОЭСК_с 2010 года_14.04.2009_со сглаж_version 3.0_без ФСК_INDEX.STATION.2013(v1.0)_патч до 1.1" xfId="936"/>
    <cellStyle name="_Расчет RAB_Лен и МОЭСК_с 2010 года_14.04.2009_со сглаж_version 3.0_без ФСК_INVEST.EE.PLAN.4.78(v0.1)" xfId="937"/>
    <cellStyle name="_Расчет RAB_Лен и МОЭСК_с 2010 года_14.04.2009_со сглаж_version 3.0_без ФСК_INVEST.EE.PLAN.4.78(v0.3)" xfId="938"/>
    <cellStyle name="_Расчет RAB_Лен и МОЭСК_с 2010 года_14.04.2009_со сглаж_version 3.0_без ФСК_INVEST.EE.PLAN.4.78(v1.0)" xfId="939"/>
    <cellStyle name="_Расчет RAB_Лен и МОЭСК_с 2010 года_14.04.2009_со сглаж_version 3.0_без ФСК_INVEST.EE.PLAN.4.78(v1.0)_PASSPORT.TEPLO.PROIZV(v2.0)" xfId="940"/>
    <cellStyle name="_Расчет RAB_Лен и МОЭСК_с 2010 года_14.04.2009_со сглаж_version 3.0_без ФСК_INVEST.EE.PLAN.4.78(v1.0)_PASSPORT.TEPLO.PROIZV(v2.0)_INDEX.STATION.2013(v1.0)_патч до 1.1" xfId="941"/>
    <cellStyle name="_Расчет RAB_Лен и МОЭСК_с 2010 года_14.04.2009_со сглаж_version 3.0_без ФСК_INVEST.EE.PLAN.4.78(v1.0)_PASSPORT.TEPLO.PROIZV(v2.0)_TEPLO.PREDEL.2013(v2.0)" xfId="942"/>
    <cellStyle name="_Расчет RAB_Лен и МОЭСК_с 2010 года_14.04.2009_со сглаж_version 3.0_без ФСК_INVEST.PLAN.4.78(v0.1)" xfId="943"/>
    <cellStyle name="_Расчет RAB_Лен и МОЭСК_с 2010 года_14.04.2009_со сглаж_version 3.0_без ФСК_INVEST.WARM.PLAN.4.78(v0.1)" xfId="944"/>
    <cellStyle name="_Расчет RAB_Лен и МОЭСК_с 2010 года_14.04.2009_со сглаж_version 3.0_без ФСК_INVEST_WARM_PLAN" xfId="945"/>
    <cellStyle name="_Расчет RAB_Лен и МОЭСК_с 2010 года_14.04.2009_со сглаж_version 3.0_без ФСК_NADB.JNVLP.APTEKA.2012(v1.0)_21_02_12" xfId="946"/>
    <cellStyle name="_Расчет RAB_Лен и МОЭСК_с 2010 года_14.04.2009_со сглаж_version 3.0_без ФСК_NADB.JNVLS.APTEKA.2011(v1.3.3)" xfId="947"/>
    <cellStyle name="_Расчет RAB_Лен и МОЭСК_с 2010 года_14.04.2009_со сглаж_version 3.0_без ФСК_NADB.JNVLS.APTEKA.2011(v1.3.3)_46TE.2011(v1.0)" xfId="948"/>
    <cellStyle name="_Расчет RAB_Лен и МОЭСК_с 2010 года_14.04.2009_со сглаж_version 3.0_без ФСК_NADB.JNVLS.APTEKA.2011(v1.3.3)_INDEX.STATION.2012(v1.0)_" xfId="949"/>
    <cellStyle name="_Расчет RAB_Лен и МОЭСК_с 2010 года_14.04.2009_со сглаж_version 3.0_без ФСК_NADB.JNVLS.APTEKA.2011(v1.3.3)_INDEX.STATION.2012(v2.0)" xfId="950"/>
    <cellStyle name="_Расчет RAB_Лен и МОЭСК_с 2010 года_14.04.2009_со сглаж_version 3.0_без ФСК_NADB.JNVLS.APTEKA.2011(v1.3.3)_INDEX.STATION.2012(v2.1)" xfId="951"/>
    <cellStyle name="_Расчет RAB_Лен и МОЭСК_с 2010 года_14.04.2009_со сглаж_version 3.0_без ФСК_NADB.JNVLS.APTEKA.2011(v1.3.3)_TEPLO.PREDEL.2012.M(v1.1)_test" xfId="952"/>
    <cellStyle name="_Расчет RAB_Лен и МОЭСК_с 2010 года_14.04.2009_со сглаж_version 3.0_без ФСК_NADB.JNVLS.APTEKA.2011(v1.3.4)" xfId="953"/>
    <cellStyle name="_Расчет RAB_Лен и МОЭСК_с 2010 года_14.04.2009_со сглаж_version 3.0_без ФСК_NADB.JNVLS.APTEKA.2011(v1.3.4)_46TE.2011(v1.0)" xfId="954"/>
    <cellStyle name="_Расчет RAB_Лен и МОЭСК_с 2010 года_14.04.2009_со сглаж_version 3.0_без ФСК_NADB.JNVLS.APTEKA.2011(v1.3.4)_INDEX.STATION.2012(v1.0)_" xfId="955"/>
    <cellStyle name="_Расчет RAB_Лен и МОЭСК_с 2010 года_14.04.2009_со сглаж_version 3.0_без ФСК_NADB.JNVLS.APTEKA.2011(v1.3.4)_INDEX.STATION.2012(v2.0)" xfId="956"/>
    <cellStyle name="_Расчет RAB_Лен и МОЭСК_с 2010 года_14.04.2009_со сглаж_version 3.0_без ФСК_NADB.JNVLS.APTEKA.2011(v1.3.4)_INDEX.STATION.2012(v2.1)" xfId="957"/>
    <cellStyle name="_Расчет RAB_Лен и МОЭСК_с 2010 года_14.04.2009_со сглаж_version 3.0_без ФСК_NADB.JNVLS.APTEKA.2011(v1.3.4)_TEPLO.PREDEL.2012.M(v1.1)_test" xfId="958"/>
    <cellStyle name="_Расчет RAB_Лен и МОЭСК_с 2010 года_14.04.2009_со сглаж_version 3.0_без ФСК_PASSPORT.TEPLO.PROIZV(v2.0)" xfId="959"/>
    <cellStyle name="_Расчет RAB_Лен и МОЭСК_с 2010 года_14.04.2009_со сглаж_version 3.0_без ФСК_PASSPORT.TEPLO.PROIZV(v2.1)" xfId="960"/>
    <cellStyle name="_Расчет RAB_Лен и МОЭСК_с 2010 года_14.04.2009_со сглаж_version 3.0_без ФСК_PASSPORT.TEPLO.SETI(v0.7)" xfId="961"/>
    <cellStyle name="_Расчет RAB_Лен и МОЭСК_с 2010 года_14.04.2009_со сглаж_version 3.0_без ФСК_PASSPORT.TEPLO.SETI(v1.0)" xfId="962"/>
    <cellStyle name="_Расчет RAB_Лен и МОЭСК_с 2010 года_14.04.2009_со сглаж_version 3.0_без ФСК_PREDEL.JKH.UTV.2011(v1.0.1)" xfId="963"/>
    <cellStyle name="_Расчет RAB_Лен и МОЭСК_с 2010 года_14.04.2009_со сглаж_version 3.0_без ФСК_PREDEL.JKH.UTV.2011(v1.0.1)_46TE.2011(v1.0)" xfId="964"/>
    <cellStyle name="_Расчет RAB_Лен и МОЭСК_с 2010 года_14.04.2009_со сглаж_version 3.0_без ФСК_PREDEL.JKH.UTV.2011(v1.0.1)_INDEX.STATION.2012(v1.0)_" xfId="965"/>
    <cellStyle name="_Расчет RAB_Лен и МОЭСК_с 2010 года_14.04.2009_со сглаж_version 3.0_без ФСК_PREDEL.JKH.UTV.2011(v1.0.1)_INDEX.STATION.2012(v2.0)" xfId="966"/>
    <cellStyle name="_Расчет RAB_Лен и МОЭСК_с 2010 года_14.04.2009_со сглаж_version 3.0_без ФСК_PREDEL.JKH.UTV.2011(v1.0.1)_INDEX.STATION.2012(v2.1)" xfId="967"/>
    <cellStyle name="_Расчет RAB_Лен и МОЭСК_с 2010 года_14.04.2009_со сглаж_version 3.0_без ФСК_PREDEL.JKH.UTV.2011(v1.0.1)_TEPLO.PREDEL.2012.M(v1.1)_test" xfId="968"/>
    <cellStyle name="_Расчет RAB_Лен и МОЭСК_с 2010 года_14.04.2009_со сглаж_version 3.0_без ФСК_PREDEL.JKH.UTV.2011(v1.1)" xfId="969"/>
    <cellStyle name="_Расчет RAB_Лен и МОЭСК_с 2010 года_14.04.2009_со сглаж_version 3.0_без ФСК_REP.BLR.2012(v1.0)" xfId="970"/>
    <cellStyle name="_Расчет RAB_Лен и МОЭСК_с 2010 года_14.04.2009_со сглаж_version 3.0_без ФСК_TEHSHEET" xfId="971"/>
    <cellStyle name="_Расчет RAB_Лен и МОЭСК_с 2010 года_14.04.2009_со сглаж_version 3.0_без ФСК_TEPLO.PREDEL.2012.M(v1.1)" xfId="972"/>
    <cellStyle name="_Расчет RAB_Лен и МОЭСК_с 2010 года_14.04.2009_со сглаж_version 3.0_без ФСК_TEPLO.PREDEL.2013(v2.0)" xfId="973"/>
    <cellStyle name="_Расчет RAB_Лен и МОЭСК_с 2010 года_14.04.2009_со сглаж_version 3.0_без ФСК_TEST.TEMPLATE" xfId="974"/>
    <cellStyle name="_Расчет RAB_Лен и МОЭСК_с 2010 года_14.04.2009_со сглаж_version 3.0_без ФСК_UPDATE.46EE.2011.TO.1.1" xfId="975"/>
    <cellStyle name="_Расчет RAB_Лен и МОЭСК_с 2010 года_14.04.2009_со сглаж_version 3.0_без ФСК_UPDATE.46TE.2011.TO.1.1" xfId="976"/>
    <cellStyle name="_Расчет RAB_Лен и МОЭСК_с 2010 года_14.04.2009_со сглаж_version 3.0_без ФСК_UPDATE.46TE.2011.TO.1.2" xfId="977"/>
    <cellStyle name="_Расчет RAB_Лен и МОЭСК_с 2010 года_14.04.2009_со сглаж_version 3.0_без ФСК_UPDATE.BALANCE.WARM.2011YEAR.TO.1.1" xfId="978"/>
    <cellStyle name="_Расчет RAB_Лен и МОЭСК_с 2010 года_14.04.2009_со сглаж_version 3.0_без ФСК_UPDATE.BALANCE.WARM.2011YEAR.TO.1.1_46TE.2011(v1.0)" xfId="979"/>
    <cellStyle name="_Расчет RAB_Лен и МОЭСК_с 2010 года_14.04.2009_со сглаж_version 3.0_без ФСК_UPDATE.BALANCE.WARM.2011YEAR.TO.1.1_INDEX.STATION.2012(v1.0)_" xfId="980"/>
    <cellStyle name="_Расчет RAB_Лен и МОЭСК_с 2010 года_14.04.2009_со сглаж_version 3.0_без ФСК_UPDATE.BALANCE.WARM.2011YEAR.TO.1.1_INDEX.STATION.2012(v2.0)" xfId="981"/>
    <cellStyle name="_Расчет RAB_Лен и МОЭСК_с 2010 года_14.04.2009_со сглаж_version 3.0_без ФСК_UPDATE.BALANCE.WARM.2011YEAR.TO.1.1_INDEX.STATION.2012(v2.1)" xfId="982"/>
    <cellStyle name="_Расчет RAB_Лен и МОЭСК_с 2010 года_14.04.2009_со сглаж_version 3.0_без ФСК_UPDATE.BALANCE.WARM.2011YEAR.TO.1.1_OREP.KU.2011.MONTHLY.02(v1.1)" xfId="983"/>
    <cellStyle name="_Расчет RAB_Лен и МОЭСК_с 2010 года_14.04.2009_со сглаж_version 3.0_без ФСК_UPDATE.BALANCE.WARM.2011YEAR.TO.1.1_TEPLO.PREDEL.2012.M(v1.1)_test" xfId="984"/>
    <cellStyle name="_Расчет RAB_Лен и МОЭСК_с 2010 года_14.04.2009_со сглаж_version 3.0_без ФСК_UPDATE.BALANCE.WARM.2011YEAR.TO.1.2" xfId="985"/>
    <cellStyle name="_Расчет RAB_Лен и МОЭСК_с 2010 года_14.04.2009_со сглаж_version 3.0_без ФСК_UPDATE.BALANCE.WARM.2011YEAR.TO.1.4.64" xfId="986"/>
    <cellStyle name="_Расчет RAB_Лен и МОЭСК_с 2010 года_14.04.2009_со сглаж_version 3.0_без ФСК_UPDATE.BALANCE.WARM.2011YEAR.TO.1.5.64" xfId="987"/>
    <cellStyle name="_Расчет RAB_Лен и МОЭСК_с 2010 года_14.04.2009_со сглаж_version 3.0_без ФСК_UPDATE.MONITORING.OS.EE.2.02.TO.1.3.64" xfId="988"/>
    <cellStyle name="_Расчет RAB_Лен и МОЭСК_с 2010 года_14.04.2009_со сглаж_version 3.0_без ФСК_UPDATE.NADB.JNVLS.APTEKA.2011.TO.1.3.4" xfId="989"/>
    <cellStyle name="_Расчет RAB_Лен и МОЭСК_с 2010 года_14.04.2009_со сглаж_version 3.0_без ФСК_Вариант с макс ИК" xfId="3051"/>
    <cellStyle name="_Расчет RAB_Лен и МОЭСК_с 2010 года_14.04.2009_со сглаж_version 3.0_без ФСК_Модель расчет отправка" xfId="3052"/>
    <cellStyle name="_Расчет платы за воду по факту 2006года" xfId="3053"/>
    <cellStyle name="_Расшифровка прочих_Бойцова_29.01.08" xfId="3054"/>
    <cellStyle name="_Ремонты_24 02 10" xfId="3055"/>
    <cellStyle name="_Сб-macro 2020" xfId="990"/>
    <cellStyle name="_Свод ожидаемое 3 и 4 квартал" xfId="3056"/>
    <cellStyle name="_Свод по ИПР (2)" xfId="991"/>
    <cellStyle name="_Свод по ИПР (2)_Новая инструкция1_фст" xfId="992"/>
    <cellStyle name="_СВОД_1 2007" xfId="3057"/>
    <cellStyle name="_СВОДНЫЙ3" xfId="119"/>
    <cellStyle name="_смета" xfId="3058"/>
    <cellStyle name="_смета 2" xfId="3059"/>
    <cellStyle name="_Смета АТП_снятие 6млн_04.03.09." xfId="3060"/>
    <cellStyle name="_Смета по варианту от тгк 19 янв+ 9 февр" xfId="3061"/>
    <cellStyle name="_Смета по варианту от тгк 19 янв+ 9 февр 2" xfId="3062"/>
    <cellStyle name="_Смета по варианту от тгк 19 янв+ 9 февр_Разбивка прибыли_12 мес_2010" xfId="3063"/>
    <cellStyle name="_Смета расходов консолидир" xfId="120"/>
    <cellStyle name="_Смета расходов консолидир 2" xfId="3573"/>
    <cellStyle name="_Смета расходов на 2010 год (на сумму 3084 млн руб)" xfId="3064"/>
    <cellStyle name="_Смета расходов на содержание соц.сферы 2008" xfId="3065"/>
    <cellStyle name="_Смета ТГК по филиалам _2007" xfId="3066"/>
    <cellStyle name="_Смета ТГК по филиалам _2007_Разбивка прибыли_12 мес_2010" xfId="3067"/>
    <cellStyle name="_Смета ф-л Кольский АТЭЦ(формат ТГК)" xfId="3068"/>
    <cellStyle name="_Смета ф-л Кольский АТЭЦ(формат ТГК)_КАЛЬК ТГК (ТО ЧТО НА МАХ ГЕННЕРАЦИЮ)" xfId="3069"/>
    <cellStyle name="_смета_Разбивка прибыли_12 мес_2010" xfId="3070"/>
    <cellStyle name="_СМЕТА_ТГК-1_2007(помес.)" xfId="3071"/>
    <cellStyle name="_СМЕТА_ТГК-1_2007(помес.)_Разбивка прибыли_12 мес_2010" xfId="3072"/>
    <cellStyle name="_Смета1кв_2006" xfId="3073"/>
    <cellStyle name="_Смета1кв_2006_КАЛЬК ТГК (ТО ЧТО НА МАХ ГЕННЕРАЦИЮ)" xfId="3074"/>
    <cellStyle name="_сметы ТЭЦ-21" xfId="3075"/>
    <cellStyle name="_СПБ_прибыль_2008-2010" xfId="3076"/>
    <cellStyle name="_Справочник затрат_ЛХ_20.10.05" xfId="121"/>
    <cellStyle name="_Справочник затрат_ЛХ_20.10.05 2" xfId="993"/>
    <cellStyle name="_Справочник затрат_ЛХ_20.10.05 3" xfId="3574"/>
    <cellStyle name="_Ссылка" xfId="3077"/>
    <cellStyle name="_статьи 19 и 7.10" xfId="3078"/>
    <cellStyle name="_СТАТЬИ 7.10.И 8.10 И 19" xfId="3079"/>
    <cellStyle name="_т 14" xfId="3080"/>
    <cellStyle name="_т 14_КАЛЬК ТГК (ТО ЧТО НА МАХ ГЕННЕРАЦИЮ)" xfId="3081"/>
    <cellStyle name="_таб.4-5 Указ._84-У" xfId="122"/>
    <cellStyle name="_табл. 14" xfId="3082"/>
    <cellStyle name="_табл. 14_КАЛЬК ТГК (ТО ЧТО НА МАХ ГЕННЕРАЦИЮ)" xfId="3083"/>
    <cellStyle name="_таблицы для расчетов28-04-08_2006-2009_прибыль корр_по ИА" xfId="994"/>
    <cellStyle name="_таблицы для расчетов28-04-08_2006-2009_прибыль корр_по ИА_Новая инструкция1_фст" xfId="995"/>
    <cellStyle name="_таблицы для расчетов28-04-08_2006-2009с ИА" xfId="996"/>
    <cellStyle name="_таблицы для расчетов28-04-08_2006-2009с ИА_Новая инструкция1_фст" xfId="997"/>
    <cellStyle name="_таблицы для ЮН" xfId="3084"/>
    <cellStyle name="_ТГК_ приказ №12_смета_помесячно" xfId="3085"/>
    <cellStyle name="_ТГК_бизнесплан_2006_27.01.06" xfId="3086"/>
    <cellStyle name="_ТГК_бизнесплан_2006_27.01.06_Разбивка прибыли_12 мес_2010" xfId="3087"/>
    <cellStyle name="_ТГК_бизнесплан_2006_АРМ" xfId="3088"/>
    <cellStyle name="_ТГК_бизнесплан_2006_АРМ_КАЛЬК ТГК (ТО ЧТО НА МАХ ГЕННЕРАЦИЮ)" xfId="3089"/>
    <cellStyle name="_ТГК_приказ №12_доходы по неосновной_помесячно" xfId="3090"/>
    <cellStyle name="_ТГК_приказ №12_приложения_помесячно" xfId="3091"/>
    <cellStyle name="_ТЭП по планированию доходов на передачу ээ" xfId="123"/>
    <cellStyle name="_ТЭЦ-5" xfId="3092"/>
    <cellStyle name="_Ф13" xfId="3093"/>
    <cellStyle name="_Ф13_КАЛЬК ТГК (ТО ЧТО НА МАХ ГЕННЕРАЦИЮ)" xfId="3094"/>
    <cellStyle name="_Ф2_1 кв_анализ_ожид год" xfId="3095"/>
    <cellStyle name="_филиал Кольский ст.6.1 июнь" xfId="3096"/>
    <cellStyle name="_фин модель ТГК-1_до2015 г_14.09.06 (1)" xfId="3097"/>
    <cellStyle name="_Фин.план" xfId="3098"/>
    <cellStyle name="_Финансирование ИП ЗАЯВКА ИЮЛЬ" xfId="3099"/>
    <cellStyle name="_Финансирование_2008_01.10.2007_БП" xfId="3100"/>
    <cellStyle name="_Финансирование_2008_01.10.2007_БП 2" xfId="3101"/>
    <cellStyle name="_Финансирование_2008_01.10.2007_БП_Разбивка прибыли_12 мес_2010" xfId="3102"/>
    <cellStyle name="_Финансирование_24.08.2007" xfId="3103"/>
    <cellStyle name="_Финансирование_29.01.2007" xfId="3104"/>
    <cellStyle name="_Финансирование_29.01.2007_Разбивка прибыли_12 мес_2010" xfId="3105"/>
    <cellStyle name="_ФК форматы  ОМТО к бюджету декабрь " xfId="3106"/>
    <cellStyle name="_ФК форматы к бюджету 10.05.07 " xfId="3107"/>
    <cellStyle name="_Форма 6  РТК.xls(отчет по Адр пр. ЛО)" xfId="124"/>
    <cellStyle name="_Форма 6  РТК.xls(отчет по Адр пр. ЛО) 2" xfId="998"/>
    <cellStyle name="_Форма 6  РТК.xls(отчет по Адр пр. ЛО)_Новая инструкция1_фст" xfId="999"/>
    <cellStyle name="_Формат разбивки по МРСК_РСК" xfId="1000"/>
    <cellStyle name="_Формат разбивки по МРСК_РСК_Новая инструкция1_фст" xfId="1001"/>
    <cellStyle name="_Формат_для Согласования" xfId="1002"/>
    <cellStyle name="_Формат_для Согласования_Новая инструкция1_фст" xfId="1003"/>
    <cellStyle name="_Формат_материалы_2009" xfId="3108"/>
    <cellStyle name="_Формат_произв. прогр" xfId="3109"/>
    <cellStyle name="_Формат_произв. прогр 2" xfId="3110"/>
    <cellStyle name="_Формат_произв. прогр_Разбивка прибыли_12 мес_2010" xfId="3111"/>
    <cellStyle name="_Форматы УУ_12 _1_1_1_1" xfId="125"/>
    <cellStyle name="_Форматы УУ_резерв" xfId="126"/>
    <cellStyle name="_формы Ленэнерго -изменения2" xfId="127"/>
    <cellStyle name="_фск, выручка, потери" xfId="128"/>
    <cellStyle name="_ХХХ Прил 2 Формы бюджетных документов 2007" xfId="129"/>
    <cellStyle name="_ХХХ Прил 2 Формы бюджетных документов 2007 2" xfId="1004"/>
    <cellStyle name="_ХХХ Прил 2 Формы бюджетных документов 2007 3" xfId="3575"/>
    <cellStyle name="_ХХХ Прил 2 Формы бюджетных документов 2007_Расшифровка для аудита 2011 КСК" xfId="130"/>
    <cellStyle name="_ХХХ Прил 2 Формы бюджетных документов 2007_ТАБЛ_КСК_2011" xfId="131"/>
    <cellStyle name="_экон.форм-т ВО 1 с разбивкой" xfId="1005"/>
    <cellStyle name="_экон.форм-т ВО 1 с разбивкой_Новая инструкция1_фст" xfId="1006"/>
    <cellStyle name="_энергия на хоз нужды" xfId="3112"/>
    <cellStyle name="’К‰Э [0.00]" xfId="132"/>
    <cellStyle name="”€ќђќ‘ћ‚›‰" xfId="133"/>
    <cellStyle name="”€ќђќ‘ћ‚›‰ 2" xfId="1007"/>
    <cellStyle name="”€ќђќ‘ћ‚›‰ 3" xfId="3576"/>
    <cellStyle name="”€љ‘€ђћ‚ђќќ›‰" xfId="134"/>
    <cellStyle name="”€љ‘€ђћ‚ђќќ›‰ 2" xfId="1008"/>
    <cellStyle name="”€љ‘€ђћ‚ђќќ›‰ 3" xfId="3577"/>
    <cellStyle name="”ќђќ‘ћ‚›‰" xfId="135"/>
    <cellStyle name="”ќђќ‘ћ‚›‰ 2" xfId="1009"/>
    <cellStyle name="”ќђќ‘ћ‚›‰ 2 2" xfId="3113"/>
    <cellStyle name="”ќђќ‘ћ‚›‰ 3" xfId="1010"/>
    <cellStyle name="”ќђќ‘ћ‚›‰ 4" xfId="3578"/>
    <cellStyle name="”љ‘ђћ‚ђќќ›‰" xfId="136"/>
    <cellStyle name="”љ‘ђћ‚ђќќ›‰ 2" xfId="1011"/>
    <cellStyle name="”љ‘ђћ‚ђќќ›‰ 2 2" xfId="3114"/>
    <cellStyle name="”љ‘ђћ‚ђќќ›‰ 3" xfId="1012"/>
    <cellStyle name="”љ‘ђћ‚ђќќ›‰ 4" xfId="3579"/>
    <cellStyle name="„…ќ…†ќ›‰" xfId="137"/>
    <cellStyle name="„…ќ…†ќ›‰ 2" xfId="1013"/>
    <cellStyle name="„…ќ…†ќ›‰ 2 2" xfId="3115"/>
    <cellStyle name="„…ќ…†ќ›‰ 3" xfId="1014"/>
    <cellStyle name="„…ќ…†ќ›‰ 4" xfId="3580"/>
    <cellStyle name="€’ћѓћ‚›‰" xfId="138"/>
    <cellStyle name="€’ћѓћ‚›‰ 2" xfId="1015"/>
    <cellStyle name="€’ћѓћ‚›‰ 3" xfId="3581"/>
    <cellStyle name="‡ђѓћ‹ћ‚ћљ1" xfId="139"/>
    <cellStyle name="‡ђѓћ‹ћ‚ћљ1 2" xfId="1016"/>
    <cellStyle name="‡ђѓћ‹ћ‚ћљ1 2 2" xfId="3116"/>
    <cellStyle name="‡ђѓћ‹ћ‚ћљ1 3" xfId="1017"/>
    <cellStyle name="‡ђѓћ‹ћ‚ћљ2" xfId="140"/>
    <cellStyle name="‡ђѓћ‹ћ‚ћљ2 2" xfId="1018"/>
    <cellStyle name="‡ђѓћ‹ћ‚ћљ2 2 2" xfId="3117"/>
    <cellStyle name="‡ђѓћ‹ћ‚ћљ2 3" xfId="1019"/>
    <cellStyle name="’ћѓћ‚›‰" xfId="141"/>
    <cellStyle name="’ћѓћ‚›‰ 2" xfId="1020"/>
    <cellStyle name="’ћѓћ‚›‰ 2 2" xfId="3118"/>
    <cellStyle name="’ћѓћ‚›‰ 3" xfId="1021"/>
    <cellStyle name="0,0_x000d__x000a_NA_x000d__x000a_" xfId="3119"/>
    <cellStyle name="0,00;0;" xfId="3120"/>
    <cellStyle name="1Normal" xfId="142"/>
    <cellStyle name="1Normal 2" xfId="1022"/>
    <cellStyle name="1Normal 3" xfId="3582"/>
    <cellStyle name="20% - Accent1" xfId="143"/>
    <cellStyle name="20% - Accent1 2" xfId="1023"/>
    <cellStyle name="20% - Accent1 3" xfId="1024"/>
    <cellStyle name="20% - Accent1 4" xfId="1025"/>
    <cellStyle name="20% - Accent1_46EE.2011(v1.0)" xfId="1026"/>
    <cellStyle name="20% - Accent2" xfId="144"/>
    <cellStyle name="20% - Accent2 2" xfId="1027"/>
    <cellStyle name="20% - Accent2 3" xfId="1028"/>
    <cellStyle name="20% - Accent2 4" xfId="1029"/>
    <cellStyle name="20% - Accent2_46EE.2011(v1.0)" xfId="1030"/>
    <cellStyle name="20% - Accent3" xfId="145"/>
    <cellStyle name="20% - Accent3 2" xfId="1031"/>
    <cellStyle name="20% - Accent3 3" xfId="1032"/>
    <cellStyle name="20% - Accent3 4" xfId="1033"/>
    <cellStyle name="20% - Accent3_46EE.2011(v1.0)" xfId="1034"/>
    <cellStyle name="20% - Accent4" xfId="146"/>
    <cellStyle name="20% - Accent4 2" xfId="1035"/>
    <cellStyle name="20% - Accent4 3" xfId="1036"/>
    <cellStyle name="20% - Accent4 4" xfId="1037"/>
    <cellStyle name="20% - Accent4_46EE.2011(v1.0)" xfId="1038"/>
    <cellStyle name="20% - Accent5" xfId="147"/>
    <cellStyle name="20% - Accent5 2" xfId="1039"/>
    <cellStyle name="20% - Accent5 3" xfId="1040"/>
    <cellStyle name="20% - Accent5 4" xfId="1041"/>
    <cellStyle name="20% - Accent5_46EE.2011(v1.0)" xfId="1042"/>
    <cellStyle name="20% - Accent6" xfId="148"/>
    <cellStyle name="20% - Accent6 2" xfId="1043"/>
    <cellStyle name="20% - Accent6 3" xfId="1044"/>
    <cellStyle name="20% - Accent6 4" xfId="1045"/>
    <cellStyle name="20% - Accent6_46EE.2011(v1.0)" xfId="1046"/>
    <cellStyle name="20% — Акцент1" xfId="3121"/>
    <cellStyle name="20% - Акцент1 10" xfId="1047"/>
    <cellStyle name="20% - Акцент1 2" xfId="1048"/>
    <cellStyle name="20% - Акцент1 2 2" xfId="1049"/>
    <cellStyle name="20% - Акцент1 2 3" xfId="1050"/>
    <cellStyle name="20% - Акцент1 2_46EE.2011(v1.0)" xfId="1051"/>
    <cellStyle name="20% - Акцент1 3" xfId="1052"/>
    <cellStyle name="20% - Акцент1 3 2" xfId="1053"/>
    <cellStyle name="20% - Акцент1 3 3" xfId="1054"/>
    <cellStyle name="20% - Акцент1 3_46EE.2011(v1.0)" xfId="1055"/>
    <cellStyle name="20% - Акцент1 4" xfId="1056"/>
    <cellStyle name="20% - Акцент1 4 2" xfId="1057"/>
    <cellStyle name="20% - Акцент1 4 3" xfId="1058"/>
    <cellStyle name="20% - Акцент1 4_46EE.2011(v1.0)" xfId="1059"/>
    <cellStyle name="20% - Акцент1 5" xfId="1060"/>
    <cellStyle name="20% - Акцент1 5 2" xfId="1061"/>
    <cellStyle name="20% - Акцент1 5 3" xfId="1062"/>
    <cellStyle name="20% - Акцент1 5_46EE.2011(v1.0)" xfId="1063"/>
    <cellStyle name="20% - Акцент1 6" xfId="1064"/>
    <cellStyle name="20% - Акцент1 6 2" xfId="1065"/>
    <cellStyle name="20% - Акцент1 6 3" xfId="1066"/>
    <cellStyle name="20% - Акцент1 6_46EE.2011(v1.0)" xfId="1067"/>
    <cellStyle name="20% - Акцент1 7" xfId="1068"/>
    <cellStyle name="20% - Акцент1 7 2" xfId="1069"/>
    <cellStyle name="20% - Акцент1 7 3" xfId="1070"/>
    <cellStyle name="20% - Акцент1 7_46EE.2011(v1.0)" xfId="1071"/>
    <cellStyle name="20% - Акцент1 8" xfId="1072"/>
    <cellStyle name="20% - Акцент1 8 2" xfId="1073"/>
    <cellStyle name="20% - Акцент1 8 3" xfId="1074"/>
    <cellStyle name="20% - Акцент1 8_46EE.2011(v1.0)" xfId="1075"/>
    <cellStyle name="20% - Акцент1 9" xfId="1076"/>
    <cellStyle name="20% - Акцент1 9 2" xfId="1077"/>
    <cellStyle name="20% - Акцент1 9 3" xfId="1078"/>
    <cellStyle name="20% - Акцент1 9_46EE.2011(v1.0)" xfId="1079"/>
    <cellStyle name="20% — Акцент2" xfId="3122"/>
    <cellStyle name="20% - Акцент2 10" xfId="1080"/>
    <cellStyle name="20% - Акцент2 2" xfId="1081"/>
    <cellStyle name="20% - Акцент2 2 2" xfId="1082"/>
    <cellStyle name="20% - Акцент2 2 3" xfId="1083"/>
    <cellStyle name="20% - Акцент2 2_46EE.2011(v1.0)" xfId="1084"/>
    <cellStyle name="20% - Акцент2 3" xfId="1085"/>
    <cellStyle name="20% - Акцент2 3 2" xfId="1086"/>
    <cellStyle name="20% - Акцент2 3 3" xfId="1087"/>
    <cellStyle name="20% - Акцент2 3_46EE.2011(v1.0)" xfId="1088"/>
    <cellStyle name="20% - Акцент2 4" xfId="1089"/>
    <cellStyle name="20% - Акцент2 4 2" xfId="1090"/>
    <cellStyle name="20% - Акцент2 4 3" xfId="1091"/>
    <cellStyle name="20% - Акцент2 4_46EE.2011(v1.0)" xfId="1092"/>
    <cellStyle name="20% - Акцент2 5" xfId="1093"/>
    <cellStyle name="20% - Акцент2 5 2" xfId="1094"/>
    <cellStyle name="20% - Акцент2 5 3" xfId="1095"/>
    <cellStyle name="20% - Акцент2 5_46EE.2011(v1.0)" xfId="1096"/>
    <cellStyle name="20% - Акцент2 6" xfId="1097"/>
    <cellStyle name="20% - Акцент2 6 2" xfId="1098"/>
    <cellStyle name="20% - Акцент2 6 3" xfId="1099"/>
    <cellStyle name="20% - Акцент2 6_46EE.2011(v1.0)" xfId="1100"/>
    <cellStyle name="20% - Акцент2 7" xfId="1101"/>
    <cellStyle name="20% - Акцент2 7 2" xfId="1102"/>
    <cellStyle name="20% - Акцент2 7 3" xfId="1103"/>
    <cellStyle name="20% - Акцент2 7_46EE.2011(v1.0)" xfId="1104"/>
    <cellStyle name="20% - Акцент2 8" xfId="1105"/>
    <cellStyle name="20% - Акцент2 8 2" xfId="1106"/>
    <cellStyle name="20% - Акцент2 8 3" xfId="1107"/>
    <cellStyle name="20% - Акцент2 8_46EE.2011(v1.0)" xfId="1108"/>
    <cellStyle name="20% - Акцент2 9" xfId="1109"/>
    <cellStyle name="20% - Акцент2 9 2" xfId="1110"/>
    <cellStyle name="20% - Акцент2 9 3" xfId="1111"/>
    <cellStyle name="20% - Акцент2 9_46EE.2011(v1.0)" xfId="1112"/>
    <cellStyle name="20% — Акцент3" xfId="3123"/>
    <cellStyle name="20% - Акцент3 10" xfId="1113"/>
    <cellStyle name="20% - Акцент3 2" xfId="1114"/>
    <cellStyle name="20% - Акцент3 2 2" xfId="1115"/>
    <cellStyle name="20% - Акцент3 2 3" xfId="1116"/>
    <cellStyle name="20% - Акцент3 2_46EE.2011(v1.0)" xfId="1117"/>
    <cellStyle name="20% - Акцент3 3" xfId="1118"/>
    <cellStyle name="20% - Акцент3 3 2" xfId="1119"/>
    <cellStyle name="20% - Акцент3 3 3" xfId="1120"/>
    <cellStyle name="20% - Акцент3 3_46EE.2011(v1.0)" xfId="1121"/>
    <cellStyle name="20% - Акцент3 4" xfId="1122"/>
    <cellStyle name="20% - Акцент3 4 2" xfId="1123"/>
    <cellStyle name="20% - Акцент3 4 3" xfId="1124"/>
    <cellStyle name="20% - Акцент3 4_46EE.2011(v1.0)" xfId="1125"/>
    <cellStyle name="20% - Акцент3 5" xfId="1126"/>
    <cellStyle name="20% - Акцент3 5 2" xfId="1127"/>
    <cellStyle name="20% - Акцент3 5 3" xfId="1128"/>
    <cellStyle name="20% - Акцент3 5_46EE.2011(v1.0)" xfId="1129"/>
    <cellStyle name="20% - Акцент3 6" xfId="1130"/>
    <cellStyle name="20% - Акцент3 6 2" xfId="1131"/>
    <cellStyle name="20% - Акцент3 6 3" xfId="1132"/>
    <cellStyle name="20% - Акцент3 6_46EE.2011(v1.0)" xfId="1133"/>
    <cellStyle name="20% - Акцент3 7" xfId="1134"/>
    <cellStyle name="20% - Акцент3 7 2" xfId="1135"/>
    <cellStyle name="20% - Акцент3 7 3" xfId="1136"/>
    <cellStyle name="20% - Акцент3 7_46EE.2011(v1.0)" xfId="1137"/>
    <cellStyle name="20% - Акцент3 8" xfId="1138"/>
    <cellStyle name="20% - Акцент3 8 2" xfId="1139"/>
    <cellStyle name="20% - Акцент3 8 3" xfId="1140"/>
    <cellStyle name="20% - Акцент3 8_46EE.2011(v1.0)" xfId="1141"/>
    <cellStyle name="20% - Акцент3 9" xfId="1142"/>
    <cellStyle name="20% - Акцент3 9 2" xfId="1143"/>
    <cellStyle name="20% - Акцент3 9 3" xfId="1144"/>
    <cellStyle name="20% - Акцент3 9_46EE.2011(v1.0)" xfId="1145"/>
    <cellStyle name="20% — Акцент4" xfId="3124"/>
    <cellStyle name="20% - Акцент4 10" xfId="1146"/>
    <cellStyle name="20% - Акцент4 2" xfId="1147"/>
    <cellStyle name="20% - Акцент4 2 2" xfId="1148"/>
    <cellStyle name="20% - Акцент4 2 3" xfId="1149"/>
    <cellStyle name="20% - Акцент4 2_46EE.2011(v1.0)" xfId="1150"/>
    <cellStyle name="20% - Акцент4 3" xfId="1151"/>
    <cellStyle name="20% - Акцент4 3 2" xfId="1152"/>
    <cellStyle name="20% - Акцент4 3 3" xfId="1153"/>
    <cellStyle name="20% - Акцент4 3_46EE.2011(v1.0)" xfId="1154"/>
    <cellStyle name="20% - Акцент4 4" xfId="1155"/>
    <cellStyle name="20% - Акцент4 4 2" xfId="1156"/>
    <cellStyle name="20% - Акцент4 4 3" xfId="1157"/>
    <cellStyle name="20% - Акцент4 4_46EE.2011(v1.0)" xfId="1158"/>
    <cellStyle name="20% - Акцент4 5" xfId="1159"/>
    <cellStyle name="20% - Акцент4 5 2" xfId="1160"/>
    <cellStyle name="20% - Акцент4 5 3" xfId="1161"/>
    <cellStyle name="20% - Акцент4 5_46EE.2011(v1.0)" xfId="1162"/>
    <cellStyle name="20% - Акцент4 6" xfId="1163"/>
    <cellStyle name="20% - Акцент4 6 2" xfId="1164"/>
    <cellStyle name="20% - Акцент4 6 3" xfId="1165"/>
    <cellStyle name="20% - Акцент4 6_46EE.2011(v1.0)" xfId="1166"/>
    <cellStyle name="20% - Акцент4 7" xfId="1167"/>
    <cellStyle name="20% - Акцент4 7 2" xfId="1168"/>
    <cellStyle name="20% - Акцент4 7 3" xfId="1169"/>
    <cellStyle name="20% - Акцент4 7_46EE.2011(v1.0)" xfId="1170"/>
    <cellStyle name="20% - Акцент4 8" xfId="1171"/>
    <cellStyle name="20% - Акцент4 8 2" xfId="1172"/>
    <cellStyle name="20% - Акцент4 8 3" xfId="1173"/>
    <cellStyle name="20% - Акцент4 8_46EE.2011(v1.0)" xfId="1174"/>
    <cellStyle name="20% - Акцент4 9" xfId="1175"/>
    <cellStyle name="20% - Акцент4 9 2" xfId="1176"/>
    <cellStyle name="20% - Акцент4 9 3" xfId="1177"/>
    <cellStyle name="20% - Акцент4 9_46EE.2011(v1.0)" xfId="1178"/>
    <cellStyle name="20% — Акцент5" xfId="3125"/>
    <cellStyle name="20% - Акцент5 10" xfId="1179"/>
    <cellStyle name="20% - Акцент5 2" xfId="1180"/>
    <cellStyle name="20% - Акцент5 2 2" xfId="1181"/>
    <cellStyle name="20% - Акцент5 2 3" xfId="1182"/>
    <cellStyle name="20% - Акцент5 2_46EE.2011(v1.0)" xfId="1183"/>
    <cellStyle name="20% - Акцент5 3" xfId="1184"/>
    <cellStyle name="20% - Акцент5 3 2" xfId="1185"/>
    <cellStyle name="20% - Акцент5 3 3" xfId="1186"/>
    <cellStyle name="20% - Акцент5 3_46EE.2011(v1.0)" xfId="1187"/>
    <cellStyle name="20% - Акцент5 4" xfId="1188"/>
    <cellStyle name="20% - Акцент5 4 2" xfId="1189"/>
    <cellStyle name="20% - Акцент5 4 3" xfId="1190"/>
    <cellStyle name="20% - Акцент5 4_46EE.2011(v1.0)" xfId="1191"/>
    <cellStyle name="20% - Акцент5 5" xfId="1192"/>
    <cellStyle name="20% - Акцент5 5 2" xfId="1193"/>
    <cellStyle name="20% - Акцент5 5 3" xfId="1194"/>
    <cellStyle name="20% - Акцент5 5_46EE.2011(v1.0)" xfId="1195"/>
    <cellStyle name="20% - Акцент5 6" xfId="1196"/>
    <cellStyle name="20% - Акцент5 6 2" xfId="1197"/>
    <cellStyle name="20% - Акцент5 6 3" xfId="1198"/>
    <cellStyle name="20% - Акцент5 6_46EE.2011(v1.0)" xfId="1199"/>
    <cellStyle name="20% - Акцент5 7" xfId="1200"/>
    <cellStyle name="20% - Акцент5 7 2" xfId="1201"/>
    <cellStyle name="20% - Акцент5 7 3" xfId="1202"/>
    <cellStyle name="20% - Акцент5 7_46EE.2011(v1.0)" xfId="1203"/>
    <cellStyle name="20% - Акцент5 8" xfId="1204"/>
    <cellStyle name="20% - Акцент5 8 2" xfId="1205"/>
    <cellStyle name="20% - Акцент5 8 3" xfId="1206"/>
    <cellStyle name="20% - Акцент5 8_46EE.2011(v1.0)" xfId="1207"/>
    <cellStyle name="20% - Акцент5 9" xfId="1208"/>
    <cellStyle name="20% - Акцент5 9 2" xfId="1209"/>
    <cellStyle name="20% - Акцент5 9 3" xfId="1210"/>
    <cellStyle name="20% - Акцент5 9_46EE.2011(v1.0)" xfId="1211"/>
    <cellStyle name="20% — Акцент6" xfId="3126"/>
    <cellStyle name="20% - Акцент6 10" xfId="1212"/>
    <cellStyle name="20% - Акцент6 2" xfId="1213"/>
    <cellStyle name="20% - Акцент6 2 2" xfId="1214"/>
    <cellStyle name="20% - Акцент6 2 3" xfId="1215"/>
    <cellStyle name="20% - Акцент6 2_46EE.2011(v1.0)" xfId="1216"/>
    <cellStyle name="20% - Акцент6 3" xfId="1217"/>
    <cellStyle name="20% - Акцент6 3 2" xfId="1218"/>
    <cellStyle name="20% - Акцент6 3 3" xfId="1219"/>
    <cellStyle name="20% - Акцент6 3_46EE.2011(v1.0)" xfId="1220"/>
    <cellStyle name="20% - Акцент6 4" xfId="1221"/>
    <cellStyle name="20% - Акцент6 4 2" xfId="1222"/>
    <cellStyle name="20% - Акцент6 4 3" xfId="1223"/>
    <cellStyle name="20% - Акцент6 4_46EE.2011(v1.0)" xfId="1224"/>
    <cellStyle name="20% - Акцент6 5" xfId="1225"/>
    <cellStyle name="20% - Акцент6 5 2" xfId="1226"/>
    <cellStyle name="20% - Акцент6 5 3" xfId="1227"/>
    <cellStyle name="20% - Акцент6 5_46EE.2011(v1.0)" xfId="1228"/>
    <cellStyle name="20% - Акцент6 6" xfId="1229"/>
    <cellStyle name="20% - Акцент6 6 2" xfId="1230"/>
    <cellStyle name="20% - Акцент6 6 3" xfId="1231"/>
    <cellStyle name="20% - Акцент6 6_46EE.2011(v1.0)" xfId="1232"/>
    <cellStyle name="20% - Акцент6 7" xfId="1233"/>
    <cellStyle name="20% - Акцент6 7 2" xfId="1234"/>
    <cellStyle name="20% - Акцент6 7 3" xfId="1235"/>
    <cellStyle name="20% - Акцент6 7_46EE.2011(v1.0)" xfId="1236"/>
    <cellStyle name="20% - Акцент6 8" xfId="1237"/>
    <cellStyle name="20% - Акцент6 8 2" xfId="1238"/>
    <cellStyle name="20% - Акцент6 8 3" xfId="1239"/>
    <cellStyle name="20% - Акцент6 8_46EE.2011(v1.0)" xfId="1240"/>
    <cellStyle name="20% - Акцент6 9" xfId="1241"/>
    <cellStyle name="20% - Акцент6 9 2" xfId="1242"/>
    <cellStyle name="20% - Акцент6 9 3" xfId="1243"/>
    <cellStyle name="20% - Акцент6 9_46EE.2011(v1.0)" xfId="1244"/>
    <cellStyle name="40% - Accent1" xfId="149"/>
    <cellStyle name="40% - Accent1 2" xfId="1245"/>
    <cellStyle name="40% - Accent1 3" xfId="1246"/>
    <cellStyle name="40% - Accent1 4" xfId="1247"/>
    <cellStyle name="40% - Accent1_46EE.2011(v1.0)" xfId="1248"/>
    <cellStyle name="40% - Accent2" xfId="150"/>
    <cellStyle name="40% - Accent2 2" xfId="1249"/>
    <cellStyle name="40% - Accent2 3" xfId="1250"/>
    <cellStyle name="40% - Accent2 4" xfId="1251"/>
    <cellStyle name="40% - Accent2_46EE.2011(v1.0)" xfId="1252"/>
    <cellStyle name="40% - Accent3" xfId="151"/>
    <cellStyle name="40% - Accent3 2" xfId="1253"/>
    <cellStyle name="40% - Accent3 3" xfId="1254"/>
    <cellStyle name="40% - Accent3 4" xfId="1255"/>
    <cellStyle name="40% - Accent3_46EE.2011(v1.0)" xfId="1256"/>
    <cellStyle name="40% - Accent4" xfId="152"/>
    <cellStyle name="40% - Accent4 2" xfId="1257"/>
    <cellStyle name="40% - Accent4 3" xfId="1258"/>
    <cellStyle name="40% - Accent4 4" xfId="1259"/>
    <cellStyle name="40% - Accent4_46EE.2011(v1.0)" xfId="1260"/>
    <cellStyle name="40% - Accent5" xfId="153"/>
    <cellStyle name="40% - Accent5 2" xfId="1261"/>
    <cellStyle name="40% - Accent5 3" xfId="1262"/>
    <cellStyle name="40% - Accent5 4" xfId="1263"/>
    <cellStyle name="40% - Accent5_46EE.2011(v1.0)" xfId="1264"/>
    <cellStyle name="40% - Accent6" xfId="154"/>
    <cellStyle name="40% - Accent6 2" xfId="1265"/>
    <cellStyle name="40% - Accent6 3" xfId="1266"/>
    <cellStyle name="40% - Accent6 4" xfId="1267"/>
    <cellStyle name="40% - Accent6_46EE.2011(v1.0)" xfId="1268"/>
    <cellStyle name="40% — Акцент1" xfId="3127"/>
    <cellStyle name="40% - Акцент1 10" xfId="1269"/>
    <cellStyle name="40% - Акцент1 2" xfId="1270"/>
    <cellStyle name="40% - Акцент1 2 2" xfId="1271"/>
    <cellStyle name="40% - Акцент1 2 3" xfId="1272"/>
    <cellStyle name="40% - Акцент1 2_46EE.2011(v1.0)" xfId="1273"/>
    <cellStyle name="40% - Акцент1 3" xfId="1274"/>
    <cellStyle name="40% - Акцент1 3 2" xfId="1275"/>
    <cellStyle name="40% - Акцент1 3 3" xfId="1276"/>
    <cellStyle name="40% - Акцент1 3_46EE.2011(v1.0)" xfId="1277"/>
    <cellStyle name="40% - Акцент1 4" xfId="1278"/>
    <cellStyle name="40% - Акцент1 4 2" xfId="1279"/>
    <cellStyle name="40% - Акцент1 4 3" xfId="1280"/>
    <cellStyle name="40% - Акцент1 4_46EE.2011(v1.0)" xfId="1281"/>
    <cellStyle name="40% - Акцент1 5" xfId="1282"/>
    <cellStyle name="40% - Акцент1 5 2" xfId="1283"/>
    <cellStyle name="40% - Акцент1 5 3" xfId="1284"/>
    <cellStyle name="40% - Акцент1 5_46EE.2011(v1.0)" xfId="1285"/>
    <cellStyle name="40% - Акцент1 6" xfId="1286"/>
    <cellStyle name="40% - Акцент1 6 2" xfId="1287"/>
    <cellStyle name="40% - Акцент1 6 3" xfId="1288"/>
    <cellStyle name="40% - Акцент1 6_46EE.2011(v1.0)" xfId="1289"/>
    <cellStyle name="40% - Акцент1 7" xfId="1290"/>
    <cellStyle name="40% - Акцент1 7 2" xfId="1291"/>
    <cellStyle name="40% - Акцент1 7 3" xfId="1292"/>
    <cellStyle name="40% - Акцент1 7_46EE.2011(v1.0)" xfId="1293"/>
    <cellStyle name="40% - Акцент1 8" xfId="1294"/>
    <cellStyle name="40% - Акцент1 8 2" xfId="1295"/>
    <cellStyle name="40% - Акцент1 8 3" xfId="1296"/>
    <cellStyle name="40% - Акцент1 8_46EE.2011(v1.0)" xfId="1297"/>
    <cellStyle name="40% - Акцент1 9" xfId="1298"/>
    <cellStyle name="40% - Акцент1 9 2" xfId="1299"/>
    <cellStyle name="40% - Акцент1 9 3" xfId="1300"/>
    <cellStyle name="40% - Акцент1 9_46EE.2011(v1.0)" xfId="1301"/>
    <cellStyle name="40% — Акцент2" xfId="3128"/>
    <cellStyle name="40% - Акцент2 10" xfId="1302"/>
    <cellStyle name="40% - Акцент2 2" xfId="1303"/>
    <cellStyle name="40% - Акцент2 2 2" xfId="1304"/>
    <cellStyle name="40% - Акцент2 2 3" xfId="1305"/>
    <cellStyle name="40% - Акцент2 2_46EE.2011(v1.0)" xfId="1306"/>
    <cellStyle name="40% - Акцент2 3" xfId="1307"/>
    <cellStyle name="40% - Акцент2 3 2" xfId="1308"/>
    <cellStyle name="40% - Акцент2 3 3" xfId="1309"/>
    <cellStyle name="40% - Акцент2 3_46EE.2011(v1.0)" xfId="1310"/>
    <cellStyle name="40% - Акцент2 4" xfId="1311"/>
    <cellStyle name="40% - Акцент2 4 2" xfId="1312"/>
    <cellStyle name="40% - Акцент2 4 3" xfId="1313"/>
    <cellStyle name="40% - Акцент2 4_46EE.2011(v1.0)" xfId="1314"/>
    <cellStyle name="40% - Акцент2 5" xfId="1315"/>
    <cellStyle name="40% - Акцент2 5 2" xfId="1316"/>
    <cellStyle name="40% - Акцент2 5 3" xfId="1317"/>
    <cellStyle name="40% - Акцент2 5_46EE.2011(v1.0)" xfId="1318"/>
    <cellStyle name="40% - Акцент2 6" xfId="1319"/>
    <cellStyle name="40% - Акцент2 6 2" xfId="1320"/>
    <cellStyle name="40% - Акцент2 6 3" xfId="1321"/>
    <cellStyle name="40% - Акцент2 6_46EE.2011(v1.0)" xfId="1322"/>
    <cellStyle name="40% - Акцент2 7" xfId="1323"/>
    <cellStyle name="40% - Акцент2 7 2" xfId="1324"/>
    <cellStyle name="40% - Акцент2 7 3" xfId="1325"/>
    <cellStyle name="40% - Акцент2 7_46EE.2011(v1.0)" xfId="1326"/>
    <cellStyle name="40% - Акцент2 8" xfId="1327"/>
    <cellStyle name="40% - Акцент2 8 2" xfId="1328"/>
    <cellStyle name="40% - Акцент2 8 3" xfId="1329"/>
    <cellStyle name="40% - Акцент2 8_46EE.2011(v1.0)" xfId="1330"/>
    <cellStyle name="40% - Акцент2 9" xfId="1331"/>
    <cellStyle name="40% - Акцент2 9 2" xfId="1332"/>
    <cellStyle name="40% - Акцент2 9 3" xfId="1333"/>
    <cellStyle name="40% - Акцент2 9_46EE.2011(v1.0)" xfId="1334"/>
    <cellStyle name="40% — Акцент3" xfId="3129"/>
    <cellStyle name="40% - Акцент3 10" xfId="1335"/>
    <cellStyle name="40% - Акцент3 2" xfId="1336"/>
    <cellStyle name="40% - Акцент3 2 2" xfId="1337"/>
    <cellStyle name="40% - Акцент3 2 3" xfId="1338"/>
    <cellStyle name="40% - Акцент3 2_46EE.2011(v1.0)" xfId="1339"/>
    <cellStyle name="40% - Акцент3 3" xfId="1340"/>
    <cellStyle name="40% - Акцент3 3 2" xfId="1341"/>
    <cellStyle name="40% - Акцент3 3 3" xfId="1342"/>
    <cellStyle name="40% - Акцент3 3_46EE.2011(v1.0)" xfId="1343"/>
    <cellStyle name="40% - Акцент3 4" xfId="1344"/>
    <cellStyle name="40% - Акцент3 4 2" xfId="1345"/>
    <cellStyle name="40% - Акцент3 4 3" xfId="1346"/>
    <cellStyle name="40% - Акцент3 4_46EE.2011(v1.0)" xfId="1347"/>
    <cellStyle name="40% - Акцент3 5" xfId="1348"/>
    <cellStyle name="40% - Акцент3 5 2" xfId="1349"/>
    <cellStyle name="40% - Акцент3 5 3" xfId="1350"/>
    <cellStyle name="40% - Акцент3 5_46EE.2011(v1.0)" xfId="1351"/>
    <cellStyle name="40% - Акцент3 6" xfId="1352"/>
    <cellStyle name="40% - Акцент3 6 2" xfId="1353"/>
    <cellStyle name="40% - Акцент3 6 3" xfId="1354"/>
    <cellStyle name="40% - Акцент3 6_46EE.2011(v1.0)" xfId="1355"/>
    <cellStyle name="40% - Акцент3 7" xfId="1356"/>
    <cellStyle name="40% - Акцент3 7 2" xfId="1357"/>
    <cellStyle name="40% - Акцент3 7 3" xfId="1358"/>
    <cellStyle name="40% - Акцент3 7_46EE.2011(v1.0)" xfId="1359"/>
    <cellStyle name="40% - Акцент3 8" xfId="1360"/>
    <cellStyle name="40% - Акцент3 8 2" xfId="1361"/>
    <cellStyle name="40% - Акцент3 8 3" xfId="1362"/>
    <cellStyle name="40% - Акцент3 8_46EE.2011(v1.0)" xfId="1363"/>
    <cellStyle name="40% - Акцент3 9" xfId="1364"/>
    <cellStyle name="40% - Акцент3 9 2" xfId="1365"/>
    <cellStyle name="40% - Акцент3 9 3" xfId="1366"/>
    <cellStyle name="40% - Акцент3 9_46EE.2011(v1.0)" xfId="1367"/>
    <cellStyle name="40% — Акцент4" xfId="3130"/>
    <cellStyle name="40% - Акцент4 10" xfId="1368"/>
    <cellStyle name="40% - Акцент4 2" xfId="1369"/>
    <cellStyle name="40% - Акцент4 2 2" xfId="1370"/>
    <cellStyle name="40% - Акцент4 2 3" xfId="1371"/>
    <cellStyle name="40% - Акцент4 2_46EE.2011(v1.0)" xfId="1372"/>
    <cellStyle name="40% - Акцент4 3" xfId="1373"/>
    <cellStyle name="40% - Акцент4 3 2" xfId="1374"/>
    <cellStyle name="40% - Акцент4 3 3" xfId="1375"/>
    <cellStyle name="40% - Акцент4 3_46EE.2011(v1.0)" xfId="1376"/>
    <cellStyle name="40% - Акцент4 4" xfId="1377"/>
    <cellStyle name="40% - Акцент4 4 2" xfId="1378"/>
    <cellStyle name="40% - Акцент4 4 3" xfId="1379"/>
    <cellStyle name="40% - Акцент4 4_46EE.2011(v1.0)" xfId="1380"/>
    <cellStyle name="40% - Акцент4 5" xfId="1381"/>
    <cellStyle name="40% - Акцент4 5 2" xfId="1382"/>
    <cellStyle name="40% - Акцент4 5 3" xfId="1383"/>
    <cellStyle name="40% - Акцент4 5_46EE.2011(v1.0)" xfId="1384"/>
    <cellStyle name="40% - Акцент4 6" xfId="1385"/>
    <cellStyle name="40% - Акцент4 6 2" xfId="1386"/>
    <cellStyle name="40% - Акцент4 6 3" xfId="1387"/>
    <cellStyle name="40% - Акцент4 6_46EE.2011(v1.0)" xfId="1388"/>
    <cellStyle name="40% - Акцент4 7" xfId="1389"/>
    <cellStyle name="40% - Акцент4 7 2" xfId="1390"/>
    <cellStyle name="40% - Акцент4 7 3" xfId="1391"/>
    <cellStyle name="40% - Акцент4 7_46EE.2011(v1.0)" xfId="1392"/>
    <cellStyle name="40% - Акцент4 8" xfId="1393"/>
    <cellStyle name="40% - Акцент4 8 2" xfId="1394"/>
    <cellStyle name="40% - Акцент4 8 3" xfId="1395"/>
    <cellStyle name="40% - Акцент4 8_46EE.2011(v1.0)" xfId="1396"/>
    <cellStyle name="40% - Акцент4 9" xfId="1397"/>
    <cellStyle name="40% - Акцент4 9 2" xfId="1398"/>
    <cellStyle name="40% - Акцент4 9 3" xfId="1399"/>
    <cellStyle name="40% - Акцент4 9_46EE.2011(v1.0)" xfId="1400"/>
    <cellStyle name="40% — Акцент5" xfId="3131"/>
    <cellStyle name="40% - Акцент5 10" xfId="1401"/>
    <cellStyle name="40% - Акцент5 2" xfId="1402"/>
    <cellStyle name="40% - Акцент5 2 2" xfId="1403"/>
    <cellStyle name="40% - Акцент5 2 3" xfId="1404"/>
    <cellStyle name="40% - Акцент5 2_46EE.2011(v1.0)" xfId="1405"/>
    <cellStyle name="40% - Акцент5 3" xfId="1406"/>
    <cellStyle name="40% - Акцент5 3 2" xfId="1407"/>
    <cellStyle name="40% - Акцент5 3 3" xfId="1408"/>
    <cellStyle name="40% - Акцент5 3_46EE.2011(v1.0)" xfId="1409"/>
    <cellStyle name="40% - Акцент5 4" xfId="1410"/>
    <cellStyle name="40% - Акцент5 4 2" xfId="1411"/>
    <cellStyle name="40% - Акцент5 4 3" xfId="1412"/>
    <cellStyle name="40% - Акцент5 4_46EE.2011(v1.0)" xfId="1413"/>
    <cellStyle name="40% - Акцент5 5" xfId="1414"/>
    <cellStyle name="40% - Акцент5 5 2" xfId="1415"/>
    <cellStyle name="40% - Акцент5 5 3" xfId="1416"/>
    <cellStyle name="40% - Акцент5 5_46EE.2011(v1.0)" xfId="1417"/>
    <cellStyle name="40% - Акцент5 6" xfId="1418"/>
    <cellStyle name="40% - Акцент5 6 2" xfId="1419"/>
    <cellStyle name="40% - Акцент5 6 3" xfId="1420"/>
    <cellStyle name="40% - Акцент5 6_46EE.2011(v1.0)" xfId="1421"/>
    <cellStyle name="40% - Акцент5 7" xfId="1422"/>
    <cellStyle name="40% - Акцент5 7 2" xfId="1423"/>
    <cellStyle name="40% - Акцент5 7 3" xfId="1424"/>
    <cellStyle name="40% - Акцент5 7_46EE.2011(v1.0)" xfId="1425"/>
    <cellStyle name="40% - Акцент5 8" xfId="1426"/>
    <cellStyle name="40% - Акцент5 8 2" xfId="1427"/>
    <cellStyle name="40% - Акцент5 8 3" xfId="1428"/>
    <cellStyle name="40% - Акцент5 8_46EE.2011(v1.0)" xfId="1429"/>
    <cellStyle name="40% - Акцент5 9" xfId="1430"/>
    <cellStyle name="40% - Акцент5 9 2" xfId="1431"/>
    <cellStyle name="40% - Акцент5 9 3" xfId="1432"/>
    <cellStyle name="40% - Акцент5 9_46EE.2011(v1.0)" xfId="1433"/>
    <cellStyle name="40% — Акцент6" xfId="3132"/>
    <cellStyle name="40% - Акцент6 10" xfId="1434"/>
    <cellStyle name="40% - Акцент6 2" xfId="1435"/>
    <cellStyle name="40% - Акцент6 2 2" xfId="1436"/>
    <cellStyle name="40% - Акцент6 2 3" xfId="1437"/>
    <cellStyle name="40% - Акцент6 2_46EE.2011(v1.0)" xfId="1438"/>
    <cellStyle name="40% - Акцент6 3" xfId="1439"/>
    <cellStyle name="40% - Акцент6 3 2" xfId="1440"/>
    <cellStyle name="40% - Акцент6 3 3" xfId="1441"/>
    <cellStyle name="40% - Акцент6 3_46EE.2011(v1.0)" xfId="1442"/>
    <cellStyle name="40% - Акцент6 4" xfId="1443"/>
    <cellStyle name="40% - Акцент6 4 2" xfId="1444"/>
    <cellStyle name="40% - Акцент6 4 3" xfId="1445"/>
    <cellStyle name="40% - Акцент6 4_46EE.2011(v1.0)" xfId="1446"/>
    <cellStyle name="40% - Акцент6 5" xfId="1447"/>
    <cellStyle name="40% - Акцент6 5 2" xfId="1448"/>
    <cellStyle name="40% - Акцент6 5 3" xfId="1449"/>
    <cellStyle name="40% - Акцент6 5_46EE.2011(v1.0)" xfId="1450"/>
    <cellStyle name="40% - Акцент6 6" xfId="1451"/>
    <cellStyle name="40% - Акцент6 6 2" xfId="1452"/>
    <cellStyle name="40% - Акцент6 6 3" xfId="1453"/>
    <cellStyle name="40% - Акцент6 6_46EE.2011(v1.0)" xfId="1454"/>
    <cellStyle name="40% - Акцент6 7" xfId="1455"/>
    <cellStyle name="40% - Акцент6 7 2" xfId="1456"/>
    <cellStyle name="40% - Акцент6 7 3" xfId="1457"/>
    <cellStyle name="40% - Акцент6 7_46EE.2011(v1.0)" xfId="1458"/>
    <cellStyle name="40% - Акцент6 8" xfId="1459"/>
    <cellStyle name="40% - Акцент6 8 2" xfId="1460"/>
    <cellStyle name="40% - Акцент6 8 3" xfId="1461"/>
    <cellStyle name="40% - Акцент6 8_46EE.2011(v1.0)" xfId="1462"/>
    <cellStyle name="40% - Акцент6 9" xfId="1463"/>
    <cellStyle name="40% - Акцент6 9 2" xfId="1464"/>
    <cellStyle name="40% - Акцент6 9 3" xfId="1465"/>
    <cellStyle name="40% - Акцент6 9_46EE.2011(v1.0)" xfId="1466"/>
    <cellStyle name="50%" xfId="1467"/>
    <cellStyle name="50% 2" xfId="3133"/>
    <cellStyle name="60% - Accent1" xfId="155"/>
    <cellStyle name="60% - Accent1 2" xfId="1468"/>
    <cellStyle name="60% - Accent2" xfId="156"/>
    <cellStyle name="60% - Accent2 2" xfId="1469"/>
    <cellStyle name="60% - Accent3" xfId="157"/>
    <cellStyle name="60% - Accent3 2" xfId="1470"/>
    <cellStyle name="60% - Accent4" xfId="158"/>
    <cellStyle name="60% - Accent4 2" xfId="1471"/>
    <cellStyle name="60% - Accent5" xfId="159"/>
    <cellStyle name="60% - Accent5 2" xfId="1472"/>
    <cellStyle name="60% - Accent6" xfId="160"/>
    <cellStyle name="60% - Accent6 2" xfId="1473"/>
    <cellStyle name="60% — Акцент1" xfId="3134"/>
    <cellStyle name="60% - Акцент1 10" xfId="1474"/>
    <cellStyle name="60% - Акцент1 2" xfId="1475"/>
    <cellStyle name="60% - Акцент1 2 2" xfId="1476"/>
    <cellStyle name="60% - Акцент1 3" xfId="1477"/>
    <cellStyle name="60% - Акцент1 3 2" xfId="1478"/>
    <cellStyle name="60% - Акцент1 4" xfId="1479"/>
    <cellStyle name="60% - Акцент1 4 2" xfId="1480"/>
    <cellStyle name="60% - Акцент1 5" xfId="1481"/>
    <cellStyle name="60% - Акцент1 5 2" xfId="1482"/>
    <cellStyle name="60% - Акцент1 6" xfId="1483"/>
    <cellStyle name="60% - Акцент1 6 2" xfId="1484"/>
    <cellStyle name="60% - Акцент1 7" xfId="1485"/>
    <cellStyle name="60% - Акцент1 7 2" xfId="1486"/>
    <cellStyle name="60% - Акцент1 8" xfId="1487"/>
    <cellStyle name="60% - Акцент1 8 2" xfId="1488"/>
    <cellStyle name="60% - Акцент1 9" xfId="1489"/>
    <cellStyle name="60% - Акцент1 9 2" xfId="1490"/>
    <cellStyle name="60% — Акцент2" xfId="3135"/>
    <cellStyle name="60% - Акцент2 10" xfId="1491"/>
    <cellStyle name="60% - Акцент2 2" xfId="1492"/>
    <cellStyle name="60% - Акцент2 2 2" xfId="1493"/>
    <cellStyle name="60% - Акцент2 3" xfId="1494"/>
    <cellStyle name="60% - Акцент2 3 2" xfId="1495"/>
    <cellStyle name="60% - Акцент2 4" xfId="1496"/>
    <cellStyle name="60% - Акцент2 4 2" xfId="1497"/>
    <cellStyle name="60% - Акцент2 5" xfId="1498"/>
    <cellStyle name="60% - Акцент2 5 2" xfId="1499"/>
    <cellStyle name="60% - Акцент2 6" xfId="1500"/>
    <cellStyle name="60% - Акцент2 6 2" xfId="1501"/>
    <cellStyle name="60% - Акцент2 7" xfId="1502"/>
    <cellStyle name="60% - Акцент2 7 2" xfId="1503"/>
    <cellStyle name="60% - Акцент2 8" xfId="1504"/>
    <cellStyle name="60% - Акцент2 8 2" xfId="1505"/>
    <cellStyle name="60% - Акцент2 9" xfId="1506"/>
    <cellStyle name="60% - Акцент2 9 2" xfId="1507"/>
    <cellStyle name="60% — Акцент3" xfId="3136"/>
    <cellStyle name="60% - Акцент3 10" xfId="1508"/>
    <cellStyle name="60% - Акцент3 2" xfId="1509"/>
    <cellStyle name="60% - Акцент3 2 2" xfId="1510"/>
    <cellStyle name="60% - Акцент3 3" xfId="1511"/>
    <cellStyle name="60% - Акцент3 3 2" xfId="1512"/>
    <cellStyle name="60% - Акцент3 4" xfId="1513"/>
    <cellStyle name="60% - Акцент3 4 2" xfId="1514"/>
    <cellStyle name="60% - Акцент3 5" xfId="1515"/>
    <cellStyle name="60% - Акцент3 5 2" xfId="1516"/>
    <cellStyle name="60% - Акцент3 6" xfId="1517"/>
    <cellStyle name="60% - Акцент3 6 2" xfId="1518"/>
    <cellStyle name="60% - Акцент3 7" xfId="1519"/>
    <cellStyle name="60% - Акцент3 7 2" xfId="1520"/>
    <cellStyle name="60% - Акцент3 8" xfId="1521"/>
    <cellStyle name="60% - Акцент3 8 2" xfId="1522"/>
    <cellStyle name="60% - Акцент3 9" xfId="1523"/>
    <cellStyle name="60% - Акцент3 9 2" xfId="1524"/>
    <cellStyle name="60% — Акцент4" xfId="3137"/>
    <cellStyle name="60% - Акцент4 10" xfId="1525"/>
    <cellStyle name="60% - Акцент4 2" xfId="1526"/>
    <cellStyle name="60% - Акцент4 2 2" xfId="1527"/>
    <cellStyle name="60% - Акцент4 3" xfId="1528"/>
    <cellStyle name="60% - Акцент4 3 2" xfId="1529"/>
    <cellStyle name="60% - Акцент4 4" xfId="1530"/>
    <cellStyle name="60% - Акцент4 4 2" xfId="1531"/>
    <cellStyle name="60% - Акцент4 5" xfId="1532"/>
    <cellStyle name="60% - Акцент4 5 2" xfId="1533"/>
    <cellStyle name="60% - Акцент4 6" xfId="1534"/>
    <cellStyle name="60% - Акцент4 6 2" xfId="1535"/>
    <cellStyle name="60% - Акцент4 7" xfId="1536"/>
    <cellStyle name="60% - Акцент4 7 2" xfId="1537"/>
    <cellStyle name="60% - Акцент4 8" xfId="1538"/>
    <cellStyle name="60% - Акцент4 8 2" xfId="1539"/>
    <cellStyle name="60% - Акцент4 9" xfId="1540"/>
    <cellStyle name="60% - Акцент4 9 2" xfId="1541"/>
    <cellStyle name="60% — Акцент5" xfId="3138"/>
    <cellStyle name="60% - Акцент5 10" xfId="1542"/>
    <cellStyle name="60% - Акцент5 2" xfId="1543"/>
    <cellStyle name="60% - Акцент5 2 2" xfId="1544"/>
    <cellStyle name="60% - Акцент5 3" xfId="1545"/>
    <cellStyle name="60% - Акцент5 3 2" xfId="1546"/>
    <cellStyle name="60% - Акцент5 4" xfId="1547"/>
    <cellStyle name="60% - Акцент5 4 2" xfId="1548"/>
    <cellStyle name="60% - Акцент5 5" xfId="1549"/>
    <cellStyle name="60% - Акцент5 5 2" xfId="1550"/>
    <cellStyle name="60% - Акцент5 6" xfId="1551"/>
    <cellStyle name="60% - Акцент5 6 2" xfId="1552"/>
    <cellStyle name="60% - Акцент5 7" xfId="1553"/>
    <cellStyle name="60% - Акцент5 7 2" xfId="1554"/>
    <cellStyle name="60% - Акцент5 8" xfId="1555"/>
    <cellStyle name="60% - Акцент5 8 2" xfId="1556"/>
    <cellStyle name="60% - Акцент5 9" xfId="1557"/>
    <cellStyle name="60% - Акцент5 9 2" xfId="1558"/>
    <cellStyle name="60% — Акцент6" xfId="3139"/>
    <cellStyle name="60% - Акцент6 10" xfId="1559"/>
    <cellStyle name="60% - Акцент6 2" xfId="1560"/>
    <cellStyle name="60% - Акцент6 2 2" xfId="1561"/>
    <cellStyle name="60% - Акцент6 3" xfId="1562"/>
    <cellStyle name="60% - Акцент6 3 2" xfId="1563"/>
    <cellStyle name="60% - Акцент6 4" xfId="1564"/>
    <cellStyle name="60% - Акцент6 4 2" xfId="1565"/>
    <cellStyle name="60% - Акцент6 5" xfId="1566"/>
    <cellStyle name="60% - Акцент6 5 2" xfId="1567"/>
    <cellStyle name="60% - Акцент6 6" xfId="1568"/>
    <cellStyle name="60% - Акцент6 6 2" xfId="1569"/>
    <cellStyle name="60% - Акцент6 7" xfId="1570"/>
    <cellStyle name="60% - Акцент6 7 2" xfId="1571"/>
    <cellStyle name="60% - Акцент6 8" xfId="1572"/>
    <cellStyle name="60% - Акцент6 8 2" xfId="1573"/>
    <cellStyle name="60% - Акцент6 9" xfId="1574"/>
    <cellStyle name="60% - Акцент6 9 2" xfId="1575"/>
    <cellStyle name="6Code" xfId="3140"/>
    <cellStyle name="75%" xfId="1576"/>
    <cellStyle name="75% 2" xfId="3141"/>
    <cellStyle name="8pt" xfId="3142"/>
    <cellStyle name="930" xfId="161"/>
    <cellStyle name="930 2" xfId="3583"/>
    <cellStyle name="Accent1" xfId="162"/>
    <cellStyle name="Accent1 2" xfId="1577"/>
    <cellStyle name="Accent2" xfId="163"/>
    <cellStyle name="Accent2 2" xfId="1578"/>
    <cellStyle name="Accent3" xfId="164"/>
    <cellStyle name="Accent3 2" xfId="1579"/>
    <cellStyle name="Accent4" xfId="165"/>
    <cellStyle name="Accent4 2" xfId="1580"/>
    <cellStyle name="Accent5" xfId="166"/>
    <cellStyle name="Accent5 2" xfId="1581"/>
    <cellStyle name="Accent6" xfId="167"/>
    <cellStyle name="Accent6 2" xfId="1582"/>
    <cellStyle name="Ăčďĺđńńűëęŕ" xfId="1583"/>
    <cellStyle name="AFE" xfId="168"/>
    <cellStyle name="AFE 2" xfId="1584"/>
    <cellStyle name="AFE 3" xfId="3584"/>
    <cellStyle name="Áĺççŕůčňíűé" xfId="1585"/>
    <cellStyle name="Äĺíĺćíűé [0]_(ňŕá 3č)" xfId="1586"/>
    <cellStyle name="Äĺíĺćíűé_(ňŕá 3č)" xfId="1587"/>
    <cellStyle name="Bad" xfId="169"/>
    <cellStyle name="Bad 2" xfId="1588"/>
    <cellStyle name="Balance" xfId="1589"/>
    <cellStyle name="Balance 2" xfId="3143"/>
    <cellStyle name="BalanceBold" xfId="1590"/>
    <cellStyle name="Blue" xfId="170"/>
    <cellStyle name="Body_$Dollars" xfId="171"/>
    <cellStyle name="Calculation" xfId="172"/>
    <cellStyle name="Calculation 2" xfId="1591"/>
    <cellStyle name="Centered Heading" xfId="3144"/>
    <cellStyle name="Check" xfId="3145"/>
    <cellStyle name="Check Cell" xfId="173"/>
    <cellStyle name="Check Cell 2" xfId="1592"/>
    <cellStyle name="Chek" xfId="174"/>
    <cellStyle name="Chek 2" xfId="1593"/>
    <cellStyle name="Chek 2 2" xfId="3146"/>
    <cellStyle name="Chek 3" xfId="3147"/>
    <cellStyle name="Code" xfId="3148"/>
    <cellStyle name="Comma" xfId="3149"/>
    <cellStyle name="Comma [0]_Adjusted FS 1299" xfId="175"/>
    <cellStyle name="Comma 0" xfId="176"/>
    <cellStyle name="Comma 0 2" xfId="1594"/>
    <cellStyle name="Comma 0 3" xfId="3585"/>
    <cellStyle name="Comma 0*" xfId="177"/>
    <cellStyle name="Comma 0* 2" xfId="1595"/>
    <cellStyle name="Comma 0* 3" xfId="3586"/>
    <cellStyle name="Comma 0.0" xfId="3150"/>
    <cellStyle name="Comma 0.00" xfId="3151"/>
    <cellStyle name="Comma 0.000" xfId="3152"/>
    <cellStyle name="Comma 2" xfId="178"/>
    <cellStyle name="Comma 2 2" xfId="1596"/>
    <cellStyle name="Comma 2 3" xfId="3587"/>
    <cellStyle name="Comma 3*" xfId="179"/>
    <cellStyle name="Comma 3* 2" xfId="1597"/>
    <cellStyle name="Comma 3* 3" xfId="3588"/>
    <cellStyle name="Comma_Adjusted FS 1299" xfId="180"/>
    <cellStyle name="Comma0" xfId="181"/>
    <cellStyle name="Company Name" xfId="3153"/>
    <cellStyle name="Credit" xfId="3154"/>
    <cellStyle name="Credit subtotal" xfId="3155"/>
    <cellStyle name="Credit subtotal 2" xfId="3156"/>
    <cellStyle name="Credit Total" xfId="3157"/>
    <cellStyle name="Çŕůčňíűé" xfId="1598"/>
    <cellStyle name="Currency" xfId="3158"/>
    <cellStyle name="Currency [0]" xfId="182"/>
    <cellStyle name="Currency [0] 2" xfId="1599"/>
    <cellStyle name="Currency [0] 2 10" xfId="1600"/>
    <cellStyle name="Currency [0] 2 11" xfId="1601"/>
    <cellStyle name="Currency [0] 2 2" xfId="1602"/>
    <cellStyle name="Currency [0] 2 2 2" xfId="1603"/>
    <cellStyle name="Currency [0] 2 2 3" xfId="1604"/>
    <cellStyle name="Currency [0] 2 2 4" xfId="1605"/>
    <cellStyle name="Currency [0] 2 3" xfId="1606"/>
    <cellStyle name="Currency [0] 2 3 2" xfId="1607"/>
    <cellStyle name="Currency [0] 2 3 3" xfId="1608"/>
    <cellStyle name="Currency [0] 2 3 4" xfId="1609"/>
    <cellStyle name="Currency [0] 2 4" xfId="1610"/>
    <cellStyle name="Currency [0] 2 4 2" xfId="1611"/>
    <cellStyle name="Currency [0] 2 4 3" xfId="1612"/>
    <cellStyle name="Currency [0] 2 4 4" xfId="1613"/>
    <cellStyle name="Currency [0] 2 5" xfId="1614"/>
    <cellStyle name="Currency [0] 2 5 2" xfId="1615"/>
    <cellStyle name="Currency [0] 2 5 3" xfId="1616"/>
    <cellStyle name="Currency [0] 2 5 4" xfId="1617"/>
    <cellStyle name="Currency [0] 2 6" xfId="1618"/>
    <cellStyle name="Currency [0] 2 6 2" xfId="1619"/>
    <cellStyle name="Currency [0] 2 6 3" xfId="1620"/>
    <cellStyle name="Currency [0] 2 6 4" xfId="1621"/>
    <cellStyle name="Currency [0] 2 7" xfId="1622"/>
    <cellStyle name="Currency [0] 2 7 2" xfId="1623"/>
    <cellStyle name="Currency [0] 2 7 3" xfId="1624"/>
    <cellStyle name="Currency [0] 2 7 4" xfId="1625"/>
    <cellStyle name="Currency [0] 2 8" xfId="1626"/>
    <cellStyle name="Currency [0] 2 8 2" xfId="1627"/>
    <cellStyle name="Currency [0] 2 8 3" xfId="1628"/>
    <cellStyle name="Currency [0] 2 8 4" xfId="1629"/>
    <cellStyle name="Currency [0] 2 9" xfId="1630"/>
    <cellStyle name="Currency [0] 3" xfId="1631"/>
    <cellStyle name="Currency [0] 3 10" xfId="1632"/>
    <cellStyle name="Currency [0] 3 11" xfId="1633"/>
    <cellStyle name="Currency [0] 3 2" xfId="1634"/>
    <cellStyle name="Currency [0] 3 2 2" xfId="1635"/>
    <cellStyle name="Currency [0] 3 2 3" xfId="1636"/>
    <cellStyle name="Currency [0] 3 2 4" xfId="1637"/>
    <cellStyle name="Currency [0] 3 3" xfId="1638"/>
    <cellStyle name="Currency [0] 3 3 2" xfId="1639"/>
    <cellStyle name="Currency [0] 3 3 3" xfId="1640"/>
    <cellStyle name="Currency [0] 3 3 4" xfId="1641"/>
    <cellStyle name="Currency [0] 3 4" xfId="1642"/>
    <cellStyle name="Currency [0] 3 4 2" xfId="1643"/>
    <cellStyle name="Currency [0] 3 4 3" xfId="1644"/>
    <cellStyle name="Currency [0] 3 4 4" xfId="1645"/>
    <cellStyle name="Currency [0] 3 5" xfId="1646"/>
    <cellStyle name="Currency [0] 3 5 2" xfId="1647"/>
    <cellStyle name="Currency [0] 3 5 3" xfId="1648"/>
    <cellStyle name="Currency [0] 3 5 4" xfId="1649"/>
    <cellStyle name="Currency [0] 3 6" xfId="1650"/>
    <cellStyle name="Currency [0] 3 6 2" xfId="1651"/>
    <cellStyle name="Currency [0] 3 6 3" xfId="1652"/>
    <cellStyle name="Currency [0] 3 6 4" xfId="1653"/>
    <cellStyle name="Currency [0] 3 7" xfId="1654"/>
    <cellStyle name="Currency [0] 3 7 2" xfId="1655"/>
    <cellStyle name="Currency [0] 3 7 3" xfId="1656"/>
    <cellStyle name="Currency [0] 3 7 4" xfId="1657"/>
    <cellStyle name="Currency [0] 3 8" xfId="1658"/>
    <cellStyle name="Currency [0] 3 8 2" xfId="1659"/>
    <cellStyle name="Currency [0] 3 8 3" xfId="1660"/>
    <cellStyle name="Currency [0] 3 8 4" xfId="1661"/>
    <cellStyle name="Currency [0] 3 9" xfId="1662"/>
    <cellStyle name="Currency [0] 4" xfId="1663"/>
    <cellStyle name="Currency [0] 4 10" xfId="1664"/>
    <cellStyle name="Currency [0] 4 11" xfId="1665"/>
    <cellStyle name="Currency [0] 4 2" xfId="1666"/>
    <cellStyle name="Currency [0] 4 2 2" xfId="1667"/>
    <cellStyle name="Currency [0] 4 2 3" xfId="1668"/>
    <cellStyle name="Currency [0] 4 2 4" xfId="1669"/>
    <cellStyle name="Currency [0] 4 3" xfId="1670"/>
    <cellStyle name="Currency [0] 4 3 2" xfId="1671"/>
    <cellStyle name="Currency [0] 4 3 3" xfId="1672"/>
    <cellStyle name="Currency [0] 4 3 4" xfId="1673"/>
    <cellStyle name="Currency [0] 4 4" xfId="1674"/>
    <cellStyle name="Currency [0] 4 4 2" xfId="1675"/>
    <cellStyle name="Currency [0] 4 4 3" xfId="1676"/>
    <cellStyle name="Currency [0] 4 4 4" xfId="1677"/>
    <cellStyle name="Currency [0] 4 5" xfId="1678"/>
    <cellStyle name="Currency [0] 4 5 2" xfId="1679"/>
    <cellStyle name="Currency [0] 4 5 3" xfId="1680"/>
    <cellStyle name="Currency [0] 4 5 4" xfId="1681"/>
    <cellStyle name="Currency [0] 4 6" xfId="1682"/>
    <cellStyle name="Currency [0] 4 6 2" xfId="1683"/>
    <cellStyle name="Currency [0] 4 6 3" xfId="1684"/>
    <cellStyle name="Currency [0] 4 6 4" xfId="1685"/>
    <cellStyle name="Currency [0] 4 7" xfId="1686"/>
    <cellStyle name="Currency [0] 4 7 2" xfId="1687"/>
    <cellStyle name="Currency [0] 4 7 3" xfId="1688"/>
    <cellStyle name="Currency [0] 4 7 4" xfId="1689"/>
    <cellStyle name="Currency [0] 4 8" xfId="1690"/>
    <cellStyle name="Currency [0] 4 8 2" xfId="1691"/>
    <cellStyle name="Currency [0] 4 8 3" xfId="1692"/>
    <cellStyle name="Currency [0] 4 8 4" xfId="1693"/>
    <cellStyle name="Currency [0] 4 9" xfId="1694"/>
    <cellStyle name="Currency [0] 5" xfId="1695"/>
    <cellStyle name="Currency [0] 5 10" xfId="1696"/>
    <cellStyle name="Currency [0] 5 11" xfId="1697"/>
    <cellStyle name="Currency [0] 5 2" xfId="1698"/>
    <cellStyle name="Currency [0] 5 2 2" xfId="1699"/>
    <cellStyle name="Currency [0] 5 2 3" xfId="1700"/>
    <cellStyle name="Currency [0] 5 2 4" xfId="1701"/>
    <cellStyle name="Currency [0] 5 3" xfId="1702"/>
    <cellStyle name="Currency [0] 5 3 2" xfId="1703"/>
    <cellStyle name="Currency [0] 5 3 3" xfId="1704"/>
    <cellStyle name="Currency [0] 5 3 4" xfId="1705"/>
    <cellStyle name="Currency [0] 5 4" xfId="1706"/>
    <cellStyle name="Currency [0] 5 4 2" xfId="1707"/>
    <cellStyle name="Currency [0] 5 4 3" xfId="1708"/>
    <cellStyle name="Currency [0] 5 4 4" xfId="1709"/>
    <cellStyle name="Currency [0] 5 5" xfId="1710"/>
    <cellStyle name="Currency [0] 5 5 2" xfId="1711"/>
    <cellStyle name="Currency [0] 5 5 3" xfId="1712"/>
    <cellStyle name="Currency [0] 5 5 4" xfId="1713"/>
    <cellStyle name="Currency [0] 5 6" xfId="1714"/>
    <cellStyle name="Currency [0] 5 6 2" xfId="1715"/>
    <cellStyle name="Currency [0] 5 6 3" xfId="1716"/>
    <cellStyle name="Currency [0] 5 6 4" xfId="1717"/>
    <cellStyle name="Currency [0] 5 7" xfId="1718"/>
    <cellStyle name="Currency [0] 5 7 2" xfId="1719"/>
    <cellStyle name="Currency [0] 5 7 3" xfId="1720"/>
    <cellStyle name="Currency [0] 5 7 4" xfId="1721"/>
    <cellStyle name="Currency [0] 5 8" xfId="1722"/>
    <cellStyle name="Currency [0] 5 8 2" xfId="1723"/>
    <cellStyle name="Currency [0] 5 8 3" xfId="1724"/>
    <cellStyle name="Currency [0] 5 8 4" xfId="1725"/>
    <cellStyle name="Currency [0] 5 9" xfId="1726"/>
    <cellStyle name="Currency [0] 6" xfId="1727"/>
    <cellStyle name="Currency [0] 6 2" xfId="1728"/>
    <cellStyle name="Currency [0] 6 3" xfId="1729"/>
    <cellStyle name="Currency [0] 6 4" xfId="1730"/>
    <cellStyle name="Currency [0] 7" xfId="1731"/>
    <cellStyle name="Currency [0] 7 2" xfId="1732"/>
    <cellStyle name="Currency [0] 7 3" xfId="1733"/>
    <cellStyle name="Currency [0] 7 4" xfId="1734"/>
    <cellStyle name="Currency [0] 8" xfId="1735"/>
    <cellStyle name="Currency [0] 8 2" xfId="1736"/>
    <cellStyle name="Currency [0] 8 3" xfId="1737"/>
    <cellStyle name="Currency [0] 8 4" xfId="1738"/>
    <cellStyle name="Currency [0]_06_9m" xfId="3159"/>
    <cellStyle name="Currency 0" xfId="183"/>
    <cellStyle name="Currency 0 2" xfId="1739"/>
    <cellStyle name="Currency 0 3" xfId="3589"/>
    <cellStyle name="Currency 0.0" xfId="3160"/>
    <cellStyle name="Currency 0.00" xfId="3161"/>
    <cellStyle name="Currency 0.000" xfId="3162"/>
    <cellStyle name="Currency 2" xfId="184"/>
    <cellStyle name="Currency 2 2" xfId="1740"/>
    <cellStyle name="Currency 2 3" xfId="3590"/>
    <cellStyle name="Currency EN" xfId="3163"/>
    <cellStyle name="Currency RU" xfId="3164"/>
    <cellStyle name="Currency RU calc" xfId="3165"/>
    <cellStyle name="Currency RU calc 2" xfId="3166"/>
    <cellStyle name="Currency RU_CP-P (2)" xfId="3167"/>
    <cellStyle name="Currency_06_9m" xfId="185"/>
    <cellStyle name="Currency0" xfId="186"/>
    <cellStyle name="Currency2" xfId="187"/>
    <cellStyle name="Currency2 2" xfId="1741"/>
    <cellStyle name="Currency2 3" xfId="3591"/>
    <cellStyle name="d" xfId="3168"/>
    <cellStyle name="Data" xfId="1742"/>
    <cellStyle name="Data 2" xfId="3169"/>
    <cellStyle name="DataBold" xfId="1743"/>
    <cellStyle name="Date" xfId="188"/>
    <cellStyle name="Date 2" xfId="1744"/>
    <cellStyle name="Date Aligned" xfId="189"/>
    <cellStyle name="Date Aligned 2" xfId="1745"/>
    <cellStyle name="Date Aligned 3" xfId="3592"/>
    <cellStyle name="Date EN" xfId="3170"/>
    <cellStyle name="Date RU" xfId="3171"/>
    <cellStyle name="Date_Доходы-Расходы" xfId="3172"/>
    <cellStyle name="Dates" xfId="1746"/>
    <cellStyle name="Debit" xfId="3173"/>
    <cellStyle name="Debit subtotal" xfId="3174"/>
    <cellStyle name="Debit subtotal 2" xfId="3175"/>
    <cellStyle name="Debit Total" xfId="3176"/>
    <cellStyle name="Dezimal [0]_NEGS" xfId="190"/>
    <cellStyle name="Dezimal_NEGS" xfId="191"/>
    <cellStyle name="Dotted Line" xfId="192"/>
    <cellStyle name="Dotted Line 2" xfId="1747"/>
    <cellStyle name="Dotted Line 3" xfId="3593"/>
    <cellStyle name="E&amp;Y House" xfId="193"/>
    <cellStyle name="E&amp;Y House 2" xfId="1748"/>
    <cellStyle name="E&amp;Y House 3" xfId="3594"/>
    <cellStyle name="E-mail" xfId="1749"/>
    <cellStyle name="E-mail 2" xfId="1750"/>
    <cellStyle name="E-mail 3" xfId="3177"/>
    <cellStyle name="E-mail_46EP.2011(v2.0)" xfId="1751"/>
    <cellStyle name="Euro" xfId="194"/>
    <cellStyle name="Euro 2" xfId="1752"/>
    <cellStyle name="Euro 3" xfId="1753"/>
    <cellStyle name="ew" xfId="195"/>
    <cellStyle name="Explanatory Text" xfId="196"/>
    <cellStyle name="Explanatory Text 2" xfId="1754"/>
    <cellStyle name="F2" xfId="1755"/>
    <cellStyle name="F3" xfId="1756"/>
    <cellStyle name="F4" xfId="1757"/>
    <cellStyle name="F5" xfId="1758"/>
    <cellStyle name="F6" xfId="1759"/>
    <cellStyle name="F7" xfId="1760"/>
    <cellStyle name="F8" xfId="1761"/>
    <cellStyle name="Fixed" xfId="197"/>
    <cellStyle name="fo]_x000d__x000a_UserName=Murat Zelef_x000d__x000a_UserCompany=Bumerang_x000d__x000a__x000d__x000a_[File Paths]_x000d__x000a_WorkingDirectory=C:\EQUIS\DLWIN_x000d__x000a_DownLoader=C" xfId="198"/>
    <cellStyle name="fo]_x000d__x000a_UserName=Murat Zelef_x000d__x000a_UserCompany=Bumerang_x000d__x000a__x000d__x000a_[File Paths]_x000d__x000a_WorkingDirectory=C:\EQUIS\DLWIN_x000d__x000a_DownLoader=C 2" xfId="1762"/>
    <cellStyle name="fo]_x000d__x000a_UserName=Murat Zelef_x000d__x000a_UserCompany=Bumerang_x000d__x000a__x000d__x000a_[File Paths]_x000d__x000a_WorkingDirectory=C:\EQUIS\DLWIN_x000d__x000a_DownLoader=C 3" xfId="3595"/>
    <cellStyle name="Followed Hyperlink" xfId="199"/>
    <cellStyle name="Followed Hyperlink 2" xfId="1763"/>
    <cellStyle name="Followed Hyperlink 3" xfId="3596"/>
    <cellStyle name="Footnote" xfId="200"/>
    <cellStyle name="Footnote 2" xfId="1764"/>
    <cellStyle name="Footnote 3" xfId="3597"/>
    <cellStyle name="g" xfId="3178"/>
    <cellStyle name="g_CoA-Era-CO_v1" xfId="3179"/>
    <cellStyle name="g_Invoice GI" xfId="3180"/>
    <cellStyle name="g_Затр_RUB1-12" xfId="3181"/>
    <cellStyle name="g_Затр_RUB1-4" xfId="3182"/>
    <cellStyle name="Good" xfId="201"/>
    <cellStyle name="Good 2" xfId="1765"/>
    <cellStyle name="hard no" xfId="202"/>
    <cellStyle name="hard no 2" xfId="3183"/>
    <cellStyle name="Hard Percent" xfId="203"/>
    <cellStyle name="Hard Percent 2" xfId="1766"/>
    <cellStyle name="Hard Percent 3" xfId="3598"/>
    <cellStyle name="hardno" xfId="204"/>
    <cellStyle name="Header" xfId="205"/>
    <cellStyle name="Header 2" xfId="1767"/>
    <cellStyle name="Header 3" xfId="3599"/>
    <cellStyle name="Header1" xfId="3184"/>
    <cellStyle name="Heading" xfId="206"/>
    <cellStyle name="Heading 1" xfId="207"/>
    <cellStyle name="Heading 1 2" xfId="1768"/>
    <cellStyle name="Heading 1 3" xfId="1769"/>
    <cellStyle name="Heading 2" xfId="208"/>
    <cellStyle name="Heading 2 2" xfId="1770"/>
    <cellStyle name="Heading 2 3" xfId="1771"/>
    <cellStyle name="Heading 2 4" xfId="3600"/>
    <cellStyle name="Heading 3" xfId="209"/>
    <cellStyle name="Heading 3 2" xfId="1772"/>
    <cellStyle name="Heading 3 3" xfId="3601"/>
    <cellStyle name="Heading 4" xfId="210"/>
    <cellStyle name="Heading 4 2" xfId="1773"/>
    <cellStyle name="Heading 5" xfId="1774"/>
    <cellStyle name="Heading No Underline" xfId="3185"/>
    <cellStyle name="Heading With Underline" xfId="3186"/>
    <cellStyle name="Heading_GP.ITOG.4.78(v1.0) - для разделения" xfId="1775"/>
    <cellStyle name="Heading1" xfId="3187"/>
    <cellStyle name="Heading2" xfId="1776"/>
    <cellStyle name="Heading2 2" xfId="1777"/>
    <cellStyle name="Heading2 3" xfId="3188"/>
    <cellStyle name="Heading2_46EP.2011(v2.0)" xfId="1778"/>
    <cellStyle name="Hyperlink" xfId="211"/>
    <cellStyle name="Hyperlink 2" xfId="1779"/>
    <cellStyle name="Hyperlink 3" xfId="3602"/>
    <cellStyle name="Hyperlink_расчет Ригель на 2009 под экспертное заключение" xfId="1780"/>
    <cellStyle name="Iau?iue1" xfId="1781"/>
    <cellStyle name="Îáű÷íűé__FES" xfId="1782"/>
    <cellStyle name="Îáû÷íûé_cogs" xfId="212"/>
    <cellStyle name="Îňęđűâŕâřŕ˙ń˙ ăčďĺđńńűëęŕ" xfId="1783"/>
    <cellStyle name="Info" xfId="213"/>
    <cellStyle name="Info 2" xfId="3189"/>
    <cellStyle name="Input" xfId="214"/>
    <cellStyle name="Input 2" xfId="1784"/>
    <cellStyle name="Input 3" xfId="3603"/>
    <cellStyle name="InputCurrency" xfId="215"/>
    <cellStyle name="InputCurrency 2" xfId="1785"/>
    <cellStyle name="InputCurrency 3" xfId="3604"/>
    <cellStyle name="InputCurrency2" xfId="216"/>
    <cellStyle name="InputCurrency2 2" xfId="1786"/>
    <cellStyle name="InputCurrency2 3" xfId="3605"/>
    <cellStyle name="InputMultiple1" xfId="217"/>
    <cellStyle name="InputMultiple1 2" xfId="1787"/>
    <cellStyle name="InputMultiple1 3" xfId="3606"/>
    <cellStyle name="InputPercent1" xfId="218"/>
    <cellStyle name="InputPercent1 2" xfId="1788"/>
    <cellStyle name="InputPercent1 3" xfId="3607"/>
    <cellStyle name="Inputs" xfId="1789"/>
    <cellStyle name="Inputs (const)" xfId="1790"/>
    <cellStyle name="Inputs (const) 2" xfId="1791"/>
    <cellStyle name="Inputs (const) 3" xfId="3190"/>
    <cellStyle name="Inputs (const)_46EP.2011(v2.0)" xfId="1792"/>
    <cellStyle name="Inputs 2" xfId="1793"/>
    <cellStyle name="Inputs 3" xfId="1794"/>
    <cellStyle name="Inputs 4" xfId="3191"/>
    <cellStyle name="Inputs 5" xfId="3192"/>
    <cellStyle name="Inputs 6" xfId="3193"/>
    <cellStyle name="Inputs 7" xfId="3194"/>
    <cellStyle name="Inputs Co" xfId="1795"/>
    <cellStyle name="Inputs_46EE.2011(v1.0)" xfId="1796"/>
    <cellStyle name="Linked Cell" xfId="219"/>
    <cellStyle name="Linked Cell 2" xfId="1797"/>
    <cellStyle name="Millares [0]_FINAL-10" xfId="220"/>
    <cellStyle name="Millares_FINAL-10" xfId="221"/>
    <cellStyle name="Milliers [0]_Conversion Summary" xfId="3195"/>
    <cellStyle name="Milliers_Conversion Summary" xfId="3196"/>
    <cellStyle name="mnb" xfId="222"/>
    <cellStyle name="mnb 2" xfId="3197"/>
    <cellStyle name="Mon?taire [0]_RESULTS" xfId="223"/>
    <cellStyle name="Mon?taire_RESULTS" xfId="224"/>
    <cellStyle name="Moneda [0]_FINAL-10" xfId="225"/>
    <cellStyle name="Moneda_FINAL-10" xfId="226"/>
    <cellStyle name="Monétaire [0]_RESULTS" xfId="227"/>
    <cellStyle name="Monétaire_RESULTS" xfId="228"/>
    <cellStyle name="Monйtaire [0]_Conversion Summary" xfId="3198"/>
    <cellStyle name="Monйtaire_Conversion Summary" xfId="3199"/>
    <cellStyle name="Multiple" xfId="229"/>
    <cellStyle name="Multiple 2" xfId="1798"/>
    <cellStyle name="Multiple 3" xfId="3608"/>
    <cellStyle name="Multiple1" xfId="230"/>
    <cellStyle name="Multiple1 2" xfId="1799"/>
    <cellStyle name="Multiple1 3" xfId="3609"/>
    <cellStyle name="MultipleBelow" xfId="231"/>
    <cellStyle name="MultipleBelow 2" xfId="1800"/>
    <cellStyle name="MultipleBelow 3" xfId="3610"/>
    <cellStyle name="namber" xfId="232"/>
    <cellStyle name="Neutral" xfId="233"/>
    <cellStyle name="Neutral 2" xfId="1801"/>
    <cellStyle name="No_Input" xfId="3200"/>
    <cellStyle name="Norma11l" xfId="234"/>
    <cellStyle name="Norma11l 2" xfId="1802"/>
    <cellStyle name="Norma11l 3" xfId="3611"/>
    <cellStyle name="normal" xfId="1803"/>
    <cellStyle name="Normal - Style1" xfId="235"/>
    <cellStyle name="normal 10" xfId="1804"/>
    <cellStyle name="normal 11" xfId="1805"/>
    <cellStyle name="normal 12" xfId="1806"/>
    <cellStyle name="normal 13" xfId="1807"/>
    <cellStyle name="normal 14" xfId="1808"/>
    <cellStyle name="normal 15" xfId="1809"/>
    <cellStyle name="normal 16" xfId="1810"/>
    <cellStyle name="normal 17" xfId="1811"/>
    <cellStyle name="normal 18" xfId="1812"/>
    <cellStyle name="normal 19" xfId="1813"/>
    <cellStyle name="Normal 2" xfId="1814"/>
    <cellStyle name="Normal 2 2" xfId="1815"/>
    <cellStyle name="Normal 2 3" xfId="1816"/>
    <cellStyle name="Normal 2 4" xfId="1817"/>
    <cellStyle name="Normal 2_Общехоз." xfId="1818"/>
    <cellStyle name="normal 20" xfId="1819"/>
    <cellStyle name="normal 21" xfId="1820"/>
    <cellStyle name="normal 22" xfId="1821"/>
    <cellStyle name="normal 23" xfId="1822"/>
    <cellStyle name="normal 24" xfId="1823"/>
    <cellStyle name="normal 25" xfId="1824"/>
    <cellStyle name="normal 26" xfId="1825"/>
    <cellStyle name="normal 3" xfId="1826"/>
    <cellStyle name="normal 4" xfId="1827"/>
    <cellStyle name="normal 5" xfId="1828"/>
    <cellStyle name="normal 6" xfId="1829"/>
    <cellStyle name="normal 7" xfId="1830"/>
    <cellStyle name="normal 8" xfId="1831"/>
    <cellStyle name="normal 9" xfId="1832"/>
    <cellStyle name="Normal." xfId="236"/>
    <cellStyle name="Normal. 2" xfId="1833"/>
    <cellStyle name="Normal. 3" xfId="3612"/>
    <cellStyle name="Normal__СВОД ОС. Расчет 2006" xfId="3201"/>
    <cellStyle name="Normal1" xfId="237"/>
    <cellStyle name="Normal1 2" xfId="1834"/>
    <cellStyle name="Normal1 2 2" xfId="3202"/>
    <cellStyle name="Normal1 3" xfId="3203"/>
    <cellStyle name="Normal2" xfId="238"/>
    <cellStyle name="Normal2 2" xfId="1835"/>
    <cellStyle name="Normal2 3" xfId="3613"/>
    <cellStyle name="NormalGB" xfId="239"/>
    <cellStyle name="NormalGB 2" xfId="1836"/>
    <cellStyle name="NormalGB 3" xfId="3614"/>
    <cellStyle name="Normalny_24. 02. 97." xfId="240"/>
    <cellStyle name="normбlnм_laroux" xfId="241"/>
    <cellStyle name="normбlnн_laroux" xfId="1837"/>
    <cellStyle name="Note" xfId="242"/>
    <cellStyle name="Note 2" xfId="1838"/>
    <cellStyle name="Note 3" xfId="3615"/>
    <cellStyle name="number" xfId="243"/>
    <cellStyle name="Ôčíŕíńîâűé [0]_(ňŕá 3č)" xfId="1839"/>
    <cellStyle name="Ociriniaue [0]_5-C" xfId="1840"/>
    <cellStyle name="Ôčíŕíńîâűé_(ňŕá 3č)" xfId="1841"/>
    <cellStyle name="Ociriniaue_5-C" xfId="1842"/>
    <cellStyle name="Option" xfId="244"/>
    <cellStyle name="Option 2" xfId="1843"/>
    <cellStyle name="Option 3" xfId="3616"/>
    <cellStyle name="Òûñÿ÷è [0]_cogs" xfId="245"/>
    <cellStyle name="Òûñÿ÷è_cogs" xfId="246"/>
    <cellStyle name="Output" xfId="247"/>
    <cellStyle name="Output 2" xfId="1844"/>
    <cellStyle name="Page Number" xfId="248"/>
    <cellStyle name="pb_page_heading_LS" xfId="249"/>
    <cellStyle name="Percent" xfId="3204"/>
    <cellStyle name="Percent %" xfId="3205"/>
    <cellStyle name="Percent % Long Underline" xfId="3206"/>
    <cellStyle name="Percent (0)" xfId="3207"/>
    <cellStyle name="Percent 0.0%" xfId="3208"/>
    <cellStyle name="Percent 0.0% Long Underline" xfId="3209"/>
    <cellStyle name="Percent 0.00%" xfId="3210"/>
    <cellStyle name="Percent 0.00% Long Underline" xfId="3211"/>
    <cellStyle name="Percent 0.000%" xfId="3212"/>
    <cellStyle name="Percent 0.000% Long Underline" xfId="3213"/>
    <cellStyle name="Percent_FA register working" xfId="250"/>
    <cellStyle name="Percent1" xfId="251"/>
    <cellStyle name="Percent1 2" xfId="1845"/>
    <cellStyle name="Percent1 3" xfId="3617"/>
    <cellStyle name="Piug" xfId="252"/>
    <cellStyle name="Plug" xfId="253"/>
    <cellStyle name="Price_Body" xfId="254"/>
    <cellStyle name="prochrek" xfId="255"/>
    <cellStyle name="Protected" xfId="256"/>
    <cellStyle name="Protected 2" xfId="3214"/>
    <cellStyle name="Q" xfId="3215"/>
    <cellStyle name="qqqq" xfId="3216"/>
    <cellStyle name="qqqq 2" xfId="3217"/>
    <cellStyle name="QTitle" xfId="1846"/>
    <cellStyle name="QTitle 2" xfId="3218"/>
    <cellStyle name="range" xfId="1847"/>
    <cellStyle name="Salomon Logo" xfId="257"/>
    <cellStyle name="Salomon Logo 2" xfId="1848"/>
    <cellStyle name="Salomon Logo 3" xfId="3618"/>
    <cellStyle name="SAPBEXaggData" xfId="1849"/>
    <cellStyle name="SAPBEXaggData 2" xfId="3219"/>
    <cellStyle name="SAPBEXaggDataEmph" xfId="1850"/>
    <cellStyle name="SAPBEXaggDataEmph 2" xfId="3220"/>
    <cellStyle name="SAPBEXaggItem" xfId="1851"/>
    <cellStyle name="SAPBEXaggItem 2" xfId="3221"/>
    <cellStyle name="SAPBEXaggItemX" xfId="1852"/>
    <cellStyle name="SAPBEXaggItemX 2" xfId="3222"/>
    <cellStyle name="SAPBEXchaText" xfId="1853"/>
    <cellStyle name="SAPBEXchaText 2" xfId="3223"/>
    <cellStyle name="SAPBEXexcBad7" xfId="1854"/>
    <cellStyle name="SAPBEXexcBad7 2" xfId="3224"/>
    <cellStyle name="SAPBEXexcBad8" xfId="1855"/>
    <cellStyle name="SAPBEXexcBad8 2" xfId="3225"/>
    <cellStyle name="SAPBEXexcBad9" xfId="1856"/>
    <cellStyle name="SAPBEXexcBad9 2" xfId="3226"/>
    <cellStyle name="SAPBEXexcCritical4" xfId="1857"/>
    <cellStyle name="SAPBEXexcCritical4 2" xfId="3227"/>
    <cellStyle name="SAPBEXexcCritical5" xfId="1858"/>
    <cellStyle name="SAPBEXexcCritical5 2" xfId="3228"/>
    <cellStyle name="SAPBEXexcCritical6" xfId="1859"/>
    <cellStyle name="SAPBEXexcCritical6 2" xfId="3229"/>
    <cellStyle name="SAPBEXexcGood1" xfId="1860"/>
    <cellStyle name="SAPBEXexcGood1 2" xfId="3230"/>
    <cellStyle name="SAPBEXexcGood2" xfId="1861"/>
    <cellStyle name="SAPBEXexcGood2 2" xfId="3231"/>
    <cellStyle name="SAPBEXexcGood3" xfId="1862"/>
    <cellStyle name="SAPBEXexcGood3 2" xfId="3232"/>
    <cellStyle name="SAPBEXfilterDrill" xfId="1863"/>
    <cellStyle name="SAPBEXfilterDrill 2" xfId="3233"/>
    <cellStyle name="SAPBEXfilterItem" xfId="1864"/>
    <cellStyle name="SAPBEXfilterItem 2" xfId="3234"/>
    <cellStyle name="SAPBEXfilterText" xfId="1865"/>
    <cellStyle name="SAPBEXformats" xfId="1866"/>
    <cellStyle name="SAPBEXformats 2" xfId="3235"/>
    <cellStyle name="SAPBEXheaderItem" xfId="1867"/>
    <cellStyle name="SAPBEXheaderItem 2" xfId="3236"/>
    <cellStyle name="SAPBEXheaderText" xfId="1868"/>
    <cellStyle name="SAPBEXheaderText 2" xfId="3237"/>
    <cellStyle name="SAPBEXHLevel0" xfId="1869"/>
    <cellStyle name="SAPBEXHLevel0 2" xfId="3238"/>
    <cellStyle name="SAPBEXHLevel0X" xfId="1870"/>
    <cellStyle name="SAPBEXHLevel0X 2" xfId="3239"/>
    <cellStyle name="SAPBEXHLevel1" xfId="1871"/>
    <cellStyle name="SAPBEXHLevel1 2" xfId="3240"/>
    <cellStyle name="SAPBEXHLevel1X" xfId="1872"/>
    <cellStyle name="SAPBEXHLevel1X 2" xfId="3241"/>
    <cellStyle name="SAPBEXHLevel2" xfId="1873"/>
    <cellStyle name="SAPBEXHLevel2 2" xfId="3242"/>
    <cellStyle name="SAPBEXHLevel2X" xfId="1874"/>
    <cellStyle name="SAPBEXHLevel2X 2" xfId="3243"/>
    <cellStyle name="SAPBEXHLevel3" xfId="1875"/>
    <cellStyle name="SAPBEXHLevel3 2" xfId="3244"/>
    <cellStyle name="SAPBEXHLevel3X" xfId="1876"/>
    <cellStyle name="SAPBEXHLevel3X 2" xfId="3245"/>
    <cellStyle name="SAPBEXinputData" xfId="1877"/>
    <cellStyle name="SAPBEXinputData 2" xfId="1878"/>
    <cellStyle name="SAPBEXinputData 3" xfId="1879"/>
    <cellStyle name="SAPBEXinputData 4" xfId="1880"/>
    <cellStyle name="SAPBEXresData" xfId="1881"/>
    <cellStyle name="SAPBEXresData 2" xfId="3246"/>
    <cellStyle name="SAPBEXresDataEmph" xfId="1882"/>
    <cellStyle name="SAPBEXresDataEmph 2" xfId="3247"/>
    <cellStyle name="SAPBEXresItem" xfId="1883"/>
    <cellStyle name="SAPBEXresItem 2" xfId="3248"/>
    <cellStyle name="SAPBEXresItemX" xfId="1884"/>
    <cellStyle name="SAPBEXresItemX 2" xfId="3249"/>
    <cellStyle name="SAPBEXstdData" xfId="1885"/>
    <cellStyle name="SAPBEXstdData 2" xfId="3250"/>
    <cellStyle name="SAPBEXstdDataEmph" xfId="1886"/>
    <cellStyle name="SAPBEXstdDataEmph 2" xfId="3251"/>
    <cellStyle name="SAPBEXstdItem" xfId="1887"/>
    <cellStyle name="SAPBEXstdItem 2" xfId="3252"/>
    <cellStyle name="SAPBEXstdItemX" xfId="1888"/>
    <cellStyle name="SAPBEXstdItemX 2" xfId="3253"/>
    <cellStyle name="SAPBEXtitle" xfId="1889"/>
    <cellStyle name="SAPBEXtitle 2" xfId="3254"/>
    <cellStyle name="SAPBEXundefined" xfId="1890"/>
    <cellStyle name="SAPBEXundefined 2" xfId="3255"/>
    <cellStyle name="SEM-BPS-data" xfId="3256"/>
    <cellStyle name="SEM-BPS-head" xfId="3257"/>
    <cellStyle name="SEM-BPS-headdata" xfId="3258"/>
    <cellStyle name="SEM-BPS-headkey" xfId="3259"/>
    <cellStyle name="SEM-BPS-input-on" xfId="3260"/>
    <cellStyle name="SEM-BPS-key" xfId="3261"/>
    <cellStyle name="SEM-BPS-sub1" xfId="3262"/>
    <cellStyle name="SEM-BPS-sub2" xfId="3263"/>
    <cellStyle name="SEM-BPS-total" xfId="3264"/>
    <cellStyle name="Show_Sell" xfId="1891"/>
    <cellStyle name="small" xfId="3265"/>
    <cellStyle name="st1" xfId="258"/>
    <cellStyle name="st1 2" xfId="1892"/>
    <cellStyle name="st1 3" xfId="3619"/>
    <cellStyle name="Standard_NEGS" xfId="259"/>
    <cellStyle name="String_15" xfId="3266"/>
    <cellStyle name="String15" xfId="3267"/>
    <cellStyle name="Style 1" xfId="1893"/>
    <cellStyle name="SubTotal1" xfId="3268"/>
    <cellStyle name="SubTotal2" xfId="3269"/>
    <cellStyle name="SubTotal3" xfId="3270"/>
    <cellStyle name="Subtotal4" xfId="3271"/>
    <cellStyle name="Table Head" xfId="260"/>
    <cellStyle name="Table Head 2" xfId="1894"/>
    <cellStyle name="Table Head 3" xfId="3620"/>
    <cellStyle name="Table Head Aligned" xfId="261"/>
    <cellStyle name="Table Head Aligned 2" xfId="1895"/>
    <cellStyle name="Table Head Aligned 3" xfId="3621"/>
    <cellStyle name="Table Head Blue" xfId="262"/>
    <cellStyle name="Table Head Blue 2" xfId="1896"/>
    <cellStyle name="Table Head Blue 3" xfId="3622"/>
    <cellStyle name="Table Head Green" xfId="263"/>
    <cellStyle name="Table Head Green 2" xfId="1897"/>
    <cellStyle name="Table Head Green 3" xfId="3623"/>
    <cellStyle name="Table Head_Val_Sum_Graph" xfId="264"/>
    <cellStyle name="Table Heading" xfId="265"/>
    <cellStyle name="Table Heading 2" xfId="1898"/>
    <cellStyle name="Table Heading 3" xfId="1899"/>
    <cellStyle name="Table Heading 4" xfId="3624"/>
    <cellStyle name="Table Heading_46EP.2011(v2.0)" xfId="1900"/>
    <cellStyle name="Table Text" xfId="266"/>
    <cellStyle name="Table Text 2" xfId="1901"/>
    <cellStyle name="Table Text 3" xfId="3625"/>
    <cellStyle name="Table Title" xfId="267"/>
    <cellStyle name="Table Title 2" xfId="1902"/>
    <cellStyle name="Table Title 3" xfId="3626"/>
    <cellStyle name="Table Units" xfId="268"/>
    <cellStyle name="Table Units 2" xfId="1903"/>
    <cellStyle name="Table Units 3" xfId="3627"/>
    <cellStyle name="Table_Header" xfId="269"/>
    <cellStyle name="Text" xfId="270"/>
    <cellStyle name="Text 1" xfId="271"/>
    <cellStyle name="Text 1 2" xfId="1904"/>
    <cellStyle name="Text 1 3" xfId="3628"/>
    <cellStyle name="Text 2" xfId="1905"/>
    <cellStyle name="Text 3" xfId="3629"/>
    <cellStyle name="Text Head" xfId="272"/>
    <cellStyle name="Text Head 1" xfId="273"/>
    <cellStyle name="Text Head 1 2" xfId="1906"/>
    <cellStyle name="Text Head 1 3" xfId="3630"/>
    <cellStyle name="Text Head 2" xfId="1907"/>
    <cellStyle name="Text Head 3" xfId="3631"/>
    <cellStyle name="Text Head_Б4-УТВЕРЖДЕНО" xfId="274"/>
    <cellStyle name="Text_Б4-УТВЕРЖДЕНО" xfId="275"/>
    <cellStyle name="Tickmark" xfId="3272"/>
    <cellStyle name="Title" xfId="276"/>
    <cellStyle name="Title 2" xfId="1908"/>
    <cellStyle name="Title 3" xfId="3632"/>
    <cellStyle name="Total" xfId="277"/>
    <cellStyle name="Total 2" xfId="1909"/>
    <cellStyle name="Total 3" xfId="1910"/>
    <cellStyle name="Total 4" xfId="3633"/>
    <cellStyle name="TOTALAVERAGE" xfId="3273"/>
    <cellStyle name="TOTALAVERAGE 2" xfId="3274"/>
    <cellStyle name="TotalCurrency" xfId="278"/>
    <cellStyle name="TotalCurrency 2" xfId="1911"/>
    <cellStyle name="TotalCurrency 3" xfId="3634"/>
    <cellStyle name="Underline_Single" xfId="279"/>
    <cellStyle name="Unit" xfId="280"/>
    <cellStyle name="Unit 2" xfId="1912"/>
    <cellStyle name="Unit 3" xfId="3635"/>
    <cellStyle name="Validation" xfId="1913"/>
    <cellStyle name="Warning Text" xfId="281"/>
    <cellStyle name="Warning Text 2" xfId="1914"/>
    <cellStyle name="XComma" xfId="3275"/>
    <cellStyle name="XComma 0.0" xfId="3276"/>
    <cellStyle name="XComma 0.00" xfId="3277"/>
    <cellStyle name="XComma 0.000" xfId="3278"/>
    <cellStyle name="XCurrency" xfId="3279"/>
    <cellStyle name="XCurrency 0.0" xfId="3280"/>
    <cellStyle name="XCurrency 0.00" xfId="3281"/>
    <cellStyle name="XCurrency 0.000" xfId="3282"/>
    <cellStyle name="year" xfId="282"/>
    <cellStyle name="year 2" xfId="1915"/>
    <cellStyle name="year 3" xfId="3636"/>
    <cellStyle name="Year EN" xfId="3283"/>
    <cellStyle name="Year RU" xfId="3284"/>
    <cellStyle name="YelNumbersCurr" xfId="1916"/>
    <cellStyle name="YelNumbersCurr 2" xfId="3285"/>
    <cellStyle name="Акцент1 10" xfId="1917"/>
    <cellStyle name="Акцент1 2" xfId="1918"/>
    <cellStyle name="Акцент1 2 2" xfId="1919"/>
    <cellStyle name="Акцент1 3" xfId="1920"/>
    <cellStyle name="Акцент1 3 2" xfId="1921"/>
    <cellStyle name="Акцент1 4" xfId="1922"/>
    <cellStyle name="Акцент1 4 2" xfId="1923"/>
    <cellStyle name="Акцент1 5" xfId="1924"/>
    <cellStyle name="Акцент1 5 2" xfId="1925"/>
    <cellStyle name="Акцент1 6" xfId="1926"/>
    <cellStyle name="Акцент1 6 2" xfId="1927"/>
    <cellStyle name="Акцент1 7" xfId="1928"/>
    <cellStyle name="Акцент1 7 2" xfId="1929"/>
    <cellStyle name="Акцент1 8" xfId="1930"/>
    <cellStyle name="Акцент1 8 2" xfId="1931"/>
    <cellStyle name="Акцент1 9" xfId="1932"/>
    <cellStyle name="Акцент1 9 2" xfId="1933"/>
    <cellStyle name="Акцент2 10" xfId="1934"/>
    <cellStyle name="Акцент2 2" xfId="1935"/>
    <cellStyle name="Акцент2 2 2" xfId="1936"/>
    <cellStyle name="Акцент2 3" xfId="1937"/>
    <cellStyle name="Акцент2 3 2" xfId="1938"/>
    <cellStyle name="Акцент2 4" xfId="1939"/>
    <cellStyle name="Акцент2 4 2" xfId="1940"/>
    <cellStyle name="Акцент2 5" xfId="1941"/>
    <cellStyle name="Акцент2 5 2" xfId="1942"/>
    <cellStyle name="Акцент2 6" xfId="1943"/>
    <cellStyle name="Акцент2 6 2" xfId="1944"/>
    <cellStyle name="Акцент2 7" xfId="1945"/>
    <cellStyle name="Акцент2 7 2" xfId="1946"/>
    <cellStyle name="Акцент2 8" xfId="1947"/>
    <cellStyle name="Акцент2 8 2" xfId="1948"/>
    <cellStyle name="Акцент2 9" xfId="1949"/>
    <cellStyle name="Акцент2 9 2" xfId="1950"/>
    <cellStyle name="Акцент3 10" xfId="1951"/>
    <cellStyle name="Акцент3 2" xfId="1952"/>
    <cellStyle name="Акцент3 2 2" xfId="1953"/>
    <cellStyle name="Акцент3 3" xfId="1954"/>
    <cellStyle name="Акцент3 3 2" xfId="1955"/>
    <cellStyle name="Акцент3 4" xfId="1956"/>
    <cellStyle name="Акцент3 4 2" xfId="1957"/>
    <cellStyle name="Акцент3 5" xfId="1958"/>
    <cellStyle name="Акцент3 5 2" xfId="1959"/>
    <cellStyle name="Акцент3 6" xfId="1960"/>
    <cellStyle name="Акцент3 6 2" xfId="1961"/>
    <cellStyle name="Акцент3 7" xfId="1962"/>
    <cellStyle name="Акцент3 7 2" xfId="1963"/>
    <cellStyle name="Акцент3 8" xfId="1964"/>
    <cellStyle name="Акцент3 8 2" xfId="1965"/>
    <cellStyle name="Акцент3 9" xfId="1966"/>
    <cellStyle name="Акцент3 9 2" xfId="1967"/>
    <cellStyle name="Акцент4 10" xfId="1968"/>
    <cellStyle name="Акцент4 2" xfId="1969"/>
    <cellStyle name="Акцент4 2 2" xfId="1970"/>
    <cellStyle name="Акцент4 3" xfId="1971"/>
    <cellStyle name="Акцент4 3 2" xfId="1972"/>
    <cellStyle name="Акцент4 4" xfId="1973"/>
    <cellStyle name="Акцент4 4 2" xfId="1974"/>
    <cellStyle name="Акцент4 5" xfId="1975"/>
    <cellStyle name="Акцент4 5 2" xfId="1976"/>
    <cellStyle name="Акцент4 6" xfId="1977"/>
    <cellStyle name="Акцент4 6 2" xfId="1978"/>
    <cellStyle name="Акцент4 7" xfId="1979"/>
    <cellStyle name="Акцент4 7 2" xfId="1980"/>
    <cellStyle name="Акцент4 8" xfId="1981"/>
    <cellStyle name="Акцент4 8 2" xfId="1982"/>
    <cellStyle name="Акцент4 9" xfId="1983"/>
    <cellStyle name="Акцент4 9 2" xfId="1984"/>
    <cellStyle name="Акцент5 10" xfId="1985"/>
    <cellStyle name="Акцент5 2" xfId="1986"/>
    <cellStyle name="Акцент5 2 2" xfId="1987"/>
    <cellStyle name="Акцент5 3" xfId="1988"/>
    <cellStyle name="Акцент5 3 2" xfId="1989"/>
    <cellStyle name="Акцент5 4" xfId="1990"/>
    <cellStyle name="Акцент5 4 2" xfId="1991"/>
    <cellStyle name="Акцент5 5" xfId="1992"/>
    <cellStyle name="Акцент5 5 2" xfId="1993"/>
    <cellStyle name="Акцент5 6" xfId="1994"/>
    <cellStyle name="Акцент5 6 2" xfId="1995"/>
    <cellStyle name="Акцент5 7" xfId="1996"/>
    <cellStyle name="Акцент5 7 2" xfId="1997"/>
    <cellStyle name="Акцент5 8" xfId="1998"/>
    <cellStyle name="Акцент5 8 2" xfId="1999"/>
    <cellStyle name="Акцент5 9" xfId="2000"/>
    <cellStyle name="Акцент5 9 2" xfId="2001"/>
    <cellStyle name="Акцент6 10" xfId="2002"/>
    <cellStyle name="Акцент6 2" xfId="2003"/>
    <cellStyle name="Акцент6 2 2" xfId="2004"/>
    <cellStyle name="Акцент6 3" xfId="2005"/>
    <cellStyle name="Акцент6 3 2" xfId="2006"/>
    <cellStyle name="Акцент6 4" xfId="2007"/>
    <cellStyle name="Акцент6 4 2" xfId="2008"/>
    <cellStyle name="Акцент6 5" xfId="2009"/>
    <cellStyle name="Акцент6 5 2" xfId="2010"/>
    <cellStyle name="Акцент6 6" xfId="2011"/>
    <cellStyle name="Акцент6 6 2" xfId="2012"/>
    <cellStyle name="Акцент6 7" xfId="2013"/>
    <cellStyle name="Акцент6 7 2" xfId="2014"/>
    <cellStyle name="Акцент6 8" xfId="2015"/>
    <cellStyle name="Акцент6 8 2" xfId="2016"/>
    <cellStyle name="Акцент6 9" xfId="2017"/>
    <cellStyle name="Акцент6 9 2" xfId="2018"/>
    <cellStyle name="Беззащитный" xfId="283"/>
    <cellStyle name="Ввод" xfId="3286"/>
    <cellStyle name="Ввод  10" xfId="2019"/>
    <cellStyle name="Ввод  2" xfId="2020"/>
    <cellStyle name="Ввод  2 2" xfId="2021"/>
    <cellStyle name="Ввод  2_46EE.2011(v1.0)" xfId="2022"/>
    <cellStyle name="Ввод  3" xfId="2023"/>
    <cellStyle name="Ввод  3 2" xfId="2024"/>
    <cellStyle name="Ввод  3_46EE.2011(v1.0)" xfId="2025"/>
    <cellStyle name="Ввод  4" xfId="2026"/>
    <cellStyle name="Ввод  4 2" xfId="2027"/>
    <cellStyle name="Ввод  4_46EE.2011(v1.0)" xfId="2028"/>
    <cellStyle name="Ввод  5" xfId="2029"/>
    <cellStyle name="Ввод  5 2" xfId="2030"/>
    <cellStyle name="Ввод  5_46EE.2011(v1.0)" xfId="2031"/>
    <cellStyle name="Ввод  6" xfId="2032"/>
    <cellStyle name="Ввод  6 2" xfId="2033"/>
    <cellStyle name="Ввод  6_46EE.2011(v1.0)" xfId="2034"/>
    <cellStyle name="Ввод  7" xfId="2035"/>
    <cellStyle name="Ввод  7 2" xfId="2036"/>
    <cellStyle name="Ввод  7_46EE.2011(v1.0)" xfId="2037"/>
    <cellStyle name="Ввод  8" xfId="2038"/>
    <cellStyle name="Ввод  8 2" xfId="2039"/>
    <cellStyle name="Ввод  8_46EE.2011(v1.0)" xfId="2040"/>
    <cellStyle name="Ввод  9" xfId="2041"/>
    <cellStyle name="Ввод  9 2" xfId="2042"/>
    <cellStyle name="Ввод  9_46EE.2011(v1.0)" xfId="2043"/>
    <cellStyle name="Ввод 2" xfId="3287"/>
    <cellStyle name="Ввод данных" xfId="3288"/>
    <cellStyle name="Верт. заголовок" xfId="284"/>
    <cellStyle name="Вес_продукта" xfId="285"/>
    <cellStyle name="Вывод 10" xfId="2044"/>
    <cellStyle name="Вывод 2" xfId="2045"/>
    <cellStyle name="Вывод 2 2" xfId="2046"/>
    <cellStyle name="Вывод 2_46EE.2011(v1.0)" xfId="2047"/>
    <cellStyle name="Вывод 3" xfId="2048"/>
    <cellStyle name="Вывод 3 2" xfId="2049"/>
    <cellStyle name="Вывод 3_46EE.2011(v1.0)" xfId="2050"/>
    <cellStyle name="Вывод 4" xfId="2051"/>
    <cellStyle name="Вывод 4 2" xfId="2052"/>
    <cellStyle name="Вывод 4_46EE.2011(v1.0)" xfId="2053"/>
    <cellStyle name="Вывод 5" xfId="2054"/>
    <cellStyle name="Вывод 5 2" xfId="2055"/>
    <cellStyle name="Вывод 5_46EE.2011(v1.0)" xfId="2056"/>
    <cellStyle name="Вывод 6" xfId="2057"/>
    <cellStyle name="Вывод 6 2" xfId="2058"/>
    <cellStyle name="Вывод 6_46EE.2011(v1.0)" xfId="2059"/>
    <cellStyle name="Вывод 7" xfId="2060"/>
    <cellStyle name="Вывод 7 2" xfId="2061"/>
    <cellStyle name="Вывод 7_46EE.2011(v1.0)" xfId="2062"/>
    <cellStyle name="Вывод 8" xfId="2063"/>
    <cellStyle name="Вывод 8 2" xfId="2064"/>
    <cellStyle name="Вывод 8_46EE.2011(v1.0)" xfId="2065"/>
    <cellStyle name="Вывод 9" xfId="2066"/>
    <cellStyle name="Вывод 9 2" xfId="2067"/>
    <cellStyle name="Вывод 9_46EE.2011(v1.0)" xfId="2068"/>
    <cellStyle name="Вычисление 10" xfId="2069"/>
    <cellStyle name="Вычисление 2" xfId="2070"/>
    <cellStyle name="Вычисление 2 2" xfId="2071"/>
    <cellStyle name="Вычисление 2_46EE.2011(v1.0)" xfId="2072"/>
    <cellStyle name="Вычисление 3" xfId="2073"/>
    <cellStyle name="Вычисление 3 2" xfId="2074"/>
    <cellStyle name="Вычисление 3_46EE.2011(v1.0)" xfId="2075"/>
    <cellStyle name="Вычисление 4" xfId="2076"/>
    <cellStyle name="Вычисление 4 2" xfId="2077"/>
    <cellStyle name="Вычисление 4_46EE.2011(v1.0)" xfId="2078"/>
    <cellStyle name="Вычисление 5" xfId="2079"/>
    <cellStyle name="Вычисление 5 2" xfId="2080"/>
    <cellStyle name="Вычисление 5_46EE.2011(v1.0)" xfId="2081"/>
    <cellStyle name="Вычисление 6" xfId="2082"/>
    <cellStyle name="Вычисление 6 2" xfId="2083"/>
    <cellStyle name="Вычисление 6_46EE.2011(v1.0)" xfId="2084"/>
    <cellStyle name="Вычисление 7" xfId="2085"/>
    <cellStyle name="Вычисление 7 2" xfId="2086"/>
    <cellStyle name="Вычисление 7_46EE.2011(v1.0)" xfId="2087"/>
    <cellStyle name="Вычисление 8" xfId="2088"/>
    <cellStyle name="Вычисление 8 2" xfId="2089"/>
    <cellStyle name="Вычисление 8_46EE.2011(v1.0)" xfId="2090"/>
    <cellStyle name="Вычисление 9" xfId="2091"/>
    <cellStyle name="Вычисление 9 2" xfId="2092"/>
    <cellStyle name="Вычисление 9_46EE.2011(v1.0)" xfId="2093"/>
    <cellStyle name="Гиперссылка 2" xfId="12"/>
    <cellStyle name="Гиперссылка 2 2" xfId="2094"/>
    <cellStyle name="Гиперссылка 2 3" xfId="2095"/>
    <cellStyle name="Гиперссылка 2 4" xfId="3637"/>
    <cellStyle name="Гиперссылка 3" xfId="286"/>
    <cellStyle name="Гиперссылка 3 2" xfId="2096"/>
    <cellStyle name="Гиперссылка 3 3" xfId="2097"/>
    <cellStyle name="Гиперссылка 4" xfId="287"/>
    <cellStyle name="Гиперссылка 4 2" xfId="288"/>
    <cellStyle name="Гиперссылка 4 2 2" xfId="2098"/>
    <cellStyle name="Гиперссылка 4 3" xfId="2099"/>
    <cellStyle name="Гиперссылка 4 4" xfId="3638"/>
    <cellStyle name="Гиперссылка 5" xfId="2100"/>
    <cellStyle name="Гиперссылка 6" xfId="2101"/>
    <cellStyle name="Гиперссылка 7" xfId="3289"/>
    <cellStyle name="горизонтальный" xfId="289"/>
    <cellStyle name="горизонтальный 2" xfId="3639"/>
    <cellStyle name="Группа" xfId="290"/>
    <cellStyle name="Группа 0" xfId="291"/>
    <cellStyle name="Группа 0 2" xfId="3290"/>
    <cellStyle name="Группа 1" xfId="292"/>
    <cellStyle name="Группа 1 2" xfId="3291"/>
    <cellStyle name="Группа 2" xfId="293"/>
    <cellStyle name="Группа 2 2" xfId="3292"/>
    <cellStyle name="Группа 3" xfId="294"/>
    <cellStyle name="Группа 3 2" xfId="3293"/>
    <cellStyle name="Группа 4" xfId="295"/>
    <cellStyle name="Группа 4 2" xfId="3294"/>
    <cellStyle name="Группа 5" xfId="296"/>
    <cellStyle name="Группа 5 2" xfId="3295"/>
    <cellStyle name="Группа 6" xfId="297"/>
    <cellStyle name="Группа 6 2" xfId="3296"/>
    <cellStyle name="Группа 7" xfId="298"/>
    <cellStyle name="Группа 7 2" xfId="3297"/>
    <cellStyle name="Группа 8" xfId="299"/>
    <cellStyle name="Группа 8 2" xfId="3298"/>
    <cellStyle name="Группа 9" xfId="3299"/>
    <cellStyle name="Группа_4DNS.UPDATE.EXAMPLE" xfId="2102"/>
    <cellStyle name="Данные прайса" xfId="300"/>
    <cellStyle name="Данные прайса 2" xfId="3640"/>
    <cellStyle name="Дата" xfId="301"/>
    <cellStyle name="ДАТА 10" xfId="2103"/>
    <cellStyle name="ДАТА 11" xfId="3641"/>
    <cellStyle name="ДАТА 2" xfId="2104"/>
    <cellStyle name="ДАТА 3" xfId="2105"/>
    <cellStyle name="ДАТА 4" xfId="2106"/>
    <cellStyle name="ДАТА 5" xfId="2107"/>
    <cellStyle name="ДАТА 6" xfId="2108"/>
    <cellStyle name="ДАТА 7" xfId="2109"/>
    <cellStyle name="ДАТА 8" xfId="2110"/>
    <cellStyle name="ДАТА 9" xfId="2111"/>
    <cellStyle name="ДАТА_1" xfId="2112"/>
    <cellStyle name="Денежный 2" xfId="302"/>
    <cellStyle name="Денежный 2 2" xfId="303"/>
    <cellStyle name="Денежный 2 2 2" xfId="2113"/>
    <cellStyle name="Денежный 2 3" xfId="304"/>
    <cellStyle name="Денежный 2 4" xfId="2114"/>
    <cellStyle name="Денежный 2_INDEX.STATION.2012(v1.0)_" xfId="2115"/>
    <cellStyle name="Денежный 3" xfId="305"/>
    <cellStyle name="Заголовок" xfId="10"/>
    <cellStyle name="Заголовок 1 1" xfId="306"/>
    <cellStyle name="Заголовок 1 1 2" xfId="3642"/>
    <cellStyle name="Заголовок 1 10" xfId="2116"/>
    <cellStyle name="Заголовок 1 2" xfId="2117"/>
    <cellStyle name="Заголовок 1 2 2" xfId="2118"/>
    <cellStyle name="Заголовок 1 2_46EE.2011(v1.0)" xfId="2119"/>
    <cellStyle name="Заголовок 1 3" xfId="2120"/>
    <cellStyle name="Заголовок 1 3 2" xfId="2121"/>
    <cellStyle name="Заголовок 1 3_46EE.2011(v1.0)" xfId="2122"/>
    <cellStyle name="Заголовок 1 4" xfId="2123"/>
    <cellStyle name="Заголовок 1 4 2" xfId="2124"/>
    <cellStyle name="Заголовок 1 4_46EE.2011(v1.0)" xfId="2125"/>
    <cellStyle name="Заголовок 1 5" xfId="2126"/>
    <cellStyle name="Заголовок 1 5 2" xfId="2127"/>
    <cellStyle name="Заголовок 1 5_46EE.2011(v1.0)" xfId="2128"/>
    <cellStyle name="Заголовок 1 6" xfId="2129"/>
    <cellStyle name="Заголовок 1 6 2" xfId="2130"/>
    <cellStyle name="Заголовок 1 6_46EE.2011(v1.0)" xfId="2131"/>
    <cellStyle name="Заголовок 1 7" xfId="2132"/>
    <cellStyle name="Заголовок 1 7 2" xfId="2133"/>
    <cellStyle name="Заголовок 1 7_46EE.2011(v1.0)" xfId="2134"/>
    <cellStyle name="Заголовок 1 8" xfId="2135"/>
    <cellStyle name="Заголовок 1 8 2" xfId="2136"/>
    <cellStyle name="Заголовок 1 8_46EE.2011(v1.0)" xfId="2137"/>
    <cellStyle name="Заголовок 1 9" xfId="2138"/>
    <cellStyle name="Заголовок 1 9 2" xfId="2139"/>
    <cellStyle name="Заголовок 1 9_46EE.2011(v1.0)" xfId="2140"/>
    <cellStyle name="Заголовок 2 10" xfId="2141"/>
    <cellStyle name="Заголовок 2 2" xfId="2142"/>
    <cellStyle name="Заголовок 2 2 2" xfId="2143"/>
    <cellStyle name="Заголовок 2 2_46EE.2011(v1.0)" xfId="2144"/>
    <cellStyle name="Заголовок 2 3" xfId="2145"/>
    <cellStyle name="Заголовок 2 3 2" xfId="2146"/>
    <cellStyle name="Заголовок 2 3_46EE.2011(v1.0)" xfId="2147"/>
    <cellStyle name="Заголовок 2 4" xfId="2148"/>
    <cellStyle name="Заголовок 2 4 2" xfId="2149"/>
    <cellStyle name="Заголовок 2 4_46EE.2011(v1.0)" xfId="2150"/>
    <cellStyle name="Заголовок 2 5" xfId="2151"/>
    <cellStyle name="Заголовок 2 5 2" xfId="2152"/>
    <cellStyle name="Заголовок 2 5_46EE.2011(v1.0)" xfId="2153"/>
    <cellStyle name="Заголовок 2 6" xfId="2154"/>
    <cellStyle name="Заголовок 2 6 2" xfId="2155"/>
    <cellStyle name="Заголовок 2 6_46EE.2011(v1.0)" xfId="2156"/>
    <cellStyle name="Заголовок 2 7" xfId="2157"/>
    <cellStyle name="Заголовок 2 7 2" xfId="2158"/>
    <cellStyle name="Заголовок 2 7_46EE.2011(v1.0)" xfId="2159"/>
    <cellStyle name="Заголовок 2 8" xfId="2160"/>
    <cellStyle name="Заголовок 2 8 2" xfId="2161"/>
    <cellStyle name="Заголовок 2 8_46EE.2011(v1.0)" xfId="2162"/>
    <cellStyle name="Заголовок 2 9" xfId="2163"/>
    <cellStyle name="Заголовок 2 9 2" xfId="2164"/>
    <cellStyle name="Заголовок 2 9_46EE.2011(v1.0)" xfId="2165"/>
    <cellStyle name="Заголовок 3 10" xfId="2166"/>
    <cellStyle name="Заголовок 3 2" xfId="2167"/>
    <cellStyle name="Заголовок 3 2 2" xfId="2168"/>
    <cellStyle name="Заголовок 3 2_46EE.2011(v1.0)" xfId="2169"/>
    <cellStyle name="Заголовок 3 3" xfId="2170"/>
    <cellStyle name="Заголовок 3 3 2" xfId="2171"/>
    <cellStyle name="Заголовок 3 3_46EE.2011(v1.0)" xfId="2172"/>
    <cellStyle name="Заголовок 3 4" xfId="2173"/>
    <cellStyle name="Заголовок 3 4 2" xfId="2174"/>
    <cellStyle name="Заголовок 3 4_46EE.2011(v1.0)" xfId="2175"/>
    <cellStyle name="Заголовок 3 5" xfId="2176"/>
    <cellStyle name="Заголовок 3 5 2" xfId="2177"/>
    <cellStyle name="Заголовок 3 5_46EE.2011(v1.0)" xfId="2178"/>
    <cellStyle name="Заголовок 3 6" xfId="2179"/>
    <cellStyle name="Заголовок 3 6 2" xfId="2180"/>
    <cellStyle name="Заголовок 3 6_46EE.2011(v1.0)" xfId="2181"/>
    <cellStyle name="Заголовок 3 7" xfId="2182"/>
    <cellStyle name="Заголовок 3 7 2" xfId="2183"/>
    <cellStyle name="Заголовок 3 7_46EE.2011(v1.0)" xfId="2184"/>
    <cellStyle name="Заголовок 3 8" xfId="2185"/>
    <cellStyle name="Заголовок 3 8 2" xfId="2186"/>
    <cellStyle name="Заголовок 3 8_46EE.2011(v1.0)" xfId="2187"/>
    <cellStyle name="Заголовок 3 9" xfId="2188"/>
    <cellStyle name="Заголовок 3 9 2" xfId="2189"/>
    <cellStyle name="Заголовок 3 9_46EE.2011(v1.0)" xfId="2190"/>
    <cellStyle name="Заголовок 4 10" xfId="2191"/>
    <cellStyle name="Заголовок 4 2" xfId="2192"/>
    <cellStyle name="Заголовок 4 2 2" xfId="2193"/>
    <cellStyle name="Заголовок 4 3" xfId="2194"/>
    <cellStyle name="Заголовок 4 3 2" xfId="2195"/>
    <cellStyle name="Заголовок 4 4" xfId="2196"/>
    <cellStyle name="Заголовок 4 4 2" xfId="2197"/>
    <cellStyle name="Заголовок 4 5" xfId="2198"/>
    <cellStyle name="Заголовок 4 5 2" xfId="2199"/>
    <cellStyle name="Заголовок 4 6" xfId="2200"/>
    <cellStyle name="Заголовок 4 6 2" xfId="2201"/>
    <cellStyle name="Заголовок 4 7" xfId="2202"/>
    <cellStyle name="Заголовок 4 7 2" xfId="2203"/>
    <cellStyle name="Заголовок 4 8" xfId="2204"/>
    <cellStyle name="Заголовок 4 8 2" xfId="2205"/>
    <cellStyle name="Заголовок 4 9" xfId="2206"/>
    <cellStyle name="Заголовок 4 9 2" xfId="2207"/>
    <cellStyle name="Заголовок 5" xfId="2208"/>
    <cellStyle name="Заголовок 6" xfId="2209"/>
    <cellStyle name="Заголовок таблицы" xfId="3300"/>
    <cellStyle name="Заголовок таблицы 2" xfId="3301"/>
    <cellStyle name="Заголовок1" xfId="2210"/>
    <cellStyle name="ЗАГОЛОВОК1 2" xfId="3302"/>
    <cellStyle name="ЗАГОЛОВОК2" xfId="2211"/>
    <cellStyle name="ЗаголовокСтолбца" xfId="9"/>
    <cellStyle name="ЗаголовокСтолбца 2" xfId="2212"/>
    <cellStyle name="ЗаголовокСтолбца 3" xfId="2213"/>
    <cellStyle name="ЗаголовокСтолбца 4" xfId="3303"/>
    <cellStyle name="ЗаголовокСтолбца 4 2" xfId="3304"/>
    <cellStyle name="ЗаголовокСтолбца 5" xfId="3305"/>
    <cellStyle name="Заметка" xfId="3306"/>
    <cellStyle name="Заметка 2" xfId="3307"/>
    <cellStyle name="Защитный" xfId="307"/>
    <cellStyle name="Значение" xfId="308"/>
    <cellStyle name="Значение 2" xfId="3308"/>
    <cellStyle name="Зоголовок" xfId="2214"/>
    <cellStyle name="Итог 10" xfId="2215"/>
    <cellStyle name="Итог 2" xfId="2216"/>
    <cellStyle name="Итог 2 2" xfId="2217"/>
    <cellStyle name="Итог 2_46EE.2011(v1.0)" xfId="2218"/>
    <cellStyle name="Итог 3" xfId="2219"/>
    <cellStyle name="Итог 3 2" xfId="2220"/>
    <cellStyle name="Итог 3_46EE.2011(v1.0)" xfId="2221"/>
    <cellStyle name="Итог 4" xfId="2222"/>
    <cellStyle name="Итог 4 2" xfId="2223"/>
    <cellStyle name="Итог 4_46EE.2011(v1.0)" xfId="2224"/>
    <cellStyle name="Итог 5" xfId="2225"/>
    <cellStyle name="Итог 5 2" xfId="2226"/>
    <cellStyle name="Итог 5_46EE.2011(v1.0)" xfId="2227"/>
    <cellStyle name="Итог 6" xfId="2228"/>
    <cellStyle name="Итог 6 2" xfId="2229"/>
    <cellStyle name="Итог 6_46EE.2011(v1.0)" xfId="2230"/>
    <cellStyle name="Итог 7" xfId="2231"/>
    <cellStyle name="Итог 7 2" xfId="2232"/>
    <cellStyle name="Итог 7_46EE.2011(v1.0)" xfId="2233"/>
    <cellStyle name="Итог 8" xfId="2234"/>
    <cellStyle name="Итог 8 2" xfId="2235"/>
    <cellStyle name="Итог 8_46EE.2011(v1.0)" xfId="2236"/>
    <cellStyle name="Итог 9" xfId="2237"/>
    <cellStyle name="Итог 9 2" xfId="2238"/>
    <cellStyle name="Итог 9_46EE.2011(v1.0)" xfId="2239"/>
    <cellStyle name="Итого" xfId="309"/>
    <cellStyle name="Итого 2" xfId="2240"/>
    <cellStyle name="Итого 2 2" xfId="3309"/>
    <cellStyle name="Итого 3" xfId="3310"/>
    <cellStyle name="ИТОГОВЫЙ" xfId="2241"/>
    <cellStyle name="ИТОГОВЫЙ 2" xfId="2242"/>
    <cellStyle name="ИТОГОВЫЙ 3" xfId="2243"/>
    <cellStyle name="ИТОГОВЫЙ 4" xfId="2244"/>
    <cellStyle name="ИТОГОВЫЙ 5" xfId="2245"/>
    <cellStyle name="ИТОГОВЫЙ 6" xfId="2246"/>
    <cellStyle name="ИТОГОВЫЙ 7" xfId="2247"/>
    <cellStyle name="ИТОГОВЫЙ 8" xfId="2248"/>
    <cellStyle name="ИТОГОВЫЙ 9" xfId="2249"/>
    <cellStyle name="ИТОГОВЫЙ_1" xfId="2250"/>
    <cellStyle name="Контрольная ячейка 10" xfId="2251"/>
    <cellStyle name="Контрольная ячейка 2" xfId="2252"/>
    <cellStyle name="Контрольная ячейка 2 2" xfId="2253"/>
    <cellStyle name="Контрольная ячейка 2_46EE.2011(v1.0)" xfId="2254"/>
    <cellStyle name="Контрольная ячейка 3" xfId="2255"/>
    <cellStyle name="Контрольная ячейка 3 2" xfId="2256"/>
    <cellStyle name="Контрольная ячейка 3_46EE.2011(v1.0)" xfId="2257"/>
    <cellStyle name="Контрольная ячейка 4" xfId="2258"/>
    <cellStyle name="Контрольная ячейка 4 2" xfId="2259"/>
    <cellStyle name="Контрольная ячейка 4_46EE.2011(v1.0)" xfId="2260"/>
    <cellStyle name="Контрольная ячейка 5" xfId="2261"/>
    <cellStyle name="Контрольная ячейка 5 2" xfId="2262"/>
    <cellStyle name="Контрольная ячейка 5_46EE.2011(v1.0)" xfId="2263"/>
    <cellStyle name="Контрольная ячейка 6" xfId="2264"/>
    <cellStyle name="Контрольная ячейка 6 2" xfId="2265"/>
    <cellStyle name="Контрольная ячейка 6_46EE.2011(v1.0)" xfId="2266"/>
    <cellStyle name="Контрольная ячейка 7" xfId="2267"/>
    <cellStyle name="Контрольная ячейка 7 2" xfId="2268"/>
    <cellStyle name="Контрольная ячейка 7_46EE.2011(v1.0)" xfId="2269"/>
    <cellStyle name="Контрольная ячейка 8" xfId="2270"/>
    <cellStyle name="Контрольная ячейка 8 2" xfId="2271"/>
    <cellStyle name="Контрольная ячейка 8_46EE.2011(v1.0)" xfId="2272"/>
    <cellStyle name="Контрольная ячейка 9" xfId="2273"/>
    <cellStyle name="Контрольная ячейка 9 2" xfId="2274"/>
    <cellStyle name="Контрольная ячейка 9_46EE.2011(v1.0)" xfId="2275"/>
    <cellStyle name="Миша (бланки отчетности)" xfId="310"/>
    <cellStyle name="Миша (бланки отчетности) 2" xfId="2276"/>
    <cellStyle name="Миша (бланки отчетности) 3" xfId="3643"/>
    <cellStyle name="мой" xfId="312"/>
    <cellStyle name="мой 2" xfId="3644"/>
    <cellStyle name="Мой заголовок" xfId="313"/>
    <cellStyle name="Мой заголовок 2" xfId="2337"/>
    <cellStyle name="Мой заголовок листа" xfId="314"/>
    <cellStyle name="Мой заголовок листа 2" xfId="2338"/>
    <cellStyle name="Мой заголовок листа 3" xfId="2339"/>
    <cellStyle name="Мой заголовок_Новая инструкция1_фст" xfId="2340"/>
    <cellStyle name="Мои наименования показателей" xfId="311"/>
    <cellStyle name="Мои наименования показателей 10" xfId="2277"/>
    <cellStyle name="Мои наименования показателей 11" xfId="2278"/>
    <cellStyle name="Мои наименования показателей 12" xfId="2279"/>
    <cellStyle name="Мои наименования показателей 2" xfId="2280"/>
    <cellStyle name="Мои наименования показателей 2 2" xfId="2281"/>
    <cellStyle name="Мои наименования показателей 2 3" xfId="2282"/>
    <cellStyle name="Мои наименования показателей 2 4" xfId="2283"/>
    <cellStyle name="Мои наименования показателей 2 5" xfId="2284"/>
    <cellStyle name="Мои наименования показателей 2 6" xfId="2285"/>
    <cellStyle name="Мои наименования показателей 2 7" xfId="2286"/>
    <cellStyle name="Мои наименования показателей 2 8" xfId="2287"/>
    <cellStyle name="Мои наименования показателей 2 9" xfId="2288"/>
    <cellStyle name="Мои наименования показателей 2_1" xfId="2289"/>
    <cellStyle name="Мои наименования показателей 3" xfId="2290"/>
    <cellStyle name="Мои наименования показателей 3 2" xfId="2291"/>
    <cellStyle name="Мои наименования показателей 3 3" xfId="2292"/>
    <cellStyle name="Мои наименования показателей 3 4" xfId="2293"/>
    <cellStyle name="Мои наименования показателей 3 5" xfId="2294"/>
    <cellStyle name="Мои наименования показателей 3 6" xfId="2295"/>
    <cellStyle name="Мои наименования показателей 3 7" xfId="2296"/>
    <cellStyle name="Мои наименования показателей 3 8" xfId="2297"/>
    <cellStyle name="Мои наименования показателей 3 9" xfId="2298"/>
    <cellStyle name="Мои наименования показателей 3_1" xfId="2299"/>
    <cellStyle name="Мои наименования показателей 4" xfId="2300"/>
    <cellStyle name="Мои наименования показателей 4 2" xfId="2301"/>
    <cellStyle name="Мои наименования показателей 4 3" xfId="2302"/>
    <cellStyle name="Мои наименования показателей 4 4" xfId="2303"/>
    <cellStyle name="Мои наименования показателей 4 5" xfId="2304"/>
    <cellStyle name="Мои наименования показателей 4 6" xfId="2305"/>
    <cellStyle name="Мои наименования показателей 4 7" xfId="2306"/>
    <cellStyle name="Мои наименования показателей 4 8" xfId="2307"/>
    <cellStyle name="Мои наименования показателей 4 9" xfId="2308"/>
    <cellStyle name="Мои наименования показателей 4_1" xfId="2309"/>
    <cellStyle name="Мои наименования показателей 5" xfId="2310"/>
    <cellStyle name="Мои наименования показателей 5 2" xfId="2311"/>
    <cellStyle name="Мои наименования показателей 5 3" xfId="2312"/>
    <cellStyle name="Мои наименования показателей 5 4" xfId="2313"/>
    <cellStyle name="Мои наименования показателей 5 5" xfId="2314"/>
    <cellStyle name="Мои наименования показателей 5 6" xfId="2315"/>
    <cellStyle name="Мои наименования показателей 5 7" xfId="2316"/>
    <cellStyle name="Мои наименования показателей 5 8" xfId="2317"/>
    <cellStyle name="Мои наименования показателей 5 9" xfId="2318"/>
    <cellStyle name="Мои наименования показателей 5_1" xfId="2319"/>
    <cellStyle name="Мои наименования показателей 6" xfId="2320"/>
    <cellStyle name="Мои наименования показателей 6 2" xfId="2321"/>
    <cellStyle name="Мои наименования показателей 6 3" xfId="2322"/>
    <cellStyle name="Мои наименования показателей 6 4" xfId="2323"/>
    <cellStyle name="Мои наименования показателей 6_46EE.2011(v1.0)" xfId="2324"/>
    <cellStyle name="Мои наименования показателей 7" xfId="2325"/>
    <cellStyle name="Мои наименования показателей 7 2" xfId="2326"/>
    <cellStyle name="Мои наименования показателей 7 3" xfId="2327"/>
    <cellStyle name="Мои наименования показателей 7 4" xfId="2328"/>
    <cellStyle name="Мои наименования показателей 7_46EE.2011(v1.0)" xfId="2329"/>
    <cellStyle name="Мои наименования показателей 8" xfId="2330"/>
    <cellStyle name="Мои наименования показателей 8 2" xfId="2331"/>
    <cellStyle name="Мои наименования показателей 8 3" xfId="2332"/>
    <cellStyle name="Мои наименования показателей 8 4" xfId="2333"/>
    <cellStyle name="Мои наименования показателей 8_46EE.2011(v1.0)" xfId="2334"/>
    <cellStyle name="Мои наименования показателей 9" xfId="2335"/>
    <cellStyle name="Мои наименования показателей_46EE.2011" xfId="2336"/>
    <cellStyle name="МУ заголовок" xfId="315"/>
    <cellStyle name="МУ заголовок 2" xfId="3311"/>
    <cellStyle name="МУ заголовок 3" xfId="3312"/>
    <cellStyle name="назв фил" xfId="2341"/>
    <cellStyle name="назв фил 2" xfId="3313"/>
    <cellStyle name="Название 10" xfId="2342"/>
    <cellStyle name="Название 2" xfId="2343"/>
    <cellStyle name="Название 2 2" xfId="2344"/>
    <cellStyle name="Название 3" xfId="2345"/>
    <cellStyle name="Название 3 2" xfId="2346"/>
    <cellStyle name="Название 4" xfId="2347"/>
    <cellStyle name="Название 4 2" xfId="2348"/>
    <cellStyle name="Название 5" xfId="2349"/>
    <cellStyle name="Название 5 2" xfId="2350"/>
    <cellStyle name="Название 6" xfId="2351"/>
    <cellStyle name="Название 6 2" xfId="2352"/>
    <cellStyle name="Название 7" xfId="2353"/>
    <cellStyle name="Название 7 2" xfId="2354"/>
    <cellStyle name="Название 8" xfId="2355"/>
    <cellStyle name="Название 8 2" xfId="2356"/>
    <cellStyle name="Название 9" xfId="2357"/>
    <cellStyle name="Название 9 2" xfId="2358"/>
    <cellStyle name="Название раздела" xfId="316"/>
    <cellStyle name="Название раздела 2" xfId="3645"/>
    <cellStyle name="Невидимый" xfId="317"/>
    <cellStyle name="Нейтральный 10" xfId="2359"/>
    <cellStyle name="Нейтральный 2" xfId="2360"/>
    <cellStyle name="Нейтральный 2 2" xfId="2361"/>
    <cellStyle name="Нейтральный 3" xfId="2362"/>
    <cellStyle name="Нейтральный 3 2" xfId="2363"/>
    <cellStyle name="Нейтральный 4" xfId="2364"/>
    <cellStyle name="Нейтральный 4 2" xfId="2365"/>
    <cellStyle name="Нейтральный 5" xfId="2366"/>
    <cellStyle name="Нейтральный 5 2" xfId="2367"/>
    <cellStyle name="Нейтральный 6" xfId="2368"/>
    <cellStyle name="Нейтральный 6 2" xfId="2369"/>
    <cellStyle name="Нейтральный 7" xfId="2370"/>
    <cellStyle name="Нейтральный 7 2" xfId="2371"/>
    <cellStyle name="Нейтральный 8" xfId="2372"/>
    <cellStyle name="Нейтральный 8 2" xfId="2373"/>
    <cellStyle name="Нейтральный 9" xfId="2374"/>
    <cellStyle name="Нейтральный 9 2" xfId="2375"/>
    <cellStyle name="Низ1" xfId="318"/>
    <cellStyle name="Низ1 2" xfId="3314"/>
    <cellStyle name="Низ2" xfId="319"/>
    <cellStyle name="Обычный" xfId="0" builtinId="0"/>
    <cellStyle name="Обычный 10" xfId="320"/>
    <cellStyle name="Обычный 10 2" xfId="321"/>
    <cellStyle name="Обычный 10 2 2" xfId="2376"/>
    <cellStyle name="Обычный 10 3" xfId="2377"/>
    <cellStyle name="Обычный 10 4" xfId="3315"/>
    <cellStyle name="Обычный 10 4 2" xfId="3316"/>
    <cellStyle name="Обычный 11" xfId="322"/>
    <cellStyle name="Обычный 11 2" xfId="2378"/>
    <cellStyle name="Обычный 11 3" xfId="2379"/>
    <cellStyle name="Обычный 11 3 2" xfId="2380"/>
    <cellStyle name="Обычный 11 3 2 2" xfId="3317"/>
    <cellStyle name="Обычный 11 3 2 2 2" xfId="3318"/>
    <cellStyle name="Обычный 11 3 2 2 3" xfId="3319"/>
    <cellStyle name="Обычный 11 3 2 2 4" xfId="3646"/>
    <cellStyle name="Обычный 11 3 2 3" xfId="3320"/>
    <cellStyle name="Обычный 11 3 3" xfId="3321"/>
    <cellStyle name="Обычный 11 3 3 2" xfId="3322"/>
    <cellStyle name="Обычный 11 3 4" xfId="3323"/>
    <cellStyle name="Обычный 11 3 4 2" xfId="3324"/>
    <cellStyle name="Обычный 11 3 4 2 2" xfId="3325"/>
    <cellStyle name="Обычный 11 3 4 3" xfId="3326"/>
    <cellStyle name="Обычный 11 3 4 3 2" xfId="3327"/>
    <cellStyle name="Обычный 11 3 4 3 3" xfId="3690"/>
    <cellStyle name="Обычный 11 3 5" xfId="3328"/>
    <cellStyle name="Обычный 11 3 5 2" xfId="3329"/>
    <cellStyle name="Обычный 11 3 6" xfId="3330"/>
    <cellStyle name="Обычный 11 4" xfId="2381"/>
    <cellStyle name="Обычный 11 4 2" xfId="3331"/>
    <cellStyle name="Обычный 11 4 3" xfId="3647"/>
    <cellStyle name="Обычный 11 5" xfId="3332"/>
    <cellStyle name="Обычный 11_46EE.2011(v1.2)" xfId="2382"/>
    <cellStyle name="Обычный 12" xfId="323"/>
    <cellStyle name="Обычный 12 2" xfId="2383"/>
    <cellStyle name="Обычный 12 3" xfId="2384"/>
    <cellStyle name="Обычный 12 3 2" xfId="3333"/>
    <cellStyle name="Обычный 12 3 3" xfId="3674"/>
    <cellStyle name="Обычный 12 4" xfId="2385"/>
    <cellStyle name="Обычный 12 5" xfId="3334"/>
    <cellStyle name="Обычный 13" xfId="324"/>
    <cellStyle name="Обычный 13 2" xfId="2386"/>
    <cellStyle name="Обычный 13 2 2" xfId="3648"/>
    <cellStyle name="Обычный 13 3" xfId="2387"/>
    <cellStyle name="Обычный 13 3 2" xfId="3335"/>
    <cellStyle name="Обычный 13 4" xfId="3336"/>
    <cellStyle name="Обычный 13 4 2" xfId="3337"/>
    <cellStyle name="Обычный 13 5" xfId="3338"/>
    <cellStyle name="Обычный 14" xfId="325"/>
    <cellStyle name="Обычный 14 2" xfId="2388"/>
    <cellStyle name="Обычный 14 3" xfId="2389"/>
    <cellStyle name="Обычный 14 4" xfId="3339"/>
    <cellStyle name="Обычный 15" xfId="326"/>
    <cellStyle name="Обычный 15 2" xfId="2390"/>
    <cellStyle name="Обычный 15 3" xfId="3340"/>
    <cellStyle name="Обычный 16" xfId="327"/>
    <cellStyle name="Обычный 16 2" xfId="3341"/>
    <cellStyle name="Обычный 17" xfId="328"/>
    <cellStyle name="Обычный 17 2" xfId="2391"/>
    <cellStyle name="Обычный 17 2 2" xfId="3342"/>
    <cellStyle name="Обычный 17 3" xfId="3343"/>
    <cellStyle name="Обычный 17 3 2" xfId="3344"/>
    <cellStyle name="Обычный 17 4" xfId="3345"/>
    <cellStyle name="Обычный 18" xfId="6"/>
    <cellStyle name="Обычный 18 2" xfId="2392"/>
    <cellStyle name="Обычный 19" xfId="421"/>
    <cellStyle name="Обычный 19 2" xfId="2393"/>
    <cellStyle name="Обычный 19 3" xfId="3675"/>
    <cellStyle name="Обычный 2" xfId="3"/>
    <cellStyle name="Обычный 2 10" xfId="329"/>
    <cellStyle name="Обычный 2 10 2" xfId="2394"/>
    <cellStyle name="Обычный 2 10 2 2" xfId="3346"/>
    <cellStyle name="Обычный 2 10 3" xfId="3676"/>
    <cellStyle name="Обычный 2 11" xfId="330"/>
    <cellStyle name="Обычный 2 11 2" xfId="2395"/>
    <cellStyle name="Обычный 2 11 3" xfId="3347"/>
    <cellStyle name="Обычный 2 12" xfId="331"/>
    <cellStyle name="Обычный 2 12 2" xfId="2396"/>
    <cellStyle name="Обычный 2 13" xfId="332"/>
    <cellStyle name="Обычный 2 13 2" xfId="3348"/>
    <cellStyle name="Обычный 2 13 2 2" xfId="3349"/>
    <cellStyle name="Обычный 2 13 3" xfId="3350"/>
    <cellStyle name="Обычный 2 14" xfId="422"/>
    <cellStyle name="Обычный 2 14 2" xfId="3351"/>
    <cellStyle name="Обычный 2 15" xfId="2779"/>
    <cellStyle name="Обычный 2 15 2" xfId="3352"/>
    <cellStyle name="Обычный 2 15 3" xfId="3677"/>
    <cellStyle name="Обычный 2 16" xfId="3353"/>
    <cellStyle name="Обычный 2 16 2" xfId="3354"/>
    <cellStyle name="Обычный 2 17" xfId="3355"/>
    <cellStyle name="Обычный 2 18" xfId="3356"/>
    <cellStyle name="Обычный 2 19" xfId="3533"/>
    <cellStyle name="Обычный 2 2" xfId="11"/>
    <cellStyle name="Обычный 2 2 10" xfId="3357"/>
    <cellStyle name="Обычный 2 2 10 2" xfId="3358"/>
    <cellStyle name="Обычный 2 2 11" xfId="3359"/>
    <cellStyle name="Обычный 2 2 12" xfId="3360"/>
    <cellStyle name="Обычный 2 2 13" xfId="3361"/>
    <cellStyle name="Обычный 2 2 2" xfId="333"/>
    <cellStyle name="Обычный 2 2 2 10" xfId="3362"/>
    <cellStyle name="Обычный 2 2 2 11" xfId="3363"/>
    <cellStyle name="Обычный 2 2 2 12" xfId="3364"/>
    <cellStyle name="Обычный 2 2 2 13" xfId="3365"/>
    <cellStyle name="Обычный 2 2 2 2" xfId="334"/>
    <cellStyle name="Обычный 2 2 2 2 2" xfId="2397"/>
    <cellStyle name="Обычный 2 2 2 2 2 2" xfId="3366"/>
    <cellStyle name="Обычный 2 2 2 2 3" xfId="3367"/>
    <cellStyle name="Обычный 2 2 2 2 3 2" xfId="3368"/>
    <cellStyle name="Обычный 2 2 2 2 3 3" xfId="3369"/>
    <cellStyle name="Обычный 2 2 2 2 4" xfId="3370"/>
    <cellStyle name="Обычный 2 2 2 2 4 2" xfId="3371"/>
    <cellStyle name="Обычный 2 2 2 2 5" xfId="3372"/>
    <cellStyle name="Обычный 2 2 2 2 5 2" xfId="3373"/>
    <cellStyle name="Обычный 2 2 2 2 6" xfId="3374"/>
    <cellStyle name="Обычный 2 2 2 2 6 2" xfId="3375"/>
    <cellStyle name="Обычный 2 2 2 2 7" xfId="3376"/>
    <cellStyle name="Обычный 2 2 2 2 7 2" xfId="3377"/>
    <cellStyle name="Обычный 2 2 2 3" xfId="2398"/>
    <cellStyle name="Обычный 2 2 2 3 2" xfId="3378"/>
    <cellStyle name="Обычный 2 2 2 3 3" xfId="3379"/>
    <cellStyle name="Обычный 2 2 2 4" xfId="2399"/>
    <cellStyle name="Обычный 2 2 2 4 2" xfId="3380"/>
    <cellStyle name="Обычный 2 2 2 4 3" xfId="3381"/>
    <cellStyle name="Обычный 2 2 2 5" xfId="2400"/>
    <cellStyle name="Обычный 2 2 2 5 2" xfId="3382"/>
    <cellStyle name="Обычный 2 2 2 5 3" xfId="3383"/>
    <cellStyle name="Обычный 2 2 2 6" xfId="2401"/>
    <cellStyle name="Обычный 2 2 2 6 2" xfId="3384"/>
    <cellStyle name="Обычный 2 2 2 7" xfId="3385"/>
    <cellStyle name="Обычный 2 2 2 8" xfId="3386"/>
    <cellStyle name="Обычный 2 2 2 9" xfId="3387"/>
    <cellStyle name="Обычный 2 2 3" xfId="335"/>
    <cellStyle name="Обычный 2 2 3 2" xfId="2402"/>
    <cellStyle name="Обычный 2 2 3 3" xfId="2403"/>
    <cellStyle name="Обычный 2 2 3 4" xfId="3388"/>
    <cellStyle name="Обычный 2 2 4" xfId="336"/>
    <cellStyle name="Обычный 2 2 4 2" xfId="2404"/>
    <cellStyle name="Обычный 2 2 5" xfId="337"/>
    <cellStyle name="Обычный 2 2 5 2" xfId="3389"/>
    <cellStyle name="Обычный 2 2 6" xfId="338"/>
    <cellStyle name="Обычный 2 2 6 2" xfId="3390"/>
    <cellStyle name="Обычный 2 2 7" xfId="2405"/>
    <cellStyle name="Обычный 2 2 7 2" xfId="3391"/>
    <cellStyle name="Обычный 2 2 8" xfId="3392"/>
    <cellStyle name="Обычный 2 2 8 2" xfId="3393"/>
    <cellStyle name="Обычный 2 2 9" xfId="3394"/>
    <cellStyle name="Обычный 2 2 9 2" xfId="3395"/>
    <cellStyle name="Обычный 2 2_46EE.2011(v1.0)" xfId="2406"/>
    <cellStyle name="Обычный 2 3" xfId="339"/>
    <cellStyle name="Обычный 2 3 2" xfId="340"/>
    <cellStyle name="Обычный 2 3 2 2" xfId="2407"/>
    <cellStyle name="Обычный 2 3 3" xfId="341"/>
    <cellStyle name="Обычный 2 3 3 2" xfId="2408"/>
    <cellStyle name="Обычный 2 3 4" xfId="2409"/>
    <cellStyle name="Обычный 2 3 4 2" xfId="3396"/>
    <cellStyle name="Обычный 2 3 4 3" xfId="3678"/>
    <cellStyle name="Обычный 2 3 5" xfId="3397"/>
    <cellStyle name="Обычный 2 3_46EE.2011(v1.0)" xfId="2410"/>
    <cellStyle name="Обычный 2 4" xfId="342"/>
    <cellStyle name="Обычный 2 4 2" xfId="343"/>
    <cellStyle name="Обычный 2 4 2 2" xfId="2411"/>
    <cellStyle name="Обычный 2 4 3" xfId="344"/>
    <cellStyle name="Обычный 2 4 3 2" xfId="2412"/>
    <cellStyle name="Обычный 2 4 4" xfId="2413"/>
    <cellStyle name="Обычный 2 4 4 2" xfId="3398"/>
    <cellStyle name="Обычный 2 4 5" xfId="3399"/>
    <cellStyle name="Обычный 2 4_46EE.2011(v1.0)" xfId="2414"/>
    <cellStyle name="Обычный 2 5" xfId="345"/>
    <cellStyle name="Обычный 2 5 2" xfId="346"/>
    <cellStyle name="Обычный 2 5 2 2" xfId="2415"/>
    <cellStyle name="Обычный 2 5 3" xfId="347"/>
    <cellStyle name="Обычный 2 5 3 2" xfId="2416"/>
    <cellStyle name="Обычный 2 5 4" xfId="2417"/>
    <cellStyle name="Обычный 2 5 5" xfId="3400"/>
    <cellStyle name="Обычный 2 5_46EE.2011(v1.0)" xfId="2418"/>
    <cellStyle name="Обычный 2 6" xfId="348"/>
    <cellStyle name="Обычный 2 6 2" xfId="2419"/>
    <cellStyle name="Обычный 2 6 3" xfId="2420"/>
    <cellStyle name="Обычный 2 6 4" xfId="2421"/>
    <cellStyle name="Обычный 2 6 5" xfId="3401"/>
    <cellStyle name="Обычный 2 6_46EE.2011(v1.0)" xfId="2422"/>
    <cellStyle name="Обычный 2 7" xfId="349"/>
    <cellStyle name="Обычный 2 7 2" xfId="2423"/>
    <cellStyle name="Обычный 2 7 2 2" xfId="3402"/>
    <cellStyle name="Обычный 2 7 3" xfId="3679"/>
    <cellStyle name="Обычный 2 8" xfId="350"/>
    <cellStyle name="Обычный 2 8 2" xfId="2424"/>
    <cellStyle name="Обычный 2 8 2 2" xfId="3403"/>
    <cellStyle name="Обычный 2 8 2 3" xfId="3680"/>
    <cellStyle name="Обычный 2 8 3" xfId="2425"/>
    <cellStyle name="Обычный 2 8 4" xfId="2426"/>
    <cellStyle name="Обычный 2 8 4 2" xfId="3404"/>
    <cellStyle name="Обычный 2 8 5" xfId="3681"/>
    <cellStyle name="Обычный 2 9" xfId="351"/>
    <cellStyle name="Обычный 2 9 2" xfId="2427"/>
    <cellStyle name="Обычный 2 9 2 2" xfId="3405"/>
    <cellStyle name="Обычный 2 9 3" xfId="3406"/>
    <cellStyle name="Обычный 2_!калькуляция_Компонент 2012 (+вест)" xfId="2428"/>
    <cellStyle name="Обычный 20" xfId="2429"/>
    <cellStyle name="Обычный 20 2" xfId="3407"/>
    <cellStyle name="Обычный 20 2 2" xfId="3408"/>
    <cellStyle name="Обычный 20 3" xfId="3409"/>
    <cellStyle name="Обычный 21" xfId="2430"/>
    <cellStyle name="Обычный 21 2" xfId="2431"/>
    <cellStyle name="Обычный 21 2 2" xfId="3410"/>
    <cellStyle name="Обычный 21 3" xfId="3411"/>
    <cellStyle name="Обычный 21 3 2" xfId="3412"/>
    <cellStyle name="Обычный 21 3 3" xfId="3649"/>
    <cellStyle name="Обычный 22" xfId="2432"/>
    <cellStyle name="Обычный 22 2" xfId="3413"/>
    <cellStyle name="Обычный 22 2 2" xfId="3414"/>
    <cellStyle name="Обычный 22 3" xfId="3415"/>
    <cellStyle name="Обычный 23" xfId="2433"/>
    <cellStyle name="Обычный 23 2" xfId="3416"/>
    <cellStyle name="Обычный 24" xfId="2434"/>
    <cellStyle name="Обычный 24 2" xfId="3682"/>
    <cellStyle name="Обычный 25" xfId="2760"/>
    <cellStyle name="Обычный 25 2" xfId="3417"/>
    <cellStyle name="Обычный 25 3" xfId="3418"/>
    <cellStyle name="Обычный 26" xfId="2777"/>
    <cellStyle name="Обычный 26 2" xfId="3419"/>
    <cellStyle name="Обычный 26 2 2" xfId="3420"/>
    <cellStyle name="Обычный 26 2 2 2" xfId="3421"/>
    <cellStyle name="Обычный 27" xfId="2778"/>
    <cellStyle name="Обычный 27 2" xfId="3422"/>
    <cellStyle name="Обычный 28" xfId="2780"/>
    <cellStyle name="Обычный 29" xfId="3423"/>
    <cellStyle name="Обычный 29 2" xfId="3424"/>
    <cellStyle name="Обычный 3" xfId="13"/>
    <cellStyle name="Обычный 3 10" xfId="2435"/>
    <cellStyle name="Обычный 3 10 2" xfId="3425"/>
    <cellStyle name="Обычный 3 11" xfId="2436"/>
    <cellStyle name="Обычный 3 11 2" xfId="3683"/>
    <cellStyle name="Обычный 3 12" xfId="3426"/>
    <cellStyle name="Обычный 3 2" xfId="352"/>
    <cellStyle name="Обычный 3 2 2" xfId="353"/>
    <cellStyle name="Обычный 3 2 2 2" xfId="3684"/>
    <cellStyle name="Обычный 3 2 3" xfId="354"/>
    <cellStyle name="Обычный 3 2 4" xfId="2437"/>
    <cellStyle name="Обычный 3 2 4 2" xfId="3427"/>
    <cellStyle name="Обычный 3 2 4 3" xfId="3650"/>
    <cellStyle name="Обычный 3 2 5" xfId="3428"/>
    <cellStyle name="Обычный 3 2 6" xfId="3429"/>
    <cellStyle name="Обычный 3 3" xfId="355"/>
    <cellStyle name="Обычный 3 3 2" xfId="2438"/>
    <cellStyle name="Обычный 3 3 2 2" xfId="2439"/>
    <cellStyle name="Обычный 3 3 2 2 2" xfId="3430"/>
    <cellStyle name="Обычный 3 3 2 2 2 2" xfId="3431"/>
    <cellStyle name="Обычный 3 3 2 2 2 2 2" xfId="3432"/>
    <cellStyle name="Обычный 3 3 2 2 2 3" xfId="3433"/>
    <cellStyle name="Обычный 3 3 2 2 3" xfId="3434"/>
    <cellStyle name="Обычный 3 3 2 2 3 2" xfId="3435"/>
    <cellStyle name="Обычный 3 3 2 3" xfId="2440"/>
    <cellStyle name="Обычный 3 3 2 4" xfId="2441"/>
    <cellStyle name="Обычный 3 3 2 4 2" xfId="3685"/>
    <cellStyle name="Обычный 3 3 2 5" xfId="3436"/>
    <cellStyle name="Обычный 3 3 2 6" xfId="3651"/>
    <cellStyle name="Обычный 3 3 3" xfId="3437"/>
    <cellStyle name="Обычный 3 3 3 2" xfId="3438"/>
    <cellStyle name="Обычный 3 4" xfId="356"/>
    <cellStyle name="Обычный 3 4 2" xfId="2442"/>
    <cellStyle name="Обычный 3 4 2 2" xfId="3686"/>
    <cellStyle name="Обычный 3 5" xfId="357"/>
    <cellStyle name="Обычный 3 5 2" xfId="2443"/>
    <cellStyle name="Обычный 3 6" xfId="358"/>
    <cellStyle name="Обычный 3 6 2" xfId="2444"/>
    <cellStyle name="Обычный 3 7" xfId="359"/>
    <cellStyle name="Обычный 3 7 2" xfId="2445"/>
    <cellStyle name="Обычный 3 8" xfId="360"/>
    <cellStyle name="Обычный 3 8 2" xfId="2446"/>
    <cellStyle name="Обычный 3 9" xfId="361"/>
    <cellStyle name="Обычный 3 9 2" xfId="2447"/>
    <cellStyle name="Обычный 3 9 2 2" xfId="3439"/>
    <cellStyle name="Обычный 3 9 2 2 2" xfId="3440"/>
    <cellStyle name="Обычный 3 9 2 2 2 2" xfId="3441"/>
    <cellStyle name="Обычный 3 9 2 2 2 2 2 2" xfId="3689"/>
    <cellStyle name="Обычный 3 9 2 2 2 3" xfId="3688"/>
    <cellStyle name="Обычный 3 9 2 2 3" xfId="3652"/>
    <cellStyle name="Обычный 3 9 2 3" xfId="3442"/>
    <cellStyle name="Обычный 3_TABL_ЦКТИ_2011вода1,19" xfId="362"/>
    <cellStyle name="Обычный 30" xfId="3443"/>
    <cellStyle name="Обычный 31" xfId="3444"/>
    <cellStyle name="Обычный 32" xfId="3534"/>
    <cellStyle name="Обычный 33" xfId="3653"/>
    <cellStyle name="Обычный 33 2" xfId="3654"/>
    <cellStyle name="Обычный 34" xfId="3655"/>
    <cellStyle name="Обычный 35" xfId="3656"/>
    <cellStyle name="Обычный 4" xfId="16"/>
    <cellStyle name="Обычный 4 10" xfId="3657"/>
    <cellStyle name="Обычный 4 11" xfId="3691"/>
    <cellStyle name="Обычный 4 12" xfId="3694"/>
    <cellStyle name="Обычный 4 13" xfId="3695"/>
    <cellStyle name="Обычный 4 2" xfId="363"/>
    <cellStyle name="Обычный 4 2 2" xfId="2448"/>
    <cellStyle name="Обычный 4 2 2 2" xfId="3445"/>
    <cellStyle name="Обычный 4 2 2 2 2" xfId="3446"/>
    <cellStyle name="Обычный 4 2 3" xfId="2449"/>
    <cellStyle name="Обычный 4 2 4" xfId="2450"/>
    <cellStyle name="Обычный 4 2 5" xfId="2451"/>
    <cellStyle name="Обычный 4 2 6" xfId="3447"/>
    <cellStyle name="Обычный 4 2 6 2" xfId="3448"/>
    <cellStyle name="Обычный 4 2 6 3" xfId="3692"/>
    <cellStyle name="Обычный 4 2_46EP.2012(v0.1)" xfId="2452"/>
    <cellStyle name="Обычный 4 3" xfId="364"/>
    <cellStyle name="Обычный 4 3 2" xfId="2453"/>
    <cellStyle name="Обычный 4 3 2 2" xfId="3449"/>
    <cellStyle name="Обычный 4 3 2 2 2" xfId="3450"/>
    <cellStyle name="Обычный 4 3 2 3" xfId="3693"/>
    <cellStyle name="Обычный 4 3 3" xfId="3451"/>
    <cellStyle name="Обычный 4 3 3 2" xfId="3452"/>
    <cellStyle name="Обычный 4 3 4" xfId="3453"/>
    <cellStyle name="Обычный 4 4" xfId="423"/>
    <cellStyle name="Обычный 4 4 2" xfId="3454"/>
    <cellStyle name="Обычный 4 4 3" xfId="3455"/>
    <cellStyle name="Обычный 4 5" xfId="2454"/>
    <cellStyle name="Обычный 4 5 2" xfId="3456"/>
    <cellStyle name="Обычный 4 5 2 2" xfId="3457"/>
    <cellStyle name="Обычный 4 5 2 2 2" xfId="3458"/>
    <cellStyle name="Обычный 4 6" xfId="3459"/>
    <cellStyle name="Обычный 4 7" xfId="3460"/>
    <cellStyle name="Обычный 4 7 2" xfId="3461"/>
    <cellStyle name="Обычный 4 8" xfId="3462"/>
    <cellStyle name="Обычный 4 9" xfId="3463"/>
    <cellStyle name="Обычный 4_ARMRAZR" xfId="2455"/>
    <cellStyle name="Обычный 5" xfId="365"/>
    <cellStyle name="Обычный 5 2" xfId="366"/>
    <cellStyle name="Обычный 5 2 2" xfId="367"/>
    <cellStyle name="Обычный 5 2 2 2" xfId="3464"/>
    <cellStyle name="Обычный 5 2 3" xfId="2456"/>
    <cellStyle name="Обычный 5 3" xfId="368"/>
    <cellStyle name="Обычный 5 4" xfId="369"/>
    <cellStyle name="Обычный 5 5" xfId="2457"/>
    <cellStyle name="Обычный 5 5 2" xfId="3465"/>
    <cellStyle name="Обычный 5 6" xfId="3466"/>
    <cellStyle name="Обычный 6" xfId="370"/>
    <cellStyle name="Обычный 6 2" xfId="371"/>
    <cellStyle name="Обычный 6 2 2" xfId="2458"/>
    <cellStyle name="Обычный 6 3" xfId="2459"/>
    <cellStyle name="Обычный 6 4" xfId="3658"/>
    <cellStyle name="Обычный 7" xfId="372"/>
    <cellStyle name="Обычный 7 2" xfId="373"/>
    <cellStyle name="Обычный 7 2 2" xfId="2460"/>
    <cellStyle name="Обычный 7 2 3" xfId="3467"/>
    <cellStyle name="Обычный 7 3" xfId="2461"/>
    <cellStyle name="Обычный 7 4" xfId="3659"/>
    <cellStyle name="Обычный 8" xfId="374"/>
    <cellStyle name="Обычный 8 2" xfId="2462"/>
    <cellStyle name="Обычный 8 3" xfId="2463"/>
    <cellStyle name="Обычный 8 4" xfId="3660"/>
    <cellStyle name="Обычный 9" xfId="375"/>
    <cellStyle name="Обычный 9 2" xfId="376"/>
    <cellStyle name="Обычный 9 2 2" xfId="2464"/>
    <cellStyle name="Обычный 9 3" xfId="2465"/>
    <cellStyle name="Обычный 9 4" xfId="3661"/>
    <cellStyle name="Обычный_Расчет 2009_под объёмы 2008_с текущим ремонтом" xfId="17"/>
    <cellStyle name="Обычный_РЭК_табл" xfId="2"/>
    <cellStyle name="Обычный1" xfId="2466"/>
    <cellStyle name="Ошибка" xfId="377"/>
    <cellStyle name="Ошибка 2" xfId="3468"/>
    <cellStyle name="Плохой 10" xfId="2467"/>
    <cellStyle name="Плохой 2" xfId="2468"/>
    <cellStyle name="Плохой 2 2" xfId="2469"/>
    <cellStyle name="Плохой 3" xfId="2470"/>
    <cellStyle name="Плохой 3 2" xfId="2471"/>
    <cellStyle name="Плохой 4" xfId="2472"/>
    <cellStyle name="Плохой 4 2" xfId="2473"/>
    <cellStyle name="Плохой 5" xfId="2474"/>
    <cellStyle name="Плохой 5 2" xfId="2475"/>
    <cellStyle name="Плохой 6" xfId="2476"/>
    <cellStyle name="Плохой 6 2" xfId="2477"/>
    <cellStyle name="Плохой 7" xfId="2478"/>
    <cellStyle name="Плохой 7 2" xfId="2479"/>
    <cellStyle name="Плохой 8" xfId="2480"/>
    <cellStyle name="Плохой 8 2" xfId="2481"/>
    <cellStyle name="Плохой 9" xfId="2482"/>
    <cellStyle name="Плохой 9 2" xfId="2483"/>
    <cellStyle name="По центру с переносом" xfId="2484"/>
    <cellStyle name="По центру с переносом 2" xfId="2485"/>
    <cellStyle name="По центру с переносом 3" xfId="2486"/>
    <cellStyle name="По центру с переносом 4" xfId="2487"/>
    <cellStyle name="По ширине с переносом" xfId="2488"/>
    <cellStyle name="По ширине с переносом 2" xfId="2489"/>
    <cellStyle name="По ширине с переносом 3" xfId="2490"/>
    <cellStyle name="По ширине с переносом 4" xfId="2491"/>
    <cellStyle name="Подгруппа" xfId="378"/>
    <cellStyle name="Подгруппа 2" xfId="3469"/>
    <cellStyle name="Поле ввода" xfId="379"/>
    <cellStyle name="Пояснение 10" xfId="2492"/>
    <cellStyle name="Пояснение 2" xfId="2493"/>
    <cellStyle name="Пояснение 2 2" xfId="2494"/>
    <cellStyle name="Пояснение 3" xfId="2495"/>
    <cellStyle name="Пояснение 3 2" xfId="2496"/>
    <cellStyle name="Пояснение 4" xfId="2497"/>
    <cellStyle name="Пояснение 4 2" xfId="2498"/>
    <cellStyle name="Пояснение 5" xfId="2499"/>
    <cellStyle name="Пояснение 5 2" xfId="2500"/>
    <cellStyle name="Пояснение 6" xfId="2501"/>
    <cellStyle name="Пояснение 6 2" xfId="2502"/>
    <cellStyle name="Пояснение 7" xfId="2503"/>
    <cellStyle name="Пояснение 7 2" xfId="2504"/>
    <cellStyle name="Пояснение 8" xfId="2505"/>
    <cellStyle name="Пояснение 8 2" xfId="2506"/>
    <cellStyle name="Пояснение 9" xfId="2507"/>
    <cellStyle name="Пояснение 9 2" xfId="2508"/>
    <cellStyle name="Примечание 10" xfId="2509"/>
    <cellStyle name="Примечание 10 2" xfId="2510"/>
    <cellStyle name="Примечание 10 3" xfId="2511"/>
    <cellStyle name="Примечание 10 4" xfId="2512"/>
    <cellStyle name="Примечание 10_46EE.2011(v1.0)" xfId="2513"/>
    <cellStyle name="Примечание 11" xfId="2514"/>
    <cellStyle name="Примечание 11 2" xfId="2515"/>
    <cellStyle name="Примечание 11 3" xfId="2516"/>
    <cellStyle name="Примечание 11 4" xfId="2517"/>
    <cellStyle name="Примечание 11_46EE.2011(v1.0)" xfId="2518"/>
    <cellStyle name="Примечание 12" xfId="2519"/>
    <cellStyle name="Примечание 12 2" xfId="2520"/>
    <cellStyle name="Примечание 12 3" xfId="2521"/>
    <cellStyle name="Примечание 12 4" xfId="2522"/>
    <cellStyle name="Примечание 12_46EE.2011(v1.0)" xfId="2523"/>
    <cellStyle name="Примечание 13" xfId="2524"/>
    <cellStyle name="Примечание 14" xfId="2525"/>
    <cellStyle name="Примечание 15" xfId="2526"/>
    <cellStyle name="Примечание 16" xfId="2527"/>
    <cellStyle name="Примечание 17" xfId="2528"/>
    <cellStyle name="Примечание 18" xfId="2529"/>
    <cellStyle name="Примечание 19" xfId="2530"/>
    <cellStyle name="Примечание 2" xfId="2531"/>
    <cellStyle name="Примечание 2 2" xfId="2532"/>
    <cellStyle name="Примечание 2 3" xfId="2533"/>
    <cellStyle name="Примечание 2 4" xfId="2534"/>
    <cellStyle name="Примечание 2 5" xfId="2535"/>
    <cellStyle name="Примечание 2 6" xfId="2536"/>
    <cellStyle name="Примечание 2 7" xfId="2537"/>
    <cellStyle name="Примечание 2 8" xfId="2538"/>
    <cellStyle name="Примечание 2 9" xfId="2539"/>
    <cellStyle name="Примечание 2_46EE.2011(v1.0)" xfId="2540"/>
    <cellStyle name="Примечание 20" xfId="2541"/>
    <cellStyle name="Примечание 21" xfId="2542"/>
    <cellStyle name="Примечание 22" xfId="2543"/>
    <cellStyle name="Примечание 23" xfId="2544"/>
    <cellStyle name="Примечание 24" xfId="2545"/>
    <cellStyle name="Примечание 25" xfId="2546"/>
    <cellStyle name="Примечание 26" xfId="2547"/>
    <cellStyle name="Примечание 27" xfId="2548"/>
    <cellStyle name="Примечание 28" xfId="2549"/>
    <cellStyle name="Примечание 29" xfId="2550"/>
    <cellStyle name="Примечание 3" xfId="2551"/>
    <cellStyle name="Примечание 3 2" xfId="2552"/>
    <cellStyle name="Примечание 3 3" xfId="2553"/>
    <cellStyle name="Примечание 3 4" xfId="2554"/>
    <cellStyle name="Примечание 3 5" xfId="2555"/>
    <cellStyle name="Примечание 3 6" xfId="2556"/>
    <cellStyle name="Примечание 3 7" xfId="2557"/>
    <cellStyle name="Примечание 3 8" xfId="2558"/>
    <cellStyle name="Примечание 3 9" xfId="2559"/>
    <cellStyle name="Примечание 3_46EE.2011(v1.0)" xfId="2560"/>
    <cellStyle name="Примечание 30" xfId="2561"/>
    <cellStyle name="Примечание 31" xfId="2562"/>
    <cellStyle name="Примечание 32" xfId="2563"/>
    <cellStyle name="Примечание 33" xfId="2564"/>
    <cellStyle name="Примечание 34" xfId="2565"/>
    <cellStyle name="Примечание 35" xfId="2566"/>
    <cellStyle name="Примечание 36" xfId="2567"/>
    <cellStyle name="Примечание 37" xfId="2568"/>
    <cellStyle name="Примечание 4" xfId="2569"/>
    <cellStyle name="Примечание 4 2" xfId="2570"/>
    <cellStyle name="Примечание 4 3" xfId="2571"/>
    <cellStyle name="Примечание 4 4" xfId="2572"/>
    <cellStyle name="Примечание 4 5" xfId="2573"/>
    <cellStyle name="Примечание 4 6" xfId="2574"/>
    <cellStyle name="Примечание 4 7" xfId="2575"/>
    <cellStyle name="Примечание 4 8" xfId="2576"/>
    <cellStyle name="Примечание 4 9" xfId="2577"/>
    <cellStyle name="Примечание 4_46EE.2011(v1.0)" xfId="2578"/>
    <cellStyle name="Примечание 5" xfId="2579"/>
    <cellStyle name="Примечание 5 2" xfId="2580"/>
    <cellStyle name="Примечание 5 3" xfId="2581"/>
    <cellStyle name="Примечание 5 4" xfId="2582"/>
    <cellStyle name="Примечание 5 5" xfId="2583"/>
    <cellStyle name="Примечание 5 6" xfId="2584"/>
    <cellStyle name="Примечание 5 7" xfId="2585"/>
    <cellStyle name="Примечание 5 8" xfId="2586"/>
    <cellStyle name="Примечание 5 9" xfId="2587"/>
    <cellStyle name="Примечание 5_46EE.2011(v1.0)" xfId="2588"/>
    <cellStyle name="Примечание 6" xfId="2589"/>
    <cellStyle name="Примечание 6 2" xfId="2590"/>
    <cellStyle name="Примечание 6_46EE.2011(v1.0)" xfId="2591"/>
    <cellStyle name="Примечание 7" xfId="2592"/>
    <cellStyle name="Примечание 7 2" xfId="2593"/>
    <cellStyle name="Примечание 7_46EE.2011(v1.0)" xfId="2594"/>
    <cellStyle name="Примечание 8" xfId="2595"/>
    <cellStyle name="Примечание 8 2" xfId="2596"/>
    <cellStyle name="Примечание 8_46EE.2011(v1.0)" xfId="2597"/>
    <cellStyle name="Примечание 9" xfId="2598"/>
    <cellStyle name="Примечание 9 2" xfId="2599"/>
    <cellStyle name="Примечание 9_46EE.2011(v1.0)" xfId="2600"/>
    <cellStyle name="Продукт" xfId="380"/>
    <cellStyle name="Процент_ГСМ (з)" xfId="3470"/>
    <cellStyle name="Процентный" xfId="1" builtinId="5"/>
    <cellStyle name="Процентный 10" xfId="2601"/>
    <cellStyle name="Процентный 11" xfId="3471"/>
    <cellStyle name="Процентный 11 2" xfId="3472"/>
    <cellStyle name="Процентный 11 2 2" xfId="3473"/>
    <cellStyle name="Процентный 12" xfId="3474"/>
    <cellStyle name="Процентный 12 2" xfId="3475"/>
    <cellStyle name="Процентный 13" xfId="3535"/>
    <cellStyle name="Процентный 14" xfId="3662"/>
    <cellStyle name="Процентный 15" xfId="3663"/>
    <cellStyle name="Процентный 2" xfId="4"/>
    <cellStyle name="Процентный 2 2" xfId="7"/>
    <cellStyle name="Процентный 2 2 2" xfId="381"/>
    <cellStyle name="Процентный 2 2 2 2" xfId="2602"/>
    <cellStyle name="Процентный 2 2 3" xfId="2603"/>
    <cellStyle name="Процентный 2 2 4" xfId="2604"/>
    <cellStyle name="Процентный 2 3" xfId="382"/>
    <cellStyle name="Процентный 2 3 2" xfId="2605"/>
    <cellStyle name="Процентный 2 3 3" xfId="2606"/>
    <cellStyle name="Процентный 2 3 4" xfId="2607"/>
    <cellStyle name="Процентный 2 4" xfId="383"/>
    <cellStyle name="Процентный 2 5" xfId="384"/>
    <cellStyle name="Процентный 2 5 2" xfId="3476"/>
    <cellStyle name="Процентный 2 6" xfId="2608"/>
    <cellStyle name="Процентный 2 7" xfId="3477"/>
    <cellStyle name="Процентный 3" xfId="18"/>
    <cellStyle name="Процентный 3 2" xfId="2609"/>
    <cellStyle name="Процентный 3 3" xfId="2610"/>
    <cellStyle name="Процентный 3 4" xfId="2611"/>
    <cellStyle name="Процентный 3 5" xfId="3478"/>
    <cellStyle name="Процентный 3 5 2" xfId="3479"/>
    <cellStyle name="Процентный 3 5 3" xfId="3480"/>
    <cellStyle name="Процентный 4" xfId="14"/>
    <cellStyle name="Процентный 4 2" xfId="2612"/>
    <cellStyle name="Процентный 4 3" xfId="2613"/>
    <cellStyle name="Процентный 4 4" xfId="2614"/>
    <cellStyle name="Процентный 4 5" xfId="2615"/>
    <cellStyle name="Процентный 4 6" xfId="3664"/>
    <cellStyle name="Процентный 5" xfId="385"/>
    <cellStyle name="Процентный 5 2" xfId="386"/>
    <cellStyle name="Процентный 5 3" xfId="2616"/>
    <cellStyle name="Процентный 5 4" xfId="3481"/>
    <cellStyle name="Процентный 6" xfId="387"/>
    <cellStyle name="Процентный 6 2" xfId="3482"/>
    <cellStyle name="Процентный 7" xfId="388"/>
    <cellStyle name="Процентный 7 2" xfId="3483"/>
    <cellStyle name="Процентный 8" xfId="2617"/>
    <cellStyle name="Процентный 8 2" xfId="3484"/>
    <cellStyle name="Процентный 9" xfId="2618"/>
    <cellStyle name="Пункт раздела" xfId="389"/>
    <cellStyle name="Пункт раздела 2" xfId="3665"/>
    <cellStyle name="Разница" xfId="390"/>
    <cellStyle name="Разница 2" xfId="3485"/>
    <cellStyle name="Рамки" xfId="391"/>
    <cellStyle name="Рамки 2" xfId="2619"/>
    <cellStyle name="Рамки 2 2" xfId="3486"/>
    <cellStyle name="Рамки 3" xfId="3487"/>
    <cellStyle name="Расчетный" xfId="3488"/>
    <cellStyle name="Сводная таблица" xfId="392"/>
    <cellStyle name="Связанная ячейка 10" xfId="2620"/>
    <cellStyle name="Связанная ячейка 2" xfId="2621"/>
    <cellStyle name="Связанная ячейка 2 2" xfId="2622"/>
    <cellStyle name="Связанная ячейка 2_46EE.2011(v1.0)" xfId="2623"/>
    <cellStyle name="Связанная ячейка 3" xfId="2624"/>
    <cellStyle name="Связанная ячейка 3 2" xfId="2625"/>
    <cellStyle name="Связанная ячейка 3_46EE.2011(v1.0)" xfId="2626"/>
    <cellStyle name="Связанная ячейка 4" xfId="2627"/>
    <cellStyle name="Связанная ячейка 4 2" xfId="2628"/>
    <cellStyle name="Связанная ячейка 4_46EE.2011(v1.0)" xfId="2629"/>
    <cellStyle name="Связанная ячейка 5" xfId="2630"/>
    <cellStyle name="Связанная ячейка 5 2" xfId="2631"/>
    <cellStyle name="Связанная ячейка 5_46EE.2011(v1.0)" xfId="2632"/>
    <cellStyle name="Связанная ячейка 6" xfId="2633"/>
    <cellStyle name="Связанная ячейка 6 2" xfId="2634"/>
    <cellStyle name="Связанная ячейка 6_46EE.2011(v1.0)" xfId="2635"/>
    <cellStyle name="Связанная ячейка 7" xfId="2636"/>
    <cellStyle name="Связанная ячейка 7 2" xfId="2637"/>
    <cellStyle name="Связанная ячейка 7_46EE.2011(v1.0)" xfId="2638"/>
    <cellStyle name="Связанная ячейка 8" xfId="2639"/>
    <cellStyle name="Связанная ячейка 8 2" xfId="2640"/>
    <cellStyle name="Связанная ячейка 8_46EE.2011(v1.0)" xfId="2641"/>
    <cellStyle name="Связанная ячейка 9" xfId="2642"/>
    <cellStyle name="Связанная ячейка 9 2" xfId="2643"/>
    <cellStyle name="Связанная ячейка 9_46EE.2011(v1.0)" xfId="2644"/>
    <cellStyle name="Стиль 1" xfId="393"/>
    <cellStyle name="Стиль 1 2" xfId="394"/>
    <cellStyle name="Стиль 1 2 2" xfId="2645"/>
    <cellStyle name="Стиль 1 2 2 2" xfId="2646"/>
    <cellStyle name="Стиль 1 2 2 2 2" xfId="2647"/>
    <cellStyle name="Стиль 1 2 2 3" xfId="2648"/>
    <cellStyle name="Стиль 1 2 3" xfId="2649"/>
    <cellStyle name="Стиль 1 2_46EP.2011(v2.0)" xfId="2650"/>
    <cellStyle name="Стиль 1 3" xfId="395"/>
    <cellStyle name="Стиль 1 3 2" xfId="2651"/>
    <cellStyle name="Стиль 1 3 3" xfId="3489"/>
    <cellStyle name="Стиль 1 4" xfId="2652"/>
    <cellStyle name="Стиль 1_БП АП 2010" xfId="396"/>
    <cellStyle name="Стиль 2" xfId="397"/>
    <cellStyle name="Стиль 2 2" xfId="2653"/>
    <cellStyle name="Стиль 2 2 2" xfId="3666"/>
    <cellStyle name="Стиль 2 3" xfId="3490"/>
    <cellStyle name="Стиль 3" xfId="3491"/>
    <cellStyle name="Стиль 3 2" xfId="3492"/>
    <cellStyle name="Стиль 4" xfId="3493"/>
    <cellStyle name="Стиль 4 2" xfId="3494"/>
    <cellStyle name="Стиль 5" xfId="3495"/>
    <cellStyle name="Стиль 5 2" xfId="3496"/>
    <cellStyle name="Субсчет" xfId="398"/>
    <cellStyle name="Счет" xfId="399"/>
    <cellStyle name="ТЕКСТ" xfId="400"/>
    <cellStyle name="ТЕКСТ 10" xfId="2654"/>
    <cellStyle name="ТЕКСТ 2" xfId="2655"/>
    <cellStyle name="ТЕКСТ 3" xfId="2656"/>
    <cellStyle name="ТЕКСТ 4" xfId="2657"/>
    <cellStyle name="ТЕКСТ 5" xfId="2658"/>
    <cellStyle name="ТЕКСТ 6" xfId="2659"/>
    <cellStyle name="ТЕКСТ 7" xfId="2660"/>
    <cellStyle name="ТЕКСТ 8" xfId="2661"/>
    <cellStyle name="ТЕКСТ 9" xfId="2662"/>
    <cellStyle name="Текст предупреждения 10" xfId="2663"/>
    <cellStyle name="Текст предупреждения 2" xfId="2664"/>
    <cellStyle name="Текст предупреждения 2 2" xfId="2665"/>
    <cellStyle name="Текст предупреждения 3" xfId="2666"/>
    <cellStyle name="Текст предупреждения 3 2" xfId="2667"/>
    <cellStyle name="Текст предупреждения 4" xfId="2668"/>
    <cellStyle name="Текст предупреждения 4 2" xfId="2669"/>
    <cellStyle name="Текст предупреждения 5" xfId="2670"/>
    <cellStyle name="Текст предупреждения 5 2" xfId="2671"/>
    <cellStyle name="Текст предупреждения 6" xfId="2672"/>
    <cellStyle name="Текст предупреждения 6 2" xfId="2673"/>
    <cellStyle name="Текст предупреждения 7" xfId="2674"/>
    <cellStyle name="Текст предупреждения 7 2" xfId="2675"/>
    <cellStyle name="Текст предупреждения 8" xfId="2676"/>
    <cellStyle name="Текст предупреждения 8 2" xfId="2677"/>
    <cellStyle name="Текст предупреждения 9" xfId="2678"/>
    <cellStyle name="Текст предупреждения 9 2" xfId="2679"/>
    <cellStyle name="Текстовый" xfId="401"/>
    <cellStyle name="Текстовый 10" xfId="2680"/>
    <cellStyle name="Текстовый 11" xfId="2681"/>
    <cellStyle name="Текстовый 12" xfId="2682"/>
    <cellStyle name="Текстовый 13" xfId="2683"/>
    <cellStyle name="Текстовый 14" xfId="2684"/>
    <cellStyle name="Текстовый 15" xfId="2685"/>
    <cellStyle name="Текстовый 16" xfId="2686"/>
    <cellStyle name="Текстовый 2" xfId="402"/>
    <cellStyle name="Текстовый 3" xfId="2687"/>
    <cellStyle name="Текстовый 4" xfId="2688"/>
    <cellStyle name="Текстовый 5" xfId="2689"/>
    <cellStyle name="Текстовый 6" xfId="2690"/>
    <cellStyle name="Текстовый 7" xfId="2691"/>
    <cellStyle name="Текстовый 8" xfId="2692"/>
    <cellStyle name="Текстовый 9" xfId="2693"/>
    <cellStyle name="Текстовый_1" xfId="2694"/>
    <cellStyle name="Тысячи [0]_2 пг2001г пр-в ДОК" xfId="3497"/>
    <cellStyle name="Тысячи_14APnakl" xfId="403"/>
    <cellStyle name="ФИКСИРОВАННЫЙ" xfId="2695"/>
    <cellStyle name="ФИКСИРОВАННЫЙ 2" xfId="2696"/>
    <cellStyle name="ФИКСИРОВАННЫЙ 3" xfId="2697"/>
    <cellStyle name="ФИКСИРОВАННЫЙ 4" xfId="2698"/>
    <cellStyle name="ФИКСИРОВАННЫЙ 5" xfId="2699"/>
    <cellStyle name="ФИКСИРОВАННЫЙ 6" xfId="2700"/>
    <cellStyle name="ФИКСИРОВАННЫЙ 7" xfId="2701"/>
    <cellStyle name="ФИКСИРОВАННЫЙ 8" xfId="2702"/>
    <cellStyle name="ФИКСИРОВАННЫЙ 9" xfId="2703"/>
    <cellStyle name="ФИКСИРОВАННЫЙ_1" xfId="2704"/>
    <cellStyle name="Финансовый" xfId="5" builtinId="3"/>
    <cellStyle name="Финансовый [0] 2" xfId="3498"/>
    <cellStyle name="Финансовый [0] 2 2" xfId="3499"/>
    <cellStyle name="Финансовый [0] 2 3" xfId="3500"/>
    <cellStyle name="Финансовый [0] 3" xfId="3501"/>
    <cellStyle name="Финансовый 10" xfId="3502"/>
    <cellStyle name="Финансовый 10 2" xfId="3503"/>
    <cellStyle name="Финансовый 11" xfId="3504"/>
    <cellStyle name="Финансовый 11 2" xfId="3505"/>
    <cellStyle name="Финансовый 12" xfId="3532"/>
    <cellStyle name="Финансовый 12 2" xfId="3667"/>
    <cellStyle name="Финансовый 2" xfId="19"/>
    <cellStyle name="Финансовый 2 10" xfId="3668"/>
    <cellStyle name="Финансовый 2 2" xfId="404"/>
    <cellStyle name="Финансовый 2 2 2" xfId="2705"/>
    <cellStyle name="Финансовый 2 2 3" xfId="2706"/>
    <cellStyle name="Финансовый 2 2 4" xfId="2707"/>
    <cellStyle name="Финансовый 2 2 5" xfId="3669"/>
    <cellStyle name="Финансовый 2 2_INDEX.STATION.2012(v1.0)_" xfId="2708"/>
    <cellStyle name="Финансовый 2 3" xfId="8"/>
    <cellStyle name="Финансовый 2 4" xfId="2709"/>
    <cellStyle name="Финансовый 2 4 2" xfId="3687"/>
    <cellStyle name="Финансовый 2 5" xfId="2710"/>
    <cellStyle name="Финансовый 2 5 2" xfId="3506"/>
    <cellStyle name="Финансовый 2 6" xfId="2711"/>
    <cellStyle name="Финансовый 2 7" xfId="3507"/>
    <cellStyle name="Финансовый 2 8" xfId="3508"/>
    <cellStyle name="Финансовый 2 9" xfId="3670"/>
    <cellStyle name="Финансовый 2_46EE.2011(v1.0)" xfId="2712"/>
    <cellStyle name="Финансовый 3" xfId="15"/>
    <cellStyle name="Финансовый 3 2" xfId="2713"/>
    <cellStyle name="Финансовый 3 2 2" xfId="2714"/>
    <cellStyle name="Финансовый 3 2 3" xfId="3671"/>
    <cellStyle name="Финансовый 3 2_UPDATE.MONITORING.OS.EE.2.02.TO.1.3.64" xfId="2715"/>
    <cellStyle name="Финансовый 3 3" xfId="2716"/>
    <cellStyle name="Финансовый 3 4" xfId="2717"/>
    <cellStyle name="Финансовый 3 5" xfId="2718"/>
    <cellStyle name="Финансовый 3 6" xfId="2719"/>
    <cellStyle name="Финансовый 3 8" xfId="3509"/>
    <cellStyle name="Финансовый 3_ARMRAZR" xfId="2720"/>
    <cellStyle name="Финансовый 4" xfId="405"/>
    <cellStyle name="Финансовый 4 2" xfId="406"/>
    <cellStyle name="Финансовый 4 2 2" xfId="2721"/>
    <cellStyle name="Финансовый 4 3" xfId="2722"/>
    <cellStyle name="Финансовый 4 3 2" xfId="3510"/>
    <cellStyle name="Финансовый 4 4" xfId="3511"/>
    <cellStyle name="Финансовый 4_TEHSHEET" xfId="2723"/>
    <cellStyle name="Финансовый 5" xfId="407"/>
    <cellStyle name="Финансовый 5 2" xfId="2724"/>
    <cellStyle name="Финансовый 5 3" xfId="3512"/>
    <cellStyle name="Финансовый 6" xfId="2725"/>
    <cellStyle name="Финансовый 6 2" xfId="2726"/>
    <cellStyle name="Финансовый 6 3" xfId="3513"/>
    <cellStyle name="Финансовый 7" xfId="2727"/>
    <cellStyle name="Финансовый 7 2" xfId="3514"/>
    <cellStyle name="Финансовый 7 2 2" xfId="3515"/>
    <cellStyle name="Финансовый 7 3" xfId="3516"/>
    <cellStyle name="Финансовый 8" xfId="2761"/>
    <cellStyle name="Финансовый 8 2" xfId="3517"/>
    <cellStyle name="Финансовый 9" xfId="2781"/>
    <cellStyle name="Финансовый 9 2" xfId="3518"/>
    <cellStyle name="Финансовый0[0]_FU_bal" xfId="408"/>
    <cellStyle name="Формула" xfId="409"/>
    <cellStyle name="Формула 2" xfId="2728"/>
    <cellStyle name="Формула 2 2" xfId="2729"/>
    <cellStyle name="Формула 3" xfId="2730"/>
    <cellStyle name="Формула 4" xfId="3519"/>
    <cellStyle name="Формула_A РТ 2009 Рязаньэнерго" xfId="2731"/>
    <cellStyle name="ФормулаВБ" xfId="410"/>
    <cellStyle name="ФормулаВБ 2" xfId="411"/>
    <cellStyle name="ФормулаНаКонтроль" xfId="412"/>
    <cellStyle name="ФормулаНаКонтроль 2" xfId="2732"/>
    <cellStyle name="ФормулаНаКонтроль 2 2" xfId="3520"/>
    <cellStyle name="ФормулаНаКонтроль 3" xfId="3521"/>
    <cellStyle name="ФормулаНаКонтроль_GRES.2007.5" xfId="2733"/>
    <cellStyle name="Хороший 10" xfId="2734"/>
    <cellStyle name="Хороший 2" xfId="2735"/>
    <cellStyle name="Хороший 2 2" xfId="2736"/>
    <cellStyle name="Хороший 3" xfId="2737"/>
    <cellStyle name="Хороший 3 2" xfId="2738"/>
    <cellStyle name="Хороший 4" xfId="2739"/>
    <cellStyle name="Хороший 4 2" xfId="2740"/>
    <cellStyle name="Хороший 5" xfId="2741"/>
    <cellStyle name="Хороший 5 2" xfId="2742"/>
    <cellStyle name="Хороший 6" xfId="2743"/>
    <cellStyle name="Хороший 6 2" xfId="2744"/>
    <cellStyle name="Хороший 7" xfId="2745"/>
    <cellStyle name="Хороший 7 2" xfId="2746"/>
    <cellStyle name="Хороший 8" xfId="2747"/>
    <cellStyle name="Хороший 8 2" xfId="2748"/>
    <cellStyle name="Хороший 9" xfId="2749"/>
    <cellStyle name="Хороший 9 2" xfId="2750"/>
    <cellStyle name="Цена_продукта" xfId="413"/>
    <cellStyle name="Ценовой" xfId="3522"/>
    <cellStyle name="Цифры по центру с десятыми" xfId="2751"/>
    <cellStyle name="Цифры по центру с десятыми 2" xfId="2752"/>
    <cellStyle name="Цифры по центру с десятыми 2 2" xfId="3523"/>
    <cellStyle name="Цифры по центру с десятыми 3" xfId="2753"/>
    <cellStyle name="Цифры по центру с десятыми 3 2" xfId="3524"/>
    <cellStyle name="Цифры по центру с десятыми 4" xfId="2754"/>
    <cellStyle name="Цифры по центру с десятыми 4 2" xfId="3525"/>
    <cellStyle name="Цифры по центру с десятыми 5" xfId="3526"/>
    <cellStyle name="число" xfId="414"/>
    <cellStyle name="Џђћ–…ќ’ќ›‰" xfId="415"/>
    <cellStyle name="Џђћ–…ќ’ќ›‰ 2" xfId="2755"/>
    <cellStyle name="Џђћ–…ќ’ќ›‰ 2 2" xfId="3527"/>
    <cellStyle name="Џђћ–…ќ’ќ›‰ 3" xfId="2756"/>
    <cellStyle name="Џђћ–…ќ’ќ›‰ 4" xfId="3672"/>
    <cellStyle name="Шапка" xfId="416"/>
    <cellStyle name="Шапка 2" xfId="3528"/>
    <cellStyle name="Шапка таблицы" xfId="417"/>
    <cellStyle name="Шапка таблицы 2" xfId="2757"/>
    <cellStyle name="Шапка таблицы 2 2" xfId="3529"/>
    <cellStyle name="Шапка таблицы 3" xfId="3530"/>
    <cellStyle name="Шапка_4DNS.UPDATE.EXAMPLE" xfId="2758"/>
    <cellStyle name="ШАУ" xfId="418"/>
    <cellStyle name="ШАУ 2" xfId="3531"/>
    <cellStyle name="標準_PL-CF sheet" xfId="419"/>
    <cellStyle name="㼿" xfId="2762"/>
    <cellStyle name="㼿?" xfId="2763"/>
    <cellStyle name="㼿㼿" xfId="2764"/>
    <cellStyle name="㼿㼿 2" xfId="2765"/>
    <cellStyle name="㼿㼿?" xfId="2766"/>
    <cellStyle name="㼿㼿? 2" xfId="2767"/>
    <cellStyle name="㼿㼿? 3" xfId="2768"/>
    <cellStyle name="㼿㼿㼿" xfId="2769"/>
    <cellStyle name="㼿㼿㼿 2" xfId="2770"/>
    <cellStyle name="㼿㼿㼿?" xfId="2771"/>
    <cellStyle name="㼿㼿㼿? 2" xfId="2772"/>
    <cellStyle name="㼿㼿㼿? 3" xfId="2773"/>
    <cellStyle name="㼿㼿㼿㼿" xfId="2774"/>
    <cellStyle name="㼿㼿㼿㼿?" xfId="2775"/>
    <cellStyle name="㼿㼿㼿㼿㼿" xfId="2776"/>
    <cellStyle name="䁺_x0001_" xfId="420"/>
    <cellStyle name="䁺_x0001_ 2" xfId="2759"/>
    <cellStyle name="䁺_x0001_ 3" xfId="3673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0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46.xml"/><Relationship Id="rId84" Type="http://schemas.openxmlformats.org/officeDocument/2006/relationships/externalLink" Target="externalLinks/externalLink67.xml"/><Relationship Id="rId138" Type="http://schemas.openxmlformats.org/officeDocument/2006/relationships/externalLink" Target="externalLinks/externalLink121.xml"/><Relationship Id="rId159" Type="http://schemas.openxmlformats.org/officeDocument/2006/relationships/externalLink" Target="externalLinks/externalLink142.xml"/><Relationship Id="rId170" Type="http://schemas.openxmlformats.org/officeDocument/2006/relationships/externalLink" Target="externalLinks/externalLink153.xml"/><Relationship Id="rId191" Type="http://schemas.openxmlformats.org/officeDocument/2006/relationships/externalLink" Target="externalLinks/externalLink174.xml"/><Relationship Id="rId205" Type="http://schemas.openxmlformats.org/officeDocument/2006/relationships/externalLink" Target="externalLinks/externalLink188.xml"/><Relationship Id="rId107" Type="http://schemas.openxmlformats.org/officeDocument/2006/relationships/externalLink" Target="externalLinks/externalLink90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102" Type="http://schemas.openxmlformats.org/officeDocument/2006/relationships/externalLink" Target="externalLinks/externalLink85.xml"/><Relationship Id="rId123" Type="http://schemas.openxmlformats.org/officeDocument/2006/relationships/externalLink" Target="externalLinks/externalLink106.xml"/><Relationship Id="rId128" Type="http://schemas.openxmlformats.org/officeDocument/2006/relationships/externalLink" Target="externalLinks/externalLink111.xml"/><Relationship Id="rId144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3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3.xml"/><Relationship Id="rId95" Type="http://schemas.openxmlformats.org/officeDocument/2006/relationships/externalLink" Target="externalLinks/externalLink78.xml"/><Relationship Id="rId160" Type="http://schemas.openxmlformats.org/officeDocument/2006/relationships/externalLink" Target="externalLinks/externalLink143.xml"/><Relationship Id="rId165" Type="http://schemas.openxmlformats.org/officeDocument/2006/relationships/externalLink" Target="externalLinks/externalLink148.xml"/><Relationship Id="rId181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69.xml"/><Relationship Id="rId211" Type="http://schemas.openxmlformats.org/officeDocument/2006/relationships/calcChain" Target="calcChain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113" Type="http://schemas.openxmlformats.org/officeDocument/2006/relationships/externalLink" Target="externalLinks/externalLink96.xml"/><Relationship Id="rId118" Type="http://schemas.openxmlformats.org/officeDocument/2006/relationships/externalLink" Target="externalLinks/externalLink101.xml"/><Relationship Id="rId134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22.xml"/><Relationship Id="rId80" Type="http://schemas.openxmlformats.org/officeDocument/2006/relationships/externalLink" Target="externalLinks/externalLink63.xml"/><Relationship Id="rId85" Type="http://schemas.openxmlformats.org/officeDocument/2006/relationships/externalLink" Target="externalLinks/externalLink68.xml"/><Relationship Id="rId150" Type="http://schemas.openxmlformats.org/officeDocument/2006/relationships/externalLink" Target="externalLinks/externalLink133.xml"/><Relationship Id="rId155" Type="http://schemas.openxmlformats.org/officeDocument/2006/relationships/externalLink" Target="externalLinks/externalLink138.xml"/><Relationship Id="rId171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59.xml"/><Relationship Id="rId192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80.xml"/><Relationship Id="rId206" Type="http://schemas.openxmlformats.org/officeDocument/2006/relationships/externalLink" Target="externalLinks/externalLink189.xml"/><Relationship Id="rId201" Type="http://schemas.openxmlformats.org/officeDocument/2006/relationships/externalLink" Target="externalLinks/externalLink18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86.xml"/><Relationship Id="rId108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12.xml"/><Relationship Id="rId54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79.xml"/><Relationship Id="rId140" Type="http://schemas.openxmlformats.org/officeDocument/2006/relationships/externalLink" Target="externalLinks/externalLink123.xml"/><Relationship Id="rId145" Type="http://schemas.openxmlformats.org/officeDocument/2006/relationships/externalLink" Target="externalLinks/externalLink128.xml"/><Relationship Id="rId161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49.xml"/><Relationship Id="rId182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32.xml"/><Relationship Id="rId114" Type="http://schemas.openxmlformats.org/officeDocument/2006/relationships/externalLink" Target="externalLinks/externalLink97.xml"/><Relationship Id="rId119" Type="http://schemas.openxmlformats.org/officeDocument/2006/relationships/externalLink" Target="externalLinks/externalLink102.xml"/><Relationship Id="rId44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69.xml"/><Relationship Id="rId130" Type="http://schemas.openxmlformats.org/officeDocument/2006/relationships/externalLink" Target="externalLinks/externalLink113.xml"/><Relationship Id="rId135" Type="http://schemas.openxmlformats.org/officeDocument/2006/relationships/externalLink" Target="externalLinks/externalLink118.xml"/><Relationship Id="rId151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39.xml"/><Relationship Id="rId177" Type="http://schemas.openxmlformats.org/officeDocument/2006/relationships/externalLink" Target="externalLinks/externalLink160.xml"/><Relationship Id="rId198" Type="http://schemas.openxmlformats.org/officeDocument/2006/relationships/externalLink" Target="externalLinks/externalLink181.xml"/><Relationship Id="rId172" Type="http://schemas.openxmlformats.org/officeDocument/2006/relationships/externalLink" Target="externalLinks/externalLink155.xml"/><Relationship Id="rId193" Type="http://schemas.openxmlformats.org/officeDocument/2006/relationships/externalLink" Target="externalLinks/externalLink176.xml"/><Relationship Id="rId202" Type="http://schemas.openxmlformats.org/officeDocument/2006/relationships/externalLink" Target="externalLinks/externalLink185.xml"/><Relationship Id="rId207" Type="http://schemas.openxmlformats.org/officeDocument/2006/relationships/externalLink" Target="externalLinks/externalLink19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109" Type="http://schemas.openxmlformats.org/officeDocument/2006/relationships/externalLink" Target="externalLinks/externalLink9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97" Type="http://schemas.openxmlformats.org/officeDocument/2006/relationships/externalLink" Target="externalLinks/externalLink80.xml"/><Relationship Id="rId104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08.xml"/><Relationship Id="rId141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29.xml"/><Relationship Id="rId167" Type="http://schemas.openxmlformats.org/officeDocument/2006/relationships/externalLink" Target="externalLinks/externalLink150.xml"/><Relationship Id="rId188" Type="http://schemas.openxmlformats.org/officeDocument/2006/relationships/externalLink" Target="externalLinks/externalLink17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92" Type="http://schemas.openxmlformats.org/officeDocument/2006/relationships/externalLink" Target="externalLinks/externalLink75.xml"/><Relationship Id="rId162" Type="http://schemas.openxmlformats.org/officeDocument/2006/relationships/externalLink" Target="externalLinks/externalLink145.xml"/><Relationship Id="rId183" Type="http://schemas.openxmlformats.org/officeDocument/2006/relationships/externalLink" Target="externalLinks/externalLink16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7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49.xml"/><Relationship Id="rId87" Type="http://schemas.openxmlformats.org/officeDocument/2006/relationships/externalLink" Target="externalLinks/externalLink70.xml"/><Relationship Id="rId110" Type="http://schemas.openxmlformats.org/officeDocument/2006/relationships/externalLink" Target="externalLinks/externalLink93.xml"/><Relationship Id="rId115" Type="http://schemas.openxmlformats.org/officeDocument/2006/relationships/externalLink" Target="externalLinks/externalLink98.xml"/><Relationship Id="rId131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19.xml"/><Relationship Id="rId157" Type="http://schemas.openxmlformats.org/officeDocument/2006/relationships/externalLink" Target="externalLinks/externalLink140.xml"/><Relationship Id="rId178" Type="http://schemas.openxmlformats.org/officeDocument/2006/relationships/externalLink" Target="externalLinks/externalLink161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152" Type="http://schemas.openxmlformats.org/officeDocument/2006/relationships/externalLink" Target="externalLinks/externalLink135.xml"/><Relationship Id="rId173" Type="http://schemas.openxmlformats.org/officeDocument/2006/relationships/externalLink" Target="externalLinks/externalLink156.xml"/><Relationship Id="rId194" Type="http://schemas.openxmlformats.org/officeDocument/2006/relationships/externalLink" Target="externalLinks/externalLink177.xml"/><Relationship Id="rId199" Type="http://schemas.openxmlformats.org/officeDocument/2006/relationships/externalLink" Target="externalLinks/externalLink182.xml"/><Relationship Id="rId203" Type="http://schemas.openxmlformats.org/officeDocument/2006/relationships/externalLink" Target="externalLinks/externalLink186.xml"/><Relationship Id="rId208" Type="http://schemas.openxmlformats.org/officeDocument/2006/relationships/theme" Target="theme/theme1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39.xml"/><Relationship Id="rId77" Type="http://schemas.openxmlformats.org/officeDocument/2006/relationships/externalLink" Target="externalLinks/externalLink60.xml"/><Relationship Id="rId100" Type="http://schemas.openxmlformats.org/officeDocument/2006/relationships/externalLink" Target="externalLinks/externalLink83.xml"/><Relationship Id="rId105" Type="http://schemas.openxmlformats.org/officeDocument/2006/relationships/externalLink" Target="externalLinks/externalLink88.xml"/><Relationship Id="rId126" Type="http://schemas.openxmlformats.org/officeDocument/2006/relationships/externalLink" Target="externalLinks/externalLink109.xml"/><Relationship Id="rId147" Type="http://schemas.openxmlformats.org/officeDocument/2006/relationships/externalLink" Target="externalLinks/externalLink130.xml"/><Relationship Id="rId168" Type="http://schemas.openxmlformats.org/officeDocument/2006/relationships/externalLink" Target="externalLinks/externalLink15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93" Type="http://schemas.openxmlformats.org/officeDocument/2006/relationships/externalLink" Target="externalLinks/externalLink76.xml"/><Relationship Id="rId98" Type="http://schemas.openxmlformats.org/officeDocument/2006/relationships/externalLink" Target="externalLinks/externalLink81.xml"/><Relationship Id="rId121" Type="http://schemas.openxmlformats.org/officeDocument/2006/relationships/externalLink" Target="externalLinks/externalLink104.xml"/><Relationship Id="rId142" Type="http://schemas.openxmlformats.org/officeDocument/2006/relationships/externalLink" Target="externalLinks/externalLink125.xml"/><Relationship Id="rId163" Type="http://schemas.openxmlformats.org/officeDocument/2006/relationships/externalLink" Target="externalLinks/externalLink146.xml"/><Relationship Id="rId184" Type="http://schemas.openxmlformats.org/officeDocument/2006/relationships/externalLink" Target="externalLinks/externalLink167.xml"/><Relationship Id="rId189" Type="http://schemas.openxmlformats.org/officeDocument/2006/relationships/externalLink" Target="externalLinks/externalLink17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8.xml"/><Relationship Id="rId46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50.xml"/><Relationship Id="rId116" Type="http://schemas.openxmlformats.org/officeDocument/2006/relationships/externalLink" Target="externalLinks/externalLink99.xml"/><Relationship Id="rId137" Type="http://schemas.openxmlformats.org/officeDocument/2006/relationships/externalLink" Target="externalLinks/externalLink120.xml"/><Relationship Id="rId158" Type="http://schemas.openxmlformats.org/officeDocument/2006/relationships/externalLink" Target="externalLinks/externalLink141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66.xml"/><Relationship Id="rId88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94.xml"/><Relationship Id="rId132" Type="http://schemas.openxmlformats.org/officeDocument/2006/relationships/externalLink" Target="externalLinks/externalLink115.xml"/><Relationship Id="rId153" Type="http://schemas.openxmlformats.org/officeDocument/2006/relationships/externalLink" Target="externalLinks/externalLink136.xml"/><Relationship Id="rId174" Type="http://schemas.openxmlformats.org/officeDocument/2006/relationships/externalLink" Target="externalLinks/externalLink157.xml"/><Relationship Id="rId179" Type="http://schemas.openxmlformats.org/officeDocument/2006/relationships/externalLink" Target="externalLinks/externalLink162.xml"/><Relationship Id="rId195" Type="http://schemas.openxmlformats.org/officeDocument/2006/relationships/externalLink" Target="externalLinks/externalLink178.xml"/><Relationship Id="rId209" Type="http://schemas.openxmlformats.org/officeDocument/2006/relationships/styles" Target="styles.xml"/><Relationship Id="rId190" Type="http://schemas.openxmlformats.org/officeDocument/2006/relationships/externalLink" Target="externalLinks/externalLink173.xml"/><Relationship Id="rId204" Type="http://schemas.openxmlformats.org/officeDocument/2006/relationships/externalLink" Target="externalLinks/externalLink18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40.xml"/><Relationship Id="rId106" Type="http://schemas.openxmlformats.org/officeDocument/2006/relationships/externalLink" Target="externalLinks/externalLink89.xml"/><Relationship Id="rId127" Type="http://schemas.openxmlformats.org/officeDocument/2006/relationships/externalLink" Target="externalLinks/externalLink11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82.xml"/><Relationship Id="rId101" Type="http://schemas.openxmlformats.org/officeDocument/2006/relationships/externalLink" Target="externalLinks/externalLink84.xml"/><Relationship Id="rId122" Type="http://schemas.openxmlformats.org/officeDocument/2006/relationships/externalLink" Target="externalLinks/externalLink105.xml"/><Relationship Id="rId143" Type="http://schemas.openxmlformats.org/officeDocument/2006/relationships/externalLink" Target="externalLinks/externalLink126.xml"/><Relationship Id="rId148" Type="http://schemas.openxmlformats.org/officeDocument/2006/relationships/externalLink" Target="externalLinks/externalLink131.xml"/><Relationship Id="rId164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52.xml"/><Relationship Id="rId185" Type="http://schemas.openxmlformats.org/officeDocument/2006/relationships/externalLink" Target="externalLinks/externalLink16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3.xml"/><Relationship Id="rId210" Type="http://schemas.openxmlformats.org/officeDocument/2006/relationships/sharedStrings" Target="sharedStrings.xml"/><Relationship Id="rId26" Type="http://schemas.openxmlformats.org/officeDocument/2006/relationships/externalLink" Target="externalLinks/externalLink9.xml"/><Relationship Id="rId47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72.xml"/><Relationship Id="rId112" Type="http://schemas.openxmlformats.org/officeDocument/2006/relationships/externalLink" Target="externalLinks/externalLink95.xml"/><Relationship Id="rId133" Type="http://schemas.openxmlformats.org/officeDocument/2006/relationships/externalLink" Target="externalLinks/externalLink116.xml"/><Relationship Id="rId154" Type="http://schemas.openxmlformats.org/officeDocument/2006/relationships/externalLink" Target="externalLinks/externalLink137.xml"/><Relationship Id="rId175" Type="http://schemas.openxmlformats.org/officeDocument/2006/relationships/externalLink" Target="externalLinks/externalLink158.xml"/><Relationship Id="rId196" Type="http://schemas.openxmlformats.org/officeDocument/2006/relationships/externalLink" Target="externalLinks/externalLink179.xml"/><Relationship Id="rId200" Type="http://schemas.openxmlformats.org/officeDocument/2006/relationships/externalLink" Target="externalLinks/externalLink183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2;&#1083;&#1077;&#1096;&#1082;&#1072;/&#1088;&#1080;&#1075;&#1077;&#1083;&#1100;/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-=%20NEW%20%20ARBAITEN%20=-/RUSSAM/%202008_02%20&#1055;&#1088;&#1077;&#1076;&#1083;&#1086;&#1078;&#1077;&#1085;&#1080;&#1077;%20&#1085;&#1072;%202009/__AUDIT%20-%20Energo/_2007_12%20&#1056;&#1091;&#1089;&#1089;&#1082;&#1080;&#1077;%20&#1089;&#1072;&#1084;&#1086;&#1094;&#1074;&#1077;&#1090;&#1077;/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&#1086;&#1090;&#1095;&#1077;&#1090;&#1085;&#1086;&#1089;&#1090;&#1100;/&#1069;&#1085;&#1077;&#1088;&#1075;&#1086;&#1048;&#1085;&#1074;&#1077;&#1089;&#1090;/&#1057;&#1055;&#1073;/2013/2013/&#1048;&#1058;&#1054;&#1043;&#1048;/ADR.PR.REM.QV.4.178(v1.4)_&#1092;.2013&#1075;._&#1069;&#1048;_&#1057;&#1055;&#1073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1;&#1072;&#1083;&#1072;&#1085;&#1089;/An(EsMon)/SC_W/&#1055;&#1088;&#1086;&#1075;&#1085;&#1086;&#1079;/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&#1052;&#1086;&#1080;%20&#1076;&#1086;&#1082;&#1091;&#1084;&#1077;&#1085;&#1090;&#1099;\&#1052;&#1054;&#1041;\06-03-06\Var2.7%20(version%201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0;%20&#1076;&#1086;&#1082;&#1091;&#1084;&#1077;&#1085;&#1090;&#1099;/&#1052;&#1054;&#1041;/06-03-06/Var2.7%20(version%201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buh/Desktop/&#1043;&#1086;&#1083;&#1086;&#1074;&#1095;&#1091;&#1082;%20&#1045;.&#1048;/&#1096;&#1072;&#1073;&#1083;&#1086;&#1085;&#1099;_&#1090;&#1101;/CALC.WARM.P2012.4.7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50;&#1041;&#1057;&#1052;/&#1079;&#1072;&#1103;&#1074;&#1082;&#1072;%20(&#1088;&#1072;&#1089;&#1095;&#1077;&#1090;)/&#1088;&#1072;&#1089;&#1095;&#1077;&#1090;&#1099;_&#1053;&#1059;&#1056;_&#1089;&#1085;_&#1050;&#1041;&#1057;&#1052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3;&#1080;&#1084;&#1086;&#1074;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0;&#1083;&#1080;&#1084;&#1086;&#1074;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86;&#1083;&#1086;&#1074;&#1095;&#1091;&#1082;/&#1082;&#1072;&#1083;&#1100;&#1082;&#1091;&#1083;&#1103;&#1094;&#1080;&#1103;%20&#1042;&#1077;&#1082;&#1090;&#1086;&#1088;%20&#1079;&#1072;&#1103;&#1074;&#1082;&#1072;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6;&#1083;&#1086;&#1074;&#1095;&#1091;&#1082;/&#1082;&#1072;&#1083;&#1100;&#1082;&#1091;&#1083;&#1103;&#1094;&#1080;&#1103;%20&#1042;&#1077;&#1082;&#1090;&#1086;&#1088;%20&#1079;&#1072;&#1103;&#1074;&#1082;&#1072;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3_&#1085;&#1086;&#1074;/2003/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parova/Local%20Settings/Temporary%20Internet%20Files/OLKA/&#1060;&#1054;&#1058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Documents%20and%20Settings\Koparova\Local%20Settings\Temporary%20Internet%20Files\OLKA\&#1060;&#1054;&#1058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Koparova/Local%20Settings/Temporary%20Internet%20Files/OLKA/&#1060;&#1054;&#1058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&#1061;&#1072;&#1085;&#1086;&#1074;&#1072;\&#1043;&#1088;(27.07.00)5&#1061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1;&#1072;&#1085;&#1086;&#1074;&#1072;/&#1043;&#1088;(27.07.00)5&#1061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SC_W\&#1055;&#1088;&#1086;&#1075;&#1085;&#1086;&#1079;\&#1055;&#1088;&#1086;&#1075;05_00(27.06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SC_W/&#1055;&#1088;&#1086;&#1075;&#1085;&#1086;&#1079;/&#1055;&#1088;&#1086;&#1075;05_00(27.06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Documents%20and%20Settings\Cherenkova\Local%20Settings\Temporary%20Internet%20Files\OLK1C5\V2008-201105.02.09%20&#1086;&#1090;&#1095;&#1077;&#1090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!&#1082;&#1072;&#1083;&#1100;&#1082;._&#1050;&#1074;&#1072;&#1088;&#1090;&#1072;&#1083;&#1100;&#1085;&#1072;&#1103;%20&#1082;&#1086;&#1090;&#1077;&#1083;&#1100;&#1085;&#1072;&#1103;_2019-2023_&#1044;&#1048;%2006.12.%20&#1087;&#1086;&#1089;&#1083;%202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!&#1082;&#1072;&#1083;&#1100;&#1082;._&#1050;&#1074;&#1072;&#1088;&#1090;&#1072;&#1083;&#1100;&#1085;&#1072;&#1103;%20&#1082;&#1086;&#1090;&#1077;&#1083;&#1100;&#1085;&#1072;&#1103;_2019-2023_&#1044;&#1048;%2006.12.%20&#1087;&#1086;&#1089;&#1083;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82;&#1089;&#1087;&#1077;&#1088;&#1090;&#1080;&#1079;&#1099;/2014/&#1058;&#1077;&#1087;&#1083;&#1086;&#1089;&#1085;&#1072;&#1073;&#1078;&#1077;&#1085;&#1080;&#1077;/&#1062;&#1052;&#1058;%20&#1080;%20&#1053;&#1058;&#1057;/!&#1082;&#1072;&#1083;&#1100;&#1082;._&#1044;&#1048;_&#1062;&#1052;&#1058;%20&#1080;%20&#1053;&#1058;&#1057;_2014_&#1074;&#1072;&#1088;%202%20&#1086;&#1090;%2012.12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4/&#1043;&#1057;&#1056;%20&#1058;&#1069;&#1062;/!!!!!&#1082;&#1072;&#1083;&#1100;&#1082;._&#1044;&#1048;_&#1043;&#1057;&#1056;%20&#1058;&#1069;&#1062;_2014_&#1055;&#1054;&#1057;&#1051;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6/&#1058;&#1077;&#1087;&#1083;&#1086;+&#1043;&#1042;&#1057;/&#1050;&#1074;&#1072;&#1088;&#1090;&#1072;&#1083;&#1100;&#1085;&#1072;&#1103;%20&#1082;&#1086;&#1090;&#1077;&#1083;&#1100;&#1085;&#1072;&#1103;/!&#1082;&#1072;&#1083;&#1100;&#1082;._&#1050;&#1074;&#1072;&#1088;&#1090;&#1072;&#1083;&#1100;&#1085;&#1072;&#1103;%20&#1082;&#1086;&#1090;&#1077;&#1083;&#1100;&#1085;&#1072;&#1103;_2016-2018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!&#1082;&#1072;&#1083;&#1100;&#1082;._&#1050;&#1074;&#1072;&#1088;&#1090;&#1072;&#1083;&#1100;&#1085;&#1072;&#1103;%20&#1082;&#1086;&#1090;&#1077;&#1083;&#1100;&#1085;&#1072;&#1103;_2019-2023_&#1044;&#1048;%2003.12.%20&#1087;&#1086;&#1089;&#1083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Alexandrova/Desktop/&#1048;&#1074;&#1072;&#1085;&#1086;&#1074;&#1072;/&#1056;&#1045;&#1043;&#1059;&#1051;&#1048;&#1056;&#1054;&#1042;&#1040;&#1053;&#1048;&#1045;%202018/&#1082;&#1072;&#1083;&#1100;&#1082;_&#1044;&#1054;&#1047;%201_2019-2023%20&#1076;&#1086;&#1083;&#1075;&#1086;&#1089;&#1088;&#1086;&#108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Cherenkova/Local%20Settings/Temporary%20Internet%20Files/OLK1C5/V2008-201105.02.09%20&#1086;&#1090;&#1095;&#1077;&#109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lepinina/Desktop/&#1040;&#1076;&#1072;&#1084;&#1072;&#1085;&#1090;/PROG.ESB.PLAN.4.178_&#1040;&#1076;&#1072;&#1084;&#1072;&#1085;&#1090;_&#1087;&#1083;20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Klepinina\Desktop\&#1040;&#1076;&#1072;&#1084;&#1072;&#1085;&#1090;\PROG.ESB.PLAN.4.178_&#1040;&#1076;&#1072;&#1084;&#1072;&#1085;&#1090;_&#1087;&#1083;201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&#1086;&#1090;&#1095;&#1077;&#1090;&#1085;&#1086;&#1089;&#1090;&#1100;/&#1069;&#1085;&#1077;&#1088;&#1075;&#1086;&#1048;&#1085;&#1074;&#1077;&#1089;&#1090;/&#1057;&#1055;&#1073;/2013/2013/&#1087;&#1083;&#1072;&#1085;%202015%20&#1075;&#1086;&#1076;/ADR.PR.REM.PLAN.4.178(v1.2)_2015_&#1069;&#1048;_&#1057;&#1055;&#107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Klepinina/Desktop/&#1040;&#1076;&#1072;&#1084;&#1072;&#1085;&#1090;/PROG.ESB.PLAN.4.178_&#1040;&#1076;&#1072;&#1084;&#1072;&#1085;&#1090;_&#1087;&#1083;201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VKGESTIK/WARM.CALC.D.PLAN.4.178_v.2.0%20(1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3U323EXZ/WARM.CALC.D.PLAN.4.178_v.3.0_&#1088;&#1072;&#1089;&#1095;&#1077;&#1090;_&#1090;&#1072;&#1088;&#1080;&#1092;&#1072;_2015-2017_+_&#1090;&#1072;&#1073;&#1083;&#1080;&#1094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WARM.CALC.D.PLAN.4.178%20(6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wnloads/ADR_PR_REM_QV_4_178_&#1092;_2013_&#1042;&#1042;&#1057;&#1057;(&#1091;&#1090;&#1086;&#1095;&#1085;_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5/&#1057;&#1077;&#1074;&#1077;&#1088;&#1085;&#1072;&#1103;%20&#1079;&#1072;&#1088;&#1103;/ADR.PR.REM.PLAN_&#1085;&#1072;_2015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Nosova/Downloads/ADR.PR.REM.PLAN.4.178_v.1.3_&#1087;&#1083;&#1072;&#1085;_&#1085;&#1072;_201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7/&#1052;&#1047;%20&#1040;&#1088;&#1089;&#1077;&#1085;&#1072;&#1083;/ADR.PR.REM.PLAN.4.178_v.1.3_2016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C8H61IIB/WATER.CALC.D.PLAN.4.178_v.1.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Users\Demin\AppData\Local\Microsoft\Windows\Temporary%20Internet%20Files\Content.IE5\C8H61IIB\WATER.CALC.D.PLAN.4.178_v.1.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emin/AppData/Local/Microsoft/Windows/Temporary%20Internet%20Files/Content.IE5/C8H61IIB/WATER.CALC.D.PLAN.4.178_v.1.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&#1041;&#1072;&#1083;&#1072;&#1085;&#1089;\An(EsMon)\7.02.01\&#1061;&#1072;&#1085;&#1086;&#1074;&#1072;\&#1043;&#1088;(27.07.00)5&#1061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1;&#1072;&#1083;&#1072;&#1085;&#1089;/An(EsMon)/7.02.01/&#1061;&#1072;&#1085;&#1086;&#1074;&#1072;/&#1043;&#1088;(27.07.00)5&#1061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48;&#1058;&#1054;&#1043;&#1048;%202013/&#1043;&#1086;&#1085;&#1095;&#1072;&#1088;&#1086;&#1074;&#1072;/&#1042;&#1042;&#1057;&#1057;/WATER.CALC.QV.4.178_v.1.3_&#1092;.2013&#1075;._&#1042;&#1042;&#1057;&#1057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96;&#1072;&#1073;&#1083;&#1086;&#1085;&#1099;_&#1090;&#1101;/CALC.WARM.P2012.4.7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Golovchuk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Golovchuk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3/&#1042;&#1086;&#1079;&#1088;&#1086;&#1078;&#1076;&#1077;&#1085;&#1080;&#1077;/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84;/&#1056;&#1077;&#1075;&#1091;&#1083;&#1080;&#1088;&#1086;&#1074;&#1072;&#1085;&#1080;&#1077;/ALL.PES.PLAN.4.178_v.1.1_2016_&#1042;&#1042;&#1057;&#1057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7/&#1052;&#1047;%20&#1040;&#1088;&#1089;&#1077;&#1085;&#1072;&#1083;/ALL.PES.PLAN.4.178_v.1.1_2016_&#1042;&#1042;&#1057;&#105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PROG.ESB.PLAN.4.178_(1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&#1041;&#1072;&#1083;&#1072;&#1085;&#1089;\An(EsMon)\&#1061;&#1072;&#1085;&#1086;&#1074;&#1072;\&#1043;&#1088;(27.07.00)5&#1061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1;&#1072;&#1083;&#1072;&#1085;&#1089;/An(EsMon)/&#1061;&#1072;&#1085;&#1086;&#1074;&#1072;/&#1043;&#1088;(27.07.00)5&#1061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drey.Apukhtin\Documents\&#1058;&#1072;&#1088;&#1080;&#1092;&#1085;&#1086;&#1077;%20&#1088;&#1077;&#1075;&#1091;&#1083;&#1080;&#1088;&#1086;&#1074;&#1072;&#1085;&#1080;&#1077;\&#1054;&#1090;&#1095;&#1077;&#1090;&#1085;&#1086;&#1089;&#1090;&#1100;\&#1057;&#1055;&#1041;\2016\&#1088;&#1072;&#1089;&#1082;&#1088;&#1099;&#1090;&#1080;&#1077;%20&#1080;&#1085;&#1092;&#1086;&#1088;&#1084;&#1072;&#1094;&#1080;&#1080;_openinfo\WARM.OPENINFO.PLAN.4.178_v1.0_10.05.201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57;&#1086;&#1074;&#1072;&#1074;&#1090;&#1086;/WARM.TOPL.Q1.2011_sp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&#1041;&#1072;&#1083;&#1072;&#1085;&#1089;\An(EsMon)\SC_W\&#1055;&#1088;&#1086;&#1075;&#1085;&#1086;&#1079;\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Users\buh\Desktop\&#1043;&#1086;&#1083;&#1086;&#1074;&#1095;&#1091;&#1082;%20&#1045;.&#1048;\&#1057;&#1086;&#1074;&#1072;&#1074;&#1090;&#1086;\WARM.TOPL.Q1.2011_spb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buh/Desktop/&#1043;&#1086;&#1083;&#1086;&#1074;&#1095;&#1091;&#1082;%20&#1045;.&#1048;/&#1057;&#1086;&#1074;&#1072;&#1074;&#1090;&#1086;/WARM.TOPL.Q1.2011_spb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m\Downloads\WARM.CALC.QV.4.178_v.1.6%20(7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AppData/Roaming/Microsoft/Excel/3REK/&#1050;&#1086;&#1087;&#1080;&#1103;%20&#1075;&#1086;&#1076;%20WARM.3REK.2010.4.7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4;&#1054;&#1054;%20&#1050;&#1074;&#1072;&#1088;&#1090;&#1072;&#1083;&#1100;&#1085;&#1072;&#1103;%20&#1082;&#1086;&#1090;&#1077;&#1083;&#1100;&#1085;&#1072;&#1103;\Users\buh\AppData\Roaming\Microsoft\Excel\3REK\&#1050;&#1086;&#1087;&#1080;&#1103;%20&#1075;&#1086;&#1076;%20WARM.3REK.2010.4.7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buh/AppData/Roaming/Microsoft/Excel/3REK/&#1050;&#1086;&#1087;&#1080;&#1103;%20&#1075;&#1086;&#1076;%20WARM.3REK.2010.4.7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3">
          <cell r="G3" t="str">
            <v>Год 2013</v>
          </cell>
        </row>
      </sheetData>
      <sheetData sheetId="1"/>
      <sheetData sheetId="2"/>
      <sheetData sheetId="3"/>
      <sheetData sheetId="4"/>
      <sheetData sheetId="5">
        <row r="21">
          <cell r="F21" t="str">
            <v>Факт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Огл. Графиков"/>
      <sheetName val="Текущие цены"/>
      <sheetName val="рабочий"/>
      <sheetName val="окраска"/>
      <sheetName val="Предлагаемая новая форма СТ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одконтрольные"/>
      <sheetName val="переменные на 5 лет"/>
      <sheetName val="учет итогов"/>
      <sheetName val="Лист1"/>
      <sheetName val="амор"/>
      <sheetName val="Лист2"/>
    </sheetNames>
    <sheetDataSet>
      <sheetData sheetId="0">
        <row r="8">
          <cell r="G8">
            <v>1.0269999999999999</v>
          </cell>
          <cell r="H8">
            <v>1.046</v>
          </cell>
          <cell r="I8">
            <v>1.034</v>
          </cell>
          <cell r="J8">
            <v>1.04</v>
          </cell>
          <cell r="K8">
            <v>1.04</v>
          </cell>
          <cell r="L8">
            <v>1.04</v>
          </cell>
        </row>
        <row r="11">
          <cell r="I11">
            <v>1.07</v>
          </cell>
          <cell r="J11">
            <v>1.04</v>
          </cell>
          <cell r="K11">
            <v>1.04</v>
          </cell>
          <cell r="L11">
            <v>1.04</v>
          </cell>
        </row>
        <row r="82">
          <cell r="E82">
            <v>15859</v>
          </cell>
          <cell r="G82">
            <v>26741</v>
          </cell>
          <cell r="Q82">
            <v>15859</v>
          </cell>
          <cell r="R82">
            <v>10882</v>
          </cell>
          <cell r="S82">
            <v>26741</v>
          </cell>
        </row>
        <row r="83">
          <cell r="J83">
            <v>0</v>
          </cell>
          <cell r="M83">
            <v>0</v>
          </cell>
          <cell r="P83">
            <v>0</v>
          </cell>
          <cell r="S83">
            <v>0</v>
          </cell>
        </row>
        <row r="89">
          <cell r="E89">
            <v>15859</v>
          </cell>
          <cell r="F89">
            <v>10882</v>
          </cell>
          <cell r="G89">
            <v>26741</v>
          </cell>
          <cell r="H89">
            <v>15859</v>
          </cell>
          <cell r="I89">
            <v>10882</v>
          </cell>
          <cell r="J89">
            <v>26741</v>
          </cell>
          <cell r="K89">
            <v>15859</v>
          </cell>
          <cell r="L89">
            <v>10882</v>
          </cell>
          <cell r="M89">
            <v>26741</v>
          </cell>
          <cell r="N89">
            <v>15859</v>
          </cell>
          <cell r="O89">
            <v>10882</v>
          </cell>
          <cell r="P89">
            <v>26741</v>
          </cell>
          <cell r="Q89">
            <v>15859</v>
          </cell>
          <cell r="R89">
            <v>10882</v>
          </cell>
          <cell r="S89">
            <v>26741</v>
          </cell>
        </row>
        <row r="90">
          <cell r="E90">
            <v>759</v>
          </cell>
          <cell r="F90">
            <v>521</v>
          </cell>
        </row>
        <row r="91">
          <cell r="E91">
            <v>15100</v>
          </cell>
          <cell r="F91">
            <v>10361</v>
          </cell>
        </row>
        <row r="95">
          <cell r="G95">
            <v>101888</v>
          </cell>
          <cell r="H95">
            <v>60425.63</v>
          </cell>
          <cell r="I95">
            <v>41462.370000000003</v>
          </cell>
          <cell r="J95">
            <v>101888</v>
          </cell>
          <cell r="M95">
            <v>101888</v>
          </cell>
          <cell r="N95">
            <v>60425.63</v>
          </cell>
          <cell r="O95">
            <v>41462.370000000003</v>
          </cell>
          <cell r="P95">
            <v>101888</v>
          </cell>
          <cell r="Q95">
            <v>60425.63</v>
          </cell>
          <cell r="R95">
            <v>41462.370000000003</v>
          </cell>
          <cell r="S95">
            <v>101888</v>
          </cell>
        </row>
      </sheetData>
      <sheetData sheetId="1">
        <row r="99">
          <cell r="P99">
            <v>32729.009000000002</v>
          </cell>
          <cell r="AB99">
            <v>33674.99</v>
          </cell>
          <cell r="AC99">
            <v>28038.629999999997</v>
          </cell>
          <cell r="AD99">
            <v>2716.26</v>
          </cell>
          <cell r="AF99">
            <v>2920.1</v>
          </cell>
          <cell r="AN99">
            <v>34552.79</v>
          </cell>
          <cell r="AO99">
            <v>28667.37</v>
          </cell>
          <cell r="AP99">
            <v>2796.66</v>
          </cell>
          <cell r="AR99">
            <v>3088.76</v>
          </cell>
          <cell r="AZ99">
            <v>35795.949999999997</v>
          </cell>
          <cell r="BA99">
            <v>29704.289999999997</v>
          </cell>
          <cell r="BB99">
            <v>2879.44</v>
          </cell>
          <cell r="BD99">
            <v>3212.2200000000003</v>
          </cell>
          <cell r="BL99">
            <v>36911.069999999992</v>
          </cell>
          <cell r="BM99">
            <v>30606.089999999993</v>
          </cell>
          <cell r="BN99">
            <v>2964.67</v>
          </cell>
          <cell r="BP99">
            <v>3340.31</v>
          </cell>
        </row>
        <row r="109">
          <cell r="T109">
            <v>2693.27</v>
          </cell>
        </row>
        <row r="112">
          <cell r="Q112">
            <v>27382.267</v>
          </cell>
          <cell r="R112">
            <v>2653.4720000000002</v>
          </cell>
        </row>
      </sheetData>
      <sheetData sheetId="2"/>
      <sheetData sheetId="3" refreshError="1"/>
      <sheetData sheetId="4">
        <row r="12">
          <cell r="F12">
            <v>19651.16</v>
          </cell>
          <cell r="I12">
            <v>20031.28</v>
          </cell>
          <cell r="L12">
            <v>20607.5</v>
          </cell>
          <cell r="O12">
            <v>21200.27</v>
          </cell>
          <cell r="R12">
            <v>21810.059999999998</v>
          </cell>
        </row>
        <row r="94">
          <cell r="F94">
            <v>2390.33</v>
          </cell>
          <cell r="I94">
            <v>2490.73</v>
          </cell>
          <cell r="L94">
            <v>2590.35</v>
          </cell>
          <cell r="O94">
            <v>2693.98</v>
          </cell>
          <cell r="R94">
            <v>2799.05</v>
          </cell>
        </row>
        <row r="106">
          <cell r="F106">
            <v>17.03</v>
          </cell>
          <cell r="I106">
            <v>18.399999999999999</v>
          </cell>
          <cell r="L106">
            <v>19.55</v>
          </cell>
          <cell r="O106">
            <v>20.34</v>
          </cell>
          <cell r="R106">
            <v>21.15</v>
          </cell>
        </row>
        <row r="110">
          <cell r="F110">
            <v>14.139999999999999</v>
          </cell>
          <cell r="I110">
            <v>15.27</v>
          </cell>
          <cell r="L110">
            <v>16.23</v>
          </cell>
          <cell r="O110">
            <v>16.88</v>
          </cell>
          <cell r="R110">
            <v>17.559999999999999</v>
          </cell>
        </row>
        <row r="117">
          <cell r="D117">
            <v>56935.48</v>
          </cell>
          <cell r="E117">
            <v>39067.519999999997</v>
          </cell>
        </row>
        <row r="121">
          <cell r="E121">
            <v>1066.1500000000001</v>
          </cell>
          <cell r="F121">
            <v>2484.41</v>
          </cell>
          <cell r="I121">
            <v>2694.54</v>
          </cell>
          <cell r="L121">
            <v>2849</v>
          </cell>
          <cell r="O121">
            <v>2962.88</v>
          </cell>
          <cell r="R121">
            <v>3081</v>
          </cell>
        </row>
        <row r="122">
          <cell r="F122">
            <v>922.65000000000009</v>
          </cell>
          <cell r="I122">
            <v>985.13000000000011</v>
          </cell>
          <cell r="L122">
            <v>1062.2600000000002</v>
          </cell>
          <cell r="O122">
            <v>1104.7299999999996</v>
          </cell>
          <cell r="R122">
            <v>1149.2699999999995</v>
          </cell>
        </row>
        <row r="125">
          <cell r="D125">
            <v>3490.15</v>
          </cell>
          <cell r="E125">
            <v>2394.85</v>
          </cell>
        </row>
        <row r="127">
          <cell r="F127">
            <v>208.86</v>
          </cell>
          <cell r="I127">
            <v>225.56</v>
          </cell>
          <cell r="L127">
            <v>239.76</v>
          </cell>
          <cell r="O127">
            <v>249.34</v>
          </cell>
          <cell r="R127">
            <v>259.31</v>
          </cell>
        </row>
      </sheetData>
      <sheetData sheetId="5">
        <row r="21">
          <cell r="K21">
            <v>-159.78</v>
          </cell>
        </row>
        <row r="28">
          <cell r="I28">
            <v>0</v>
          </cell>
        </row>
      </sheetData>
      <sheetData sheetId="6" refreshError="1"/>
      <sheetData sheetId="7">
        <row r="6">
          <cell r="K6">
            <v>97669.440000000002</v>
          </cell>
          <cell r="M6">
            <v>97669.440000000002</v>
          </cell>
        </row>
      </sheetData>
      <sheetData sheetId="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одконтрольные"/>
      <sheetName val="переменные на 5 лет"/>
      <sheetName val="учет итогов"/>
      <sheetName val="Лист1"/>
      <sheetName val="амор"/>
      <sheetName val="Лист2"/>
    </sheetNames>
    <sheetDataSet>
      <sheetData sheetId="0">
        <row r="8">
          <cell r="G8">
            <v>1.0269999999999999</v>
          </cell>
          <cell r="H8">
            <v>1.046</v>
          </cell>
          <cell r="I8">
            <v>1.034</v>
          </cell>
          <cell r="J8">
            <v>1.04</v>
          </cell>
          <cell r="K8">
            <v>1.04</v>
          </cell>
          <cell r="L8">
            <v>1.04</v>
          </cell>
        </row>
        <row r="11">
          <cell r="I11">
            <v>1.07</v>
          </cell>
          <cell r="J11">
            <v>1.04</v>
          </cell>
          <cell r="K11">
            <v>1.04</v>
          </cell>
          <cell r="L11">
            <v>1.04</v>
          </cell>
        </row>
        <row r="82">
          <cell r="E82">
            <v>15859</v>
          </cell>
          <cell r="G82">
            <v>26741</v>
          </cell>
          <cell r="Q82">
            <v>15859</v>
          </cell>
          <cell r="R82">
            <v>10882</v>
          </cell>
          <cell r="S82">
            <v>26741</v>
          </cell>
        </row>
        <row r="83">
          <cell r="J83">
            <v>0</v>
          </cell>
          <cell r="M83">
            <v>0</v>
          </cell>
          <cell r="P83">
            <v>0</v>
          </cell>
          <cell r="S83">
            <v>0</v>
          </cell>
        </row>
        <row r="89">
          <cell r="E89">
            <v>15859</v>
          </cell>
          <cell r="F89">
            <v>10882</v>
          </cell>
          <cell r="G89">
            <v>26741</v>
          </cell>
          <cell r="H89">
            <v>15859</v>
          </cell>
          <cell r="I89">
            <v>10882</v>
          </cell>
          <cell r="J89">
            <v>26741</v>
          </cell>
          <cell r="K89">
            <v>15859</v>
          </cell>
          <cell r="L89">
            <v>10882</v>
          </cell>
          <cell r="M89">
            <v>26741</v>
          </cell>
          <cell r="N89">
            <v>15859</v>
          </cell>
          <cell r="O89">
            <v>10882</v>
          </cell>
          <cell r="P89">
            <v>26741</v>
          </cell>
          <cell r="Q89">
            <v>15859</v>
          </cell>
          <cell r="R89">
            <v>10882</v>
          </cell>
          <cell r="S89">
            <v>26741</v>
          </cell>
        </row>
        <row r="90">
          <cell r="E90">
            <v>759</v>
          </cell>
          <cell r="F90">
            <v>521</v>
          </cell>
        </row>
        <row r="91">
          <cell r="E91">
            <v>15100</v>
          </cell>
          <cell r="F91">
            <v>10361</v>
          </cell>
        </row>
        <row r="95">
          <cell r="G95">
            <v>101888</v>
          </cell>
          <cell r="H95">
            <v>60425.63</v>
          </cell>
          <cell r="I95">
            <v>41462.370000000003</v>
          </cell>
          <cell r="J95">
            <v>101888</v>
          </cell>
          <cell r="M95">
            <v>101888</v>
          </cell>
          <cell r="N95">
            <v>60425.63</v>
          </cell>
          <cell r="O95">
            <v>41462.370000000003</v>
          </cell>
          <cell r="P95">
            <v>101888</v>
          </cell>
          <cell r="Q95">
            <v>60425.63</v>
          </cell>
          <cell r="R95">
            <v>41462.370000000003</v>
          </cell>
          <cell r="S95">
            <v>101888</v>
          </cell>
        </row>
      </sheetData>
      <sheetData sheetId="1">
        <row r="99">
          <cell r="P99">
            <v>32729.009000000002</v>
          </cell>
          <cell r="AB99">
            <v>33674.99</v>
          </cell>
          <cell r="AC99">
            <v>28038.629999999997</v>
          </cell>
          <cell r="AD99">
            <v>2716.26</v>
          </cell>
          <cell r="AF99">
            <v>2920.1</v>
          </cell>
          <cell r="AN99">
            <v>34552.79</v>
          </cell>
          <cell r="AO99">
            <v>28667.37</v>
          </cell>
          <cell r="AP99">
            <v>2796.66</v>
          </cell>
          <cell r="AR99">
            <v>3088.76</v>
          </cell>
          <cell r="AZ99">
            <v>35795.949999999997</v>
          </cell>
          <cell r="BA99">
            <v>29704.289999999997</v>
          </cell>
          <cell r="BB99">
            <v>2879.44</v>
          </cell>
          <cell r="BD99">
            <v>3212.2200000000003</v>
          </cell>
          <cell r="BL99">
            <v>36911.069999999992</v>
          </cell>
          <cell r="BM99">
            <v>30606.089999999993</v>
          </cell>
          <cell r="BN99">
            <v>2964.67</v>
          </cell>
          <cell r="BP99">
            <v>3340.31</v>
          </cell>
        </row>
        <row r="109">
          <cell r="T109">
            <v>2693.27</v>
          </cell>
        </row>
        <row r="112">
          <cell r="Q112">
            <v>27382.267</v>
          </cell>
          <cell r="R112">
            <v>2653.4720000000002</v>
          </cell>
        </row>
      </sheetData>
      <sheetData sheetId="2"/>
      <sheetData sheetId="3" refreshError="1"/>
      <sheetData sheetId="4">
        <row r="12">
          <cell r="F12">
            <v>19651.16</v>
          </cell>
          <cell r="I12">
            <v>20031.28</v>
          </cell>
          <cell r="L12">
            <v>20607.5</v>
          </cell>
          <cell r="O12">
            <v>21200.27</v>
          </cell>
          <cell r="R12">
            <v>21810.059999999998</v>
          </cell>
        </row>
        <row r="94">
          <cell r="F94">
            <v>2390.33</v>
          </cell>
          <cell r="I94">
            <v>2490.73</v>
          </cell>
          <cell r="L94">
            <v>2590.35</v>
          </cell>
          <cell r="O94">
            <v>2693.98</v>
          </cell>
          <cell r="R94">
            <v>2799.05</v>
          </cell>
        </row>
        <row r="106">
          <cell r="F106">
            <v>17.03</v>
          </cell>
          <cell r="I106">
            <v>18.399999999999999</v>
          </cell>
          <cell r="L106">
            <v>19.55</v>
          </cell>
          <cell r="O106">
            <v>20.34</v>
          </cell>
          <cell r="R106">
            <v>21.15</v>
          </cell>
        </row>
        <row r="110">
          <cell r="F110">
            <v>14.139999999999999</v>
          </cell>
          <cell r="I110">
            <v>15.27</v>
          </cell>
          <cell r="L110">
            <v>16.23</v>
          </cell>
          <cell r="O110">
            <v>16.88</v>
          </cell>
          <cell r="R110">
            <v>17.559999999999999</v>
          </cell>
        </row>
        <row r="117">
          <cell r="D117">
            <v>56935.48</v>
          </cell>
          <cell r="E117">
            <v>39067.519999999997</v>
          </cell>
        </row>
        <row r="121">
          <cell r="E121">
            <v>1066.1500000000001</v>
          </cell>
          <cell r="F121">
            <v>2484.41</v>
          </cell>
          <cell r="I121">
            <v>2694.54</v>
          </cell>
          <cell r="L121">
            <v>2849</v>
          </cell>
          <cell r="O121">
            <v>2962.88</v>
          </cell>
          <cell r="R121">
            <v>3081</v>
          </cell>
        </row>
        <row r="122">
          <cell r="F122">
            <v>922.65000000000009</v>
          </cell>
          <cell r="I122">
            <v>985.13000000000011</v>
          </cell>
          <cell r="L122">
            <v>1062.2600000000002</v>
          </cell>
          <cell r="O122">
            <v>1104.7299999999996</v>
          </cell>
          <cell r="R122">
            <v>1149.2699999999995</v>
          </cell>
        </row>
        <row r="125">
          <cell r="D125">
            <v>3490.15</v>
          </cell>
          <cell r="E125">
            <v>2394.85</v>
          </cell>
        </row>
        <row r="127">
          <cell r="F127">
            <v>208.86</v>
          </cell>
          <cell r="I127">
            <v>225.56</v>
          </cell>
          <cell r="L127">
            <v>239.76</v>
          </cell>
          <cell r="O127">
            <v>249.34</v>
          </cell>
          <cell r="R127">
            <v>259.31</v>
          </cell>
        </row>
      </sheetData>
      <sheetData sheetId="5">
        <row r="21">
          <cell r="K21">
            <v>-159.78</v>
          </cell>
        </row>
        <row r="28">
          <cell r="I28">
            <v>0</v>
          </cell>
        </row>
      </sheetData>
      <sheetData sheetId="6" refreshError="1"/>
      <sheetData sheetId="7">
        <row r="6">
          <cell r="K6">
            <v>97669.440000000002</v>
          </cell>
          <cell r="M6">
            <v>97669.440000000002</v>
          </cell>
        </row>
      </sheetData>
      <sheetData sheetId="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4_ЭОР"/>
      <sheetName val="Кальк_2014-2016"/>
      <sheetName val="Р и У пр хр"/>
      <sheetName val="переменные_3 года"/>
      <sheetName val="для отчета"/>
      <sheetName val="амортизация"/>
      <sheetName val="подконтрольные"/>
    </sheetNames>
    <sheetDataSet>
      <sheetData sheetId="0"/>
      <sheetData sheetId="1">
        <row r="17">
          <cell r="B17" t="str">
            <v>основной производственный  персонал</v>
          </cell>
        </row>
        <row r="19">
          <cell r="B19" t="str">
            <v>цеховый  персонал</v>
          </cell>
        </row>
        <row r="20">
          <cell r="B20" t="str">
            <v>административно-управленческий персонал</v>
          </cell>
        </row>
      </sheetData>
      <sheetData sheetId="2">
        <row r="35">
          <cell r="D35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2"/>
      <sheetName val="прил №3"/>
      <sheetName val="прил.№4 к прот по теплу (2)"/>
      <sheetName val="прил.№4 к прот по теплу"/>
      <sheetName val="Кальк_2014-2016"/>
      <sheetName val="Кальк_2014_ЭОР"/>
      <sheetName val="для шаблона"/>
      <sheetName val="подконтрольные"/>
      <sheetName val="индексы"/>
      <sheetName val="переменные_5 лет"/>
      <sheetName val="Лист1"/>
      <sheetName val="цена ээ"/>
    </sheetNames>
    <sheetDataSet>
      <sheetData sheetId="0"/>
      <sheetData sheetId="1"/>
      <sheetData sheetId="2"/>
      <sheetData sheetId="3"/>
      <sheetData sheetId="4">
        <row r="9">
          <cell r="B9" t="str">
            <v>установленная тепловая мощность источника тепловой энергии</v>
          </cell>
        </row>
        <row r="30">
          <cell r="B30" t="str">
            <v>услуги банка</v>
          </cell>
        </row>
      </sheetData>
      <sheetData sheetId="5">
        <row r="6">
          <cell r="O6" t="str">
            <v>Теплоноситель
(ИТОГО)</v>
          </cell>
        </row>
      </sheetData>
      <sheetData sheetId="6"/>
      <sheetData sheetId="7"/>
      <sheetData sheetId="8">
        <row r="9">
          <cell r="G9">
            <v>1.071</v>
          </cell>
        </row>
      </sheetData>
      <sheetData sheetId="9">
        <row r="30">
          <cell r="C30" t="str">
            <v>руб./кВтч</v>
          </cell>
        </row>
      </sheetData>
      <sheetData sheetId="10"/>
      <sheetData sheetId="1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2016_ЭОР"/>
      <sheetName val="Кальк_2016-2018"/>
      <sheetName val="тарифы"/>
      <sheetName val="Прил2"/>
      <sheetName val="Прил3"/>
      <sheetName val="прил4"/>
      <sheetName val="Прил4 расп"/>
      <sheetName val="переменные"/>
      <sheetName val="теплоноситель"/>
      <sheetName val="для шаблона"/>
      <sheetName val="Лист1"/>
      <sheetName val="Лист2"/>
      <sheetName val="Лист4"/>
      <sheetName val="Лист5"/>
      <sheetName val="Лист6"/>
      <sheetName val="Лист7"/>
    </sheetNames>
    <sheetDataSet>
      <sheetData sheetId="0">
        <row r="5">
          <cell r="H5">
            <v>1.0640000000000001</v>
          </cell>
          <cell r="I5">
            <v>1.06</v>
          </cell>
          <cell r="J5">
            <v>1.05</v>
          </cell>
        </row>
      </sheetData>
      <sheetData sheetId="1">
        <row r="7">
          <cell r="D7">
            <v>8.27</v>
          </cell>
          <cell r="R7">
            <v>8.5299999999999994</v>
          </cell>
        </row>
        <row r="8">
          <cell r="E8">
            <v>17881.27</v>
          </cell>
          <cell r="R8">
            <v>18683.18</v>
          </cell>
        </row>
        <row r="11">
          <cell r="E11">
            <v>1387.76</v>
          </cell>
          <cell r="R11">
            <v>1586.97</v>
          </cell>
        </row>
        <row r="12">
          <cell r="E12">
            <v>437.66</v>
          </cell>
          <cell r="G12">
            <v>1907.23</v>
          </cell>
          <cell r="R12">
            <v>517.22</v>
          </cell>
          <cell r="T12">
            <v>2109.2199999999998</v>
          </cell>
        </row>
        <row r="15">
          <cell r="D15">
            <v>1037.8399999999999</v>
          </cell>
          <cell r="R15">
            <v>640.25</v>
          </cell>
          <cell r="S15">
            <v>430.8</v>
          </cell>
        </row>
        <row r="19">
          <cell r="D19">
            <v>313.43</v>
          </cell>
          <cell r="R19">
            <v>193.36</v>
          </cell>
          <cell r="S19">
            <v>130.1</v>
          </cell>
        </row>
        <row r="23">
          <cell r="D23">
            <v>1715.67</v>
          </cell>
          <cell r="R23">
            <v>1150.47</v>
          </cell>
          <cell r="S23">
            <v>620.1</v>
          </cell>
        </row>
        <row r="25">
          <cell r="D25">
            <v>9.1300000000000008</v>
          </cell>
          <cell r="R25">
            <v>9.9700000000000006</v>
          </cell>
        </row>
        <row r="29">
          <cell r="D29">
            <v>127.12</v>
          </cell>
        </row>
        <row r="39">
          <cell r="D39">
            <v>77.650000000000006</v>
          </cell>
        </row>
        <row r="40">
          <cell r="D40">
            <v>28.02</v>
          </cell>
          <cell r="R40">
            <v>26.8</v>
          </cell>
          <cell r="S40">
            <v>2.12</v>
          </cell>
        </row>
        <row r="41">
          <cell r="D41">
            <v>77.94</v>
          </cell>
          <cell r="R41">
            <v>74.540000000000006</v>
          </cell>
          <cell r="S41">
            <v>5.89</v>
          </cell>
        </row>
        <row r="42">
          <cell r="D42">
            <v>37.21</v>
          </cell>
          <cell r="R42">
            <v>35.57</v>
          </cell>
          <cell r="S42">
            <v>2.83</v>
          </cell>
        </row>
        <row r="43">
          <cell r="D43">
            <v>0.98</v>
          </cell>
          <cell r="R43">
            <v>0.59</v>
          </cell>
          <cell r="S43">
            <v>0.39</v>
          </cell>
        </row>
        <row r="45">
          <cell r="D45">
            <v>36</v>
          </cell>
          <cell r="R45">
            <v>33.36</v>
          </cell>
          <cell r="S45">
            <v>2.64</v>
          </cell>
        </row>
        <row r="46">
          <cell r="D46">
            <v>12.55</v>
          </cell>
          <cell r="R46">
            <v>12.14</v>
          </cell>
          <cell r="S46">
            <v>0.96</v>
          </cell>
        </row>
        <row r="48">
          <cell r="D48">
            <v>31</v>
          </cell>
          <cell r="R48">
            <v>29.64</v>
          </cell>
          <cell r="S48">
            <v>2.35</v>
          </cell>
        </row>
        <row r="49">
          <cell r="D49">
            <v>20.67</v>
          </cell>
          <cell r="R49">
            <v>19.77</v>
          </cell>
          <cell r="S49">
            <v>1.56</v>
          </cell>
        </row>
        <row r="51">
          <cell r="R51">
            <v>84.97</v>
          </cell>
          <cell r="S51">
            <v>6.76</v>
          </cell>
        </row>
        <row r="53">
          <cell r="R53">
            <v>9.94</v>
          </cell>
          <cell r="S53">
            <v>0.82</v>
          </cell>
        </row>
        <row r="54">
          <cell r="D54">
            <v>31.459999999999997</v>
          </cell>
          <cell r="R54">
            <v>15.17</v>
          </cell>
          <cell r="S54">
            <v>1.2</v>
          </cell>
        </row>
        <row r="64">
          <cell r="D64">
            <v>21.46</v>
          </cell>
          <cell r="R64">
            <v>20.52</v>
          </cell>
          <cell r="S64">
            <v>1.63</v>
          </cell>
        </row>
        <row r="72">
          <cell r="D72">
            <v>-1484.25</v>
          </cell>
          <cell r="R72">
            <v>-516.29999999999995</v>
          </cell>
        </row>
        <row r="73">
          <cell r="F73">
            <v>1897.96</v>
          </cell>
          <cell r="J73">
            <v>2602.9199999999996</v>
          </cell>
        </row>
        <row r="74">
          <cell r="D74">
            <v>26741</v>
          </cell>
          <cell r="H74">
            <v>26741</v>
          </cell>
          <cell r="Q74">
            <v>26741</v>
          </cell>
        </row>
        <row r="75">
          <cell r="D75">
            <v>281.02999999999997</v>
          </cell>
          <cell r="H75">
            <v>272.83999999999997</v>
          </cell>
          <cell r="Q75">
            <v>272.83999999999997</v>
          </cell>
        </row>
        <row r="76">
          <cell r="D76">
            <v>235.78</v>
          </cell>
          <cell r="H76">
            <v>254.17</v>
          </cell>
          <cell r="Q76">
            <v>240.81</v>
          </cell>
        </row>
        <row r="77">
          <cell r="D77">
            <v>918.79197004482876</v>
          </cell>
          <cell r="H77">
            <v>1038.4230499981302</v>
          </cell>
        </row>
        <row r="82">
          <cell r="D82">
            <v>101888</v>
          </cell>
          <cell r="H82">
            <v>101888</v>
          </cell>
          <cell r="Q82">
            <v>101888</v>
          </cell>
        </row>
        <row r="83">
          <cell r="D83">
            <v>18.72</v>
          </cell>
          <cell r="H83">
            <v>28.3</v>
          </cell>
        </row>
      </sheetData>
      <sheetData sheetId="2">
        <row r="7">
          <cell r="F7">
            <v>0.01</v>
          </cell>
        </row>
      </sheetData>
      <sheetData sheetId="3">
        <row r="8">
          <cell r="L8">
            <v>26741</v>
          </cell>
          <cell r="P8">
            <v>26741</v>
          </cell>
          <cell r="T8">
            <v>26741</v>
          </cell>
        </row>
      </sheetData>
      <sheetData sheetId="4"/>
      <sheetData sheetId="5"/>
      <sheetData sheetId="6"/>
      <sheetData sheetId="7"/>
      <sheetData sheetId="8">
        <row r="17">
          <cell r="H17">
            <v>19179.38</v>
          </cell>
          <cell r="K17">
            <v>19721.080000000002</v>
          </cell>
        </row>
        <row r="27">
          <cell r="H27">
            <v>13.79</v>
          </cell>
          <cell r="K27">
            <v>15.440000000000001</v>
          </cell>
        </row>
        <row r="28">
          <cell r="H28">
            <v>10.79</v>
          </cell>
          <cell r="K28">
            <v>12.08</v>
          </cell>
        </row>
        <row r="47">
          <cell r="K47">
            <v>1706.7</v>
          </cell>
          <cell r="N47">
            <v>1828.86</v>
          </cell>
        </row>
      </sheetData>
      <sheetData sheetId="9">
        <row r="14">
          <cell r="O14">
            <v>2154.0542606729741</v>
          </cell>
          <cell r="R14">
            <v>2369.4596867402715</v>
          </cell>
        </row>
        <row r="15">
          <cell r="O15">
            <v>604.8819566056618</v>
          </cell>
          <cell r="R15">
            <v>720.54887661180101</v>
          </cell>
        </row>
        <row r="22">
          <cell r="O22">
            <v>169.12325280131631</v>
          </cell>
          <cell r="R22">
            <v>189.41804313747429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одконтрольные"/>
      <sheetName val="Прил2"/>
      <sheetName val="Прил3"/>
      <sheetName val="прил4"/>
      <sheetName val="переменные на 5 лет"/>
      <sheetName val="учет итогов"/>
      <sheetName val="Лист1"/>
      <sheetName val="амор"/>
      <sheetName val="Лист2"/>
    </sheetNames>
    <sheetDataSet>
      <sheetData sheetId="0"/>
      <sheetData sheetId="1">
        <row r="16">
          <cell r="P16">
            <v>19651.16</v>
          </cell>
          <cell r="AB16">
            <v>20031.28</v>
          </cell>
          <cell r="AN16">
            <v>20607.5</v>
          </cell>
          <cell r="AZ16">
            <v>21200.27</v>
          </cell>
          <cell r="BL16">
            <v>21810.059999999998</v>
          </cell>
        </row>
        <row r="21">
          <cell r="P21">
            <v>5814.4290000000001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ДИ_2019-2023"/>
      <sheetName val="Тарифы"/>
      <sheetName val="переменные"/>
      <sheetName val="учет итогов"/>
    </sheetNames>
    <sheetDataSet>
      <sheetData sheetId="0"/>
      <sheetData sheetId="1">
        <row r="107">
          <cell r="B107" t="str">
            <v>с целью учета отклонения фактических значений параметров расчета тарифов взамен прогнозных</v>
          </cell>
        </row>
        <row r="110">
          <cell r="B110" t="str">
            <v>Недополученный доход / расходы прошлых периодов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26641597</v>
          </cell>
        </row>
        <row r="31">
          <cell r="F31" t="str">
            <v>Клименков Артур Игоревич</v>
          </cell>
        </row>
        <row r="32">
          <cell r="F32" t="str">
            <v>(812)363-28-12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ГБОУ "Балтийский берег"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Q3" t="str">
            <v>ГУП "Водоканал Санкт-Петербурга"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"АТЭК"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"Агентство "Шушары"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"ВКХ "ВодКомХоз"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"ГСР Водоканал"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"Гостиница "Туррис"</v>
          </cell>
          <cell r="R8" t="str">
            <v>7 группа: свыше до 0,01 млн.м3 включительно</v>
          </cell>
        </row>
        <row r="9">
          <cell r="Q9" t="str">
            <v>ЗАО "ДОЗ №1"</v>
          </cell>
        </row>
        <row r="10">
          <cell r="Q10" t="str">
            <v>ЗАО "КировТЭК"</v>
          </cell>
        </row>
        <row r="11">
          <cell r="Q11" t="str">
            <v>ЗАО "ЭКОПРОМ"</v>
          </cell>
        </row>
        <row r="12">
          <cell r="Q12" t="str">
            <v>ЗАО "Энергетический Альянс"</v>
          </cell>
        </row>
        <row r="13">
          <cell r="Q13" t="str">
            <v>ОАО "Аэропорт "Пулково"</v>
          </cell>
        </row>
        <row r="14">
          <cell r="Q14" t="str">
            <v>ОАО "Водотеплоснаб"</v>
          </cell>
        </row>
        <row r="15">
          <cell r="Q15" t="str">
            <v>ОАО "Водтрансприбор"</v>
          </cell>
        </row>
        <row r="16">
          <cell r="Q16" t="str">
            <v>ОАО "ЛОМО"</v>
          </cell>
        </row>
        <row r="17">
          <cell r="Q17" t="str">
            <v>ОАО "Морской порт Санкт-Петербург"</v>
          </cell>
        </row>
        <row r="18">
          <cell r="Q18" t="str">
            <v>ОАО "Особые Экономические Зоны"</v>
          </cell>
        </row>
        <row r="19">
          <cell r="Q19" t="str">
            <v>ОАО "Пролетарский завод"</v>
          </cell>
        </row>
        <row r="20">
          <cell r="Q2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1">
          <cell r="Q21" t="str">
            <v>ОАО "РЭУ" филиал "Санкт-Петербургский"</v>
          </cell>
        </row>
        <row r="22">
          <cell r="Q22" t="str">
            <v>ОАО "Славянка"</v>
          </cell>
        </row>
        <row r="23">
          <cell r="Q23" t="str">
            <v>ООО "Воздушные ворота северной столицы"</v>
          </cell>
        </row>
        <row r="24">
          <cell r="Q24" t="str">
            <v>ООО "Зеленый дом"</v>
          </cell>
        </row>
        <row r="25">
          <cell r="Q25" t="str">
            <v>ООО "Петербургтеплоэнерго"</v>
          </cell>
        </row>
        <row r="26">
          <cell r="Q26" t="str">
            <v>ООО "Софийский бульвар"</v>
          </cell>
        </row>
        <row r="27">
          <cell r="Q27" t="str">
            <v>ООО "Степан Разин Девелопмент"</v>
          </cell>
        </row>
        <row r="28">
          <cell r="Q28" t="str">
            <v>ООО "ТеплоЭнергоВент"</v>
          </cell>
        </row>
        <row r="29">
          <cell r="Q29" t="str">
            <v>ООО "Фирма "РОСС"</v>
          </cell>
        </row>
        <row r="30">
          <cell r="Q30" t="str">
            <v>ООО "ЭКОЛ"</v>
          </cell>
        </row>
        <row r="31">
          <cell r="Q31" t="str">
            <v>ООО "Эксплуатационная компания "Арго-Сервис"</v>
          </cell>
        </row>
        <row r="32">
          <cell r="Q32" t="str">
            <v>ООО "Энергоснаб - Красные Зори"</v>
          </cell>
        </row>
        <row r="33">
          <cell r="Q33" t="str">
            <v>СПб ГБСУСО "Психоневрологический интернат №6"</v>
          </cell>
        </row>
        <row r="34">
          <cell r="Q34" t="str">
            <v>СПб ГУП "Петербургский метрополитен"</v>
          </cell>
        </row>
        <row r="35">
          <cell r="Q35" t="str">
            <v>ФГБОУ ВПО "СПбГПУ"</v>
          </cell>
        </row>
        <row r="36">
          <cell r="Q36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ГНУ ВИР Россельхозакадемии</v>
          </cell>
        </row>
        <row r="3">
          <cell r="A3" t="str">
            <v>ГУП "Водоканал Санкт-Петербурга"</v>
          </cell>
        </row>
        <row r="4">
          <cell r="A4" t="str">
            <v>ГУП "ТЭК СПб"</v>
          </cell>
        </row>
        <row r="5">
          <cell r="A5" t="str">
            <v>ЗАО "АТЭК"</v>
          </cell>
        </row>
        <row r="6">
          <cell r="A6" t="str">
            <v>ЗАО "Александро-Невская мануфактура"</v>
          </cell>
        </row>
        <row r="7">
          <cell r="A7" t="str">
            <v>ЗАО "Асфальтобетонный Завод "Магистраль"</v>
          </cell>
        </row>
        <row r="8">
          <cell r="A8" t="str">
            <v>ЗАО "ГСР ТЭЦ"</v>
          </cell>
        </row>
        <row r="9">
          <cell r="A9" t="str">
            <v>ЗАО "Гостиница "Туррис"</v>
          </cell>
        </row>
        <row r="10">
          <cell r="A10" t="str">
            <v>ЗАО "Группа Прайм"</v>
          </cell>
        </row>
        <row r="11">
          <cell r="A11" t="str">
            <v>ЗАО "Завод Красная Заря. Системы цифровой связи"</v>
          </cell>
        </row>
        <row r="12">
          <cell r="A12" t="str">
            <v>ЗАО "Завод металлоконструкций"</v>
          </cell>
        </row>
        <row r="13">
          <cell r="A13" t="str">
            <v>ЗАО "КировТЭК"</v>
          </cell>
        </row>
        <row r="14">
          <cell r="A14" t="str">
            <v>ЗАО "МЕЗОНТЭК"</v>
          </cell>
        </row>
        <row r="15">
          <cell r="A15" t="str">
            <v>ЗАО "Научно-производственное предприятие "Вектор"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"ИНТЕР РАО - Электрогенерация" (филиал "Северо-Западная ТЭЦ")</v>
          </cell>
        </row>
        <row r="56">
          <cell r="A56" t="str">
            <v>ОАО "Иван Федоров"</v>
          </cell>
        </row>
        <row r="57">
          <cell r="A57" t="str">
            <v>ОАО "Кожа"</v>
          </cell>
        </row>
        <row r="58">
          <cell r="A58" t="str">
            <v>ОАО "Компонент"</v>
          </cell>
        </row>
        <row r="59">
          <cell r="A59" t="str">
            <v>ОАО "Компрессор"</v>
          </cell>
        </row>
        <row r="60">
          <cell r="A60" t="str">
            <v>ОАО "Конструкторское бюро специального машиностроения"</v>
          </cell>
        </row>
        <row r="61">
          <cell r="A61" t="str">
            <v>ОАО "Концерн "Гранит-Электрон"</v>
          </cell>
        </row>
        <row r="62">
          <cell r="A62" t="str">
            <v>ОАО "ЛЕНПОЛИГРАФМАШ"</v>
          </cell>
        </row>
        <row r="63">
          <cell r="A63" t="str">
            <v>ОАО "ЛКХП Кирова"</v>
          </cell>
        </row>
        <row r="64">
          <cell r="A64" t="str">
            <v>ОАО "ЛОМО"</v>
          </cell>
        </row>
        <row r="65">
          <cell r="A65" t="str">
            <v>ОАО "ЛСР. Железобетон-СЗ"</v>
          </cell>
        </row>
        <row r="66">
          <cell r="A66" t="str">
            <v>ОАО "Ленинградский электромеханический завод"</v>
          </cell>
        </row>
        <row r="67">
          <cell r="A67" t="str">
            <v>ОАО "Ленпромгаз"</v>
          </cell>
        </row>
        <row r="68">
          <cell r="A68" t="str">
            <v>ОАО "МЗ "Арсенал"</v>
          </cell>
        </row>
        <row r="69">
          <cell r="A69" t="str">
            <v>ОАО "Морской завод Алмаз"</v>
          </cell>
        </row>
        <row r="70">
          <cell r="A70" t="str">
            <v>ОАО "Морской порт Санкт-Петербург"</v>
          </cell>
        </row>
        <row r="71">
          <cell r="A71" t="str">
            <v>ОАО "НПО ЦКТИ"</v>
          </cell>
        </row>
        <row r="72">
          <cell r="A72" t="str">
            <v>ОАО "НПП "Краснознаменец"</v>
          </cell>
        </row>
        <row r="73">
          <cell r="A73" t="str">
            <v>ОАО "Научно-производственный комплекс "Северная заря"</v>
          </cell>
        </row>
        <row r="74">
          <cell r="A74" t="str">
            <v>ОАО "Невская мануфактура"</v>
          </cell>
        </row>
        <row r="75">
          <cell r="A75" t="str">
            <v>ОАО "Особые Экономические Зоны"</v>
          </cell>
        </row>
        <row r="76">
          <cell r="A76" t="str">
            <v>ОАО "Приморский парк Победы"</v>
          </cell>
        </row>
        <row r="77">
          <cell r="A77" t="str">
            <v>ОАО "Пролетарский завод"</v>
          </cell>
        </row>
        <row r="78">
          <cell r="A78" t="str">
            <v>ОАО "Прядильно-ниточный комбинат "Красная нить"</v>
          </cell>
        </row>
        <row r="79">
          <cell r="A79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0">
          <cell r="A80" t="str">
            <v>ОАО "РЭУ" филиал "Санкт-Петербургский"</v>
          </cell>
        </row>
        <row r="81">
          <cell r="A81" t="str">
            <v>ОАО "Русские самоцветы"</v>
          </cell>
        </row>
        <row r="82">
          <cell r="A82" t="str">
            <v>ОАО "Рыбокомбинат"</v>
          </cell>
        </row>
        <row r="83">
          <cell r="A83" t="str">
            <v>ОАО "СПб Завод ТЭМП"</v>
          </cell>
        </row>
        <row r="84">
          <cell r="A84" t="str">
            <v>ОАО "Санкт-Петербургское морское бюро машиностроения "Малахит"</v>
          </cell>
        </row>
        <row r="85">
          <cell r="A85" t="str">
            <v>ОАО "Светлана"</v>
          </cell>
        </row>
        <row r="86">
          <cell r="A86" t="str">
            <v>ОАО "Северная мануфактура"</v>
          </cell>
        </row>
        <row r="87">
          <cell r="A87" t="str">
            <v>ОАО "Совавто-С.Петербург"</v>
          </cell>
        </row>
        <row r="88">
          <cell r="A88" t="str">
            <v>ОАО "Стройметалконструкция"</v>
          </cell>
        </row>
        <row r="89">
          <cell r="A89" t="str">
            <v>ОАО "ТГК-1"</v>
          </cell>
        </row>
        <row r="90">
          <cell r="A90" t="str">
            <v>ОАО "ТГК-1" филиал "Невский"</v>
          </cell>
        </row>
        <row r="91">
          <cell r="A91" t="str">
            <v>ОАО "Телерадиокомпания "Петербург"</v>
          </cell>
        </row>
        <row r="92">
          <cell r="A92" t="str">
            <v>ОАО "Теплосеть Санкт-Петербурга"</v>
          </cell>
        </row>
        <row r="93">
          <cell r="A93" t="str">
            <v>ОАО "Техприбор"</v>
          </cell>
        </row>
        <row r="94">
          <cell r="A94" t="str">
            <v>ОАО "Фирма Медполимер"</v>
          </cell>
        </row>
        <row r="95">
          <cell r="A95" t="str">
            <v>ОАО "ЦКБ МТ "Рубин"</v>
          </cell>
        </row>
        <row r="96">
          <cell r="A96" t="str">
            <v>ОАО "Штурманские приборы"</v>
          </cell>
        </row>
        <row r="97">
          <cell r="A97" t="str">
            <v>ОАО "Юго-Западная ТЭЦ"</v>
          </cell>
        </row>
        <row r="98">
          <cell r="A98" t="str">
            <v>ОАО ВО "Электроаппарат"</v>
          </cell>
        </row>
        <row r="99">
          <cell r="A99" t="str">
            <v>ООО "АЛЬТЕРНАТИВА"</v>
          </cell>
        </row>
        <row r="100">
          <cell r="A100" t="str">
            <v>ООО "Адамант"</v>
          </cell>
        </row>
        <row r="101">
          <cell r="A101" t="str">
            <v>ООО "Акватерм"</v>
          </cell>
        </row>
        <row r="102">
          <cell r="A102" t="str">
            <v>ООО "Атлантик"</v>
          </cell>
        </row>
        <row r="103">
          <cell r="A103" t="str">
            <v>ООО "Бавария"</v>
          </cell>
        </row>
        <row r="104">
          <cell r="A104" t="str">
            <v>ООО "Балтийский завод - Судостроение"</v>
          </cell>
        </row>
        <row r="105">
          <cell r="A105" t="str">
            <v>ООО "Воздушные ворота северной столицы"</v>
          </cell>
        </row>
        <row r="106">
          <cell r="A106" t="str">
            <v>ООО "Возрождение"</v>
          </cell>
        </row>
        <row r="107">
          <cell r="A107" t="str">
            <v>ООО "ГРАДСТРОЙ"</v>
          </cell>
        </row>
        <row r="108">
          <cell r="A108" t="str">
            <v>ООО "Газпром трансгаз Санкт-Петербург"</v>
          </cell>
        </row>
        <row r="109">
          <cell r="A109" t="str">
            <v>ООО "Гофра-2001"</v>
          </cell>
        </row>
        <row r="110">
          <cell r="A110" t="str">
            <v>ООО "Зеленый дом"</v>
          </cell>
        </row>
        <row r="111">
          <cell r="A111" t="str">
            <v>ООО "ИНТЕРМ"</v>
          </cell>
        </row>
        <row r="112">
          <cell r="A112" t="str">
            <v>ООО "ИнвестКонсалт"</v>
          </cell>
        </row>
        <row r="113">
          <cell r="A113" t="str">
            <v>ООО "Инженерная компания"</v>
          </cell>
        </row>
        <row r="114">
          <cell r="A114" t="str">
            <v>ООО "Институт Гипроникель"</v>
          </cell>
        </row>
        <row r="115">
          <cell r="A115" t="str">
            <v>ООО "КОСМ "Энерго"</v>
          </cell>
        </row>
        <row r="116">
          <cell r="A116" t="str">
            <v>ООО "Квартальная котельная"</v>
          </cell>
        </row>
        <row r="117">
          <cell r="A117" t="str">
            <v>ООО "ЛЕСПРОМ СПб"</v>
          </cell>
        </row>
        <row r="118">
          <cell r="A118" t="str">
            <v>ООО "МегаСтрой"</v>
          </cell>
        </row>
        <row r="119">
          <cell r="A119" t="str">
            <v>ООО "Обуховоэнерго"</v>
          </cell>
        </row>
        <row r="120">
          <cell r="A120" t="str">
            <v>ООО "Объединенные Пивоварни Хейникен"</v>
          </cell>
        </row>
        <row r="121">
          <cell r="A121" t="str">
            <v>ООО "ПТК-Терминал"</v>
          </cell>
        </row>
        <row r="122">
          <cell r="A122" t="str">
            <v>ООО "Петербургская торгово-промышленная компания"</v>
          </cell>
        </row>
        <row r="123">
          <cell r="A123" t="str">
            <v>ООО "Петербургтеплоэнерго"</v>
          </cell>
        </row>
        <row r="124">
          <cell r="A124" t="str">
            <v>ООО "Питерэнерго"</v>
          </cell>
        </row>
        <row r="125">
          <cell r="A125" t="str">
            <v>ООО "Производственное объединение "Пекар"</v>
          </cell>
        </row>
        <row r="126">
          <cell r="A126" t="str">
            <v>ООО "Пулковская ТЭЦ"</v>
          </cell>
        </row>
        <row r="127">
          <cell r="A127" t="str">
            <v>ООО "САНЛИТ-Т"</v>
          </cell>
        </row>
        <row r="128">
          <cell r="A128" t="str">
            <v>ООО "СК Северная Венеция"</v>
          </cell>
        </row>
        <row r="129">
          <cell r="A129" t="str">
            <v>ООО "Светлана-Эстейт"</v>
          </cell>
        </row>
        <row r="130">
          <cell r="A130" t="str">
            <v>ООО "Системы Безопасности Северо-Запад"</v>
          </cell>
        </row>
        <row r="131">
          <cell r="A131" t="str">
            <v>ООО "Софийский бульвар"</v>
          </cell>
        </row>
        <row r="132">
          <cell r="A132" t="str">
            <v>ООО "Степан Разин Девелопмент"</v>
          </cell>
        </row>
        <row r="133">
          <cell r="A133" t="str">
            <v>ООО "ТВК Лесное"</v>
          </cell>
        </row>
        <row r="134">
          <cell r="A134" t="str">
            <v>ООО "ТЭК объединения "Скороход"</v>
          </cell>
        </row>
        <row r="135">
          <cell r="A135" t="str">
            <v>ООО "Таймс"</v>
          </cell>
        </row>
        <row r="136">
          <cell r="A136" t="str">
            <v>ООО "ТеплоЭнергоВент"</v>
          </cell>
        </row>
        <row r="137">
          <cell r="A137" t="str">
            <v>ООО "Теплодар"</v>
          </cell>
        </row>
        <row r="138">
          <cell r="A138" t="str">
            <v>ООО "Теплосервис"</v>
          </cell>
        </row>
        <row r="139">
          <cell r="A139" t="str">
            <v>ООО "Теплоснабжающая компания 282"</v>
          </cell>
        </row>
        <row r="140">
          <cell r="A140" t="str">
            <v>ООО "Теплоэнерго"</v>
          </cell>
        </row>
        <row r="141">
          <cell r="A141" t="str">
            <v>ООО "Троя"</v>
          </cell>
        </row>
        <row r="142">
          <cell r="A142" t="str">
            <v>ООО "Фирма "РОСС"</v>
          </cell>
        </row>
        <row r="143">
          <cell r="A143" t="str">
            <v>ООО "Хлебтранс СПб"</v>
          </cell>
        </row>
        <row r="144">
          <cell r="A144" t="str">
            <v>ООО "ЦМТ и НТС"</v>
          </cell>
        </row>
        <row r="145">
          <cell r="A145" t="str">
            <v>ООО "Цветочная 6"</v>
          </cell>
        </row>
        <row r="146">
          <cell r="A146" t="str">
            <v>ООО "ЭКОН"</v>
          </cell>
        </row>
        <row r="147">
          <cell r="A147" t="str">
            <v>ООО "ЭНЕРГЭС"</v>
          </cell>
        </row>
        <row r="148">
          <cell r="A148" t="str">
            <v>ООО "ЭРМАС"</v>
          </cell>
        </row>
        <row r="149">
          <cell r="A149" t="str">
            <v>ООО "Эксплуатационная компания "Арго-Сервис"</v>
          </cell>
        </row>
        <row r="150">
          <cell r="A150" t="str">
            <v>ООО "Энергетические системы"</v>
          </cell>
        </row>
        <row r="151">
          <cell r="A151" t="str">
            <v>ООО "Энергия"</v>
          </cell>
        </row>
        <row r="152">
          <cell r="A152" t="str">
            <v>ООО "ЭнергоИнвест"</v>
          </cell>
        </row>
        <row r="153">
          <cell r="A153" t="str">
            <v>ООО "ЭнергоРесурс 2005"</v>
          </cell>
        </row>
        <row r="154">
          <cell r="A154" t="str">
            <v>ООО "Энергокомпания "Теплопоставка"</v>
          </cell>
        </row>
        <row r="155">
          <cell r="A155" t="str">
            <v>ООО "Энергопромсервис"</v>
          </cell>
        </row>
        <row r="156">
          <cell r="A156" t="str">
            <v>ООО "Энергосервис"</v>
          </cell>
        </row>
        <row r="157">
          <cell r="A157" t="str">
            <v>ООО "ЮИТ Сервис"</v>
          </cell>
        </row>
        <row r="158">
          <cell r="A158" t="str">
            <v>ООО "Юнит"</v>
          </cell>
        </row>
        <row r="159">
          <cell r="A159" t="str">
            <v>ООО УК "Лэмз"</v>
          </cell>
        </row>
        <row r="160">
          <cell r="A160" t="str">
            <v>С/х производственный кооператив "Племзавод "Детскосельский"</v>
          </cell>
        </row>
        <row r="161">
          <cell r="A161" t="str">
            <v>СПб ГБУЗ "Городская больница им. Н.А.Семашко"</v>
          </cell>
        </row>
        <row r="162">
          <cell r="A162" t="str">
            <v>СПб ГУП "Петербургский метрополитен"</v>
          </cell>
        </row>
        <row r="163">
          <cell r="A163" t="str">
            <v>Тульский филиал ОАО "Ростелеком"</v>
          </cell>
        </row>
        <row r="164">
          <cell r="A164" t="str">
            <v>Университет ИТМО</v>
          </cell>
        </row>
        <row r="165">
          <cell r="A165" t="str">
            <v>ФГБОУ ВПО "ГУМРФ имени адмирала С.О. Макарова"</v>
          </cell>
        </row>
        <row r="166">
          <cell r="A166" t="str">
            <v>ФГБОУ ВПО "СПбГПУ"</v>
          </cell>
        </row>
        <row r="167">
          <cell r="A167" t="str">
            <v>ФГБОУ ВПО ПГУПС</v>
          </cell>
        </row>
        <row r="168">
          <cell r="A168" t="str">
            <v>ФГБУН Институт прикладной астрономии Российской академии наук</v>
          </cell>
        </row>
        <row r="169">
          <cell r="A169" t="str">
            <v>ФГКУ "346 СЦ МЧС"</v>
          </cell>
        </row>
        <row r="170">
          <cell r="A170" t="str">
            <v>ФГУП "Кронштадтский морской завод"</v>
          </cell>
        </row>
        <row r="171">
          <cell r="A171" t="str">
            <v>ФГУП "НИИ командных приборов"</v>
          </cell>
        </row>
        <row r="172">
          <cell r="A172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27956327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>
        <row r="16">
          <cell r="I16">
            <v>15841.439</v>
          </cell>
        </row>
      </sheetData>
      <sheetData sheetId="7">
        <row r="36">
          <cell r="H36">
            <v>1.1499999999999999</v>
          </cell>
        </row>
      </sheetData>
      <sheetData sheetId="8">
        <row r="17">
          <cell r="I17">
            <v>19982.233</v>
          </cell>
        </row>
      </sheetData>
      <sheetData sheetId="9">
        <row r="17">
          <cell r="I17">
            <v>22810.300999999999</v>
          </cell>
        </row>
      </sheetData>
      <sheetData sheetId="10">
        <row r="17">
          <cell r="I17">
            <v>0</v>
          </cell>
        </row>
      </sheetData>
      <sheetData sheetId="11">
        <row r="17">
          <cell r="I17">
            <v>0</v>
          </cell>
        </row>
      </sheetData>
      <sheetData sheetId="12">
        <row r="17">
          <cell r="I17">
            <v>0</v>
          </cell>
        </row>
      </sheetData>
      <sheetData sheetId="13"/>
      <sheetData sheetId="14">
        <row r="16">
          <cell r="I16">
            <v>0</v>
          </cell>
        </row>
      </sheetData>
      <sheetData sheetId="15">
        <row r="16">
          <cell r="I16">
            <v>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ГБОУ "Балтийский берег"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Q3" t="str">
            <v>ГУП "Водоканал Санкт-Петербурга"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3.0</v>
          </cell>
          <cell r="Q4" t="str">
            <v>ЗАО "АТЭК"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"Агентство "Шушары"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"ВКХ "ВодКомХоз"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"ГСР Водоканал"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"Гостиница "Туррис"</v>
          </cell>
          <cell r="R8" t="str">
            <v>7 группа: свыше до 0,01 млн.м3 включительно</v>
          </cell>
        </row>
        <row r="9">
          <cell r="Q9" t="str">
            <v>ЗАО "ДОЗ №1"</v>
          </cell>
        </row>
        <row r="10">
          <cell r="Q10" t="str">
            <v>ЗАО "КировТЭК"</v>
          </cell>
        </row>
        <row r="11">
          <cell r="Q11" t="str">
            <v>ЗАО "ЭКОПРОМ"</v>
          </cell>
        </row>
        <row r="12">
          <cell r="Q12" t="str">
            <v>ЗАО "Энергетический Альянс"</v>
          </cell>
        </row>
        <row r="13">
          <cell r="Q13" t="str">
            <v>ОАО "Аэропорт "Пулково"</v>
          </cell>
        </row>
        <row r="14">
          <cell r="Q14" t="str">
            <v>ОАО "Водотеплоснаб"</v>
          </cell>
        </row>
        <row r="15">
          <cell r="Q15" t="str">
            <v>ОАО "Водтрансприбор"</v>
          </cell>
        </row>
        <row r="16">
          <cell r="Q16" t="str">
            <v>ОАО "ЛОМО"</v>
          </cell>
        </row>
        <row r="17">
          <cell r="Q17" t="str">
            <v>ОАО "Морской порт Санкт-Петербург"</v>
          </cell>
        </row>
        <row r="18">
          <cell r="Q18" t="str">
            <v>ОАО "Особые Экономические Зоны"</v>
          </cell>
        </row>
        <row r="19">
          <cell r="Q19" t="str">
            <v>ОАО "Пролетарский завод"</v>
          </cell>
        </row>
        <row r="20">
          <cell r="Q2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1">
          <cell r="Q21" t="str">
            <v>ОАО "РЭУ" филиал "Санкт-Петербургский"</v>
          </cell>
        </row>
        <row r="22">
          <cell r="Q22" t="str">
            <v>ОАО "Славянка"</v>
          </cell>
        </row>
        <row r="23">
          <cell r="Q23" t="str">
            <v>ООО "Воздушные ворота северной столицы"</v>
          </cell>
        </row>
        <row r="24">
          <cell r="Q24" t="str">
            <v>ООО "Зеленый дом"</v>
          </cell>
        </row>
        <row r="25">
          <cell r="Q25" t="str">
            <v>ООО "Петербургтеплоэнерго"</v>
          </cell>
        </row>
        <row r="26">
          <cell r="Q26" t="str">
            <v>ООО "Софийский бульвар"</v>
          </cell>
        </row>
        <row r="27">
          <cell r="Q27" t="str">
            <v>ООО "Степан Разин Девелопмент"</v>
          </cell>
        </row>
        <row r="28">
          <cell r="Q28" t="str">
            <v>ООО "ТеплоЭнергоВент"</v>
          </cell>
        </row>
        <row r="29">
          <cell r="Q29" t="str">
            <v>ООО "Фирма "РОСС"</v>
          </cell>
        </row>
        <row r="30">
          <cell r="Q30" t="str">
            <v>ООО "ЭКОЛ"</v>
          </cell>
        </row>
        <row r="31">
          <cell r="Q31" t="str">
            <v>ООО "Эксплуатационная компания "Арго-Сервис"</v>
          </cell>
        </row>
        <row r="32">
          <cell r="Q32" t="str">
            <v>ООО "Энергоснаб - Красные Зори"</v>
          </cell>
        </row>
        <row r="33">
          <cell r="Q33" t="str">
            <v>СПб ГБСУСО "Психоневрологический интернат №6"</v>
          </cell>
        </row>
        <row r="34">
          <cell r="Q34" t="str">
            <v>СПб ГУП "Петербургский метрополитен"</v>
          </cell>
        </row>
        <row r="35">
          <cell r="Q35" t="str">
            <v>ФГБОУ ВПО "СПбГПУ"</v>
          </cell>
        </row>
        <row r="36">
          <cell r="Q36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ГНУ ВИР Россельхозакадемии</v>
          </cell>
        </row>
        <row r="3">
          <cell r="A3" t="str">
            <v>ГУП "Водоканал Санкт-Петербурга"</v>
          </cell>
        </row>
        <row r="4">
          <cell r="A4" t="str">
            <v>ГУП "ТЭК СПб"</v>
          </cell>
        </row>
        <row r="5">
          <cell r="A5" t="str">
            <v>ЗАО "АТЭК"</v>
          </cell>
        </row>
        <row r="6">
          <cell r="A6" t="str">
            <v>ЗАО "Александро-Невская мануфактура"</v>
          </cell>
        </row>
        <row r="7">
          <cell r="A7" t="str">
            <v>ЗАО "Асфальтобетонный Завод "Магистраль"</v>
          </cell>
        </row>
        <row r="8">
          <cell r="A8" t="str">
            <v>ЗАО "ГСР ТЭЦ"</v>
          </cell>
        </row>
        <row r="9">
          <cell r="A9" t="str">
            <v>ЗАО "Гостиница "Туррис"</v>
          </cell>
        </row>
        <row r="10">
          <cell r="A10" t="str">
            <v>ЗАО "Группа Прайм"</v>
          </cell>
        </row>
        <row r="11">
          <cell r="A11" t="str">
            <v>ЗАО "Завод Красная Заря. Системы цифровой связи"</v>
          </cell>
        </row>
        <row r="12">
          <cell r="A12" t="str">
            <v>ЗАО "Завод металлоконструкций"</v>
          </cell>
        </row>
        <row r="13">
          <cell r="A13" t="str">
            <v>ЗАО "КировТЭК"</v>
          </cell>
        </row>
        <row r="14">
          <cell r="A14" t="str">
            <v>ЗАО "МЕЗОНТЭК"</v>
          </cell>
        </row>
        <row r="15">
          <cell r="A15" t="str">
            <v>ЗАО "Научно-производственное предприятие "Вектор"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"ИНТЕР РАО - Электрогенерация" (филиал "Северо-Западная ТЭЦ")</v>
          </cell>
        </row>
        <row r="56">
          <cell r="A56" t="str">
            <v>ОАО "Иван Федоров"</v>
          </cell>
        </row>
        <row r="57">
          <cell r="A57" t="str">
            <v>ОАО "Кожа"</v>
          </cell>
        </row>
        <row r="58">
          <cell r="A58" t="str">
            <v>ОАО "Компонент"</v>
          </cell>
        </row>
        <row r="59">
          <cell r="A59" t="str">
            <v>ОАО "Компрессор"</v>
          </cell>
        </row>
        <row r="60">
          <cell r="A60" t="str">
            <v>ОАО "Конструкторское бюро специального машиностроения"</v>
          </cell>
        </row>
        <row r="61">
          <cell r="A61" t="str">
            <v>ОАО "Концерн "Гранит-Электрон"</v>
          </cell>
        </row>
        <row r="62">
          <cell r="A62" t="str">
            <v>ОАО "ЛЕНПОЛИГРАФМАШ"</v>
          </cell>
        </row>
        <row r="63">
          <cell r="A63" t="str">
            <v>ОАО "ЛКХП Кирова"</v>
          </cell>
        </row>
        <row r="64">
          <cell r="A64" t="str">
            <v>ОАО "ЛОМО"</v>
          </cell>
        </row>
        <row r="65">
          <cell r="A65" t="str">
            <v>ОАО "ЛСР. Железобетон-СЗ"</v>
          </cell>
        </row>
        <row r="66">
          <cell r="A66" t="str">
            <v>ОАО "Ленинградский электромеханический завод"</v>
          </cell>
        </row>
        <row r="67">
          <cell r="A67" t="str">
            <v>ОАО "Ленпромгаз"</v>
          </cell>
        </row>
        <row r="68">
          <cell r="A68" t="str">
            <v>ОАО "МЗ "Арсенал"</v>
          </cell>
        </row>
        <row r="69">
          <cell r="A69" t="str">
            <v>ОАО "Морской завод Алмаз"</v>
          </cell>
        </row>
        <row r="70">
          <cell r="A70" t="str">
            <v>ОАО "Морской порт Санкт-Петербург"</v>
          </cell>
        </row>
        <row r="71">
          <cell r="A71" t="str">
            <v>ОАО "НПО ЦКТИ"</v>
          </cell>
        </row>
        <row r="72">
          <cell r="A72" t="str">
            <v>ОАО "НПП "Краснознаменец"</v>
          </cell>
        </row>
        <row r="73">
          <cell r="A73" t="str">
            <v>ОАО "Научно-производственный комплекс "Северная заря"</v>
          </cell>
        </row>
        <row r="74">
          <cell r="A74" t="str">
            <v>ОАО "Невская мануфактура"</v>
          </cell>
        </row>
        <row r="75">
          <cell r="A75" t="str">
            <v>ОАО "Особые Экономические Зоны"</v>
          </cell>
        </row>
        <row r="76">
          <cell r="A76" t="str">
            <v>ОАО "Приморский парк Победы"</v>
          </cell>
        </row>
        <row r="77">
          <cell r="A77" t="str">
            <v>ОАО "Пролетарский завод"</v>
          </cell>
        </row>
        <row r="78">
          <cell r="A78" t="str">
            <v>ОАО "Прядильно-ниточный комбинат "Красная нить"</v>
          </cell>
        </row>
        <row r="79">
          <cell r="A79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0">
          <cell r="A80" t="str">
            <v>ОАО "РЭУ" филиал "Санкт-Петербургский"</v>
          </cell>
        </row>
        <row r="81">
          <cell r="A81" t="str">
            <v>ОАО "Русские самоцветы"</v>
          </cell>
        </row>
        <row r="82">
          <cell r="A82" t="str">
            <v>ОАО "Рыбокомбинат"</v>
          </cell>
        </row>
        <row r="83">
          <cell r="A83" t="str">
            <v>ОАО "СПб Завод ТЭМП"</v>
          </cell>
        </row>
        <row r="84">
          <cell r="A84" t="str">
            <v>ОАО "Санкт-Петербургское морское бюро машиностроения "Малахит"</v>
          </cell>
        </row>
        <row r="85">
          <cell r="A85" t="str">
            <v>ОАО "Светлана"</v>
          </cell>
        </row>
        <row r="86">
          <cell r="A86" t="str">
            <v>ОАО "Северная мануфактура"</v>
          </cell>
        </row>
        <row r="87">
          <cell r="A87" t="str">
            <v>ОАО "Совавто-С.Петербург"</v>
          </cell>
        </row>
        <row r="88">
          <cell r="A88" t="str">
            <v>ОАО "Стройметалконструкция"</v>
          </cell>
        </row>
        <row r="89">
          <cell r="A89" t="str">
            <v>ОАО "ТГК-1"</v>
          </cell>
        </row>
        <row r="90">
          <cell r="A90" t="str">
            <v>ОАО "ТГК-1" филиал "Невский"</v>
          </cell>
        </row>
        <row r="91">
          <cell r="A91" t="str">
            <v>ОАО "Телерадиокомпания "Петербург"</v>
          </cell>
        </row>
        <row r="92">
          <cell r="A92" t="str">
            <v>ОАО "Теплосеть Санкт-Петербурга"</v>
          </cell>
        </row>
        <row r="93">
          <cell r="A93" t="str">
            <v>ОАО "Техприбор"</v>
          </cell>
        </row>
        <row r="94">
          <cell r="A94" t="str">
            <v>ОАО "Фирма Медполимер"</v>
          </cell>
        </row>
        <row r="95">
          <cell r="A95" t="str">
            <v>ОАО "ЦКБ МТ "Рубин"</v>
          </cell>
        </row>
        <row r="96">
          <cell r="A96" t="str">
            <v>ОАО "Штурманские приборы"</v>
          </cell>
        </row>
        <row r="97">
          <cell r="A97" t="str">
            <v>ОАО "Юго-Западная ТЭЦ"</v>
          </cell>
        </row>
        <row r="98">
          <cell r="A98" t="str">
            <v>ОАО ВО "Электроаппарат"</v>
          </cell>
        </row>
        <row r="99">
          <cell r="A99" t="str">
            <v>ООО "АЛЬТЕРНАТИВА"</v>
          </cell>
        </row>
        <row r="100">
          <cell r="A100" t="str">
            <v>ООО "Адамант"</v>
          </cell>
        </row>
        <row r="101">
          <cell r="A101" t="str">
            <v>ООО "Акватерм"</v>
          </cell>
        </row>
        <row r="102">
          <cell r="A102" t="str">
            <v>ООО "Атлантик"</v>
          </cell>
        </row>
        <row r="103">
          <cell r="A103" t="str">
            <v>ООО "Бавария"</v>
          </cell>
        </row>
        <row r="104">
          <cell r="A104" t="str">
            <v>ООО "Балтийский завод - Судостроение"</v>
          </cell>
        </row>
        <row r="105">
          <cell r="A105" t="str">
            <v>ООО "Воздушные ворота северной столицы"</v>
          </cell>
        </row>
        <row r="106">
          <cell r="A106" t="str">
            <v>ООО "Возрождение"</v>
          </cell>
        </row>
        <row r="107">
          <cell r="A107" t="str">
            <v>ООО "ГРАДСТРОЙ"</v>
          </cell>
        </row>
        <row r="108">
          <cell r="A108" t="str">
            <v>ООО "Газпром трансгаз Санкт-Петербург"</v>
          </cell>
        </row>
        <row r="109">
          <cell r="A109" t="str">
            <v>ООО "Гофра-2001"</v>
          </cell>
        </row>
        <row r="110">
          <cell r="A110" t="str">
            <v>ООО "Зеленый дом"</v>
          </cell>
        </row>
        <row r="111">
          <cell r="A111" t="str">
            <v>ООО "ИНТЕРМ"</v>
          </cell>
        </row>
        <row r="112">
          <cell r="A112" t="str">
            <v>ООО "ИнвестКонсалт"</v>
          </cell>
        </row>
        <row r="113">
          <cell r="A113" t="str">
            <v>ООО "Инженерная компания"</v>
          </cell>
        </row>
        <row r="114">
          <cell r="A114" t="str">
            <v>ООО "Институт Гипроникель"</v>
          </cell>
        </row>
        <row r="115">
          <cell r="A115" t="str">
            <v>ООО "КОСМ "Энерго"</v>
          </cell>
        </row>
        <row r="116">
          <cell r="A116" t="str">
            <v>ООО "Квартальная котельная"</v>
          </cell>
        </row>
        <row r="117">
          <cell r="A117" t="str">
            <v>ООО "ЛЕСПРОМ СПб"</v>
          </cell>
        </row>
        <row r="118">
          <cell r="A118" t="str">
            <v>ООО "МегаСтрой"</v>
          </cell>
        </row>
        <row r="119">
          <cell r="A119" t="str">
            <v>ООО "Обуховоэнерго"</v>
          </cell>
        </row>
        <row r="120">
          <cell r="A120" t="str">
            <v>ООО "Объединенные Пивоварни Хейникен"</v>
          </cell>
        </row>
        <row r="121">
          <cell r="A121" t="str">
            <v>ООО "ПТК-Терминал"</v>
          </cell>
        </row>
        <row r="122">
          <cell r="A122" t="str">
            <v>ООО "Петербургская торгово-промышленная компания"</v>
          </cell>
        </row>
        <row r="123">
          <cell r="A123" t="str">
            <v>ООО "Петербургтеплоэнерго"</v>
          </cell>
        </row>
        <row r="124">
          <cell r="A124" t="str">
            <v>ООО "Питерэнерго"</v>
          </cell>
        </row>
        <row r="125">
          <cell r="A125" t="str">
            <v>ООО "Производственное объединение "Пекар"</v>
          </cell>
        </row>
        <row r="126">
          <cell r="A126" t="str">
            <v>ООО "Пулковская ТЭЦ"</v>
          </cell>
        </row>
        <row r="127">
          <cell r="A127" t="str">
            <v>ООО "САНЛИТ-Т"</v>
          </cell>
        </row>
        <row r="128">
          <cell r="A128" t="str">
            <v>ООО "СК Северная Венеция"</v>
          </cell>
        </row>
        <row r="129">
          <cell r="A129" t="str">
            <v>ООО "Светлана-Эстейт"</v>
          </cell>
        </row>
        <row r="130">
          <cell r="A130" t="str">
            <v>ООО "Системы Безопасности Северо-Запад"</v>
          </cell>
        </row>
        <row r="131">
          <cell r="A131" t="str">
            <v>ООО "Софийский бульвар"</v>
          </cell>
        </row>
        <row r="132">
          <cell r="A132" t="str">
            <v>ООО "Степан Разин Девелопмент"</v>
          </cell>
        </row>
        <row r="133">
          <cell r="A133" t="str">
            <v>ООО "ТВК Лесное"</v>
          </cell>
        </row>
        <row r="134">
          <cell r="A134" t="str">
            <v>ООО "ТЭК объединения "Скороход"</v>
          </cell>
        </row>
        <row r="135">
          <cell r="A135" t="str">
            <v>ООО "Таймс"</v>
          </cell>
        </row>
        <row r="136">
          <cell r="A136" t="str">
            <v>ООО "ТеплоЭнергоВент"</v>
          </cell>
        </row>
        <row r="137">
          <cell r="A137" t="str">
            <v>ООО "Теплодар"</v>
          </cell>
        </row>
        <row r="138">
          <cell r="A138" t="str">
            <v>ООО "Теплосервис"</v>
          </cell>
        </row>
        <row r="139">
          <cell r="A139" t="str">
            <v>ООО "Теплоснабжающая компания 282"</v>
          </cell>
        </row>
        <row r="140">
          <cell r="A140" t="str">
            <v>ООО "Теплоэнерго"</v>
          </cell>
        </row>
        <row r="141">
          <cell r="A141" t="str">
            <v>ООО "Троя"</v>
          </cell>
        </row>
        <row r="142">
          <cell r="A142" t="str">
            <v>ООО "Фирма "РОСС"</v>
          </cell>
        </row>
        <row r="143">
          <cell r="A143" t="str">
            <v>ООО "Хлебтранс СПб"</v>
          </cell>
        </row>
        <row r="144">
          <cell r="A144" t="str">
            <v>ООО "ЦМТ и НТС"</v>
          </cell>
        </row>
        <row r="145">
          <cell r="A145" t="str">
            <v>ООО "Цветочная 6"</v>
          </cell>
        </row>
        <row r="146">
          <cell r="A146" t="str">
            <v>ООО "ЭКОН"</v>
          </cell>
        </row>
        <row r="147">
          <cell r="A147" t="str">
            <v>ООО "ЭНЕРГЭС"</v>
          </cell>
        </row>
        <row r="148">
          <cell r="A148" t="str">
            <v>ООО "ЭРМАС"</v>
          </cell>
        </row>
        <row r="149">
          <cell r="A149" t="str">
            <v>ООО "Эксплуатационная компания "Арго-Сервис"</v>
          </cell>
        </row>
        <row r="150">
          <cell r="A150" t="str">
            <v>ООО "Энергетические системы"</v>
          </cell>
        </row>
        <row r="151">
          <cell r="A151" t="str">
            <v>ООО "Энергия"</v>
          </cell>
        </row>
        <row r="152">
          <cell r="A152" t="str">
            <v>ООО "ЭнергоИнвест"</v>
          </cell>
        </row>
        <row r="153">
          <cell r="A153" t="str">
            <v>ООО "ЭнергоРесурс 2005"</v>
          </cell>
        </row>
        <row r="154">
          <cell r="A154" t="str">
            <v>ООО "Энергокомпания "Теплопоставка"</v>
          </cell>
        </row>
        <row r="155">
          <cell r="A155" t="str">
            <v>ООО "Энергопромсервис"</v>
          </cell>
        </row>
        <row r="156">
          <cell r="A156" t="str">
            <v>ООО "Энергосервис"</v>
          </cell>
        </row>
        <row r="157">
          <cell r="A157" t="str">
            <v>ООО "ЮИТ Сервис"</v>
          </cell>
        </row>
        <row r="158">
          <cell r="A158" t="str">
            <v>ООО "Юнит"</v>
          </cell>
        </row>
        <row r="159">
          <cell r="A159" t="str">
            <v>ООО УК "Лэмз"</v>
          </cell>
        </row>
        <row r="160">
          <cell r="A160" t="str">
            <v>С/х производственный кооператив "Племзавод "Детскосельский"</v>
          </cell>
        </row>
        <row r="161">
          <cell r="A161" t="str">
            <v>СПб ГБУЗ "Городская больница им. Н.А.Семашко"</v>
          </cell>
        </row>
        <row r="162">
          <cell r="A162" t="str">
            <v>СПб ГУП "Петербургский метрополитен"</v>
          </cell>
        </row>
        <row r="163">
          <cell r="A163" t="str">
            <v>Тульский филиал ОАО "Ростелеком"</v>
          </cell>
        </row>
        <row r="164">
          <cell r="A164" t="str">
            <v>Университет ИТМО</v>
          </cell>
        </row>
        <row r="165">
          <cell r="A165" t="str">
            <v>ФГБОУ ВПО "ГУМРФ имени адмирала С.О. Макарова"</v>
          </cell>
        </row>
        <row r="166">
          <cell r="A166" t="str">
            <v>ФГБОУ ВПО "СПбГПУ"</v>
          </cell>
        </row>
        <row r="167">
          <cell r="A167" t="str">
            <v>ФГБОУ ВПО ПГУПС</v>
          </cell>
        </row>
        <row r="168">
          <cell r="A168" t="str">
            <v>ФГБУН Институт прикладной астрономии Российской академии наук</v>
          </cell>
        </row>
        <row r="169">
          <cell r="A169" t="str">
            <v>ФГКУ "346 СЦ МЧС"</v>
          </cell>
        </row>
        <row r="170">
          <cell r="A170" t="str">
            <v>ФГУП "Кронштадтский морской завод"</v>
          </cell>
        </row>
        <row r="171">
          <cell r="A171" t="str">
            <v>ФГУП "НИИ командных приборов"</v>
          </cell>
        </row>
        <row r="172">
          <cell r="A172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26422310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>
        <row r="16">
          <cell r="I16">
            <v>18942.310000000001</v>
          </cell>
        </row>
      </sheetData>
      <sheetData sheetId="7">
        <row r="36">
          <cell r="H36">
            <v>1.03653</v>
          </cell>
        </row>
      </sheetData>
      <sheetData sheetId="8">
        <row r="17">
          <cell r="I17">
            <v>19568.498</v>
          </cell>
        </row>
      </sheetData>
      <sheetData sheetId="9">
        <row r="17">
          <cell r="I17">
            <v>20499.343000000001</v>
          </cell>
        </row>
      </sheetData>
      <sheetData sheetId="10">
        <row r="17">
          <cell r="I17">
            <v>0</v>
          </cell>
        </row>
      </sheetData>
      <sheetData sheetId="11">
        <row r="17">
          <cell r="I17">
            <v>0</v>
          </cell>
        </row>
      </sheetData>
      <sheetData sheetId="12">
        <row r="17">
          <cell r="I17">
            <v>0</v>
          </cell>
        </row>
      </sheetData>
      <sheetData sheetId="13"/>
      <sheetData sheetId="14">
        <row r="16">
          <cell r="I16">
            <v>0</v>
          </cell>
        </row>
      </sheetData>
      <sheetData sheetId="15">
        <row r="16">
          <cell r="I16">
            <v>187.07400000000001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в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O3" t="str">
            <v>Модернизация</v>
          </cell>
          <cell r="S3" t="str">
            <v>Прибыль от нерегулируемых видов деятельности</v>
          </cell>
        </row>
        <row r="4">
          <cell r="O4" t="str">
            <v>Новое строительство</v>
          </cell>
          <cell r="S4" t="str">
            <v>Прибыль от технологического присоединения (подключения)</v>
          </cell>
        </row>
        <row r="5">
          <cell r="O5" t="str">
            <v>Техническое перевооружение</v>
          </cell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26"/>
      <sheetName val="СТ-ТС.27"/>
      <sheetName val="Ссылки на публикации"/>
      <sheetName val="Проверка"/>
    </sheetNames>
    <sheetDataSet>
      <sheetData sheetId="0">
        <row r="2">
          <cell r="E2">
            <v>2012</v>
          </cell>
          <cell r="L2" t="str">
            <v>Метод экономически обоснованных расходов (затрат)</v>
          </cell>
          <cell r="N2" t="str">
            <v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v>
          </cell>
        </row>
        <row r="3">
          <cell r="L3" t="str">
            <v>Метод индексации установленных тарифов</v>
          </cell>
          <cell r="N3" t="str">
            <v>Индекс эффективности операционных расходов (индекс снижения расходов при методе сравнения аналогов)</v>
          </cell>
        </row>
        <row r="4">
          <cell r="L4" t="str">
            <v>Метод обеспечения доходности инвестированного капитала</v>
          </cell>
          <cell r="N4" t="str">
            <v xml:space="preserve">Норматив чистого оборотного капитала (в процентах) </v>
          </cell>
        </row>
        <row r="5">
          <cell r="L5" t="str">
            <v>Метод сравнения аналогов</v>
          </cell>
          <cell r="N5" t="str">
            <v xml:space="preserve">Норма доходности инвестированного капитала </v>
          </cell>
        </row>
        <row r="6">
          <cell r="N6" t="str">
            <v xml:space="preserve">Размер инвестированного капитала </v>
          </cell>
        </row>
        <row r="7">
          <cell r="N7" t="str">
            <v xml:space="preserve">Срок возврата инвестированного капитала </v>
          </cell>
        </row>
        <row r="8">
          <cell r="N8" t="str">
            <v>Уровень надежности теплоснабжения</v>
          </cell>
        </row>
        <row r="9">
          <cell r="N9" t="str">
            <v xml:space="preserve">Показатели энергосбережения и энергетической эффективности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3">
          <cell r="J3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6:V183"/>
  <sheetViews>
    <sheetView view="pageBreakPreview" topLeftCell="B22" zoomScale="90" zoomScaleNormal="100" zoomScaleSheetLayoutView="90" workbookViewId="0">
      <selection activeCell="G136" sqref="G136"/>
    </sheetView>
  </sheetViews>
  <sheetFormatPr defaultRowHeight="12.75" outlineLevelRow="1"/>
  <cols>
    <col min="1" max="2" width="2.75" style="61" customWidth="1"/>
    <col min="3" max="3" width="32.375" style="61" customWidth="1"/>
    <col min="4" max="4" width="10.5" style="61" bestFit="1" customWidth="1"/>
    <col min="5" max="6" width="11.125" style="61" bestFit="1" customWidth="1"/>
    <col min="7" max="7" width="10.625" style="61" customWidth="1"/>
    <col min="8" max="9" width="11.125" style="61" bestFit="1" customWidth="1"/>
    <col min="10" max="10" width="10.625" style="61" customWidth="1"/>
    <col min="11" max="11" width="11.125" style="61" bestFit="1" customWidth="1"/>
    <col min="12" max="12" width="11.375" style="61" customWidth="1"/>
    <col min="13" max="13" width="9.875" style="61" bestFit="1" customWidth="1"/>
    <col min="14" max="15" width="11.125" style="61" bestFit="1" customWidth="1"/>
    <col min="16" max="16" width="9.875" style="61" bestFit="1" customWidth="1"/>
    <col min="17" max="18" width="11.125" style="61" bestFit="1" customWidth="1"/>
    <col min="19" max="19" width="9.875" style="61" bestFit="1" customWidth="1"/>
    <col min="20" max="248" width="9" style="61"/>
    <col min="249" max="249" width="25.625" style="61" customWidth="1"/>
    <col min="250" max="504" width="9" style="61"/>
    <col min="505" max="505" width="25.625" style="61" customWidth="1"/>
    <col min="506" max="760" width="9" style="61"/>
    <col min="761" max="761" width="25.625" style="61" customWidth="1"/>
    <col min="762" max="1016" width="9" style="61"/>
    <col min="1017" max="1017" width="25.625" style="61" customWidth="1"/>
    <col min="1018" max="1272" width="9" style="61"/>
    <col min="1273" max="1273" width="25.625" style="61" customWidth="1"/>
    <col min="1274" max="1528" width="9" style="61"/>
    <col min="1529" max="1529" width="25.625" style="61" customWidth="1"/>
    <col min="1530" max="1784" width="9" style="61"/>
    <col min="1785" max="1785" width="25.625" style="61" customWidth="1"/>
    <col min="1786" max="2040" width="9" style="61"/>
    <col min="2041" max="2041" width="25.625" style="61" customWidth="1"/>
    <col min="2042" max="2296" width="9" style="61"/>
    <col min="2297" max="2297" width="25.625" style="61" customWidth="1"/>
    <col min="2298" max="2552" width="9" style="61"/>
    <col min="2553" max="2553" width="25.625" style="61" customWidth="1"/>
    <col min="2554" max="2808" width="9" style="61"/>
    <col min="2809" max="2809" width="25.625" style="61" customWidth="1"/>
    <col min="2810" max="3064" width="9" style="61"/>
    <col min="3065" max="3065" width="25.625" style="61" customWidth="1"/>
    <col min="3066" max="3320" width="9" style="61"/>
    <col min="3321" max="3321" width="25.625" style="61" customWidth="1"/>
    <col min="3322" max="3576" width="9" style="61"/>
    <col min="3577" max="3577" width="25.625" style="61" customWidth="1"/>
    <col min="3578" max="3832" width="9" style="61"/>
    <col min="3833" max="3833" width="25.625" style="61" customWidth="1"/>
    <col min="3834" max="4088" width="9" style="61"/>
    <col min="4089" max="4089" width="25.625" style="61" customWidth="1"/>
    <col min="4090" max="4344" width="9" style="61"/>
    <col min="4345" max="4345" width="25.625" style="61" customWidth="1"/>
    <col min="4346" max="4600" width="9" style="61"/>
    <col min="4601" max="4601" width="25.625" style="61" customWidth="1"/>
    <col min="4602" max="4856" width="9" style="61"/>
    <col min="4857" max="4857" width="25.625" style="61" customWidth="1"/>
    <col min="4858" max="5112" width="9" style="61"/>
    <col min="5113" max="5113" width="25.625" style="61" customWidth="1"/>
    <col min="5114" max="5368" width="9" style="61"/>
    <col min="5369" max="5369" width="25.625" style="61" customWidth="1"/>
    <col min="5370" max="5624" width="9" style="61"/>
    <col min="5625" max="5625" width="25.625" style="61" customWidth="1"/>
    <col min="5626" max="5880" width="9" style="61"/>
    <col min="5881" max="5881" width="25.625" style="61" customWidth="1"/>
    <col min="5882" max="6136" width="9" style="61"/>
    <col min="6137" max="6137" width="25.625" style="61" customWidth="1"/>
    <col min="6138" max="6392" width="9" style="61"/>
    <col min="6393" max="6393" width="25.625" style="61" customWidth="1"/>
    <col min="6394" max="6648" width="9" style="61"/>
    <col min="6649" max="6649" width="25.625" style="61" customWidth="1"/>
    <col min="6650" max="6904" width="9" style="61"/>
    <col min="6905" max="6905" width="25.625" style="61" customWidth="1"/>
    <col min="6906" max="7160" width="9" style="61"/>
    <col min="7161" max="7161" width="25.625" style="61" customWidth="1"/>
    <col min="7162" max="7416" width="9" style="61"/>
    <col min="7417" max="7417" width="25.625" style="61" customWidth="1"/>
    <col min="7418" max="7672" width="9" style="61"/>
    <col min="7673" max="7673" width="25.625" style="61" customWidth="1"/>
    <col min="7674" max="7928" width="9" style="61"/>
    <col min="7929" max="7929" width="25.625" style="61" customWidth="1"/>
    <col min="7930" max="8184" width="9" style="61"/>
    <col min="8185" max="8185" width="25.625" style="61" customWidth="1"/>
    <col min="8186" max="8440" width="9" style="61"/>
    <col min="8441" max="8441" width="25.625" style="61" customWidth="1"/>
    <col min="8442" max="8696" width="9" style="61"/>
    <col min="8697" max="8697" width="25.625" style="61" customWidth="1"/>
    <col min="8698" max="8952" width="9" style="61"/>
    <col min="8953" max="8953" width="25.625" style="61" customWidth="1"/>
    <col min="8954" max="9208" width="9" style="61"/>
    <col min="9209" max="9209" width="25.625" style="61" customWidth="1"/>
    <col min="9210" max="9464" width="9" style="61"/>
    <col min="9465" max="9465" width="25.625" style="61" customWidth="1"/>
    <col min="9466" max="9720" width="9" style="61"/>
    <col min="9721" max="9721" width="25.625" style="61" customWidth="1"/>
    <col min="9722" max="9976" width="9" style="61"/>
    <col min="9977" max="9977" width="25.625" style="61" customWidth="1"/>
    <col min="9978" max="10232" width="9" style="61"/>
    <col min="10233" max="10233" width="25.625" style="61" customWidth="1"/>
    <col min="10234" max="10488" width="9" style="61"/>
    <col min="10489" max="10489" width="25.625" style="61" customWidth="1"/>
    <col min="10490" max="10744" width="9" style="61"/>
    <col min="10745" max="10745" width="25.625" style="61" customWidth="1"/>
    <col min="10746" max="11000" width="9" style="61"/>
    <col min="11001" max="11001" width="25.625" style="61" customWidth="1"/>
    <col min="11002" max="11256" width="9" style="61"/>
    <col min="11257" max="11257" width="25.625" style="61" customWidth="1"/>
    <col min="11258" max="11512" width="9" style="61"/>
    <col min="11513" max="11513" width="25.625" style="61" customWidth="1"/>
    <col min="11514" max="11768" width="9" style="61"/>
    <col min="11769" max="11769" width="25.625" style="61" customWidth="1"/>
    <col min="11770" max="12024" width="9" style="61"/>
    <col min="12025" max="12025" width="25.625" style="61" customWidth="1"/>
    <col min="12026" max="12280" width="9" style="61"/>
    <col min="12281" max="12281" width="25.625" style="61" customWidth="1"/>
    <col min="12282" max="12536" width="9" style="61"/>
    <col min="12537" max="12537" width="25.625" style="61" customWidth="1"/>
    <col min="12538" max="12792" width="9" style="61"/>
    <col min="12793" max="12793" width="25.625" style="61" customWidth="1"/>
    <col min="12794" max="13048" width="9" style="61"/>
    <col min="13049" max="13049" width="25.625" style="61" customWidth="1"/>
    <col min="13050" max="13304" width="9" style="61"/>
    <col min="13305" max="13305" width="25.625" style="61" customWidth="1"/>
    <col min="13306" max="13560" width="9" style="61"/>
    <col min="13561" max="13561" width="25.625" style="61" customWidth="1"/>
    <col min="13562" max="13816" width="9" style="61"/>
    <col min="13817" max="13817" width="25.625" style="61" customWidth="1"/>
    <col min="13818" max="14072" width="9" style="61"/>
    <col min="14073" max="14073" width="25.625" style="61" customWidth="1"/>
    <col min="14074" max="14328" width="9" style="61"/>
    <col min="14329" max="14329" width="25.625" style="61" customWidth="1"/>
    <col min="14330" max="14584" width="9" style="61"/>
    <col min="14585" max="14585" width="25.625" style="61" customWidth="1"/>
    <col min="14586" max="14840" width="9" style="61"/>
    <col min="14841" max="14841" width="25.625" style="61" customWidth="1"/>
    <col min="14842" max="15096" width="9" style="61"/>
    <col min="15097" max="15097" width="25.625" style="61" customWidth="1"/>
    <col min="15098" max="15352" width="9" style="61"/>
    <col min="15353" max="15353" width="25.625" style="61" customWidth="1"/>
    <col min="15354" max="15608" width="9" style="61"/>
    <col min="15609" max="15609" width="25.625" style="61" customWidth="1"/>
    <col min="15610" max="15864" width="9" style="61"/>
    <col min="15865" max="15865" width="25.625" style="61" customWidth="1"/>
    <col min="15866" max="16120" width="9" style="61"/>
    <col min="16121" max="16121" width="25.625" style="61" customWidth="1"/>
    <col min="16122" max="16384" width="9" style="61"/>
  </cols>
  <sheetData>
    <row r="6" spans="3:12" ht="13.5" thickBot="1">
      <c r="C6" s="60" t="s">
        <v>14</v>
      </c>
    </row>
    <row r="7" spans="3:12" ht="12.75" customHeight="1" thickBot="1">
      <c r="C7" s="60"/>
      <c r="D7" s="587">
        <v>2015</v>
      </c>
      <c r="E7" s="804">
        <v>2016</v>
      </c>
      <c r="F7" s="588">
        <v>2017</v>
      </c>
      <c r="G7" s="589">
        <v>2018</v>
      </c>
      <c r="H7" s="356">
        <v>2019</v>
      </c>
      <c r="I7" s="356">
        <v>2020</v>
      </c>
      <c r="J7" s="356">
        <v>2021</v>
      </c>
      <c r="K7" s="356">
        <v>2022</v>
      </c>
      <c r="L7" s="410">
        <v>2023</v>
      </c>
    </row>
    <row r="8" spans="3:12" s="64" customFormat="1" ht="15.75" customHeight="1">
      <c r="C8" s="63" t="s">
        <v>15</v>
      </c>
      <c r="D8" s="590">
        <v>1.0669999999999999</v>
      </c>
      <c r="E8" s="591">
        <v>1.071</v>
      </c>
      <c r="F8" s="592">
        <v>1.0369999999999999</v>
      </c>
      <c r="G8" s="593">
        <v>1.0269999999999999</v>
      </c>
      <c r="H8" s="583">
        <v>1.046</v>
      </c>
      <c r="I8" s="583">
        <v>1.034</v>
      </c>
      <c r="J8" s="583">
        <v>1.04</v>
      </c>
      <c r="K8" s="583">
        <f>J8</f>
        <v>1.04</v>
      </c>
      <c r="L8" s="584">
        <f>K8</f>
        <v>1.04</v>
      </c>
    </row>
    <row r="9" spans="3:12" s="64" customFormat="1" ht="15.75" customHeight="1">
      <c r="C9" s="63" t="s">
        <v>450</v>
      </c>
      <c r="D9" s="594">
        <v>1.089</v>
      </c>
      <c r="E9" s="595">
        <v>1.075</v>
      </c>
      <c r="F9" s="596">
        <v>1.0569999999999999</v>
      </c>
      <c r="G9" s="920">
        <v>1.0389999999999999</v>
      </c>
      <c r="H9" s="921">
        <v>1.0589999999999999</v>
      </c>
      <c r="I9" s="921">
        <v>1.042</v>
      </c>
      <c r="J9" s="921">
        <v>1.04</v>
      </c>
      <c r="K9" s="921">
        <f t="shared" ref="K9" si="0">J9</f>
        <v>1.04</v>
      </c>
      <c r="L9" s="922">
        <v>1.0389999999999999</v>
      </c>
    </row>
    <row r="10" spans="3:12" s="64" customFormat="1" ht="27" customHeight="1">
      <c r="C10" s="63" t="s">
        <v>451</v>
      </c>
      <c r="D10" s="597">
        <v>1.1200000000000001</v>
      </c>
      <c r="E10" s="598">
        <v>1.1200000000000001</v>
      </c>
      <c r="F10" s="599">
        <v>1.1200000000000001</v>
      </c>
      <c r="G10" s="923">
        <v>1.1200000000000001</v>
      </c>
      <c r="H10" s="924">
        <v>1.08</v>
      </c>
      <c r="I10" s="924">
        <f t="shared" ref="I10:L10" si="1">H10</f>
        <v>1.08</v>
      </c>
      <c r="J10" s="924">
        <v>1.04</v>
      </c>
      <c r="K10" s="924">
        <f t="shared" si="1"/>
        <v>1.04</v>
      </c>
      <c r="L10" s="925">
        <f t="shared" si="1"/>
        <v>1.04</v>
      </c>
    </row>
    <row r="11" spans="3:12" s="64" customFormat="1" ht="26.25" customHeight="1">
      <c r="C11" s="63" t="s">
        <v>452</v>
      </c>
      <c r="D11" s="600">
        <v>1.1000000000000001</v>
      </c>
      <c r="E11" s="601">
        <v>1.1000000000000001</v>
      </c>
      <c r="F11" s="602">
        <v>1.1000000000000001</v>
      </c>
      <c r="G11" s="926">
        <v>1.075</v>
      </c>
      <c r="H11" s="927">
        <v>1.07</v>
      </c>
      <c r="I11" s="927">
        <v>1.07</v>
      </c>
      <c r="J11" s="927">
        <v>1.04</v>
      </c>
      <c r="K11" s="927">
        <v>1.04</v>
      </c>
      <c r="L11" s="585">
        <v>1.04</v>
      </c>
    </row>
    <row r="12" spans="3:12" s="64" customFormat="1" ht="16.5" customHeight="1" thickBot="1">
      <c r="C12" s="65" t="s">
        <v>18</v>
      </c>
      <c r="D12" s="603">
        <v>1.085</v>
      </c>
      <c r="E12" s="604">
        <v>1.04</v>
      </c>
      <c r="F12" s="605">
        <v>1.0569999999999999</v>
      </c>
      <c r="G12" s="928">
        <v>1.0389999999999999</v>
      </c>
      <c r="H12" s="929">
        <v>1.0589999999999999</v>
      </c>
      <c r="I12" s="929">
        <v>1.042</v>
      </c>
      <c r="J12" s="929">
        <v>1.04</v>
      </c>
      <c r="K12" s="929">
        <f t="shared" ref="K12" si="2">J12</f>
        <v>1.04</v>
      </c>
      <c r="L12" s="798">
        <v>1.0389999999999999</v>
      </c>
    </row>
    <row r="13" spans="3:12" s="64" customFormat="1" ht="16.5" customHeight="1" thickBot="1">
      <c r="C13" s="66" t="s">
        <v>16</v>
      </c>
      <c r="D13" s="606"/>
      <c r="E13" s="607"/>
      <c r="F13" s="608"/>
      <c r="G13" s="609"/>
      <c r="H13" s="69"/>
      <c r="I13" s="69"/>
      <c r="J13" s="69"/>
      <c r="K13" s="69"/>
      <c r="L13" s="411"/>
    </row>
    <row r="14" spans="3:12" s="64" customFormat="1" ht="15.75" customHeight="1">
      <c r="C14" s="67" t="s">
        <v>453</v>
      </c>
      <c r="D14" s="610">
        <v>1.075</v>
      </c>
      <c r="E14" s="611">
        <v>1.02</v>
      </c>
      <c r="F14" s="612">
        <v>1.0389999999999999</v>
      </c>
      <c r="G14" s="613">
        <v>1.034</v>
      </c>
      <c r="H14" s="258">
        <v>1.014</v>
      </c>
      <c r="I14" s="258">
        <v>1.03</v>
      </c>
      <c r="J14" s="258">
        <f t="shared" ref="J14:L14" si="3">I14</f>
        <v>1.03</v>
      </c>
      <c r="K14" s="258">
        <f t="shared" si="3"/>
        <v>1.03</v>
      </c>
      <c r="L14" s="412">
        <f t="shared" si="3"/>
        <v>1.03</v>
      </c>
    </row>
    <row r="15" spans="3:12" s="64" customFormat="1" ht="15.75" customHeight="1">
      <c r="C15" s="68" t="s">
        <v>454</v>
      </c>
      <c r="D15" s="597">
        <v>1.075</v>
      </c>
      <c r="E15" s="598">
        <f>E14</f>
        <v>1.02</v>
      </c>
      <c r="F15" s="599">
        <f>F14</f>
        <v>1.0389999999999999</v>
      </c>
      <c r="G15" s="923">
        <f>G14</f>
        <v>1.034</v>
      </c>
      <c r="H15" s="924">
        <v>1.014</v>
      </c>
      <c r="I15" s="924">
        <v>1.03</v>
      </c>
      <c r="J15" s="924">
        <f t="shared" ref="J15:L15" si="4">I15</f>
        <v>1.03</v>
      </c>
      <c r="K15" s="924">
        <f t="shared" si="4"/>
        <v>1.03</v>
      </c>
      <c r="L15" s="925">
        <f t="shared" si="4"/>
        <v>1.03</v>
      </c>
    </row>
    <row r="16" spans="3:12" s="64" customFormat="1">
      <c r="C16" s="63" t="s">
        <v>38</v>
      </c>
      <c r="D16" s="594">
        <v>0.99099999999999999</v>
      </c>
      <c r="E16" s="614"/>
      <c r="F16" s="615">
        <v>1.1579999999999999</v>
      </c>
      <c r="G16" s="930">
        <v>1.2210000000000001</v>
      </c>
      <c r="H16" s="931">
        <v>1.0189999999999999</v>
      </c>
      <c r="I16" s="931">
        <v>1.004</v>
      </c>
      <c r="J16" s="931">
        <v>1.0049999999999999</v>
      </c>
      <c r="K16" s="931">
        <v>1.016</v>
      </c>
      <c r="L16" s="932">
        <v>1.0269999999999999</v>
      </c>
    </row>
    <row r="17" spans="3:15" s="64" customFormat="1" ht="13.5" thickBot="1">
      <c r="C17" s="63" t="s">
        <v>52</v>
      </c>
      <c r="D17" s="594">
        <v>1.032</v>
      </c>
      <c r="E17" s="616">
        <v>1.0129999999999999</v>
      </c>
      <c r="F17" s="617">
        <v>1.0740000000000001</v>
      </c>
      <c r="G17" s="618">
        <v>1.0980000000000001</v>
      </c>
      <c r="H17" s="799">
        <v>1.0429999999999999</v>
      </c>
      <c r="I17" s="799">
        <v>1.0409999999999999</v>
      </c>
      <c r="J17" s="801">
        <v>1.04</v>
      </c>
      <c r="K17" s="799">
        <v>1.042</v>
      </c>
      <c r="L17" s="800">
        <v>1.0429999999999999</v>
      </c>
    </row>
    <row r="21" spans="3:15">
      <c r="C21" s="61" t="s">
        <v>455</v>
      </c>
    </row>
    <row r="22" spans="3:15" ht="38.25">
      <c r="D22" s="581" t="s">
        <v>11</v>
      </c>
      <c r="E22" s="581" t="s">
        <v>298</v>
      </c>
      <c r="F22" s="582" t="s">
        <v>299</v>
      </c>
      <c r="G22" s="582" t="s">
        <v>300</v>
      </c>
      <c r="H22" s="582" t="s">
        <v>301</v>
      </c>
      <c r="I22" s="582" t="s">
        <v>302</v>
      </c>
      <c r="J22" s="582" t="s">
        <v>303</v>
      </c>
      <c r="K22" s="582" t="s">
        <v>304</v>
      </c>
    </row>
    <row r="23" spans="3:15">
      <c r="C23" s="578" t="s">
        <v>54</v>
      </c>
      <c r="D23" s="580" t="s">
        <v>19</v>
      </c>
      <c r="E23" s="579">
        <v>4528</v>
      </c>
      <c r="F23" s="579">
        <v>4528</v>
      </c>
      <c r="G23" s="579">
        <v>4528</v>
      </c>
      <c r="H23" s="579">
        <v>4528</v>
      </c>
      <c r="I23" s="579">
        <v>4528</v>
      </c>
      <c r="J23" s="579">
        <v>4528</v>
      </c>
      <c r="K23" s="579">
        <v>4528</v>
      </c>
      <c r="L23" s="1573" t="s">
        <v>391</v>
      </c>
      <c r="M23" s="1574"/>
      <c r="N23" s="1574"/>
      <c r="O23" s="1574"/>
    </row>
    <row r="24" spans="3:15" s="636" customFormat="1" ht="25.5">
      <c r="C24" s="631" t="s">
        <v>214</v>
      </c>
      <c r="D24" s="633" t="s">
        <v>395</v>
      </c>
      <c r="E24" s="634">
        <f>$G$101/$G$120*7000</f>
        <v>8099.0104438717644</v>
      </c>
      <c r="F24" s="634">
        <f t="shared" ref="F24:K24" si="5">$G$101/$G$120*7000</f>
        <v>8099.0104438717644</v>
      </c>
      <c r="G24" s="634">
        <f t="shared" si="5"/>
        <v>8099.0104438717644</v>
      </c>
      <c r="H24" s="634">
        <f t="shared" si="5"/>
        <v>8099.0104438717644</v>
      </c>
      <c r="I24" s="634">
        <f t="shared" si="5"/>
        <v>8099.0104438717644</v>
      </c>
      <c r="J24" s="634">
        <f t="shared" si="5"/>
        <v>8099.0104438717644</v>
      </c>
      <c r="K24" s="634">
        <f t="shared" si="5"/>
        <v>8099.0104438717644</v>
      </c>
      <c r="L24" s="635"/>
      <c r="M24" s="635"/>
      <c r="N24" s="635"/>
      <c r="O24" s="635"/>
    </row>
    <row r="25" spans="3:15" s="636" customFormat="1">
      <c r="C25" s="631" t="s">
        <v>394</v>
      </c>
      <c r="D25" s="633"/>
      <c r="E25" s="955">
        <f>E24/7900</f>
        <v>1.0251911954268056</v>
      </c>
      <c r="F25" s="955">
        <f t="shared" ref="F25:K25" si="6">F24/7900</f>
        <v>1.0251911954268056</v>
      </c>
      <c r="G25" s="955">
        <f t="shared" si="6"/>
        <v>1.0251911954268056</v>
      </c>
      <c r="H25" s="955">
        <f t="shared" si="6"/>
        <v>1.0251911954268056</v>
      </c>
      <c r="I25" s="955">
        <f t="shared" si="6"/>
        <v>1.0251911954268056</v>
      </c>
      <c r="J25" s="955">
        <f t="shared" si="6"/>
        <v>1.0251911954268056</v>
      </c>
      <c r="K25" s="955">
        <f t="shared" si="6"/>
        <v>1.0251911954268056</v>
      </c>
      <c r="L25" s="635"/>
      <c r="M25" s="635"/>
      <c r="N25" s="635"/>
      <c r="O25" s="635"/>
    </row>
    <row r="26" spans="3:15" ht="25.5">
      <c r="C26" s="632" t="s">
        <v>396</v>
      </c>
      <c r="D26" s="580" t="s">
        <v>19</v>
      </c>
      <c r="E26" s="579">
        <f>ROUND(E23*E25,2)</f>
        <v>4642.07</v>
      </c>
      <c r="F26" s="579">
        <f t="shared" ref="F26:K26" si="7">ROUND(F23*F25,2)</f>
        <v>4642.07</v>
      </c>
      <c r="G26" s="579">
        <f t="shared" si="7"/>
        <v>4642.07</v>
      </c>
      <c r="H26" s="579">
        <f t="shared" si="7"/>
        <v>4642.07</v>
      </c>
      <c r="I26" s="579">
        <f t="shared" si="7"/>
        <v>4642.07</v>
      </c>
      <c r="J26" s="579">
        <f t="shared" si="7"/>
        <v>4642.07</v>
      </c>
      <c r="K26" s="579">
        <f t="shared" si="7"/>
        <v>4642.07</v>
      </c>
      <c r="L26" s="630"/>
      <c r="M26" s="630"/>
      <c r="N26" s="630"/>
      <c r="O26" s="630"/>
    </row>
    <row r="27" spans="3:15">
      <c r="C27" s="578" t="s">
        <v>55</v>
      </c>
      <c r="D27" s="580" t="s">
        <v>19</v>
      </c>
      <c r="E27" s="579">
        <f>86.17</f>
        <v>86.17</v>
      </c>
      <c r="F27" s="579">
        <f>87.74</f>
        <v>87.74</v>
      </c>
      <c r="G27" s="579">
        <f>93.52</f>
        <v>93.52</v>
      </c>
      <c r="H27" s="579">
        <f>106.13</f>
        <v>106.13</v>
      </c>
      <c r="I27" s="579">
        <f>107.49</f>
        <v>107.49</v>
      </c>
      <c r="J27" s="579">
        <f>108.75</f>
        <v>108.75</v>
      </c>
      <c r="K27" s="579">
        <f>109.81</f>
        <v>109.81</v>
      </c>
      <c r="L27" s="61" t="s">
        <v>305</v>
      </c>
    </row>
    <row r="28" spans="3:15" ht="25.5">
      <c r="C28" s="62" t="s">
        <v>392</v>
      </c>
      <c r="D28" s="580" t="s">
        <v>19</v>
      </c>
      <c r="E28" s="579">
        <f>384.84</f>
        <v>384.84</v>
      </c>
      <c r="F28" s="579">
        <f>398.83</f>
        <v>398.83</v>
      </c>
      <c r="G28" s="579">
        <f>567.63</f>
        <v>567.63</v>
      </c>
      <c r="H28" s="579">
        <f>776.37</f>
        <v>776.37</v>
      </c>
      <c r="I28" s="579">
        <f>780.63</f>
        <v>780.63</v>
      </c>
      <c r="J28" s="579">
        <f>784.88</f>
        <v>784.88</v>
      </c>
      <c r="K28" s="579">
        <f>893.54</f>
        <v>893.54</v>
      </c>
      <c r="L28" s="61" t="s">
        <v>306</v>
      </c>
    </row>
    <row r="29" spans="3:15" ht="38.25" customHeight="1">
      <c r="C29" s="62" t="s">
        <v>393</v>
      </c>
      <c r="D29" s="580" t="s">
        <v>19</v>
      </c>
      <c r="E29" s="579">
        <v>240.86</v>
      </c>
      <c r="F29" s="579">
        <v>271.61</v>
      </c>
      <c r="G29" s="579">
        <v>430.47</v>
      </c>
      <c r="H29" s="579">
        <v>593.49</v>
      </c>
      <c r="I29" s="579">
        <v>645.71</v>
      </c>
      <c r="J29" s="579">
        <v>713.97</v>
      </c>
      <c r="K29" s="579">
        <v>740.06</v>
      </c>
      <c r="L29" s="61" t="s">
        <v>306</v>
      </c>
    </row>
    <row r="30" spans="3:15">
      <c r="C30" s="578" t="s">
        <v>56</v>
      </c>
      <c r="D30" s="580" t="s">
        <v>19</v>
      </c>
      <c r="E30" s="579">
        <v>114.32</v>
      </c>
      <c r="F30" s="579">
        <v>114.32</v>
      </c>
      <c r="G30" s="579">
        <v>114.32</v>
      </c>
      <c r="H30" s="579">
        <v>114.32</v>
      </c>
      <c r="I30" s="579">
        <v>114.32</v>
      </c>
      <c r="J30" s="579">
        <v>114.32</v>
      </c>
      <c r="K30" s="579">
        <v>114.32</v>
      </c>
      <c r="L30" s="61" t="s">
        <v>307</v>
      </c>
    </row>
    <row r="31" spans="3:15">
      <c r="D31" s="619"/>
    </row>
    <row r="32" spans="3:15">
      <c r="D32" s="619"/>
    </row>
    <row r="33" spans="3:8">
      <c r="D33" s="619"/>
      <c r="E33" s="619" t="s">
        <v>456</v>
      </c>
    </row>
    <row r="34" spans="3:8">
      <c r="C34" s="637" t="s">
        <v>52</v>
      </c>
      <c r="D34" s="640" t="s">
        <v>399</v>
      </c>
      <c r="E34" s="577"/>
    </row>
    <row r="35" spans="3:8">
      <c r="C35" s="637" t="s">
        <v>38</v>
      </c>
      <c r="D35" s="640" t="s">
        <v>399</v>
      </c>
      <c r="E35" s="577"/>
    </row>
    <row r="36" spans="3:8">
      <c r="C36" s="637" t="s">
        <v>400</v>
      </c>
      <c r="D36" s="640" t="s">
        <v>399</v>
      </c>
      <c r="E36" s="577"/>
    </row>
    <row r="37" spans="3:8" ht="25.5">
      <c r="C37" s="637" t="s">
        <v>401</v>
      </c>
      <c r="D37" s="640" t="s">
        <v>402</v>
      </c>
      <c r="E37" s="577"/>
    </row>
    <row r="38" spans="3:8" ht="15">
      <c r="C38" s="638"/>
      <c r="D38" s="639"/>
    </row>
    <row r="39" spans="3:8">
      <c r="D39" s="619"/>
    </row>
    <row r="40" spans="3:8">
      <c r="D40" s="619"/>
    </row>
    <row r="41" spans="3:8">
      <c r="C41" s="61" t="s">
        <v>17</v>
      </c>
      <c r="D41" s="619"/>
    </row>
    <row r="42" spans="3:8">
      <c r="D42" s="580" t="s">
        <v>11</v>
      </c>
      <c r="E42" s="581" t="s">
        <v>308</v>
      </c>
      <c r="F42" s="581" t="s">
        <v>309</v>
      </c>
      <c r="G42" s="581" t="s">
        <v>310</v>
      </c>
      <c r="H42" s="581" t="s">
        <v>311</v>
      </c>
    </row>
    <row r="43" spans="3:8">
      <c r="C43" s="577" t="s">
        <v>397</v>
      </c>
      <c r="D43" s="580" t="s">
        <v>23</v>
      </c>
      <c r="E43" s="577"/>
      <c r="F43" s="577"/>
      <c r="G43" s="577"/>
      <c r="H43" s="577"/>
    </row>
    <row r="44" spans="3:8">
      <c r="C44" s="577" t="s">
        <v>398</v>
      </c>
      <c r="D44" s="580" t="s">
        <v>23</v>
      </c>
      <c r="E44" s="577"/>
      <c r="F44" s="577"/>
      <c r="G44" s="577"/>
      <c r="H44" s="577"/>
    </row>
    <row r="45" spans="3:8">
      <c r="D45" s="619"/>
    </row>
    <row r="46" spans="3:8">
      <c r="D46" s="619"/>
    </row>
    <row r="47" spans="3:8">
      <c r="D47" s="619"/>
    </row>
    <row r="48" spans="3:8">
      <c r="C48" s="61" t="s">
        <v>312</v>
      </c>
      <c r="D48" s="619"/>
      <c r="E48" s="1582" t="s">
        <v>457</v>
      </c>
      <c r="F48" s="1582"/>
    </row>
    <row r="49" spans="3:21" ht="38.25">
      <c r="D49" s="581" t="s">
        <v>11</v>
      </c>
      <c r="E49" s="582" t="s">
        <v>315</v>
      </c>
      <c r="F49" s="582" t="s">
        <v>316</v>
      </c>
      <c r="U49" s="626"/>
    </row>
    <row r="50" spans="3:21" s="623" customFormat="1">
      <c r="C50" s="620" t="s">
        <v>209</v>
      </c>
      <c r="D50" s="621" t="s">
        <v>19</v>
      </c>
      <c r="E50" s="625"/>
      <c r="F50" s="625"/>
      <c r="U50" s="626"/>
    </row>
    <row r="51" spans="3:21">
      <c r="C51" s="578" t="s">
        <v>313</v>
      </c>
      <c r="D51" s="580" t="s">
        <v>19</v>
      </c>
      <c r="E51" s="579">
        <v>25.5</v>
      </c>
      <c r="F51" s="579"/>
      <c r="U51" s="626"/>
    </row>
    <row r="52" spans="3:21">
      <c r="C52" s="578" t="s">
        <v>314</v>
      </c>
      <c r="D52" s="580" t="s">
        <v>19</v>
      </c>
      <c r="E52" s="579">
        <v>34.369999999999997</v>
      </c>
      <c r="F52" s="579"/>
      <c r="U52" s="626"/>
    </row>
    <row r="53" spans="3:21" s="623" customFormat="1">
      <c r="C53" s="620" t="s">
        <v>210</v>
      </c>
      <c r="D53" s="621" t="s">
        <v>19</v>
      </c>
      <c r="E53" s="622"/>
      <c r="F53" s="622"/>
      <c r="U53" s="626"/>
    </row>
    <row r="54" spans="3:21">
      <c r="C54" s="578" t="s">
        <v>313</v>
      </c>
      <c r="D54" s="580" t="s">
        <v>19</v>
      </c>
      <c r="E54" s="579">
        <v>25.5</v>
      </c>
      <c r="F54" s="579"/>
      <c r="U54" s="626"/>
    </row>
    <row r="55" spans="3:21">
      <c r="C55" s="578" t="s">
        <v>314</v>
      </c>
      <c r="D55" s="580" t="s">
        <v>19</v>
      </c>
      <c r="E55" s="579">
        <v>40.28</v>
      </c>
      <c r="F55" s="579"/>
      <c r="U55" s="626"/>
    </row>
    <row r="56" spans="3:21">
      <c r="U56" s="626"/>
    </row>
    <row r="57" spans="3:21">
      <c r="U57" s="626"/>
    </row>
    <row r="58" spans="3:21">
      <c r="U58" s="626"/>
    </row>
    <row r="59" spans="3:21">
      <c r="C59" s="61" t="s">
        <v>18</v>
      </c>
      <c r="E59" s="1582" t="s">
        <v>457</v>
      </c>
      <c r="F59" s="1582"/>
      <c r="G59" s="1582"/>
      <c r="H59" s="1582"/>
      <c r="I59" s="1582"/>
      <c r="J59" s="1582"/>
      <c r="K59" s="1582"/>
      <c r="L59" s="1582"/>
      <c r="U59" s="626"/>
    </row>
    <row r="60" spans="3:21" ht="38.25">
      <c r="D60" s="581" t="s">
        <v>11</v>
      </c>
      <c r="E60" s="582" t="s">
        <v>318</v>
      </c>
      <c r="F60" s="582" t="s">
        <v>319</v>
      </c>
      <c r="G60" s="582" t="s">
        <v>320</v>
      </c>
      <c r="H60" s="582" t="s">
        <v>316</v>
      </c>
      <c r="I60" s="582" t="s">
        <v>316</v>
      </c>
      <c r="J60" s="582" t="s">
        <v>316</v>
      </c>
      <c r="K60" s="582" t="s">
        <v>316</v>
      </c>
      <c r="L60" s="582" t="s">
        <v>316</v>
      </c>
      <c r="U60" s="626"/>
    </row>
    <row r="61" spans="3:21" s="623" customFormat="1">
      <c r="C61" s="620" t="s">
        <v>317</v>
      </c>
      <c r="D61" s="621" t="s">
        <v>5</v>
      </c>
      <c r="E61" s="622"/>
      <c r="F61" s="622"/>
      <c r="G61" s="622"/>
      <c r="H61" s="622"/>
      <c r="I61" s="622"/>
      <c r="J61" s="622"/>
      <c r="K61" s="622"/>
      <c r="L61" s="622"/>
      <c r="U61" s="626"/>
    </row>
    <row r="62" spans="3:21">
      <c r="C62" s="578" t="s">
        <v>321</v>
      </c>
      <c r="D62" s="580" t="s">
        <v>5</v>
      </c>
      <c r="E62" s="579"/>
      <c r="F62" s="579"/>
      <c r="G62" s="579"/>
      <c r="H62" s="579"/>
      <c r="I62" s="579"/>
      <c r="J62" s="579"/>
      <c r="K62" s="579"/>
      <c r="L62" s="579"/>
      <c r="U62" s="626"/>
    </row>
    <row r="63" spans="3:21">
      <c r="C63" s="586" t="s">
        <v>322</v>
      </c>
      <c r="D63" s="580" t="s">
        <v>5</v>
      </c>
      <c r="E63" s="579">
        <v>1457.12</v>
      </c>
      <c r="F63" s="579">
        <v>865.26</v>
      </c>
      <c r="G63" s="579">
        <v>1297.26</v>
      </c>
      <c r="H63" s="579"/>
      <c r="I63" s="579"/>
      <c r="J63" s="579"/>
      <c r="K63" s="579"/>
      <c r="L63" s="579"/>
      <c r="U63" s="626"/>
    </row>
    <row r="64" spans="3:21">
      <c r="C64" s="586" t="s">
        <v>270</v>
      </c>
      <c r="D64" s="580" t="s">
        <v>5</v>
      </c>
      <c r="E64" s="579">
        <v>1457.12</v>
      </c>
      <c r="F64" s="579">
        <v>865.26</v>
      </c>
      <c r="G64" s="579"/>
      <c r="H64" s="579"/>
      <c r="I64" s="579"/>
      <c r="J64" s="579"/>
      <c r="K64" s="579"/>
      <c r="L64" s="579"/>
      <c r="U64" s="626"/>
    </row>
    <row r="65" spans="3:22">
      <c r="C65" s="578" t="s">
        <v>323</v>
      </c>
      <c r="D65" s="580" t="s">
        <v>5</v>
      </c>
      <c r="E65" s="579"/>
      <c r="F65" s="579"/>
      <c r="G65" s="579"/>
      <c r="H65" s="579"/>
      <c r="I65" s="579"/>
      <c r="J65" s="579"/>
      <c r="K65" s="579"/>
      <c r="L65" s="579"/>
      <c r="U65" s="626"/>
    </row>
    <row r="66" spans="3:22">
      <c r="C66" s="586" t="s">
        <v>322</v>
      </c>
      <c r="D66" s="580" t="s">
        <v>5</v>
      </c>
      <c r="E66" s="579">
        <v>2057.8000000000002</v>
      </c>
      <c r="F66" s="579">
        <v>1457.29</v>
      </c>
      <c r="G66" s="579">
        <v>1732.88</v>
      </c>
      <c r="H66" s="579"/>
      <c r="I66" s="579"/>
      <c r="J66" s="579"/>
      <c r="K66" s="579"/>
      <c r="L66" s="579"/>
      <c r="U66" s="626"/>
    </row>
    <row r="67" spans="3:22">
      <c r="C67" s="586" t="s">
        <v>270</v>
      </c>
      <c r="D67" s="580" t="s">
        <v>5</v>
      </c>
      <c r="E67" s="579">
        <v>2057.8000000000002</v>
      </c>
      <c r="F67" s="579"/>
      <c r="G67" s="579">
        <v>1732.88</v>
      </c>
      <c r="H67" s="579"/>
      <c r="I67" s="579"/>
      <c r="J67" s="579"/>
      <c r="K67" s="579"/>
      <c r="L67" s="579"/>
      <c r="U67" s="626"/>
    </row>
    <row r="68" spans="3:22" s="623" customFormat="1" ht="25.5">
      <c r="C68" s="624" t="s">
        <v>324</v>
      </c>
      <c r="D68" s="621" t="s">
        <v>5</v>
      </c>
      <c r="E68" s="622">
        <v>324.56</v>
      </c>
      <c r="F68" s="622"/>
      <c r="G68" s="622">
        <v>172.73204000000001</v>
      </c>
      <c r="H68" s="622"/>
      <c r="I68" s="622"/>
      <c r="J68" s="622"/>
      <c r="K68" s="622"/>
      <c r="L68" s="622"/>
      <c r="U68" s="626"/>
    </row>
    <row r="69" spans="3:22" s="623" customFormat="1">
      <c r="C69" s="620" t="s">
        <v>261</v>
      </c>
      <c r="D69" s="621" t="s">
        <v>19</v>
      </c>
      <c r="E69" s="622"/>
      <c r="F69" s="622"/>
      <c r="G69" s="622"/>
      <c r="H69" s="622"/>
      <c r="I69" s="622"/>
      <c r="J69" s="622"/>
      <c r="K69" s="622"/>
      <c r="L69" s="622"/>
      <c r="U69" s="626"/>
    </row>
    <row r="70" spans="3:22">
      <c r="C70" s="578" t="s">
        <v>322</v>
      </c>
      <c r="D70" s="580" t="s">
        <v>19</v>
      </c>
      <c r="E70" s="579">
        <v>32.5</v>
      </c>
      <c r="F70" s="579">
        <v>38.57</v>
      </c>
      <c r="G70" s="579">
        <v>41.46</v>
      </c>
      <c r="H70" s="579"/>
      <c r="I70" s="579"/>
      <c r="J70" s="579"/>
      <c r="K70" s="579"/>
      <c r="L70" s="579"/>
      <c r="U70" s="626"/>
    </row>
    <row r="71" spans="3:22">
      <c r="C71" s="578" t="s">
        <v>270</v>
      </c>
      <c r="D71" s="580" t="s">
        <v>19</v>
      </c>
      <c r="E71" s="579">
        <v>48.37</v>
      </c>
      <c r="F71" s="579">
        <v>82.93</v>
      </c>
      <c r="G71" s="579">
        <v>48.05</v>
      </c>
      <c r="H71" s="579"/>
      <c r="I71" s="579"/>
      <c r="J71" s="579"/>
      <c r="K71" s="579"/>
      <c r="L71" s="579"/>
      <c r="U71" s="626"/>
    </row>
    <row r="72" spans="3:22">
      <c r="U72" s="626"/>
    </row>
    <row r="73" spans="3:22">
      <c r="U73" s="626"/>
    </row>
    <row r="74" spans="3:22">
      <c r="U74" s="626"/>
    </row>
    <row r="76" spans="3:22" ht="15.75">
      <c r="C76" s="1575" t="s">
        <v>403</v>
      </c>
      <c r="D76" s="1575"/>
      <c r="E76" s="1575"/>
      <c r="F76" s="1575"/>
      <c r="G76" s="1575"/>
      <c r="H76" s="1575"/>
      <c r="I76" s="1575"/>
      <c r="J76" s="1575"/>
      <c r="K76" s="1575"/>
      <c r="L76" s="1575"/>
      <c r="M76" s="1575"/>
      <c r="N76" s="1575"/>
      <c r="O76" s="1575"/>
      <c r="P76" s="1575"/>
      <c r="Q76" s="1575"/>
      <c r="R76" s="1575"/>
      <c r="S76" s="1575"/>
      <c r="T76" s="1575"/>
      <c r="U76" s="1575"/>
      <c r="V76" s="1575"/>
    </row>
    <row r="77" spans="3:22" ht="13.5" thickBot="1"/>
    <row r="78" spans="3:22" ht="15.75" customHeight="1">
      <c r="C78" s="2"/>
      <c r="D78" s="3"/>
      <c r="E78" s="1576" t="s">
        <v>197</v>
      </c>
      <c r="F78" s="1577"/>
      <c r="G78" s="1578"/>
      <c r="H78" s="1576" t="s">
        <v>200</v>
      </c>
      <c r="I78" s="1577"/>
      <c r="J78" s="1578"/>
      <c r="K78" s="1576" t="s">
        <v>203</v>
      </c>
      <c r="L78" s="1577"/>
      <c r="M78" s="1578"/>
      <c r="N78" s="1576" t="s">
        <v>241</v>
      </c>
      <c r="O78" s="1577"/>
      <c r="P78" s="1578"/>
      <c r="Q78" s="1579" t="s">
        <v>262</v>
      </c>
      <c r="R78" s="1580"/>
      <c r="S78" s="1581"/>
    </row>
    <row r="79" spans="3:22" ht="25.5">
      <c r="C79" s="1"/>
      <c r="D79" s="6"/>
      <c r="E79" s="641" t="s">
        <v>198</v>
      </c>
      <c r="F79" s="642" t="s">
        <v>199</v>
      </c>
      <c r="G79" s="643" t="s">
        <v>36</v>
      </c>
      <c r="H79" s="641" t="s">
        <v>201</v>
      </c>
      <c r="I79" s="642" t="s">
        <v>202</v>
      </c>
      <c r="J79" s="643" t="s">
        <v>36</v>
      </c>
      <c r="K79" s="641" t="s">
        <v>204</v>
      </c>
      <c r="L79" s="642" t="s">
        <v>205</v>
      </c>
      <c r="M79" s="643" t="s">
        <v>36</v>
      </c>
      <c r="N79" s="641" t="s">
        <v>242</v>
      </c>
      <c r="O79" s="642" t="s">
        <v>243</v>
      </c>
      <c r="P79" s="643" t="s">
        <v>36</v>
      </c>
      <c r="Q79" s="641" t="s">
        <v>263</v>
      </c>
      <c r="R79" s="642" t="s">
        <v>264</v>
      </c>
      <c r="S79" s="643" t="s">
        <v>36</v>
      </c>
    </row>
    <row r="80" spans="3:22" ht="18.75" customHeight="1">
      <c r="C80" s="627" t="s">
        <v>390</v>
      </c>
      <c r="D80" s="6" t="s">
        <v>13</v>
      </c>
      <c r="E80" s="644">
        <f>ROUND(G80*E81,2)</f>
        <v>16020.81</v>
      </c>
      <c r="F80" s="628">
        <f t="shared" ref="F80" si="8">G80-E80</f>
        <v>10993.03</v>
      </c>
      <c r="G80" s="645">
        <v>27013.84</v>
      </c>
      <c r="H80" s="644">
        <f t="shared" ref="H80" si="9">ROUND(J80*H81,2)</f>
        <v>16020.81</v>
      </c>
      <c r="I80" s="628">
        <f t="shared" ref="I80" si="10">J80-H80</f>
        <v>10993.03</v>
      </c>
      <c r="J80" s="645">
        <f>G80</f>
        <v>27013.84</v>
      </c>
      <c r="K80" s="644">
        <f t="shared" ref="K80" si="11">ROUND(M80*K81,2)</f>
        <v>16020.81</v>
      </c>
      <c r="L80" s="628">
        <f t="shared" ref="L80" si="12">M80-K80</f>
        <v>10993.03</v>
      </c>
      <c r="M80" s="645">
        <f>G80</f>
        <v>27013.84</v>
      </c>
      <c r="N80" s="644">
        <f t="shared" ref="N80" si="13">ROUND(P80*N81,2)</f>
        <v>16020.81</v>
      </c>
      <c r="O80" s="628">
        <f t="shared" ref="O80" si="14">P80-N80</f>
        <v>10993.03</v>
      </c>
      <c r="P80" s="645">
        <f>G80</f>
        <v>27013.84</v>
      </c>
      <c r="Q80" s="644">
        <f t="shared" ref="Q80" si="15">ROUND(S80*Q81,2)</f>
        <v>16020.81</v>
      </c>
      <c r="R80" s="628">
        <f t="shared" ref="R80" si="16">S80-Q80</f>
        <v>10993.03</v>
      </c>
      <c r="S80" s="645">
        <f>G80</f>
        <v>27013.84</v>
      </c>
    </row>
    <row r="81" spans="3:19">
      <c r="C81" s="5" t="s">
        <v>35</v>
      </c>
      <c r="D81" s="6" t="s">
        <v>3</v>
      </c>
      <c r="E81" s="646">
        <f>E82/G82</f>
        <v>0.59305934707004226</v>
      </c>
      <c r="F81" s="647">
        <f>F82/G82</f>
        <v>0.40694065292995774</v>
      </c>
      <c r="G81" s="648">
        <f>E81+F81</f>
        <v>1</v>
      </c>
      <c r="H81" s="646">
        <f t="shared" ref="H81" si="17">H82/J82</f>
        <v>0.59305934707004226</v>
      </c>
      <c r="I81" s="647">
        <f t="shared" ref="I81" si="18">I82/J82</f>
        <v>0.40694065292995774</v>
      </c>
      <c r="J81" s="648">
        <f t="shared" ref="J81" si="19">H81+I81</f>
        <v>1</v>
      </c>
      <c r="K81" s="646">
        <f t="shared" ref="K81" si="20">K82/M82</f>
        <v>0.59305934707004226</v>
      </c>
      <c r="L81" s="647">
        <f t="shared" ref="L81" si="21">L82/M82</f>
        <v>0.40694065292995774</v>
      </c>
      <c r="M81" s="648">
        <f t="shared" ref="M81" si="22">K81+L81</f>
        <v>1</v>
      </c>
      <c r="N81" s="646">
        <f t="shared" ref="N81" si="23">N82/P82</f>
        <v>0.59305934707004226</v>
      </c>
      <c r="O81" s="647">
        <f t="shared" ref="O81" si="24">O82/P82</f>
        <v>0.40694065292995774</v>
      </c>
      <c r="P81" s="648">
        <f t="shared" ref="P81" si="25">N81+O81</f>
        <v>1</v>
      </c>
      <c r="Q81" s="646">
        <f t="shared" ref="Q81" si="26">Q82/S82</f>
        <v>0.59305934707004226</v>
      </c>
      <c r="R81" s="647">
        <f t="shared" ref="R81" si="27">R82/S82</f>
        <v>0.40694065292995774</v>
      </c>
      <c r="S81" s="648">
        <f t="shared" ref="S81" si="28">Q81+R81</f>
        <v>1</v>
      </c>
    </row>
    <row r="82" spans="3:19" s="649" customFormat="1" ht="21" customHeight="1">
      <c r="C82" s="650" t="s">
        <v>34</v>
      </c>
      <c r="D82" s="651" t="s">
        <v>13</v>
      </c>
      <c r="E82" s="652">
        <f t="shared" ref="E82:S82" si="29">E83+E89</f>
        <v>15859</v>
      </c>
      <c r="F82" s="653">
        <f t="shared" si="29"/>
        <v>10882</v>
      </c>
      <c r="G82" s="654">
        <f t="shared" si="29"/>
        <v>26741</v>
      </c>
      <c r="H82" s="652">
        <f t="shared" si="29"/>
        <v>15859</v>
      </c>
      <c r="I82" s="653">
        <f t="shared" si="29"/>
        <v>10882</v>
      </c>
      <c r="J82" s="654">
        <f t="shared" si="29"/>
        <v>26741</v>
      </c>
      <c r="K82" s="652">
        <f t="shared" si="29"/>
        <v>15859</v>
      </c>
      <c r="L82" s="653">
        <f t="shared" si="29"/>
        <v>10882</v>
      </c>
      <c r="M82" s="654">
        <f t="shared" si="29"/>
        <v>26741</v>
      </c>
      <c r="N82" s="652">
        <f t="shared" si="29"/>
        <v>15859</v>
      </c>
      <c r="O82" s="653">
        <f t="shared" si="29"/>
        <v>10882</v>
      </c>
      <c r="P82" s="654">
        <f t="shared" si="29"/>
        <v>26741</v>
      </c>
      <c r="Q82" s="652">
        <f t="shared" si="29"/>
        <v>15859</v>
      </c>
      <c r="R82" s="653">
        <f t="shared" si="29"/>
        <v>10882</v>
      </c>
      <c r="S82" s="654">
        <f t="shared" si="29"/>
        <v>26741</v>
      </c>
    </row>
    <row r="83" spans="3:19" s="649" customFormat="1" ht="21" customHeight="1">
      <c r="C83" s="852" t="s">
        <v>459</v>
      </c>
      <c r="D83" s="854" t="s">
        <v>13</v>
      </c>
      <c r="E83" s="652"/>
      <c r="F83" s="653"/>
      <c r="G83" s="857"/>
      <c r="H83" s="652">
        <f t="shared" ref="H83:I85" si="30">E83</f>
        <v>0</v>
      </c>
      <c r="I83" s="653">
        <f t="shared" si="30"/>
        <v>0</v>
      </c>
      <c r="J83" s="857">
        <f>H83+I83</f>
        <v>0</v>
      </c>
      <c r="K83" s="652">
        <f t="shared" ref="K83:L85" si="31">E83</f>
        <v>0</v>
      </c>
      <c r="L83" s="653">
        <f t="shared" si="31"/>
        <v>0</v>
      </c>
      <c r="M83" s="857">
        <f>K83+L83</f>
        <v>0</v>
      </c>
      <c r="N83" s="652">
        <f t="shared" ref="N83:O85" si="32">E83</f>
        <v>0</v>
      </c>
      <c r="O83" s="653">
        <f t="shared" si="32"/>
        <v>0</v>
      </c>
      <c r="P83" s="857">
        <f>N83+O83</f>
        <v>0</v>
      </c>
      <c r="Q83" s="652">
        <f t="shared" ref="Q83:R85" si="33">E83</f>
        <v>0</v>
      </c>
      <c r="R83" s="653">
        <f t="shared" si="33"/>
        <v>0</v>
      </c>
      <c r="S83" s="857">
        <f>Q83+R83</f>
        <v>0</v>
      </c>
    </row>
    <row r="84" spans="3:19" s="636" customFormat="1" ht="25.5">
      <c r="C84" s="655" t="s">
        <v>404</v>
      </c>
      <c r="D84" s="656" t="s">
        <v>13</v>
      </c>
      <c r="E84" s="657"/>
      <c r="F84" s="658"/>
      <c r="G84" s="933">
        <f>SUM(E84:F84)</f>
        <v>0</v>
      </c>
      <c r="H84" s="657">
        <f t="shared" si="30"/>
        <v>0</v>
      </c>
      <c r="I84" s="658">
        <f t="shared" si="30"/>
        <v>0</v>
      </c>
      <c r="J84" s="933">
        <f t="shared" ref="J84:J85" si="34">SUM(H84:I84)</f>
        <v>0</v>
      </c>
      <c r="K84" s="657">
        <f t="shared" si="31"/>
        <v>0</v>
      </c>
      <c r="L84" s="658">
        <f t="shared" si="31"/>
        <v>0</v>
      </c>
      <c r="M84" s="933">
        <f t="shared" ref="M84:M85" si="35">SUM(K84:L84)</f>
        <v>0</v>
      </c>
      <c r="N84" s="657">
        <f t="shared" si="32"/>
        <v>0</v>
      </c>
      <c r="O84" s="658">
        <f t="shared" si="32"/>
        <v>0</v>
      </c>
      <c r="P84" s="933">
        <f t="shared" ref="P84:P85" si="36">SUM(N84:O84)</f>
        <v>0</v>
      </c>
      <c r="Q84" s="657">
        <f t="shared" si="33"/>
        <v>0</v>
      </c>
      <c r="R84" s="658">
        <f t="shared" si="33"/>
        <v>0</v>
      </c>
      <c r="S84" s="933">
        <f t="shared" ref="S84:S85" si="37">SUM(Q84:R84)</f>
        <v>0</v>
      </c>
    </row>
    <row r="85" spans="3:19" s="636" customFormat="1">
      <c r="C85" s="659" t="s">
        <v>405</v>
      </c>
      <c r="D85" s="660" t="s">
        <v>13</v>
      </c>
      <c r="E85" s="661"/>
      <c r="F85" s="662"/>
      <c r="G85" s="934">
        <f>SUM(E85:F85)</f>
        <v>0</v>
      </c>
      <c r="H85" s="661">
        <f t="shared" si="30"/>
        <v>0</v>
      </c>
      <c r="I85" s="662">
        <f t="shared" si="30"/>
        <v>0</v>
      </c>
      <c r="J85" s="934">
        <f t="shared" si="34"/>
        <v>0</v>
      </c>
      <c r="K85" s="661">
        <f t="shared" si="31"/>
        <v>0</v>
      </c>
      <c r="L85" s="662">
        <f t="shared" si="31"/>
        <v>0</v>
      </c>
      <c r="M85" s="934">
        <f t="shared" si="35"/>
        <v>0</v>
      </c>
      <c r="N85" s="661">
        <f t="shared" si="32"/>
        <v>0</v>
      </c>
      <c r="O85" s="662">
        <f t="shared" si="32"/>
        <v>0</v>
      </c>
      <c r="P85" s="934">
        <f t="shared" si="36"/>
        <v>0</v>
      </c>
      <c r="Q85" s="661">
        <f t="shared" si="33"/>
        <v>0</v>
      </c>
      <c r="R85" s="662">
        <f t="shared" si="33"/>
        <v>0</v>
      </c>
      <c r="S85" s="934">
        <f t="shared" si="37"/>
        <v>0</v>
      </c>
    </row>
    <row r="86" spans="3:19" s="636" customFormat="1">
      <c r="C86" s="663" t="s">
        <v>406</v>
      </c>
      <c r="D86" s="660" t="s">
        <v>13</v>
      </c>
      <c r="E86" s="846">
        <f>E83-E87-E88</f>
        <v>0</v>
      </c>
      <c r="F86" s="847">
        <f>F83-F87-F88</f>
        <v>0</v>
      </c>
      <c r="G86" s="933"/>
      <c r="H86" s="850">
        <f>H83-H87-H88</f>
        <v>0</v>
      </c>
      <c r="I86" s="851">
        <f>I83-I87-I88</f>
        <v>0</v>
      </c>
      <c r="J86" s="933">
        <f>G86</f>
        <v>0</v>
      </c>
      <c r="K86" s="850">
        <f>K83-K87-K88</f>
        <v>0</v>
      </c>
      <c r="L86" s="851">
        <f>L83-L87-L88</f>
        <v>0</v>
      </c>
      <c r="M86" s="933">
        <f>G86</f>
        <v>0</v>
      </c>
      <c r="N86" s="850">
        <f>N83-N87-N88</f>
        <v>0</v>
      </c>
      <c r="O86" s="851">
        <f>O83-O87-O88</f>
        <v>0</v>
      </c>
      <c r="P86" s="933">
        <f>G86</f>
        <v>0</v>
      </c>
      <c r="Q86" s="850">
        <f>Q83-Q87-Q88</f>
        <v>0</v>
      </c>
      <c r="R86" s="851">
        <f>R83-R87-R88</f>
        <v>0</v>
      </c>
      <c r="S86" s="933">
        <f>G86</f>
        <v>0</v>
      </c>
    </row>
    <row r="87" spans="3:19" s="636" customFormat="1">
      <c r="C87" s="663" t="s">
        <v>431</v>
      </c>
      <c r="D87" s="660" t="s">
        <v>13</v>
      </c>
      <c r="E87" s="848">
        <f>G87/2</f>
        <v>0</v>
      </c>
      <c r="F87" s="849">
        <f>G87-E87</f>
        <v>0</v>
      </c>
      <c r="G87" s="934"/>
      <c r="H87" s="848">
        <f>J87/2</f>
        <v>0</v>
      </c>
      <c r="I87" s="849">
        <f>J87-H87</f>
        <v>0</v>
      </c>
      <c r="J87" s="934"/>
      <c r="K87" s="848">
        <f>M87/2</f>
        <v>0</v>
      </c>
      <c r="L87" s="849">
        <f>M87-K87</f>
        <v>0</v>
      </c>
      <c r="M87" s="934"/>
      <c r="N87" s="848">
        <f>P87/2</f>
        <v>0</v>
      </c>
      <c r="O87" s="849">
        <f>P87-N87</f>
        <v>0</v>
      </c>
      <c r="P87" s="934"/>
      <c r="Q87" s="848">
        <f>S87/2</f>
        <v>0</v>
      </c>
      <c r="R87" s="849">
        <f>S87-Q87</f>
        <v>0</v>
      </c>
      <c r="S87" s="934"/>
    </row>
    <row r="88" spans="3:19" s="636" customFormat="1">
      <c r="C88" s="663" t="s">
        <v>266</v>
      </c>
      <c r="D88" s="664" t="s">
        <v>13</v>
      </c>
      <c r="E88" s="848">
        <f>G88/2</f>
        <v>0</v>
      </c>
      <c r="F88" s="849">
        <f>G88-E88</f>
        <v>0</v>
      </c>
      <c r="G88" s="934"/>
      <c r="H88" s="848">
        <f>J88/2</f>
        <v>0</v>
      </c>
      <c r="I88" s="849">
        <f>J88-H88</f>
        <v>0</v>
      </c>
      <c r="J88" s="934">
        <f>G88</f>
        <v>0</v>
      </c>
      <c r="K88" s="848">
        <f>M88/2</f>
        <v>0</v>
      </c>
      <c r="L88" s="849">
        <f>M88-K88</f>
        <v>0</v>
      </c>
      <c r="M88" s="934">
        <f>G88</f>
        <v>0</v>
      </c>
      <c r="N88" s="848">
        <f>P88/2</f>
        <v>0</v>
      </c>
      <c r="O88" s="849">
        <f>P88-N88</f>
        <v>0</v>
      </c>
      <c r="P88" s="934">
        <f>G88</f>
        <v>0</v>
      </c>
      <c r="Q88" s="848">
        <f>S88/2</f>
        <v>0</v>
      </c>
      <c r="R88" s="849">
        <f>S88-Q88</f>
        <v>0</v>
      </c>
      <c r="S88" s="934">
        <f>G88</f>
        <v>0</v>
      </c>
    </row>
    <row r="89" spans="3:19" s="636" customFormat="1" ht="15.75">
      <c r="C89" s="853" t="s">
        <v>460</v>
      </c>
      <c r="D89" s="854" t="s">
        <v>13</v>
      </c>
      <c r="E89" s="855">
        <f>12013+3846</f>
        <v>15859</v>
      </c>
      <c r="F89" s="856">
        <f>1412+9470</f>
        <v>10882</v>
      </c>
      <c r="G89" s="935">
        <f>E89+F89</f>
        <v>26741</v>
      </c>
      <c r="H89" s="855">
        <f t="shared" ref="H89:I91" si="38">E89</f>
        <v>15859</v>
      </c>
      <c r="I89" s="856">
        <f t="shared" si="38"/>
        <v>10882</v>
      </c>
      <c r="J89" s="935">
        <f>H89+I89</f>
        <v>26741</v>
      </c>
      <c r="K89" s="855">
        <f t="shared" ref="K89:L91" si="39">E89</f>
        <v>15859</v>
      </c>
      <c r="L89" s="856">
        <f t="shared" si="39"/>
        <v>10882</v>
      </c>
      <c r="M89" s="935">
        <f>K89+L89</f>
        <v>26741</v>
      </c>
      <c r="N89" s="855">
        <f t="shared" ref="N89:O91" si="40">E89</f>
        <v>15859</v>
      </c>
      <c r="O89" s="856">
        <f t="shared" si="40"/>
        <v>10882</v>
      </c>
      <c r="P89" s="935">
        <f>N89+O89</f>
        <v>26741</v>
      </c>
      <c r="Q89" s="855">
        <f t="shared" ref="Q89:R91" si="41">E89</f>
        <v>15859</v>
      </c>
      <c r="R89" s="856">
        <f t="shared" si="41"/>
        <v>10882</v>
      </c>
      <c r="S89" s="935">
        <f>Q89+R89</f>
        <v>26741</v>
      </c>
    </row>
    <row r="90" spans="3:19" s="636" customFormat="1" ht="25.5">
      <c r="C90" s="655" t="s">
        <v>404</v>
      </c>
      <c r="D90" s="656" t="s">
        <v>13</v>
      </c>
      <c r="E90" s="657">
        <f>575+184</f>
        <v>759</v>
      </c>
      <c r="F90" s="658">
        <f>68+453</f>
        <v>521</v>
      </c>
      <c r="G90" s="933">
        <f>SUM(E90:F90)</f>
        <v>1280</v>
      </c>
      <c r="H90" s="657">
        <f t="shared" si="38"/>
        <v>759</v>
      </c>
      <c r="I90" s="658">
        <f t="shared" si="38"/>
        <v>521</v>
      </c>
      <c r="J90" s="933">
        <f t="shared" ref="J90:J92" si="42">SUM(H90:I90)</f>
        <v>1280</v>
      </c>
      <c r="K90" s="657">
        <f t="shared" si="39"/>
        <v>759</v>
      </c>
      <c r="L90" s="658">
        <f t="shared" si="39"/>
        <v>521</v>
      </c>
      <c r="M90" s="933">
        <f t="shared" ref="M90:M92" si="43">SUM(K90:L90)</f>
        <v>1280</v>
      </c>
      <c r="N90" s="657">
        <f t="shared" si="40"/>
        <v>759</v>
      </c>
      <c r="O90" s="658">
        <f t="shared" si="40"/>
        <v>521</v>
      </c>
      <c r="P90" s="933">
        <f t="shared" ref="P90:P92" si="44">SUM(N90:O90)</f>
        <v>1280</v>
      </c>
      <c r="Q90" s="657">
        <f t="shared" si="41"/>
        <v>759</v>
      </c>
      <c r="R90" s="658">
        <f t="shared" si="41"/>
        <v>521</v>
      </c>
      <c r="S90" s="933">
        <f t="shared" ref="S90:S92" si="45">SUM(Q90:R90)</f>
        <v>1280</v>
      </c>
    </row>
    <row r="91" spans="3:19" s="636" customFormat="1">
      <c r="C91" s="659" t="s">
        <v>405</v>
      </c>
      <c r="D91" s="660" t="s">
        <v>13</v>
      </c>
      <c r="E91" s="661">
        <f>11438+3662</f>
        <v>15100</v>
      </c>
      <c r="F91" s="662">
        <f>1344+9017</f>
        <v>10361</v>
      </c>
      <c r="G91" s="934">
        <f>SUM(E91:F91)</f>
        <v>25461</v>
      </c>
      <c r="H91" s="657">
        <f t="shared" si="38"/>
        <v>15100</v>
      </c>
      <c r="I91" s="662">
        <f t="shared" si="38"/>
        <v>10361</v>
      </c>
      <c r="J91" s="934">
        <f t="shared" si="42"/>
        <v>25461</v>
      </c>
      <c r="K91" s="661">
        <f t="shared" si="39"/>
        <v>15100</v>
      </c>
      <c r="L91" s="662">
        <f t="shared" si="39"/>
        <v>10361</v>
      </c>
      <c r="M91" s="934">
        <f t="shared" si="43"/>
        <v>25461</v>
      </c>
      <c r="N91" s="661">
        <f t="shared" si="40"/>
        <v>15100</v>
      </c>
      <c r="O91" s="662">
        <f t="shared" si="40"/>
        <v>10361</v>
      </c>
      <c r="P91" s="934">
        <f t="shared" si="44"/>
        <v>25461</v>
      </c>
      <c r="Q91" s="661">
        <f t="shared" si="41"/>
        <v>15100</v>
      </c>
      <c r="R91" s="662">
        <f t="shared" si="41"/>
        <v>10361</v>
      </c>
      <c r="S91" s="934">
        <f t="shared" si="45"/>
        <v>25461</v>
      </c>
    </row>
    <row r="92" spans="3:19" s="636" customFormat="1">
      <c r="C92" s="663" t="s">
        <v>406</v>
      </c>
      <c r="D92" s="660" t="s">
        <v>13</v>
      </c>
      <c r="E92" s="846">
        <f>E89-E93-E94</f>
        <v>12013.01</v>
      </c>
      <c r="F92" s="847">
        <f>F89-F93-F94</f>
        <v>8242.99</v>
      </c>
      <c r="G92" s="933">
        <v>20256</v>
      </c>
      <c r="H92" s="850">
        <f>H89-H93-H94</f>
        <v>12013.01</v>
      </c>
      <c r="I92" s="851">
        <f>I89-I93-I94</f>
        <v>8242.99</v>
      </c>
      <c r="J92" s="934">
        <f t="shared" si="42"/>
        <v>20256</v>
      </c>
      <c r="K92" s="850">
        <f>K89-K93-K94</f>
        <v>12013.01</v>
      </c>
      <c r="L92" s="851">
        <f>L89-L93-L94</f>
        <v>8242.99</v>
      </c>
      <c r="M92" s="934">
        <f t="shared" si="43"/>
        <v>20256</v>
      </c>
      <c r="N92" s="850">
        <f>N89-N93-N94</f>
        <v>12013.01</v>
      </c>
      <c r="O92" s="851">
        <f>O89-O93-O94</f>
        <v>8242.99</v>
      </c>
      <c r="P92" s="934">
        <f t="shared" si="44"/>
        <v>20256</v>
      </c>
      <c r="Q92" s="850">
        <f>Q89-Q93-Q94</f>
        <v>12013.01</v>
      </c>
      <c r="R92" s="851">
        <f>R89-R93-R94</f>
        <v>8242.99</v>
      </c>
      <c r="S92" s="934">
        <f t="shared" si="45"/>
        <v>20256</v>
      </c>
    </row>
    <row r="93" spans="3:19" s="636" customFormat="1">
      <c r="C93" s="663" t="s">
        <v>431</v>
      </c>
      <c r="D93" s="660" t="s">
        <v>13</v>
      </c>
      <c r="E93" s="848">
        <f>ROUND(E82/G82*G93,2)</f>
        <v>3845.99</v>
      </c>
      <c r="F93" s="849">
        <f>G93-E93</f>
        <v>2639.01</v>
      </c>
      <c r="G93" s="934">
        <v>6485</v>
      </c>
      <c r="H93" s="848">
        <f>E93</f>
        <v>3845.99</v>
      </c>
      <c r="I93" s="849">
        <f>J93-H93</f>
        <v>2639.01</v>
      </c>
      <c r="J93" s="934">
        <f>G93</f>
        <v>6485</v>
      </c>
      <c r="K93" s="848">
        <f>H93</f>
        <v>3845.99</v>
      </c>
      <c r="L93" s="849">
        <f>M93-K93</f>
        <v>2639.01</v>
      </c>
      <c r="M93" s="934">
        <f>J93</f>
        <v>6485</v>
      </c>
      <c r="N93" s="848">
        <f>K93</f>
        <v>3845.99</v>
      </c>
      <c r="O93" s="849">
        <f>P93-N93</f>
        <v>2639.01</v>
      </c>
      <c r="P93" s="934">
        <f>M93</f>
        <v>6485</v>
      </c>
      <c r="Q93" s="848">
        <f>N93</f>
        <v>3845.99</v>
      </c>
      <c r="R93" s="849">
        <f>S93-Q93</f>
        <v>2639.01</v>
      </c>
      <c r="S93" s="934">
        <f>P93</f>
        <v>6485</v>
      </c>
    </row>
    <row r="94" spans="3:19" s="636" customFormat="1">
      <c r="C94" s="663" t="s">
        <v>266</v>
      </c>
      <c r="D94" s="664" t="s">
        <v>13</v>
      </c>
      <c r="E94" s="848">
        <f>G94/2</f>
        <v>0</v>
      </c>
      <c r="F94" s="849">
        <f>G94-E94</f>
        <v>0</v>
      </c>
      <c r="G94" s="934"/>
      <c r="H94" s="848">
        <f>J94/2</f>
        <v>0</v>
      </c>
      <c r="I94" s="849">
        <f>J94-H94</f>
        <v>0</v>
      </c>
      <c r="J94" s="934"/>
      <c r="K94" s="848">
        <f>M94/2</f>
        <v>0</v>
      </c>
      <c r="L94" s="849">
        <f>M94-K94</f>
        <v>0</v>
      </c>
      <c r="M94" s="934"/>
      <c r="N94" s="848">
        <f>P94/2</f>
        <v>0</v>
      </c>
      <c r="O94" s="849">
        <f>P94-N94</f>
        <v>0</v>
      </c>
      <c r="P94" s="934"/>
      <c r="Q94" s="848">
        <f>S94/2</f>
        <v>0</v>
      </c>
      <c r="R94" s="849">
        <f>S94-Q94</f>
        <v>0</v>
      </c>
      <c r="S94" s="934"/>
    </row>
    <row r="95" spans="3:19" s="636" customFormat="1" ht="31.5">
      <c r="C95" s="650" t="s">
        <v>444</v>
      </c>
      <c r="D95" s="651" t="s">
        <v>432</v>
      </c>
      <c r="E95" s="652">
        <f>ROUND(E82/G82*G95,2)</f>
        <v>60425.63</v>
      </c>
      <c r="F95" s="653">
        <f>G95-E95</f>
        <v>41462.370000000003</v>
      </c>
      <c r="G95" s="654">
        <v>101888</v>
      </c>
      <c r="H95" s="652">
        <f>ROUND(H82/J82*J95,2)</f>
        <v>60425.63</v>
      </c>
      <c r="I95" s="653">
        <f t="shared" ref="I95:I96" si="46">J95-H95</f>
        <v>41462.370000000003</v>
      </c>
      <c r="J95" s="654">
        <f>G95</f>
        <v>101888</v>
      </c>
      <c r="K95" s="652">
        <f>ROUND(K82/M82*M95,2)</f>
        <v>60425.63</v>
      </c>
      <c r="L95" s="653">
        <f t="shared" ref="L95:L96" si="47">M95-K95</f>
        <v>41462.370000000003</v>
      </c>
      <c r="M95" s="654">
        <f>G95</f>
        <v>101888</v>
      </c>
      <c r="N95" s="652">
        <f>ROUND(N82/P82*P95,2)</f>
        <v>60425.63</v>
      </c>
      <c r="O95" s="653">
        <f t="shared" ref="O95:O96" si="48">P95-N95</f>
        <v>41462.370000000003</v>
      </c>
      <c r="P95" s="654">
        <f>M95</f>
        <v>101888</v>
      </c>
      <c r="Q95" s="652">
        <f>ROUND(Q82/S82*S95,2)</f>
        <v>60425.63</v>
      </c>
      <c r="R95" s="653">
        <f t="shared" ref="R95:R96" si="49">S95-Q95</f>
        <v>41462.370000000003</v>
      </c>
      <c r="S95" s="654">
        <f>P95</f>
        <v>101888</v>
      </c>
    </row>
    <row r="96" spans="3:19" s="636" customFormat="1" ht="32.25" thickBot="1">
      <c r="C96" s="650" t="s">
        <v>445</v>
      </c>
      <c r="D96" s="651" t="s">
        <v>432</v>
      </c>
      <c r="E96" s="784">
        <f>G96/2</f>
        <v>0</v>
      </c>
      <c r="F96" s="785">
        <f>G96-E96</f>
        <v>0</v>
      </c>
      <c r="G96" s="786"/>
      <c r="H96" s="784">
        <f t="shared" ref="H96" si="50">J96/2</f>
        <v>0</v>
      </c>
      <c r="I96" s="785">
        <f t="shared" si="46"/>
        <v>0</v>
      </c>
      <c r="J96" s="786"/>
      <c r="K96" s="784">
        <f t="shared" ref="K96" si="51">M96/2</f>
        <v>0</v>
      </c>
      <c r="L96" s="785">
        <f t="shared" si="47"/>
        <v>0</v>
      </c>
      <c r="M96" s="786"/>
      <c r="N96" s="784">
        <f t="shared" ref="N96" si="52">P96/2</f>
        <v>0</v>
      </c>
      <c r="O96" s="785">
        <f t="shared" si="48"/>
        <v>0</v>
      </c>
      <c r="P96" s="786"/>
      <c r="Q96" s="784">
        <f t="shared" ref="Q96" si="53">S96/2</f>
        <v>0</v>
      </c>
      <c r="R96" s="785">
        <f t="shared" si="49"/>
        <v>0</v>
      </c>
      <c r="S96" s="786"/>
    </row>
    <row r="97" spans="3:19" ht="13.5" thickBot="1">
      <c r="C97" s="665"/>
      <c r="D97" s="386"/>
      <c r="E97" s="666"/>
      <c r="F97" s="667"/>
      <c r="G97" s="668"/>
      <c r="H97" s="666"/>
      <c r="I97" s="667"/>
      <c r="J97" s="668"/>
      <c r="K97" s="666"/>
      <c r="L97" s="667"/>
      <c r="M97" s="668"/>
      <c r="N97" s="666"/>
      <c r="O97" s="667"/>
      <c r="P97" s="668"/>
      <c r="Q97" s="666"/>
      <c r="R97" s="667"/>
      <c r="S97" s="668"/>
    </row>
    <row r="98" spans="3:19" ht="15.75" customHeight="1">
      <c r="C98" s="577"/>
      <c r="D98" s="669"/>
      <c r="E98" s="1576" t="s">
        <v>197</v>
      </c>
      <c r="F98" s="1577"/>
      <c r="G98" s="1578"/>
      <c r="H98" s="1576" t="s">
        <v>200</v>
      </c>
      <c r="I98" s="1577"/>
      <c r="J98" s="1578"/>
      <c r="K98" s="1576" t="s">
        <v>203</v>
      </c>
      <c r="L98" s="1577"/>
      <c r="M98" s="1578"/>
      <c r="N98" s="1576" t="s">
        <v>241</v>
      </c>
      <c r="O98" s="1577"/>
      <c r="P98" s="1578"/>
      <c r="Q98" s="1579" t="s">
        <v>262</v>
      </c>
      <c r="R98" s="1580"/>
      <c r="S98" s="1581"/>
    </row>
    <row r="99" spans="3:19" ht="25.5">
      <c r="C99" s="577"/>
      <c r="D99" s="578"/>
      <c r="E99" s="641" t="s">
        <v>198</v>
      </c>
      <c r="F99" s="642" t="s">
        <v>199</v>
      </c>
      <c r="G99" s="643" t="s">
        <v>36</v>
      </c>
      <c r="H99" s="641" t="s">
        <v>201</v>
      </c>
      <c r="I99" s="642" t="s">
        <v>202</v>
      </c>
      <c r="J99" s="643" t="s">
        <v>36</v>
      </c>
      <c r="K99" s="641" t="s">
        <v>204</v>
      </c>
      <c r="L99" s="642" t="s">
        <v>205</v>
      </c>
      <c r="M99" s="643" t="s">
        <v>36</v>
      </c>
      <c r="N99" s="641" t="s">
        <v>242</v>
      </c>
      <c r="O99" s="642" t="s">
        <v>243</v>
      </c>
      <c r="P99" s="643" t="s">
        <v>36</v>
      </c>
      <c r="Q99" s="641" t="s">
        <v>263</v>
      </c>
      <c r="R99" s="642" t="s">
        <v>264</v>
      </c>
      <c r="S99" s="643" t="s">
        <v>36</v>
      </c>
    </row>
    <row r="100" spans="3:19" s="670" customFormat="1" ht="25.5" customHeight="1">
      <c r="C100" s="671" t="s">
        <v>407</v>
      </c>
      <c r="D100" s="672" t="s">
        <v>408</v>
      </c>
      <c r="E100" s="673">
        <f>E80*G125/1000</f>
        <v>2377.7112797106961</v>
      </c>
      <c r="F100" s="674">
        <f>G100-E100</f>
        <v>1631.5187202893039</v>
      </c>
      <c r="G100" s="675">
        <v>4009.23</v>
      </c>
      <c r="H100" s="673">
        <f>H80*J125/1000</f>
        <v>2374.8586643068888</v>
      </c>
      <c r="I100" s="674">
        <f>J100-H100</f>
        <v>1629.5613356931112</v>
      </c>
      <c r="J100" s="675">
        <v>4004.42</v>
      </c>
      <c r="K100" s="673">
        <f>K80*M125/1000</f>
        <v>2372.0119794964357</v>
      </c>
      <c r="L100" s="674">
        <f t="shared" ref="L100" si="54">M100-K100</f>
        <v>1627.6080205035641</v>
      </c>
      <c r="M100" s="675">
        <v>3999.62</v>
      </c>
      <c r="N100" s="673">
        <f>N80*P125/1000</f>
        <v>2369.1652946859831</v>
      </c>
      <c r="O100" s="674">
        <f t="shared" ref="O100" si="55">P100-N100</f>
        <v>1625.6547053140171</v>
      </c>
      <c r="P100" s="675">
        <v>3994.82</v>
      </c>
      <c r="Q100" s="673">
        <f>Q80*S125/1000</f>
        <v>2366.3126792821754</v>
      </c>
      <c r="R100" s="674">
        <f t="shared" ref="R100" si="56">S100-Q100</f>
        <v>1623.6973207178248</v>
      </c>
      <c r="S100" s="675">
        <v>3990.01</v>
      </c>
    </row>
    <row r="101" spans="3:19" s="676" customFormat="1" ht="15.75" customHeight="1">
      <c r="C101" s="677" t="s">
        <v>409</v>
      </c>
      <c r="D101" s="678" t="s">
        <v>408</v>
      </c>
      <c r="E101" s="679">
        <f>$E$100*G108</f>
        <v>2377.7112797106961</v>
      </c>
      <c r="F101" s="680">
        <f>$F$100*G108</f>
        <v>1631.5187202893039</v>
      </c>
      <c r="G101" s="681">
        <f>G100</f>
        <v>4009.23</v>
      </c>
      <c r="H101" s="679">
        <f>$H$100*J108</f>
        <v>2374.8586643068888</v>
      </c>
      <c r="I101" s="680">
        <f>$I$100*J108</f>
        <v>1629.5613356931112</v>
      </c>
      <c r="J101" s="681">
        <f>J100</f>
        <v>4004.42</v>
      </c>
      <c r="K101" s="679">
        <f>$K$100*M108</f>
        <v>2372.0119794964357</v>
      </c>
      <c r="L101" s="680">
        <f>$L$100*M108</f>
        <v>1627.6080205035641</v>
      </c>
      <c r="M101" s="681">
        <f>M100</f>
        <v>3999.62</v>
      </c>
      <c r="N101" s="679">
        <f>$N$100*P108</f>
        <v>2369.1652946859831</v>
      </c>
      <c r="O101" s="680">
        <f>$O$100*P108</f>
        <v>1625.6547053140171</v>
      </c>
      <c r="P101" s="681">
        <f>P100</f>
        <v>3994.82</v>
      </c>
      <c r="Q101" s="679">
        <f>$Q$100*S108</f>
        <v>2366.3126792821754</v>
      </c>
      <c r="R101" s="680">
        <f>$R$100*S108</f>
        <v>1623.6973207178248</v>
      </c>
      <c r="S101" s="681">
        <f>S100</f>
        <v>3990.01</v>
      </c>
    </row>
    <row r="102" spans="3:19" s="676" customFormat="1" ht="15.75" hidden="1" customHeight="1" outlineLevel="1">
      <c r="C102" s="677" t="s">
        <v>410</v>
      </c>
      <c r="D102" s="678" t="s">
        <v>408</v>
      </c>
      <c r="E102" s="679">
        <f t="shared" ref="E102:E104" si="57">$E$100*G109</f>
        <v>0</v>
      </c>
      <c r="F102" s="680">
        <f t="shared" ref="F102:F105" si="58">$F$100*G109</f>
        <v>0</v>
      </c>
      <c r="G102" s="681"/>
      <c r="H102" s="679">
        <f t="shared" ref="H102:H105" si="59">$H$100*J109</f>
        <v>0</v>
      </c>
      <c r="I102" s="680">
        <f t="shared" ref="I102:I104" si="60">$I$100*J109</f>
        <v>0</v>
      </c>
      <c r="J102" s="681"/>
      <c r="K102" s="679">
        <f t="shared" ref="K102:K104" si="61">$K$100*M109</f>
        <v>0</v>
      </c>
      <c r="L102" s="680">
        <f t="shared" ref="L102:L104" si="62">$L$100*M109</f>
        <v>0</v>
      </c>
      <c r="M102" s="681"/>
      <c r="N102" s="679">
        <f>$N$100*P109</f>
        <v>0</v>
      </c>
      <c r="O102" s="680">
        <f>$O$100*P109</f>
        <v>0</v>
      </c>
      <c r="P102" s="681"/>
      <c r="Q102" s="679">
        <f>$Q$100*S109</f>
        <v>0</v>
      </c>
      <c r="R102" s="680">
        <f>$R$100*S109</f>
        <v>0</v>
      </c>
      <c r="S102" s="681"/>
    </row>
    <row r="103" spans="3:19" s="676" customFormat="1" ht="15.75" hidden="1" customHeight="1" outlineLevel="1">
      <c r="C103" s="677" t="s">
        <v>426</v>
      </c>
      <c r="D103" s="678" t="s">
        <v>408</v>
      </c>
      <c r="E103" s="679">
        <f t="shared" si="57"/>
        <v>0</v>
      </c>
      <c r="F103" s="680">
        <f t="shared" si="58"/>
        <v>0</v>
      </c>
      <c r="G103" s="681"/>
      <c r="H103" s="679">
        <f t="shared" si="59"/>
        <v>0</v>
      </c>
      <c r="I103" s="680">
        <f t="shared" si="60"/>
        <v>0</v>
      </c>
      <c r="J103" s="681"/>
      <c r="K103" s="679">
        <f t="shared" si="61"/>
        <v>0</v>
      </c>
      <c r="L103" s="680">
        <f t="shared" si="62"/>
        <v>0</v>
      </c>
      <c r="M103" s="681"/>
      <c r="N103" s="679">
        <f>$N$100*P110</f>
        <v>0</v>
      </c>
      <c r="O103" s="680">
        <f>$O$100*P110</f>
        <v>0</v>
      </c>
      <c r="P103" s="681"/>
      <c r="Q103" s="679">
        <f>$Q$100*S110</f>
        <v>0</v>
      </c>
      <c r="R103" s="680">
        <f>$R$100*S110</f>
        <v>0</v>
      </c>
      <c r="S103" s="681"/>
    </row>
    <row r="104" spans="3:19" s="676" customFormat="1" ht="15.75" hidden="1" customHeight="1" outlineLevel="1">
      <c r="C104" s="677" t="s">
        <v>427</v>
      </c>
      <c r="D104" s="678" t="s">
        <v>408</v>
      </c>
      <c r="E104" s="679">
        <f t="shared" si="57"/>
        <v>0</v>
      </c>
      <c r="F104" s="680">
        <f t="shared" si="58"/>
        <v>0</v>
      </c>
      <c r="G104" s="681"/>
      <c r="H104" s="679">
        <f t="shared" si="59"/>
        <v>0</v>
      </c>
      <c r="I104" s="680">
        <f t="shared" si="60"/>
        <v>0</v>
      </c>
      <c r="J104" s="681"/>
      <c r="K104" s="679">
        <f t="shared" si="61"/>
        <v>0</v>
      </c>
      <c r="L104" s="680">
        <f t="shared" si="62"/>
        <v>0</v>
      </c>
      <c r="M104" s="681"/>
      <c r="N104" s="679">
        <f>$N$100*P111</f>
        <v>0</v>
      </c>
      <c r="O104" s="680">
        <f>$O$100*P111</f>
        <v>0</v>
      </c>
      <c r="P104" s="681"/>
      <c r="Q104" s="679">
        <f>$Q$100*S111</f>
        <v>0</v>
      </c>
      <c r="R104" s="680">
        <f>$R$100*S111</f>
        <v>0</v>
      </c>
      <c r="S104" s="681"/>
    </row>
    <row r="105" spans="3:19" s="676" customFormat="1" ht="15.75" hidden="1" customHeight="1" outlineLevel="1">
      <c r="C105" s="677" t="s">
        <v>428</v>
      </c>
      <c r="D105" s="678" t="s">
        <v>408</v>
      </c>
      <c r="E105" s="679">
        <f>$E$100*G112</f>
        <v>0</v>
      </c>
      <c r="F105" s="680">
        <f t="shared" si="58"/>
        <v>0</v>
      </c>
      <c r="G105" s="681"/>
      <c r="H105" s="679">
        <f t="shared" si="59"/>
        <v>0</v>
      </c>
      <c r="I105" s="680">
        <f>$I$100*J112</f>
        <v>0</v>
      </c>
      <c r="J105" s="681"/>
      <c r="K105" s="679">
        <f>$K$100*M112</f>
        <v>0</v>
      </c>
      <c r="L105" s="680">
        <f>$L$100*M112</f>
        <v>0</v>
      </c>
      <c r="M105" s="681"/>
      <c r="N105" s="679">
        <f>$N$100*P112</f>
        <v>0</v>
      </c>
      <c r="O105" s="680">
        <f>$O$100*P112</f>
        <v>0</v>
      </c>
      <c r="P105" s="681"/>
      <c r="Q105" s="679">
        <f>$Q$100*S112</f>
        <v>0</v>
      </c>
      <c r="R105" s="680">
        <f>$R$100*S112</f>
        <v>0</v>
      </c>
      <c r="S105" s="681"/>
    </row>
    <row r="106" spans="3:19" s="676" customFormat="1" ht="15.75" hidden="1" customHeight="1" outlineLevel="1">
      <c r="C106" s="677"/>
      <c r="D106" s="678"/>
      <c r="E106" s="679"/>
      <c r="F106" s="680"/>
      <c r="G106" s="681"/>
      <c r="H106" s="679"/>
      <c r="I106" s="680"/>
      <c r="J106" s="681"/>
      <c r="K106" s="679"/>
      <c r="L106" s="680"/>
      <c r="M106" s="681"/>
      <c r="N106" s="679"/>
      <c r="O106" s="680"/>
      <c r="P106" s="681"/>
      <c r="Q106" s="679"/>
      <c r="R106" s="680"/>
      <c r="S106" s="681"/>
    </row>
    <row r="107" spans="3:19" s="676" customFormat="1" ht="15.75" customHeight="1" collapsed="1">
      <c r="C107" s="637" t="s">
        <v>411</v>
      </c>
      <c r="D107" s="672"/>
      <c r="E107" s="682"/>
      <c r="F107" s="683"/>
      <c r="G107" s="684">
        <f>G108+G109+G110+G111+G112</f>
        <v>1</v>
      </c>
      <c r="H107" s="682"/>
      <c r="I107" s="683"/>
      <c r="J107" s="684">
        <f>J108+J109+J110+J111+J112</f>
        <v>1</v>
      </c>
      <c r="K107" s="682"/>
      <c r="L107" s="683"/>
      <c r="M107" s="684">
        <f>M108+M109+M110+M111+M112</f>
        <v>1</v>
      </c>
      <c r="N107" s="682"/>
      <c r="O107" s="683"/>
      <c r="P107" s="684">
        <f>P108+P109+P110+P111+P112</f>
        <v>1</v>
      </c>
      <c r="Q107" s="682"/>
      <c r="R107" s="683"/>
      <c r="S107" s="684">
        <f>S108+S109+S110+S111+S112</f>
        <v>1</v>
      </c>
    </row>
    <row r="108" spans="3:19" s="676" customFormat="1" ht="15.75" customHeight="1">
      <c r="C108" s="677" t="s">
        <v>409</v>
      </c>
      <c r="D108" s="678"/>
      <c r="E108" s="682"/>
      <c r="F108" s="683"/>
      <c r="G108" s="684">
        <f>G101/$G$100</f>
        <v>1</v>
      </c>
      <c r="H108" s="682"/>
      <c r="I108" s="683"/>
      <c r="J108" s="684">
        <f>J101/$J$100</f>
        <v>1</v>
      </c>
      <c r="K108" s="682"/>
      <c r="L108" s="683"/>
      <c r="M108" s="684">
        <f>M101/$M$100</f>
        <v>1</v>
      </c>
      <c r="N108" s="682"/>
      <c r="O108" s="683"/>
      <c r="P108" s="684">
        <f>P101/$P$100</f>
        <v>1</v>
      </c>
      <c r="Q108" s="682"/>
      <c r="R108" s="683"/>
      <c r="S108" s="684">
        <f>S101/$S$100</f>
        <v>1</v>
      </c>
    </row>
    <row r="109" spans="3:19" s="676" customFormat="1" ht="15.75" hidden="1" customHeight="1" outlineLevel="1">
      <c r="C109" s="677" t="s">
        <v>410</v>
      </c>
      <c r="D109" s="678"/>
      <c r="E109" s="682"/>
      <c r="F109" s="683"/>
      <c r="G109" s="684">
        <f t="shared" ref="G109:G112" si="63">G102/$G$100</f>
        <v>0</v>
      </c>
      <c r="H109" s="682"/>
      <c r="I109" s="683"/>
      <c r="J109" s="684">
        <f t="shared" ref="J109:J111" si="64">J102/$J$100</f>
        <v>0</v>
      </c>
      <c r="K109" s="682"/>
      <c r="L109" s="683"/>
      <c r="M109" s="684">
        <f t="shared" ref="M109:M111" si="65">M102/$M$100</f>
        <v>0</v>
      </c>
      <c r="N109" s="682"/>
      <c r="O109" s="683"/>
      <c r="P109" s="684">
        <f>P102/$P$100</f>
        <v>0</v>
      </c>
      <c r="Q109" s="682"/>
      <c r="R109" s="683"/>
      <c r="S109" s="684">
        <f>S102/$S$100</f>
        <v>0</v>
      </c>
    </row>
    <row r="110" spans="3:19" s="676" customFormat="1" ht="15.75" hidden="1" customHeight="1" outlineLevel="1">
      <c r="C110" s="677" t="s">
        <v>426</v>
      </c>
      <c r="D110" s="678"/>
      <c r="E110" s="682"/>
      <c r="F110" s="683"/>
      <c r="G110" s="684">
        <f t="shared" si="63"/>
        <v>0</v>
      </c>
      <c r="H110" s="682"/>
      <c r="I110" s="683"/>
      <c r="J110" s="684">
        <f t="shared" si="64"/>
        <v>0</v>
      </c>
      <c r="K110" s="682"/>
      <c r="L110" s="683"/>
      <c r="M110" s="684">
        <f t="shared" si="65"/>
        <v>0</v>
      </c>
      <c r="N110" s="682"/>
      <c r="O110" s="683"/>
      <c r="P110" s="684">
        <f>P103/$P$100</f>
        <v>0</v>
      </c>
      <c r="Q110" s="682"/>
      <c r="R110" s="683"/>
      <c r="S110" s="684">
        <f>S103/$S$100</f>
        <v>0</v>
      </c>
    </row>
    <row r="111" spans="3:19" s="676" customFormat="1" ht="15.75" hidden="1" customHeight="1" outlineLevel="1">
      <c r="C111" s="677" t="s">
        <v>427</v>
      </c>
      <c r="D111" s="678"/>
      <c r="E111" s="682"/>
      <c r="F111" s="683"/>
      <c r="G111" s="684">
        <f t="shared" si="63"/>
        <v>0</v>
      </c>
      <c r="H111" s="682"/>
      <c r="I111" s="683"/>
      <c r="J111" s="684">
        <f t="shared" si="64"/>
        <v>0</v>
      </c>
      <c r="K111" s="682"/>
      <c r="L111" s="683"/>
      <c r="M111" s="684">
        <f t="shared" si="65"/>
        <v>0</v>
      </c>
      <c r="N111" s="682"/>
      <c r="O111" s="683"/>
      <c r="P111" s="684">
        <f>P104/$P$100</f>
        <v>0</v>
      </c>
      <c r="Q111" s="682"/>
      <c r="R111" s="683"/>
      <c r="S111" s="684">
        <f>S104/$S$100</f>
        <v>0</v>
      </c>
    </row>
    <row r="112" spans="3:19" s="676" customFormat="1" ht="15.75" hidden="1" customHeight="1" outlineLevel="1">
      <c r="C112" s="677" t="s">
        <v>428</v>
      </c>
      <c r="D112" s="678"/>
      <c r="E112" s="682"/>
      <c r="F112" s="683"/>
      <c r="G112" s="684">
        <f t="shared" si="63"/>
        <v>0</v>
      </c>
      <c r="H112" s="682"/>
      <c r="I112" s="683"/>
      <c r="J112" s="684">
        <f>J105/$J$100</f>
        <v>0</v>
      </c>
      <c r="K112" s="682"/>
      <c r="L112" s="683"/>
      <c r="M112" s="684">
        <f>M105/$M$100</f>
        <v>0</v>
      </c>
      <c r="N112" s="682"/>
      <c r="O112" s="683"/>
      <c r="P112" s="684">
        <f>P105/$P$100</f>
        <v>0</v>
      </c>
      <c r="Q112" s="682"/>
      <c r="R112" s="683"/>
      <c r="S112" s="684">
        <f>S105/$S$100</f>
        <v>0</v>
      </c>
    </row>
    <row r="113" spans="3:19" s="676" customFormat="1" ht="15.75" customHeight="1" collapsed="1">
      <c r="C113" s="637" t="s">
        <v>412</v>
      </c>
      <c r="D113" s="678"/>
      <c r="E113" s="682"/>
      <c r="F113" s="683"/>
      <c r="G113" s="684"/>
      <c r="H113" s="682"/>
      <c r="I113" s="683"/>
      <c r="J113" s="684"/>
      <c r="K113" s="682"/>
      <c r="L113" s="683"/>
      <c r="M113" s="684"/>
      <c r="N113" s="682"/>
      <c r="O113" s="683"/>
      <c r="P113" s="684"/>
      <c r="Q113" s="682"/>
      <c r="R113" s="683"/>
      <c r="S113" s="684"/>
    </row>
    <row r="114" spans="3:19" s="676" customFormat="1" ht="15.75" customHeight="1">
      <c r="C114" s="677" t="s">
        <v>409</v>
      </c>
      <c r="D114" s="678"/>
      <c r="E114" s="682"/>
      <c r="F114" s="683"/>
      <c r="G114" s="685">
        <f>G101/G120</f>
        <v>1.1570014919816807</v>
      </c>
      <c r="H114" s="682"/>
      <c r="I114" s="683"/>
      <c r="J114" s="685">
        <f>J101/J120</f>
        <v>1.1569990523079767</v>
      </c>
      <c r="K114" s="682"/>
      <c r="L114" s="683"/>
      <c r="M114" s="685">
        <f>M101/M120</f>
        <v>1.1569994995501738</v>
      </c>
      <c r="N114" s="682"/>
      <c r="O114" s="683"/>
      <c r="P114" s="685">
        <f>P101/P120</f>
        <v>1.1569999478674908</v>
      </c>
      <c r="Q114" s="682"/>
      <c r="R114" s="683"/>
      <c r="S114" s="685">
        <f>S101/S120</f>
        <v>1.1569974975279753</v>
      </c>
    </row>
    <row r="115" spans="3:19" s="676" customFormat="1" ht="15.75" hidden="1" customHeight="1" outlineLevel="1">
      <c r="C115" s="677" t="s">
        <v>410</v>
      </c>
      <c r="D115" s="678"/>
      <c r="E115" s="682"/>
      <c r="F115" s="683"/>
      <c r="G115" s="685" t="e">
        <f t="shared" ref="G115:G117" si="66">G102/G121</f>
        <v>#DIV/0!</v>
      </c>
      <c r="H115" s="682"/>
      <c r="I115" s="683"/>
      <c r="J115" s="685" t="e">
        <f t="shared" ref="J115:S117" si="67">J102/J121</f>
        <v>#DIV/0!</v>
      </c>
      <c r="K115" s="682"/>
      <c r="L115" s="683"/>
      <c r="M115" s="685" t="e">
        <f t="shared" si="67"/>
        <v>#DIV/0!</v>
      </c>
      <c r="N115" s="682"/>
      <c r="O115" s="683"/>
      <c r="P115" s="685" t="e">
        <f t="shared" si="67"/>
        <v>#DIV/0!</v>
      </c>
      <c r="Q115" s="682"/>
      <c r="R115" s="683"/>
      <c r="S115" s="685" t="e">
        <f t="shared" si="67"/>
        <v>#DIV/0!</v>
      </c>
    </row>
    <row r="116" spans="3:19" s="676" customFormat="1" ht="15.75" hidden="1" customHeight="1" outlineLevel="1">
      <c r="C116" s="677" t="s">
        <v>426</v>
      </c>
      <c r="D116" s="678"/>
      <c r="E116" s="682"/>
      <c r="F116" s="683"/>
      <c r="G116" s="685" t="e">
        <f t="shared" si="66"/>
        <v>#DIV/0!</v>
      </c>
      <c r="H116" s="682"/>
      <c r="I116" s="683"/>
      <c r="J116" s="685" t="e">
        <f t="shared" si="67"/>
        <v>#DIV/0!</v>
      </c>
      <c r="K116" s="682"/>
      <c r="L116" s="683"/>
      <c r="M116" s="685" t="e">
        <f t="shared" si="67"/>
        <v>#DIV/0!</v>
      </c>
      <c r="N116" s="682"/>
      <c r="O116" s="683"/>
      <c r="P116" s="685" t="e">
        <f t="shared" si="67"/>
        <v>#DIV/0!</v>
      </c>
      <c r="Q116" s="682"/>
      <c r="R116" s="683"/>
      <c r="S116" s="685" t="e">
        <f t="shared" si="67"/>
        <v>#DIV/0!</v>
      </c>
    </row>
    <row r="117" spans="3:19" s="676" customFormat="1" ht="15.75" hidden="1" customHeight="1" outlineLevel="1">
      <c r="C117" s="677" t="s">
        <v>427</v>
      </c>
      <c r="D117" s="678"/>
      <c r="E117" s="682"/>
      <c r="F117" s="683"/>
      <c r="G117" s="685" t="e">
        <f t="shared" si="66"/>
        <v>#DIV/0!</v>
      </c>
      <c r="H117" s="682"/>
      <c r="I117" s="683"/>
      <c r="J117" s="685" t="e">
        <f t="shared" si="67"/>
        <v>#DIV/0!</v>
      </c>
      <c r="K117" s="682"/>
      <c r="L117" s="683"/>
      <c r="M117" s="685" t="e">
        <f t="shared" si="67"/>
        <v>#DIV/0!</v>
      </c>
      <c r="N117" s="682"/>
      <c r="O117" s="683"/>
      <c r="P117" s="685" t="e">
        <f t="shared" si="67"/>
        <v>#DIV/0!</v>
      </c>
      <c r="Q117" s="682"/>
      <c r="R117" s="683"/>
      <c r="S117" s="685" t="e">
        <f t="shared" si="67"/>
        <v>#DIV/0!</v>
      </c>
    </row>
    <row r="118" spans="3:19" s="676" customFormat="1" ht="15.75" hidden="1" customHeight="1" outlineLevel="1">
      <c r="C118" s="677" t="s">
        <v>428</v>
      </c>
      <c r="D118" s="678"/>
      <c r="E118" s="682"/>
      <c r="F118" s="683"/>
      <c r="G118" s="685" t="e">
        <f>G105/G124</f>
        <v>#DIV/0!</v>
      </c>
      <c r="H118" s="682"/>
      <c r="I118" s="683"/>
      <c r="J118" s="685" t="e">
        <f>J105/J124</f>
        <v>#DIV/0!</v>
      </c>
      <c r="K118" s="682"/>
      <c r="L118" s="683"/>
      <c r="M118" s="685" t="e">
        <f>M105/M124</f>
        <v>#DIV/0!</v>
      </c>
      <c r="N118" s="682"/>
      <c r="O118" s="683"/>
      <c r="P118" s="685" t="e">
        <f>P105/P124</f>
        <v>#DIV/0!</v>
      </c>
      <c r="Q118" s="682"/>
      <c r="R118" s="683"/>
      <c r="S118" s="685" t="e">
        <f>S105/S124</f>
        <v>#DIV/0!</v>
      </c>
    </row>
    <row r="119" spans="3:19" s="686" customFormat="1" ht="30" customHeight="1" collapsed="1">
      <c r="C119" s="687" t="s">
        <v>413</v>
      </c>
      <c r="D119" s="688"/>
      <c r="E119" s="689"/>
      <c r="F119" s="690"/>
      <c r="G119" s="691"/>
      <c r="H119" s="689"/>
      <c r="I119" s="690"/>
      <c r="J119" s="691"/>
      <c r="K119" s="689"/>
      <c r="L119" s="690"/>
      <c r="M119" s="691"/>
      <c r="N119" s="689"/>
      <c r="O119" s="690"/>
      <c r="P119" s="691"/>
      <c r="Q119" s="689"/>
      <c r="R119" s="690"/>
      <c r="S119" s="691"/>
    </row>
    <row r="120" spans="3:19" s="692" customFormat="1" ht="14.25" customHeight="1">
      <c r="C120" s="761" t="s">
        <v>409</v>
      </c>
      <c r="D120" s="693" t="s">
        <v>57</v>
      </c>
      <c r="E120" s="694">
        <f>E101/$G114</f>
        <v>2055.0632788193011</v>
      </c>
      <c r="F120" s="695">
        <f>F101/G114</f>
        <v>1410.1267211806987</v>
      </c>
      <c r="G120" s="696">
        <v>3465.19</v>
      </c>
      <c r="H120" s="694">
        <f>H101/$J114</f>
        <v>2052.602082576931</v>
      </c>
      <c r="I120" s="695">
        <f>I101/J114</f>
        <v>1408.4379174230689</v>
      </c>
      <c r="J120" s="696">
        <v>3461.04</v>
      </c>
      <c r="K120" s="694">
        <f>K101/$M114</f>
        <v>2050.14088633456</v>
      </c>
      <c r="L120" s="695">
        <f>L101/M114</f>
        <v>1406.7491136654396</v>
      </c>
      <c r="M120" s="696">
        <v>3456.89</v>
      </c>
      <c r="N120" s="694">
        <f>N101/$P114</f>
        <v>2047.6796900921895</v>
      </c>
      <c r="O120" s="695">
        <f>O101/P114</f>
        <v>1405.0603099078103</v>
      </c>
      <c r="P120" s="696">
        <v>3452.74</v>
      </c>
      <c r="Q120" s="694">
        <f>Q101/$S114</f>
        <v>2045.218493849819</v>
      </c>
      <c r="R120" s="695">
        <f>R101/S114</f>
        <v>1403.3715061501807</v>
      </c>
      <c r="S120" s="696">
        <v>3448.59</v>
      </c>
    </row>
    <row r="121" spans="3:19" s="692" customFormat="1" ht="14.25" hidden="1" customHeight="1" outlineLevel="1">
      <c r="C121" s="761" t="s">
        <v>410</v>
      </c>
      <c r="D121" s="693" t="s">
        <v>414</v>
      </c>
      <c r="E121" s="694" t="e">
        <f t="shared" ref="E121:E123" si="68">E102/$G115</f>
        <v>#DIV/0!</v>
      </c>
      <c r="F121" s="695" t="e">
        <f t="shared" ref="F121:F123" si="69">F102/G115</f>
        <v>#DIV/0!</v>
      </c>
      <c r="G121" s="696"/>
      <c r="H121" s="694" t="e">
        <f t="shared" ref="H121:H124" si="70">H102/$J115</f>
        <v>#DIV/0!</v>
      </c>
      <c r="I121" s="695" t="e">
        <f>I102/J115</f>
        <v>#DIV/0!</v>
      </c>
      <c r="J121" s="696"/>
      <c r="K121" s="694" t="e">
        <f t="shared" ref="K121:K123" si="71">K102/$M115</f>
        <v>#DIV/0!</v>
      </c>
      <c r="L121" s="695" t="e">
        <f t="shared" ref="L121:R123" si="72">L102/M115</f>
        <v>#DIV/0!</v>
      </c>
      <c r="M121" s="696"/>
      <c r="N121" s="694" t="e">
        <f t="shared" ref="N121:N123" si="73">N102/$P115</f>
        <v>#DIV/0!</v>
      </c>
      <c r="O121" s="695" t="e">
        <f t="shared" si="72"/>
        <v>#DIV/0!</v>
      </c>
      <c r="P121" s="696"/>
      <c r="Q121" s="694" t="e">
        <f t="shared" ref="Q121:Q123" si="74">Q102/$S115</f>
        <v>#DIV/0!</v>
      </c>
      <c r="R121" s="695" t="e">
        <f t="shared" si="72"/>
        <v>#DIV/0!</v>
      </c>
      <c r="S121" s="696"/>
    </row>
    <row r="122" spans="3:19" s="692" customFormat="1" ht="14.25" hidden="1" customHeight="1" outlineLevel="1">
      <c r="C122" s="761" t="s">
        <v>426</v>
      </c>
      <c r="D122" s="693" t="s">
        <v>414</v>
      </c>
      <c r="E122" s="694" t="e">
        <f t="shared" si="68"/>
        <v>#DIV/0!</v>
      </c>
      <c r="F122" s="695" t="e">
        <f t="shared" si="69"/>
        <v>#DIV/0!</v>
      </c>
      <c r="G122" s="712"/>
      <c r="H122" s="694" t="e">
        <f t="shared" si="70"/>
        <v>#DIV/0!</v>
      </c>
      <c r="I122" s="695" t="e">
        <f>I103/J116</f>
        <v>#DIV/0!</v>
      </c>
      <c r="J122" s="712"/>
      <c r="K122" s="694" t="e">
        <f t="shared" si="71"/>
        <v>#DIV/0!</v>
      </c>
      <c r="L122" s="695" t="e">
        <f t="shared" si="72"/>
        <v>#DIV/0!</v>
      </c>
      <c r="M122" s="712"/>
      <c r="N122" s="694" t="e">
        <f t="shared" si="73"/>
        <v>#DIV/0!</v>
      </c>
      <c r="O122" s="695" t="e">
        <f t="shared" si="72"/>
        <v>#DIV/0!</v>
      </c>
      <c r="P122" s="712"/>
      <c r="Q122" s="694" t="e">
        <f t="shared" si="74"/>
        <v>#DIV/0!</v>
      </c>
      <c r="R122" s="695" t="e">
        <f t="shared" si="72"/>
        <v>#DIV/0!</v>
      </c>
      <c r="S122" s="712"/>
    </row>
    <row r="123" spans="3:19" s="692" customFormat="1" ht="14.25" hidden="1" customHeight="1" outlineLevel="1">
      <c r="C123" s="761" t="s">
        <v>427</v>
      </c>
      <c r="D123" s="693" t="s">
        <v>414</v>
      </c>
      <c r="E123" s="694" t="e">
        <f t="shared" si="68"/>
        <v>#DIV/0!</v>
      </c>
      <c r="F123" s="695" t="e">
        <f t="shared" si="69"/>
        <v>#DIV/0!</v>
      </c>
      <c r="G123" s="712"/>
      <c r="H123" s="694" t="e">
        <f t="shared" si="70"/>
        <v>#DIV/0!</v>
      </c>
      <c r="I123" s="695" t="e">
        <f>I104/J117</f>
        <v>#DIV/0!</v>
      </c>
      <c r="J123" s="712"/>
      <c r="K123" s="694" t="e">
        <f t="shared" si="71"/>
        <v>#DIV/0!</v>
      </c>
      <c r="L123" s="695" t="e">
        <f t="shared" si="72"/>
        <v>#DIV/0!</v>
      </c>
      <c r="M123" s="712"/>
      <c r="N123" s="694" t="e">
        <f t="shared" si="73"/>
        <v>#DIV/0!</v>
      </c>
      <c r="O123" s="695" t="e">
        <f t="shared" si="72"/>
        <v>#DIV/0!</v>
      </c>
      <c r="P123" s="712"/>
      <c r="Q123" s="694" t="e">
        <f t="shared" si="74"/>
        <v>#DIV/0!</v>
      </c>
      <c r="R123" s="695" t="e">
        <f t="shared" si="72"/>
        <v>#DIV/0!</v>
      </c>
      <c r="S123" s="712"/>
    </row>
    <row r="124" spans="3:19" s="692" customFormat="1" ht="14.25" hidden="1" customHeight="1" outlineLevel="1">
      <c r="C124" s="761" t="s">
        <v>428</v>
      </c>
      <c r="D124" s="693" t="s">
        <v>57</v>
      </c>
      <c r="E124" s="694" t="e">
        <f>E105/$G118</f>
        <v>#DIV/0!</v>
      </c>
      <c r="F124" s="695" t="e">
        <f>F105/G118</f>
        <v>#DIV/0!</v>
      </c>
      <c r="G124" s="712"/>
      <c r="H124" s="694" t="e">
        <f t="shared" si="70"/>
        <v>#DIV/0!</v>
      </c>
      <c r="I124" s="695" t="e">
        <f>I105/J118</f>
        <v>#DIV/0!</v>
      </c>
      <c r="J124" s="712"/>
      <c r="K124" s="694" t="e">
        <f>K105/$M118</f>
        <v>#DIV/0!</v>
      </c>
      <c r="L124" s="695" t="e">
        <f>L105/M118</f>
        <v>#DIV/0!</v>
      </c>
      <c r="M124" s="712"/>
      <c r="N124" s="694" t="e">
        <f>N105/$P118</f>
        <v>#DIV/0!</v>
      </c>
      <c r="O124" s="695" t="e">
        <f>O105/P118</f>
        <v>#DIV/0!</v>
      </c>
      <c r="P124" s="712"/>
      <c r="Q124" s="694" t="e">
        <f>Q105/$S118</f>
        <v>#DIV/0!</v>
      </c>
      <c r="R124" s="695" t="e">
        <f>R105/S118</f>
        <v>#DIV/0!</v>
      </c>
      <c r="S124" s="712"/>
    </row>
    <row r="125" spans="3:19" ht="26.25" collapsed="1" thickBot="1">
      <c r="C125" s="697" t="s">
        <v>415</v>
      </c>
      <c r="D125" s="672" t="s">
        <v>416</v>
      </c>
      <c r="E125" s="698">
        <f t="shared" ref="E125:S125" si="75">E100/E80*1000</f>
        <v>148.41392412185752</v>
      </c>
      <c r="F125" s="699">
        <f t="shared" si="75"/>
        <v>148.41392412185755</v>
      </c>
      <c r="G125" s="700">
        <f t="shared" si="75"/>
        <v>148.41392412185752</v>
      </c>
      <c r="H125" s="698">
        <f t="shared" si="75"/>
        <v>148.23586724434588</v>
      </c>
      <c r="I125" s="699">
        <f t="shared" si="75"/>
        <v>148.23586724434585</v>
      </c>
      <c r="J125" s="700">
        <f t="shared" si="75"/>
        <v>148.23586724434588</v>
      </c>
      <c r="K125" s="698">
        <f t="shared" si="75"/>
        <v>148.05818054745271</v>
      </c>
      <c r="L125" s="699">
        <f t="shared" si="75"/>
        <v>148.05818054745271</v>
      </c>
      <c r="M125" s="700">
        <f t="shared" si="75"/>
        <v>148.05818054745271</v>
      </c>
      <c r="N125" s="698">
        <f t="shared" si="75"/>
        <v>147.88049385055956</v>
      </c>
      <c r="O125" s="699">
        <f t="shared" si="75"/>
        <v>147.88049385055956</v>
      </c>
      <c r="P125" s="700">
        <f t="shared" si="75"/>
        <v>147.88049385055956</v>
      </c>
      <c r="Q125" s="698">
        <f t="shared" si="75"/>
        <v>147.7024369730479</v>
      </c>
      <c r="R125" s="699">
        <f t="shared" si="75"/>
        <v>147.7024369730479</v>
      </c>
      <c r="S125" s="700">
        <f t="shared" si="75"/>
        <v>147.7024369730479</v>
      </c>
    </row>
    <row r="126" spans="3:19" s="701" customFormat="1" ht="13.5" thickBot="1"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</row>
    <row r="127" spans="3:19" s="701" customFormat="1" ht="15.75" customHeight="1">
      <c r="C127" s="577"/>
      <c r="D127" s="669"/>
      <c r="E127" s="1576" t="s">
        <v>197</v>
      </c>
      <c r="F127" s="1577"/>
      <c r="G127" s="1578"/>
      <c r="H127" s="1576" t="s">
        <v>200</v>
      </c>
      <c r="I127" s="1577"/>
      <c r="J127" s="1578"/>
      <c r="K127" s="1576" t="s">
        <v>203</v>
      </c>
      <c r="L127" s="1577"/>
      <c r="M127" s="1578"/>
      <c r="N127" s="1576" t="s">
        <v>241</v>
      </c>
      <c r="O127" s="1577"/>
      <c r="P127" s="1578"/>
      <c r="Q127" s="1579" t="s">
        <v>262</v>
      </c>
      <c r="R127" s="1580"/>
      <c r="S127" s="1581"/>
    </row>
    <row r="128" spans="3:19" s="701" customFormat="1" ht="25.5">
      <c r="C128" s="577"/>
      <c r="D128" s="578"/>
      <c r="E128" s="641" t="s">
        <v>198</v>
      </c>
      <c r="F128" s="642" t="s">
        <v>199</v>
      </c>
      <c r="G128" s="643" t="s">
        <v>36</v>
      </c>
      <c r="H128" s="641" t="s">
        <v>201</v>
      </c>
      <c r="I128" s="642" t="s">
        <v>202</v>
      </c>
      <c r="J128" s="643" t="s">
        <v>36</v>
      </c>
      <c r="K128" s="641" t="s">
        <v>204</v>
      </c>
      <c r="L128" s="642" t="s">
        <v>205</v>
      </c>
      <c r="M128" s="643" t="s">
        <v>36</v>
      </c>
      <c r="N128" s="641" t="s">
        <v>242</v>
      </c>
      <c r="O128" s="642" t="s">
        <v>243</v>
      </c>
      <c r="P128" s="643" t="s">
        <v>36</v>
      </c>
      <c r="Q128" s="641" t="s">
        <v>263</v>
      </c>
      <c r="R128" s="642" t="s">
        <v>264</v>
      </c>
      <c r="S128" s="643" t="s">
        <v>36</v>
      </c>
    </row>
    <row r="129" spans="3:19" s="692" customFormat="1" ht="18" customHeight="1">
      <c r="C129" s="703" t="s">
        <v>417</v>
      </c>
      <c r="D129" s="688" t="s">
        <v>418</v>
      </c>
      <c r="E129" s="694">
        <f>G130*E80/1000</f>
        <v>221.77453851433191</v>
      </c>
      <c r="F129" s="695">
        <f>G129-E129</f>
        <v>152.17546148566808</v>
      </c>
      <c r="G129" s="696">
        <v>373.95</v>
      </c>
      <c r="H129" s="694">
        <f>J130*H80/1000</f>
        <v>221.77453851433191</v>
      </c>
      <c r="I129" s="695">
        <f t="shared" ref="I129" si="76">J129-H129</f>
        <v>152.17546148566808</v>
      </c>
      <c r="J129" s="696">
        <f>G129</f>
        <v>373.95</v>
      </c>
      <c r="K129" s="694">
        <f>M130*K80/1000</f>
        <v>221.77453851433191</v>
      </c>
      <c r="L129" s="695">
        <f t="shared" ref="L129" si="77">M129-K129</f>
        <v>152.17546148566808</v>
      </c>
      <c r="M129" s="696">
        <f>G129</f>
        <v>373.95</v>
      </c>
      <c r="N129" s="694">
        <f>P130*N80/1000</f>
        <v>221.77453851433191</v>
      </c>
      <c r="O129" s="695">
        <f t="shared" ref="O129" si="78">P129-N129</f>
        <v>152.17546148566808</v>
      </c>
      <c r="P129" s="696">
        <f>G129</f>
        <v>373.95</v>
      </c>
      <c r="Q129" s="694">
        <f>S130*Q80/1000</f>
        <v>221.77453851433191</v>
      </c>
      <c r="R129" s="695">
        <f>S129-Q129</f>
        <v>152.17546148566808</v>
      </c>
      <c r="S129" s="696">
        <f>G129</f>
        <v>373.95</v>
      </c>
    </row>
    <row r="130" spans="3:19" ht="26.25" thickBot="1">
      <c r="C130" s="697" t="s">
        <v>419</v>
      </c>
      <c r="D130" s="672" t="s">
        <v>420</v>
      </c>
      <c r="E130" s="698">
        <f t="shared" ref="E130:S130" si="79">E129/E80*1000</f>
        <v>13.84290422983182</v>
      </c>
      <c r="F130" s="699">
        <f t="shared" si="79"/>
        <v>13.842904229831818</v>
      </c>
      <c r="G130" s="700">
        <f>G129/G80*1000</f>
        <v>13.84290422983182</v>
      </c>
      <c r="H130" s="698">
        <f t="shared" si="79"/>
        <v>13.84290422983182</v>
      </c>
      <c r="I130" s="699">
        <f t="shared" si="79"/>
        <v>13.842904229831818</v>
      </c>
      <c r="J130" s="700">
        <f t="shared" si="79"/>
        <v>13.84290422983182</v>
      </c>
      <c r="K130" s="698">
        <f t="shared" si="79"/>
        <v>13.84290422983182</v>
      </c>
      <c r="L130" s="699">
        <f t="shared" si="79"/>
        <v>13.842904229831818</v>
      </c>
      <c r="M130" s="700">
        <f t="shared" si="79"/>
        <v>13.84290422983182</v>
      </c>
      <c r="N130" s="698">
        <f t="shared" si="79"/>
        <v>13.84290422983182</v>
      </c>
      <c r="O130" s="699">
        <f t="shared" si="79"/>
        <v>13.842904229831818</v>
      </c>
      <c r="P130" s="700">
        <f t="shared" si="79"/>
        <v>13.84290422983182</v>
      </c>
      <c r="Q130" s="698">
        <f t="shared" si="79"/>
        <v>13.84290422983182</v>
      </c>
      <c r="R130" s="699">
        <f t="shared" si="79"/>
        <v>13.842904229831818</v>
      </c>
      <c r="S130" s="700">
        <f t="shared" si="79"/>
        <v>13.84290422983182</v>
      </c>
    </row>
    <row r="131" spans="3:19">
      <c r="C131" s="626"/>
    </row>
    <row r="132" spans="3:19" ht="13.5" thickBot="1">
      <c r="C132" s="626"/>
    </row>
    <row r="133" spans="3:19" ht="15.75" customHeight="1">
      <c r="C133" s="577"/>
      <c r="D133" s="669"/>
      <c r="E133" s="1576" t="s">
        <v>197</v>
      </c>
      <c r="F133" s="1577"/>
      <c r="G133" s="1578"/>
      <c r="H133" s="1576" t="s">
        <v>200</v>
      </c>
      <c r="I133" s="1577"/>
      <c r="J133" s="1578"/>
      <c r="K133" s="1576" t="s">
        <v>203</v>
      </c>
      <c r="L133" s="1577"/>
      <c r="M133" s="1578"/>
      <c r="N133" s="1576" t="s">
        <v>241</v>
      </c>
      <c r="O133" s="1577"/>
      <c r="P133" s="1578"/>
      <c r="Q133" s="1579" t="s">
        <v>262</v>
      </c>
      <c r="R133" s="1580"/>
      <c r="S133" s="1581"/>
    </row>
    <row r="134" spans="3:19" ht="25.5">
      <c r="C134" s="577"/>
      <c r="D134" s="578"/>
      <c r="E134" s="641" t="s">
        <v>198</v>
      </c>
      <c r="F134" s="642" t="s">
        <v>199</v>
      </c>
      <c r="G134" s="643" t="s">
        <v>36</v>
      </c>
      <c r="H134" s="641" t="s">
        <v>201</v>
      </c>
      <c r="I134" s="642" t="s">
        <v>202</v>
      </c>
      <c r="J134" s="643" t="s">
        <v>36</v>
      </c>
      <c r="K134" s="641" t="s">
        <v>204</v>
      </c>
      <c r="L134" s="642" t="s">
        <v>205</v>
      </c>
      <c r="M134" s="643" t="s">
        <v>36</v>
      </c>
      <c r="N134" s="641" t="s">
        <v>242</v>
      </c>
      <c r="O134" s="642" t="s">
        <v>243</v>
      </c>
      <c r="P134" s="643" t="s">
        <v>36</v>
      </c>
      <c r="Q134" s="641" t="s">
        <v>263</v>
      </c>
      <c r="R134" s="642" t="s">
        <v>264</v>
      </c>
      <c r="S134" s="643" t="s">
        <v>36</v>
      </c>
    </row>
    <row r="135" spans="3:19" s="704" customFormat="1" ht="50.25" customHeight="1">
      <c r="C135" s="705" t="s">
        <v>458</v>
      </c>
      <c r="D135" s="688" t="s">
        <v>29</v>
      </c>
      <c r="E135" s="694">
        <f>G138*(E86+E92)</f>
        <v>284.66848341232225</v>
      </c>
      <c r="F135" s="695">
        <f>G135-E135</f>
        <v>195.33151658767775</v>
      </c>
      <c r="G135" s="696">
        <f>479.54+0.46</f>
        <v>480</v>
      </c>
      <c r="H135" s="694">
        <f>J138*(H86+H92)</f>
        <v>284.66848341232225</v>
      </c>
      <c r="I135" s="695">
        <f>J135-H135</f>
        <v>195.33151658767775</v>
      </c>
      <c r="J135" s="696">
        <f>G135</f>
        <v>480</v>
      </c>
      <c r="K135" s="694">
        <f>M138*(K86+K92)</f>
        <v>284.66848341232225</v>
      </c>
      <c r="L135" s="695">
        <f>M135-K135</f>
        <v>195.33151658767775</v>
      </c>
      <c r="M135" s="696">
        <f>G135</f>
        <v>480</v>
      </c>
      <c r="N135" s="694">
        <f>P138*(N86+N92)</f>
        <v>284.66848341232225</v>
      </c>
      <c r="O135" s="695">
        <f>P135-N135</f>
        <v>195.33151658767775</v>
      </c>
      <c r="P135" s="696">
        <f>G135</f>
        <v>480</v>
      </c>
      <c r="Q135" s="694">
        <f>S138*(Q86+Q92)</f>
        <v>284.66848341232225</v>
      </c>
      <c r="R135" s="695">
        <f>S135-Q135</f>
        <v>195.33151658767775</v>
      </c>
      <c r="S135" s="696">
        <f>G135</f>
        <v>480</v>
      </c>
    </row>
    <row r="136" spans="3:19" s="704" customFormat="1" ht="47.25">
      <c r="C136" s="705" t="s">
        <v>429</v>
      </c>
      <c r="D136" s="688" t="s">
        <v>29</v>
      </c>
      <c r="E136" s="694">
        <f>G139*(E87+E93)</f>
        <v>60425.632863531217</v>
      </c>
      <c r="F136" s="695">
        <f>G136-E136</f>
        <v>41462.367136468783</v>
      </c>
      <c r="G136" s="696">
        <v>101888</v>
      </c>
      <c r="H136" s="706">
        <f>J139*(H87+H93)</f>
        <v>60425.632863531217</v>
      </c>
      <c r="I136" s="695">
        <f t="shared" ref="I136:I137" si="80">J136-H136</f>
        <v>41462.367136468783</v>
      </c>
      <c r="J136" s="696">
        <f>G136</f>
        <v>101888</v>
      </c>
      <c r="K136" s="706">
        <f>M139*(K87+K93)</f>
        <v>60425.632863531217</v>
      </c>
      <c r="L136" s="695">
        <f>M136-K136</f>
        <v>41462.367136468783</v>
      </c>
      <c r="M136" s="696">
        <f>J136</f>
        <v>101888</v>
      </c>
      <c r="N136" s="706">
        <f>P139*(N87+N93)</f>
        <v>60425.632863531217</v>
      </c>
      <c r="O136" s="695">
        <f>P136-N136</f>
        <v>41462.367136468783</v>
      </c>
      <c r="P136" s="696">
        <f>M136</f>
        <v>101888</v>
      </c>
      <c r="Q136" s="706">
        <f>S139*(Q87+Q93)</f>
        <v>60425.632863531217</v>
      </c>
      <c r="R136" s="695">
        <f>S136-Q136</f>
        <v>41462.367136468783</v>
      </c>
      <c r="S136" s="696">
        <f>P136</f>
        <v>101888</v>
      </c>
    </row>
    <row r="137" spans="3:19" s="704" customFormat="1" ht="47.25">
      <c r="C137" s="705" t="s">
        <v>421</v>
      </c>
      <c r="D137" s="688" t="s">
        <v>29</v>
      </c>
      <c r="E137" s="706" t="e">
        <f>(E88+E94)*G140</f>
        <v>#DIV/0!</v>
      </c>
      <c r="F137" s="695" t="e">
        <f>F88*G140</f>
        <v>#DIV/0!</v>
      </c>
      <c r="G137" s="696"/>
      <c r="H137" s="706" t="e">
        <f>(H88+H94)*J140</f>
        <v>#DIV/0!</v>
      </c>
      <c r="I137" s="695" t="e">
        <f t="shared" si="80"/>
        <v>#DIV/0!</v>
      </c>
      <c r="J137" s="696">
        <f>G137</f>
        <v>0</v>
      </c>
      <c r="K137" s="706" t="e">
        <f>(K88+K94)*M140</f>
        <v>#DIV/0!</v>
      </c>
      <c r="L137" s="695" t="e">
        <f>L88*M140</f>
        <v>#DIV/0!</v>
      </c>
      <c r="M137" s="696">
        <f>G137</f>
        <v>0</v>
      </c>
      <c r="N137" s="706" t="e">
        <f>(N88+N94)*P140</f>
        <v>#DIV/0!</v>
      </c>
      <c r="O137" s="695" t="e">
        <f>O88*P140</f>
        <v>#DIV/0!</v>
      </c>
      <c r="P137" s="696">
        <f>G137</f>
        <v>0</v>
      </c>
      <c r="Q137" s="706" t="e">
        <f>(Q88+Q94)*S140</f>
        <v>#DIV/0!</v>
      </c>
      <c r="R137" s="695" t="e">
        <f>R88*S140</f>
        <v>#DIV/0!</v>
      </c>
      <c r="S137" s="696">
        <f>G137</f>
        <v>0</v>
      </c>
    </row>
    <row r="138" spans="3:19">
      <c r="C138" s="582" t="s">
        <v>422</v>
      </c>
      <c r="D138" s="672" t="s">
        <v>423</v>
      </c>
      <c r="E138" s="707">
        <f>E135/(E86+E92)</f>
        <v>2.3696682464454975E-2</v>
      </c>
      <c r="F138" s="674">
        <f>F135/(F86+F92)</f>
        <v>2.3696682464454982E-2</v>
      </c>
      <c r="G138" s="708">
        <f>G135/(G86+G92)</f>
        <v>2.3696682464454975E-2</v>
      </c>
      <c r="H138" s="707">
        <f t="shared" ref="H138:S140" si="81">H135/(H86+H92)</f>
        <v>2.3696682464454975E-2</v>
      </c>
      <c r="I138" s="674">
        <f t="shared" si="81"/>
        <v>2.3696682464454982E-2</v>
      </c>
      <c r="J138" s="708">
        <f t="shared" si="81"/>
        <v>2.3696682464454975E-2</v>
      </c>
      <c r="K138" s="707">
        <f t="shared" si="81"/>
        <v>2.3696682464454975E-2</v>
      </c>
      <c r="L138" s="674">
        <f t="shared" si="81"/>
        <v>2.3696682464454982E-2</v>
      </c>
      <c r="M138" s="708">
        <f t="shared" si="81"/>
        <v>2.3696682464454975E-2</v>
      </c>
      <c r="N138" s="707">
        <f t="shared" si="81"/>
        <v>2.3696682464454975E-2</v>
      </c>
      <c r="O138" s="674">
        <f t="shared" si="81"/>
        <v>2.3696682464454982E-2</v>
      </c>
      <c r="P138" s="708">
        <f t="shared" si="81"/>
        <v>2.3696682464454975E-2</v>
      </c>
      <c r="Q138" s="707">
        <f t="shared" si="81"/>
        <v>2.3696682464454975E-2</v>
      </c>
      <c r="R138" s="674">
        <f>R135/(R86+R92)</f>
        <v>2.3696682464454982E-2</v>
      </c>
      <c r="S138" s="708">
        <f>S135/(S86+S92)</f>
        <v>2.3696682464454975E-2</v>
      </c>
    </row>
    <row r="139" spans="3:19">
      <c r="C139" s="582" t="s">
        <v>430</v>
      </c>
      <c r="D139" s="672" t="s">
        <v>423</v>
      </c>
      <c r="E139" s="707">
        <f t="shared" ref="E139:G140" si="82">E136/(E87+E93)</f>
        <v>15.711333847340013</v>
      </c>
      <c r="F139" s="674">
        <f t="shared" ref="F139" si="83">F136/(F87+F93)</f>
        <v>15.711333847340018</v>
      </c>
      <c r="G139" s="708">
        <f t="shared" si="82"/>
        <v>15.711333847340015</v>
      </c>
      <c r="H139" s="707">
        <f t="shared" ref="H139" si="84">H136/(H87+H93)</f>
        <v>15.711333847340013</v>
      </c>
      <c r="I139" s="674">
        <f t="shared" si="81"/>
        <v>15.711333847340018</v>
      </c>
      <c r="J139" s="708">
        <f>J136/(J87+J93)</f>
        <v>15.711333847340015</v>
      </c>
      <c r="K139" s="707">
        <f t="shared" si="81"/>
        <v>15.711333847340013</v>
      </c>
      <c r="L139" s="674">
        <f t="shared" si="81"/>
        <v>15.711333847340018</v>
      </c>
      <c r="M139" s="708">
        <f t="shared" si="81"/>
        <v>15.711333847340015</v>
      </c>
      <c r="N139" s="707">
        <f t="shared" si="81"/>
        <v>15.711333847340013</v>
      </c>
      <c r="O139" s="674">
        <f t="shared" si="81"/>
        <v>15.711333847340018</v>
      </c>
      <c r="P139" s="708">
        <f t="shared" si="81"/>
        <v>15.711333847340015</v>
      </c>
      <c r="Q139" s="707">
        <f t="shared" si="81"/>
        <v>15.711333847340013</v>
      </c>
      <c r="R139" s="674">
        <f t="shared" si="81"/>
        <v>15.711333847340018</v>
      </c>
      <c r="S139" s="708">
        <f t="shared" si="81"/>
        <v>15.711333847340015</v>
      </c>
    </row>
    <row r="140" spans="3:19">
      <c r="C140" s="582" t="s">
        <v>424</v>
      </c>
      <c r="D140" s="672" t="s">
        <v>423</v>
      </c>
      <c r="E140" s="707" t="e">
        <f t="shared" si="82"/>
        <v>#DIV/0!</v>
      </c>
      <c r="F140" s="674" t="e">
        <f t="shared" ref="F140" si="85">F137/(F88+F94)</f>
        <v>#DIV/0!</v>
      </c>
      <c r="G140" s="708" t="e">
        <f>G137/(G88+G94)</f>
        <v>#DIV/0!</v>
      </c>
      <c r="H140" s="707" t="e">
        <f t="shared" ref="H140" si="86">H137/(H88+H94)</f>
        <v>#DIV/0!</v>
      </c>
      <c r="I140" s="674" t="e">
        <f t="shared" si="81"/>
        <v>#DIV/0!</v>
      </c>
      <c r="J140" s="708" t="e">
        <f t="shared" si="81"/>
        <v>#DIV/0!</v>
      </c>
      <c r="K140" s="707" t="e">
        <f t="shared" si="81"/>
        <v>#DIV/0!</v>
      </c>
      <c r="L140" s="674" t="e">
        <f t="shared" si="81"/>
        <v>#DIV/0!</v>
      </c>
      <c r="M140" s="708" t="e">
        <f t="shared" si="81"/>
        <v>#DIV/0!</v>
      </c>
      <c r="N140" s="707" t="e">
        <f t="shared" si="81"/>
        <v>#DIV/0!</v>
      </c>
      <c r="O140" s="674" t="e">
        <f t="shared" si="81"/>
        <v>#DIV/0!</v>
      </c>
      <c r="P140" s="708" t="e">
        <f t="shared" si="81"/>
        <v>#DIV/0!</v>
      </c>
      <c r="Q140" s="707" t="e">
        <f t="shared" si="81"/>
        <v>#DIV/0!</v>
      </c>
      <c r="R140" s="674" t="e">
        <f t="shared" si="81"/>
        <v>#DIV/0!</v>
      </c>
      <c r="S140" s="708" t="e">
        <f t="shared" si="81"/>
        <v>#DIV/0!</v>
      </c>
    </row>
    <row r="141" spans="3:19" s="649" customFormat="1" ht="32.25" thickBot="1">
      <c r="C141" s="705" t="s">
        <v>425</v>
      </c>
      <c r="D141" s="688" t="s">
        <v>29</v>
      </c>
      <c r="E141" s="709">
        <f>G141*E80/G80</f>
        <v>201.64017407373404</v>
      </c>
      <c r="F141" s="710">
        <f>G141-E141</f>
        <v>138.35982592626596</v>
      </c>
      <c r="G141" s="711">
        <v>340</v>
      </c>
      <c r="H141" s="709">
        <f>J141*H80/J80</f>
        <v>201.64017407373404</v>
      </c>
      <c r="I141" s="710">
        <f t="shared" ref="I141" si="87">J141-H141</f>
        <v>138.35982592626596</v>
      </c>
      <c r="J141" s="711">
        <f>G141</f>
        <v>340</v>
      </c>
      <c r="K141" s="709">
        <f>M141*K80/M80</f>
        <v>201.64017407373404</v>
      </c>
      <c r="L141" s="710">
        <f t="shared" ref="L141" si="88">M141-K141</f>
        <v>138.35982592626596</v>
      </c>
      <c r="M141" s="711">
        <f>G141</f>
        <v>340</v>
      </c>
      <c r="N141" s="709">
        <f>P141*N80/P80</f>
        <v>201.64017407373404</v>
      </c>
      <c r="O141" s="710">
        <f t="shared" ref="O141" si="89">P141-N141</f>
        <v>138.35982592626596</v>
      </c>
      <c r="P141" s="711">
        <f>M141</f>
        <v>340</v>
      </c>
      <c r="Q141" s="709">
        <f>S141*Q80/S80</f>
        <v>201.64017407373404</v>
      </c>
      <c r="R141" s="710">
        <f t="shared" ref="R141" si="90">S141-Q141</f>
        <v>138.35982592626596</v>
      </c>
      <c r="S141" s="711">
        <f>G141</f>
        <v>340</v>
      </c>
    </row>
    <row r="142" spans="3:19">
      <c r="C142" s="626"/>
    </row>
    <row r="143" spans="3:19">
      <c r="C143" s="626"/>
    </row>
    <row r="144" spans="3:19" ht="15.75" hidden="1" customHeight="1">
      <c r="C144" s="577"/>
      <c r="D144" s="669"/>
      <c r="E144" s="1576" t="s">
        <v>197</v>
      </c>
      <c r="F144" s="1577"/>
      <c r="G144" s="1578"/>
      <c r="H144" s="1576" t="s">
        <v>200</v>
      </c>
      <c r="I144" s="1577"/>
      <c r="J144" s="1578"/>
      <c r="K144" s="1576" t="s">
        <v>203</v>
      </c>
      <c r="L144" s="1577"/>
      <c r="M144" s="1578"/>
      <c r="N144" s="1576" t="s">
        <v>241</v>
      </c>
      <c r="O144" s="1577"/>
      <c r="P144" s="1578"/>
      <c r="Q144" s="1579" t="s">
        <v>262</v>
      </c>
      <c r="R144" s="1580"/>
      <c r="S144" s="1581"/>
    </row>
    <row r="145" spans="3:19" ht="25.5" hidden="1">
      <c r="C145" s="577"/>
      <c r="D145" s="578"/>
      <c r="E145" s="641" t="s">
        <v>198</v>
      </c>
      <c r="F145" s="642" t="s">
        <v>199</v>
      </c>
      <c r="G145" s="643" t="s">
        <v>36</v>
      </c>
      <c r="H145" s="641" t="s">
        <v>201</v>
      </c>
      <c r="I145" s="642" t="s">
        <v>202</v>
      </c>
      <c r="J145" s="643" t="s">
        <v>36</v>
      </c>
      <c r="K145" s="641" t="s">
        <v>204</v>
      </c>
      <c r="L145" s="642" t="s">
        <v>205</v>
      </c>
      <c r="M145" s="643" t="s">
        <v>36</v>
      </c>
      <c r="N145" s="641" t="s">
        <v>242</v>
      </c>
      <c r="O145" s="642" t="s">
        <v>243</v>
      </c>
      <c r="P145" s="643" t="s">
        <v>36</v>
      </c>
      <c r="Q145" s="641" t="s">
        <v>263</v>
      </c>
      <c r="R145" s="642" t="s">
        <v>264</v>
      </c>
      <c r="S145" s="643" t="s">
        <v>36</v>
      </c>
    </row>
    <row r="146" spans="3:19" s="704" customFormat="1" ht="63.75" hidden="1" thickBot="1">
      <c r="C146" s="705" t="s">
        <v>439</v>
      </c>
      <c r="D146" s="688" t="s">
        <v>13</v>
      </c>
      <c r="E146" s="709"/>
      <c r="F146" s="710"/>
      <c r="G146" s="711"/>
      <c r="H146" s="709"/>
      <c r="I146" s="710"/>
      <c r="J146" s="711"/>
      <c r="K146" s="709"/>
      <c r="L146" s="710"/>
      <c r="M146" s="711"/>
      <c r="N146" s="709"/>
      <c r="O146" s="710"/>
      <c r="P146" s="711"/>
      <c r="Q146" s="709"/>
      <c r="R146" s="710"/>
      <c r="S146" s="711"/>
    </row>
    <row r="147" spans="3:19" hidden="1"/>
    <row r="148" spans="3:19" ht="13.5" hidden="1" thickBot="1"/>
    <row r="149" spans="3:19" ht="15.75" hidden="1">
      <c r="C149" s="577"/>
      <c r="D149" s="669"/>
      <c r="E149" s="1576" t="s">
        <v>197</v>
      </c>
      <c r="F149" s="1577"/>
      <c r="G149" s="1578"/>
      <c r="H149" s="1576" t="s">
        <v>200</v>
      </c>
      <c r="I149" s="1577"/>
      <c r="J149" s="1578"/>
      <c r="K149" s="1576" t="s">
        <v>203</v>
      </c>
      <c r="L149" s="1577"/>
      <c r="M149" s="1578"/>
      <c r="N149" s="1576" t="s">
        <v>241</v>
      </c>
      <c r="O149" s="1577"/>
      <c r="P149" s="1578"/>
      <c r="Q149" s="1579" t="s">
        <v>262</v>
      </c>
      <c r="R149" s="1580"/>
      <c r="S149" s="1581"/>
    </row>
    <row r="150" spans="3:19" ht="25.5" hidden="1">
      <c r="C150" s="577"/>
      <c r="D150" s="578"/>
      <c r="E150" s="641" t="s">
        <v>198</v>
      </c>
      <c r="F150" s="642" t="s">
        <v>199</v>
      </c>
      <c r="G150" s="643" t="s">
        <v>36</v>
      </c>
      <c r="H150" s="641" t="s">
        <v>201</v>
      </c>
      <c r="I150" s="642" t="s">
        <v>202</v>
      </c>
      <c r="J150" s="643" t="s">
        <v>36</v>
      </c>
      <c r="K150" s="641" t="s">
        <v>204</v>
      </c>
      <c r="L150" s="642" t="s">
        <v>205</v>
      </c>
      <c r="M150" s="643" t="s">
        <v>36</v>
      </c>
      <c r="N150" s="641" t="s">
        <v>242</v>
      </c>
      <c r="O150" s="642" t="s">
        <v>243</v>
      </c>
      <c r="P150" s="643" t="s">
        <v>36</v>
      </c>
      <c r="Q150" s="641" t="s">
        <v>263</v>
      </c>
      <c r="R150" s="642" t="s">
        <v>264</v>
      </c>
      <c r="S150" s="643" t="s">
        <v>36</v>
      </c>
    </row>
    <row r="151" spans="3:19" ht="15.75" hidden="1">
      <c r="C151" s="705" t="s">
        <v>435</v>
      </c>
      <c r="D151" s="688" t="s">
        <v>13</v>
      </c>
      <c r="E151" s="641">
        <f>G151*E80/G80</f>
        <v>0</v>
      </c>
      <c r="F151" s="720">
        <f>G151-E151</f>
        <v>0</v>
      </c>
      <c r="G151" s="696"/>
      <c r="H151" s="641">
        <f>J151*H80/J80</f>
        <v>0</v>
      </c>
      <c r="I151" s="720">
        <f t="shared" ref="I151" si="91">J151-H151</f>
        <v>0</v>
      </c>
      <c r="J151" s="696"/>
      <c r="K151" s="641">
        <f>M151*K80/M80</f>
        <v>0</v>
      </c>
      <c r="L151" s="720">
        <f t="shared" ref="L151" si="92">M151-K151</f>
        <v>0</v>
      </c>
      <c r="M151" s="696"/>
      <c r="N151" s="641">
        <f>P151*N80/P80</f>
        <v>0</v>
      </c>
      <c r="O151" s="720">
        <f t="shared" ref="O151" si="93">P151-N151</f>
        <v>0</v>
      </c>
      <c r="P151" s="696"/>
      <c r="Q151" s="641">
        <f>S151*Q80/S80</f>
        <v>0</v>
      </c>
      <c r="R151" s="720">
        <f t="shared" ref="R151" si="94">S151-Q151</f>
        <v>0</v>
      </c>
      <c r="S151" s="696"/>
    </row>
    <row r="152" spans="3:19" s="636" customFormat="1" ht="15.75" hidden="1">
      <c r="C152" s="713" t="s">
        <v>433</v>
      </c>
      <c r="D152" s="714" t="s">
        <v>13</v>
      </c>
      <c r="E152" s="715" t="e">
        <f>G152*E151/G151</f>
        <v>#DIV/0!</v>
      </c>
      <c r="F152" s="721" t="e">
        <f>G152-E152</f>
        <v>#DIV/0!</v>
      </c>
      <c r="G152" s="716"/>
      <c r="H152" s="715" t="e">
        <f>J152*H151/J151</f>
        <v>#DIV/0!</v>
      </c>
      <c r="I152" s="721" t="e">
        <f t="shared" ref="I152" si="95">J152-H152</f>
        <v>#DIV/0!</v>
      </c>
      <c r="J152" s="716"/>
      <c r="K152" s="715" t="e">
        <f>M152*K151/M151</f>
        <v>#DIV/0!</v>
      </c>
      <c r="L152" s="721" t="e">
        <f t="shared" ref="L152" si="96">M152-K152</f>
        <v>#DIV/0!</v>
      </c>
      <c r="M152" s="716"/>
      <c r="N152" s="715" t="e">
        <f>P152*N151/P151</f>
        <v>#DIV/0!</v>
      </c>
      <c r="O152" s="721" t="e">
        <f t="shared" ref="O152" si="97">P152-N152</f>
        <v>#DIV/0!</v>
      </c>
      <c r="P152" s="716"/>
      <c r="Q152" s="715" t="e">
        <f>S152*Q151/S151</f>
        <v>#DIV/0!</v>
      </c>
      <c r="R152" s="721" t="e">
        <f t="shared" ref="R152" si="98">S152-Q152</f>
        <v>#DIV/0!</v>
      </c>
      <c r="S152" s="716"/>
    </row>
    <row r="153" spans="3:19" ht="15.75" hidden="1" outlineLevel="1">
      <c r="C153" s="717" t="str">
        <f>E60</f>
        <v>ГУП "ТЭК СПб"</v>
      </c>
      <c r="D153" s="718" t="s">
        <v>13</v>
      </c>
      <c r="E153" s="694" t="e">
        <f>G153*$E$152/$G$152</f>
        <v>#DIV/0!</v>
      </c>
      <c r="F153" s="695" t="e">
        <f>G153-E153</f>
        <v>#DIV/0!</v>
      </c>
      <c r="G153" s="719"/>
      <c r="H153" s="694" t="e">
        <f>J153*$H$152/$J$152</f>
        <v>#DIV/0!</v>
      </c>
      <c r="I153" s="695" t="e">
        <f t="shared" ref="I153:R160" si="99">J153-H153</f>
        <v>#DIV/0!</v>
      </c>
      <c r="J153" s="719"/>
      <c r="K153" s="694" t="e">
        <f>M153*$K$152/$M$152</f>
        <v>#DIV/0!</v>
      </c>
      <c r="L153" s="695" t="e">
        <f t="shared" ref="L153" si="100">M153-K153</f>
        <v>#DIV/0!</v>
      </c>
      <c r="M153" s="719"/>
      <c r="N153" s="694" t="e">
        <f>P153*$N$152/$P$152</f>
        <v>#DIV/0!</v>
      </c>
      <c r="O153" s="695" t="e">
        <f t="shared" ref="O153" si="101">P153-N153</f>
        <v>#DIV/0!</v>
      </c>
      <c r="P153" s="719"/>
      <c r="Q153" s="694" t="e">
        <f>S153*$Q$152/$S$152</f>
        <v>#DIV/0!</v>
      </c>
      <c r="R153" s="695" t="e">
        <f t="shared" ref="R153" si="102">S153-Q153</f>
        <v>#DIV/0!</v>
      </c>
      <c r="S153" s="719"/>
    </row>
    <row r="154" spans="3:19" ht="15.75" hidden="1" outlineLevel="1">
      <c r="C154" s="717" t="str">
        <f>F60</f>
        <v>ПАО "ТГК-1"</v>
      </c>
      <c r="D154" s="718" t="s">
        <v>13</v>
      </c>
      <c r="E154" s="694" t="e">
        <f t="shared" ref="E154:E159" si="103">G154*$E$152/$G$152</f>
        <v>#DIV/0!</v>
      </c>
      <c r="F154" s="695" t="e">
        <f t="shared" ref="F154:F160" si="104">G154-E154</f>
        <v>#DIV/0!</v>
      </c>
      <c r="G154" s="719"/>
      <c r="H154" s="694" t="e">
        <f t="shared" ref="H154:H159" si="105">J154*$H$152/$J$152</f>
        <v>#DIV/0!</v>
      </c>
      <c r="I154" s="695" t="e">
        <f t="shared" si="99"/>
        <v>#DIV/0!</v>
      </c>
      <c r="J154" s="719"/>
      <c r="K154" s="694" t="e">
        <f t="shared" ref="K154:K159" si="106">M154*$K$152/$M$152</f>
        <v>#DIV/0!</v>
      </c>
      <c r="L154" s="695" t="e">
        <f t="shared" si="99"/>
        <v>#DIV/0!</v>
      </c>
      <c r="M154" s="719"/>
      <c r="N154" s="694" t="e">
        <f t="shared" ref="N154:N159" si="107">P154*$N$152/$P$152</f>
        <v>#DIV/0!</v>
      </c>
      <c r="O154" s="695" t="e">
        <f t="shared" si="99"/>
        <v>#DIV/0!</v>
      </c>
      <c r="P154" s="719"/>
      <c r="Q154" s="694" t="e">
        <f t="shared" ref="Q154:Q159" si="108">S154*$Q$152/$S$152</f>
        <v>#DIV/0!</v>
      </c>
      <c r="R154" s="695" t="e">
        <f t="shared" si="99"/>
        <v>#DIV/0!</v>
      </c>
      <c r="S154" s="719"/>
    </row>
    <row r="155" spans="3:19" ht="15.75" hidden="1" outlineLevel="1">
      <c r="C155" s="717" t="str">
        <f>G60</f>
        <v>ООО "Петербургтеплоэнерго"</v>
      </c>
      <c r="D155" s="718" t="s">
        <v>13</v>
      </c>
      <c r="E155" s="694" t="e">
        <f t="shared" si="103"/>
        <v>#DIV/0!</v>
      </c>
      <c r="F155" s="695" t="e">
        <f t="shared" si="104"/>
        <v>#DIV/0!</v>
      </c>
      <c r="G155" s="719"/>
      <c r="H155" s="694" t="e">
        <f t="shared" si="105"/>
        <v>#DIV/0!</v>
      </c>
      <c r="I155" s="695" t="e">
        <f t="shared" si="99"/>
        <v>#DIV/0!</v>
      </c>
      <c r="J155" s="719"/>
      <c r="K155" s="694" t="e">
        <f t="shared" si="106"/>
        <v>#DIV/0!</v>
      </c>
      <c r="L155" s="695" t="e">
        <f t="shared" si="99"/>
        <v>#DIV/0!</v>
      </c>
      <c r="M155" s="719"/>
      <c r="N155" s="694" t="e">
        <f t="shared" si="107"/>
        <v>#DIV/0!</v>
      </c>
      <c r="O155" s="695" t="e">
        <f t="shared" si="99"/>
        <v>#DIV/0!</v>
      </c>
      <c r="P155" s="719"/>
      <c r="Q155" s="694" t="e">
        <f t="shared" si="108"/>
        <v>#DIV/0!</v>
      </c>
      <c r="R155" s="695" t="e">
        <f t="shared" si="99"/>
        <v>#DIV/0!</v>
      </c>
      <c r="S155" s="719"/>
    </row>
    <row r="156" spans="3:19" ht="15.75" hidden="1" outlineLevel="1">
      <c r="C156" s="717" t="str">
        <f>H60</f>
        <v>Иные</v>
      </c>
      <c r="D156" s="718" t="s">
        <v>13</v>
      </c>
      <c r="E156" s="694" t="e">
        <f t="shared" si="103"/>
        <v>#DIV/0!</v>
      </c>
      <c r="F156" s="695" t="e">
        <f t="shared" si="104"/>
        <v>#DIV/0!</v>
      </c>
      <c r="G156" s="719"/>
      <c r="H156" s="694" t="e">
        <f t="shared" si="105"/>
        <v>#DIV/0!</v>
      </c>
      <c r="I156" s="695" t="e">
        <f t="shared" si="99"/>
        <v>#DIV/0!</v>
      </c>
      <c r="J156" s="719"/>
      <c r="K156" s="694" t="e">
        <f t="shared" si="106"/>
        <v>#DIV/0!</v>
      </c>
      <c r="L156" s="695" t="e">
        <f t="shared" si="99"/>
        <v>#DIV/0!</v>
      </c>
      <c r="M156" s="719"/>
      <c r="N156" s="694" t="e">
        <f t="shared" si="107"/>
        <v>#DIV/0!</v>
      </c>
      <c r="O156" s="695" t="e">
        <f t="shared" si="99"/>
        <v>#DIV/0!</v>
      </c>
      <c r="P156" s="719"/>
      <c r="Q156" s="694" t="e">
        <f t="shared" si="108"/>
        <v>#DIV/0!</v>
      </c>
      <c r="R156" s="695" t="e">
        <f t="shared" si="99"/>
        <v>#DIV/0!</v>
      </c>
      <c r="S156" s="719"/>
    </row>
    <row r="157" spans="3:19" ht="15.75" hidden="1" outlineLevel="1">
      <c r="C157" s="717" t="str">
        <f>I60</f>
        <v>Иные</v>
      </c>
      <c r="D157" s="718" t="s">
        <v>13</v>
      </c>
      <c r="E157" s="694" t="e">
        <f t="shared" si="103"/>
        <v>#DIV/0!</v>
      </c>
      <c r="F157" s="695" t="e">
        <f t="shared" si="104"/>
        <v>#DIV/0!</v>
      </c>
      <c r="G157" s="719"/>
      <c r="H157" s="694" t="e">
        <f t="shared" si="105"/>
        <v>#DIV/0!</v>
      </c>
      <c r="I157" s="695" t="e">
        <f t="shared" si="99"/>
        <v>#DIV/0!</v>
      </c>
      <c r="J157" s="719"/>
      <c r="K157" s="694" t="e">
        <f t="shared" si="106"/>
        <v>#DIV/0!</v>
      </c>
      <c r="L157" s="695" t="e">
        <f t="shared" si="99"/>
        <v>#DIV/0!</v>
      </c>
      <c r="M157" s="719"/>
      <c r="N157" s="694" t="e">
        <f t="shared" si="107"/>
        <v>#DIV/0!</v>
      </c>
      <c r="O157" s="695" t="e">
        <f t="shared" si="99"/>
        <v>#DIV/0!</v>
      </c>
      <c r="P157" s="719"/>
      <c r="Q157" s="694" t="e">
        <f t="shared" si="108"/>
        <v>#DIV/0!</v>
      </c>
      <c r="R157" s="695" t="e">
        <f t="shared" si="99"/>
        <v>#DIV/0!</v>
      </c>
      <c r="S157" s="719"/>
    </row>
    <row r="158" spans="3:19" ht="15.75" hidden="1" outlineLevel="1">
      <c r="C158" s="717" t="str">
        <f>J60</f>
        <v>Иные</v>
      </c>
      <c r="D158" s="718" t="s">
        <v>13</v>
      </c>
      <c r="E158" s="694" t="e">
        <f t="shared" si="103"/>
        <v>#DIV/0!</v>
      </c>
      <c r="F158" s="695" t="e">
        <f t="shared" si="104"/>
        <v>#DIV/0!</v>
      </c>
      <c r="G158" s="719"/>
      <c r="H158" s="694" t="e">
        <f t="shared" si="105"/>
        <v>#DIV/0!</v>
      </c>
      <c r="I158" s="695" t="e">
        <f t="shared" si="99"/>
        <v>#DIV/0!</v>
      </c>
      <c r="J158" s="719"/>
      <c r="K158" s="694" t="e">
        <f t="shared" si="106"/>
        <v>#DIV/0!</v>
      </c>
      <c r="L158" s="695" t="e">
        <f t="shared" si="99"/>
        <v>#DIV/0!</v>
      </c>
      <c r="M158" s="719"/>
      <c r="N158" s="694" t="e">
        <f t="shared" si="107"/>
        <v>#DIV/0!</v>
      </c>
      <c r="O158" s="695" t="e">
        <f t="shared" si="99"/>
        <v>#DIV/0!</v>
      </c>
      <c r="P158" s="719"/>
      <c r="Q158" s="694" t="e">
        <f t="shared" si="108"/>
        <v>#DIV/0!</v>
      </c>
      <c r="R158" s="695" t="e">
        <f t="shared" si="99"/>
        <v>#DIV/0!</v>
      </c>
      <c r="S158" s="719"/>
    </row>
    <row r="159" spans="3:19" ht="15.75" hidden="1" outlineLevel="1">
      <c r="C159" s="717" t="str">
        <f>K60</f>
        <v>Иные</v>
      </c>
      <c r="D159" s="718" t="s">
        <v>13</v>
      </c>
      <c r="E159" s="694" t="e">
        <f t="shared" si="103"/>
        <v>#DIV/0!</v>
      </c>
      <c r="F159" s="695" t="e">
        <f t="shared" si="104"/>
        <v>#DIV/0!</v>
      </c>
      <c r="G159" s="719"/>
      <c r="H159" s="694" t="e">
        <f t="shared" si="105"/>
        <v>#DIV/0!</v>
      </c>
      <c r="I159" s="695" t="e">
        <f t="shared" si="99"/>
        <v>#DIV/0!</v>
      </c>
      <c r="J159" s="719"/>
      <c r="K159" s="694" t="e">
        <f t="shared" si="106"/>
        <v>#DIV/0!</v>
      </c>
      <c r="L159" s="695" t="e">
        <f t="shared" si="99"/>
        <v>#DIV/0!</v>
      </c>
      <c r="M159" s="719"/>
      <c r="N159" s="694" t="e">
        <f t="shared" si="107"/>
        <v>#DIV/0!</v>
      </c>
      <c r="O159" s="695" t="e">
        <f t="shared" si="99"/>
        <v>#DIV/0!</v>
      </c>
      <c r="P159" s="719"/>
      <c r="Q159" s="694" t="e">
        <f t="shared" si="108"/>
        <v>#DIV/0!</v>
      </c>
      <c r="R159" s="695" t="e">
        <f t="shared" si="99"/>
        <v>#DIV/0!</v>
      </c>
      <c r="S159" s="719"/>
    </row>
    <row r="160" spans="3:19" ht="15.75" hidden="1" outlineLevel="1">
      <c r="C160" s="717" t="str">
        <f>L60</f>
        <v>Иные</v>
      </c>
      <c r="D160" s="718" t="s">
        <v>13</v>
      </c>
      <c r="E160" s="694" t="e">
        <f>G160*$E$152/$G$152</f>
        <v>#DIV/0!</v>
      </c>
      <c r="F160" s="695" t="e">
        <f t="shared" si="104"/>
        <v>#DIV/0!</v>
      </c>
      <c r="G160" s="719"/>
      <c r="H160" s="694" t="e">
        <f>J160*$H$152/$J$152</f>
        <v>#DIV/0!</v>
      </c>
      <c r="I160" s="695" t="e">
        <f t="shared" si="99"/>
        <v>#DIV/0!</v>
      </c>
      <c r="J160" s="719"/>
      <c r="K160" s="694" t="e">
        <f>M160*$K$152/$M$152</f>
        <v>#DIV/0!</v>
      </c>
      <c r="L160" s="695" t="e">
        <f t="shared" si="99"/>
        <v>#DIV/0!</v>
      </c>
      <c r="M160" s="719"/>
      <c r="N160" s="694" t="e">
        <f>P160*$N$152/$P$152</f>
        <v>#DIV/0!</v>
      </c>
      <c r="O160" s="695" t="e">
        <f t="shared" si="99"/>
        <v>#DIV/0!</v>
      </c>
      <c r="P160" s="719"/>
      <c r="Q160" s="694" t="e">
        <f>S160*$Q$152/$S$152</f>
        <v>#DIV/0!</v>
      </c>
      <c r="R160" s="695" t="e">
        <f t="shared" si="99"/>
        <v>#DIV/0!</v>
      </c>
      <c r="S160" s="719"/>
    </row>
    <row r="161" spans="3:19" s="636" customFormat="1" ht="15.75" hidden="1">
      <c r="C161" s="713" t="s">
        <v>434</v>
      </c>
      <c r="D161" s="714" t="s">
        <v>13</v>
      </c>
      <c r="E161" s="715" t="e">
        <f>G161*E151/G151</f>
        <v>#DIV/0!</v>
      </c>
      <c r="F161" s="721" t="e">
        <f>G161-E161</f>
        <v>#DIV/0!</v>
      </c>
      <c r="G161" s="716"/>
      <c r="H161" s="715" t="e">
        <f>J161*H151/J151</f>
        <v>#DIV/0!</v>
      </c>
      <c r="I161" s="721" t="e">
        <f t="shared" ref="I161" si="109">J161-H161</f>
        <v>#DIV/0!</v>
      </c>
      <c r="J161" s="716"/>
      <c r="K161" s="715" t="e">
        <f>M161*K151/M151</f>
        <v>#DIV/0!</v>
      </c>
      <c r="L161" s="721" t="e">
        <f t="shared" ref="L161" si="110">M161-K161</f>
        <v>#DIV/0!</v>
      </c>
      <c r="M161" s="716"/>
      <c r="N161" s="715" t="e">
        <f>P161*N151/P151</f>
        <v>#DIV/0!</v>
      </c>
      <c r="O161" s="721" t="e">
        <f t="shared" ref="O161" si="111">P161-N161</f>
        <v>#DIV/0!</v>
      </c>
      <c r="P161" s="716"/>
      <c r="Q161" s="715" t="e">
        <f>S161*Q151/S151</f>
        <v>#DIV/0!</v>
      </c>
      <c r="R161" s="721" t="e">
        <f t="shared" ref="R161" si="112">S161-Q161</f>
        <v>#DIV/0!</v>
      </c>
      <c r="S161" s="716"/>
    </row>
    <row r="162" spans="3:19" ht="15.75" hidden="1" outlineLevel="1">
      <c r="C162" s="717" t="str">
        <f>C153</f>
        <v>ГУП "ТЭК СПб"</v>
      </c>
      <c r="D162" s="718" t="s">
        <v>13</v>
      </c>
      <c r="E162" s="694" t="e">
        <f>G162*$E$161/$G$161</f>
        <v>#DIV/0!</v>
      </c>
      <c r="F162" s="695" t="e">
        <f>G162-E162</f>
        <v>#DIV/0!</v>
      </c>
      <c r="G162" s="719"/>
      <c r="H162" s="694" t="e">
        <f>J162*$H$161/$J$161</f>
        <v>#DIV/0!</v>
      </c>
      <c r="I162" s="695" t="e">
        <f t="shared" ref="I162:R168" si="113">J162-H162</f>
        <v>#DIV/0!</v>
      </c>
      <c r="J162" s="719"/>
      <c r="K162" s="694" t="e">
        <f>M162*$K$161/$M$161</f>
        <v>#DIV/0!</v>
      </c>
      <c r="L162" s="695" t="e">
        <f t="shared" ref="L162" si="114">M162-K162</f>
        <v>#DIV/0!</v>
      </c>
      <c r="M162" s="719"/>
      <c r="N162" s="694" t="e">
        <f>P162*$N$161/$P$161</f>
        <v>#DIV/0!</v>
      </c>
      <c r="O162" s="695" t="e">
        <f t="shared" ref="O162" si="115">P162-N162</f>
        <v>#DIV/0!</v>
      </c>
      <c r="P162" s="719"/>
      <c r="Q162" s="694" t="e">
        <f>S162*$Q$161/$S$161</f>
        <v>#DIV/0!</v>
      </c>
      <c r="R162" s="695" t="e">
        <f t="shared" ref="R162" si="116">S162-Q162</f>
        <v>#DIV/0!</v>
      </c>
      <c r="S162" s="719"/>
    </row>
    <row r="163" spans="3:19" ht="15.75" hidden="1" outlineLevel="1">
      <c r="C163" s="717" t="str">
        <f t="shared" ref="C163:C169" si="117">C154</f>
        <v>ПАО "ТГК-1"</v>
      </c>
      <c r="D163" s="718" t="s">
        <v>13</v>
      </c>
      <c r="E163" s="694" t="e">
        <f t="shared" ref="E163:E168" si="118">G163*$E$161/$G$161</f>
        <v>#DIV/0!</v>
      </c>
      <c r="F163" s="695" t="e">
        <f t="shared" ref="F163:F168" si="119">G163-E163</f>
        <v>#DIV/0!</v>
      </c>
      <c r="G163" s="719"/>
      <c r="H163" s="694" t="e">
        <f t="shared" ref="H163:H168" si="120">J163*$H$161/$J$161</f>
        <v>#DIV/0!</v>
      </c>
      <c r="I163" s="695" t="e">
        <f t="shared" si="113"/>
        <v>#DIV/0!</v>
      </c>
      <c r="J163" s="719"/>
      <c r="K163" s="694" t="e">
        <f t="shared" ref="K163:K168" si="121">M163*$K$161/$M$161</f>
        <v>#DIV/0!</v>
      </c>
      <c r="L163" s="695" t="e">
        <f t="shared" si="113"/>
        <v>#DIV/0!</v>
      </c>
      <c r="M163" s="719"/>
      <c r="N163" s="694" t="e">
        <f t="shared" ref="N163:N168" si="122">P163*$N$161/$P$161</f>
        <v>#DIV/0!</v>
      </c>
      <c r="O163" s="695" t="e">
        <f t="shared" si="113"/>
        <v>#DIV/0!</v>
      </c>
      <c r="P163" s="719"/>
      <c r="Q163" s="694" t="e">
        <f t="shared" ref="Q163:Q168" si="123">S163*$Q$161/$S$161</f>
        <v>#DIV/0!</v>
      </c>
      <c r="R163" s="695" t="e">
        <f t="shared" si="113"/>
        <v>#DIV/0!</v>
      </c>
      <c r="S163" s="719"/>
    </row>
    <row r="164" spans="3:19" ht="15.75" hidden="1" outlineLevel="1">
      <c r="C164" s="717" t="str">
        <f t="shared" si="117"/>
        <v>ООО "Петербургтеплоэнерго"</v>
      </c>
      <c r="D164" s="718" t="s">
        <v>13</v>
      </c>
      <c r="E164" s="694" t="e">
        <f t="shared" si="118"/>
        <v>#DIV/0!</v>
      </c>
      <c r="F164" s="695" t="e">
        <f t="shared" si="119"/>
        <v>#DIV/0!</v>
      </c>
      <c r="G164" s="719"/>
      <c r="H164" s="694" t="e">
        <f t="shared" si="120"/>
        <v>#DIV/0!</v>
      </c>
      <c r="I164" s="695" t="e">
        <f t="shared" si="113"/>
        <v>#DIV/0!</v>
      </c>
      <c r="J164" s="719"/>
      <c r="K164" s="694" t="e">
        <f t="shared" si="121"/>
        <v>#DIV/0!</v>
      </c>
      <c r="L164" s="695" t="e">
        <f t="shared" si="113"/>
        <v>#DIV/0!</v>
      </c>
      <c r="M164" s="719"/>
      <c r="N164" s="694" t="e">
        <f t="shared" si="122"/>
        <v>#DIV/0!</v>
      </c>
      <c r="O164" s="695" t="e">
        <f t="shared" si="113"/>
        <v>#DIV/0!</v>
      </c>
      <c r="P164" s="719"/>
      <c r="Q164" s="694" t="e">
        <f t="shared" si="123"/>
        <v>#DIV/0!</v>
      </c>
      <c r="R164" s="695" t="e">
        <f t="shared" si="113"/>
        <v>#DIV/0!</v>
      </c>
      <c r="S164" s="719"/>
    </row>
    <row r="165" spans="3:19" ht="15.75" hidden="1" outlineLevel="1">
      <c r="C165" s="717" t="str">
        <f t="shared" si="117"/>
        <v>Иные</v>
      </c>
      <c r="D165" s="718" t="s">
        <v>13</v>
      </c>
      <c r="E165" s="694" t="e">
        <f t="shared" si="118"/>
        <v>#DIV/0!</v>
      </c>
      <c r="F165" s="695" t="e">
        <f t="shared" si="119"/>
        <v>#DIV/0!</v>
      </c>
      <c r="G165" s="719"/>
      <c r="H165" s="694" t="e">
        <f t="shared" si="120"/>
        <v>#DIV/0!</v>
      </c>
      <c r="I165" s="695" t="e">
        <f t="shared" si="113"/>
        <v>#DIV/0!</v>
      </c>
      <c r="J165" s="719"/>
      <c r="K165" s="694" t="e">
        <f t="shared" si="121"/>
        <v>#DIV/0!</v>
      </c>
      <c r="L165" s="695" t="e">
        <f t="shared" si="113"/>
        <v>#DIV/0!</v>
      </c>
      <c r="M165" s="719"/>
      <c r="N165" s="694" t="e">
        <f t="shared" si="122"/>
        <v>#DIV/0!</v>
      </c>
      <c r="O165" s="695" t="e">
        <f t="shared" si="113"/>
        <v>#DIV/0!</v>
      </c>
      <c r="P165" s="719"/>
      <c r="Q165" s="694" t="e">
        <f t="shared" si="123"/>
        <v>#DIV/0!</v>
      </c>
      <c r="R165" s="695" t="e">
        <f t="shared" si="113"/>
        <v>#DIV/0!</v>
      </c>
      <c r="S165" s="719"/>
    </row>
    <row r="166" spans="3:19" ht="15.75" hidden="1" outlineLevel="1">
      <c r="C166" s="717" t="str">
        <f t="shared" si="117"/>
        <v>Иные</v>
      </c>
      <c r="D166" s="718" t="s">
        <v>13</v>
      </c>
      <c r="E166" s="694" t="e">
        <f t="shared" si="118"/>
        <v>#DIV/0!</v>
      </c>
      <c r="F166" s="695" t="e">
        <f t="shared" si="119"/>
        <v>#DIV/0!</v>
      </c>
      <c r="G166" s="719"/>
      <c r="H166" s="694" t="e">
        <f t="shared" si="120"/>
        <v>#DIV/0!</v>
      </c>
      <c r="I166" s="695" t="e">
        <f t="shared" si="113"/>
        <v>#DIV/0!</v>
      </c>
      <c r="J166" s="719"/>
      <c r="K166" s="694" t="e">
        <f t="shared" si="121"/>
        <v>#DIV/0!</v>
      </c>
      <c r="L166" s="695" t="e">
        <f t="shared" si="113"/>
        <v>#DIV/0!</v>
      </c>
      <c r="M166" s="719"/>
      <c r="N166" s="694" t="e">
        <f t="shared" si="122"/>
        <v>#DIV/0!</v>
      </c>
      <c r="O166" s="695" t="e">
        <f t="shared" si="113"/>
        <v>#DIV/0!</v>
      </c>
      <c r="P166" s="719"/>
      <c r="Q166" s="694" t="e">
        <f t="shared" si="123"/>
        <v>#DIV/0!</v>
      </c>
      <c r="R166" s="695" t="e">
        <f t="shared" si="113"/>
        <v>#DIV/0!</v>
      </c>
      <c r="S166" s="719"/>
    </row>
    <row r="167" spans="3:19" ht="15.75" hidden="1" outlineLevel="1">
      <c r="C167" s="717" t="str">
        <f t="shared" si="117"/>
        <v>Иные</v>
      </c>
      <c r="D167" s="718" t="s">
        <v>13</v>
      </c>
      <c r="E167" s="694" t="e">
        <f t="shared" si="118"/>
        <v>#DIV/0!</v>
      </c>
      <c r="F167" s="695" t="e">
        <f t="shared" si="119"/>
        <v>#DIV/0!</v>
      </c>
      <c r="G167" s="719"/>
      <c r="H167" s="694" t="e">
        <f t="shared" si="120"/>
        <v>#DIV/0!</v>
      </c>
      <c r="I167" s="695" t="e">
        <f t="shared" si="113"/>
        <v>#DIV/0!</v>
      </c>
      <c r="J167" s="719"/>
      <c r="K167" s="694" t="e">
        <f t="shared" si="121"/>
        <v>#DIV/0!</v>
      </c>
      <c r="L167" s="695" t="e">
        <f t="shared" si="113"/>
        <v>#DIV/0!</v>
      </c>
      <c r="M167" s="719"/>
      <c r="N167" s="694" t="e">
        <f t="shared" si="122"/>
        <v>#DIV/0!</v>
      </c>
      <c r="O167" s="695" t="e">
        <f t="shared" si="113"/>
        <v>#DIV/0!</v>
      </c>
      <c r="P167" s="719"/>
      <c r="Q167" s="694" t="e">
        <f t="shared" si="123"/>
        <v>#DIV/0!</v>
      </c>
      <c r="R167" s="695" t="e">
        <f t="shared" si="113"/>
        <v>#DIV/0!</v>
      </c>
      <c r="S167" s="719"/>
    </row>
    <row r="168" spans="3:19" ht="15.75" hidden="1" outlineLevel="1">
      <c r="C168" s="717" t="str">
        <f t="shared" si="117"/>
        <v>Иные</v>
      </c>
      <c r="D168" s="718" t="s">
        <v>13</v>
      </c>
      <c r="E168" s="694" t="e">
        <f t="shared" si="118"/>
        <v>#DIV/0!</v>
      </c>
      <c r="F168" s="695" t="e">
        <f t="shared" si="119"/>
        <v>#DIV/0!</v>
      </c>
      <c r="G168" s="719"/>
      <c r="H168" s="694" t="e">
        <f t="shared" si="120"/>
        <v>#DIV/0!</v>
      </c>
      <c r="I168" s="695" t="e">
        <f t="shared" si="113"/>
        <v>#DIV/0!</v>
      </c>
      <c r="J168" s="719"/>
      <c r="K168" s="694" t="e">
        <f t="shared" si="121"/>
        <v>#DIV/0!</v>
      </c>
      <c r="L168" s="695" t="e">
        <f t="shared" si="113"/>
        <v>#DIV/0!</v>
      </c>
      <c r="M168" s="719"/>
      <c r="N168" s="694" t="e">
        <f t="shared" si="122"/>
        <v>#DIV/0!</v>
      </c>
      <c r="O168" s="695" t="e">
        <f t="shared" si="113"/>
        <v>#DIV/0!</v>
      </c>
      <c r="P168" s="719"/>
      <c r="Q168" s="694" t="e">
        <f t="shared" si="123"/>
        <v>#DIV/0!</v>
      </c>
      <c r="R168" s="695" t="e">
        <f t="shared" si="113"/>
        <v>#DIV/0!</v>
      </c>
      <c r="S168" s="719"/>
    </row>
    <row r="169" spans="3:19" ht="16.5" hidden="1" outlineLevel="1" thickBot="1">
      <c r="C169" s="717" t="str">
        <f t="shared" si="117"/>
        <v>Иные</v>
      </c>
      <c r="D169" s="718" t="s">
        <v>13</v>
      </c>
      <c r="E169" s="709" t="e">
        <f>G169*$E$161/$G$161</f>
        <v>#DIV/0!</v>
      </c>
      <c r="F169" s="710" t="e">
        <f>G169-E169</f>
        <v>#DIV/0!</v>
      </c>
      <c r="G169" s="737"/>
      <c r="H169" s="709" t="e">
        <f>J169*$H$161/$J$161</f>
        <v>#DIV/0!</v>
      </c>
      <c r="I169" s="710" t="e">
        <f t="shared" ref="I169" si="124">J169-H169</f>
        <v>#DIV/0!</v>
      </c>
      <c r="J169" s="737"/>
      <c r="K169" s="709" t="e">
        <f>M169*$K$161/$M$161</f>
        <v>#DIV/0!</v>
      </c>
      <c r="L169" s="710" t="e">
        <f t="shared" ref="L169" si="125">M169-K169</f>
        <v>#DIV/0!</v>
      </c>
      <c r="M169" s="737"/>
      <c r="N169" s="709" t="e">
        <f>P169*$N$161/$P$161</f>
        <v>#DIV/0!</v>
      </c>
      <c r="O169" s="710" t="e">
        <f t="shared" ref="O169" si="126">P169-N169</f>
        <v>#DIV/0!</v>
      </c>
      <c r="P169" s="737"/>
      <c r="Q169" s="709" t="e">
        <f>S169*$Q$161/$S$161</f>
        <v>#DIV/0!</v>
      </c>
      <c r="R169" s="710" t="e">
        <f t="shared" ref="R169" si="127">S169-Q169</f>
        <v>#DIV/0!</v>
      </c>
      <c r="S169" s="737"/>
    </row>
    <row r="170" spans="3:19" hidden="1"/>
    <row r="171" spans="3:19" ht="13.5" hidden="1" thickBot="1"/>
    <row r="172" spans="3:19" hidden="1">
      <c r="C172" s="577"/>
      <c r="D172" s="669"/>
      <c r="E172" s="1576" t="s">
        <v>197</v>
      </c>
      <c r="F172" s="1577"/>
      <c r="G172" s="1578"/>
      <c r="H172" s="1576" t="s">
        <v>200</v>
      </c>
      <c r="I172" s="1577"/>
      <c r="J172" s="1578"/>
      <c r="K172" s="1576" t="s">
        <v>203</v>
      </c>
      <c r="L172" s="1577"/>
      <c r="M172" s="1578"/>
      <c r="N172" s="1576" t="s">
        <v>241</v>
      </c>
      <c r="O172" s="1577"/>
      <c r="P172" s="1578"/>
      <c r="Q172" s="1576" t="s">
        <v>262</v>
      </c>
      <c r="R172" s="1577"/>
      <c r="S172" s="1578"/>
    </row>
    <row r="173" spans="3:19" ht="25.5" hidden="1">
      <c r="C173" s="577"/>
      <c r="D173" s="578"/>
      <c r="E173" s="641" t="s">
        <v>198</v>
      </c>
      <c r="F173" s="642" t="s">
        <v>199</v>
      </c>
      <c r="G173" s="643" t="s">
        <v>36</v>
      </c>
      <c r="H173" s="641" t="s">
        <v>201</v>
      </c>
      <c r="I173" s="642" t="s">
        <v>202</v>
      </c>
      <c r="J173" s="643" t="s">
        <v>36</v>
      </c>
      <c r="K173" s="641" t="s">
        <v>204</v>
      </c>
      <c r="L173" s="642" t="s">
        <v>205</v>
      </c>
      <c r="M173" s="643" t="s">
        <v>36</v>
      </c>
      <c r="N173" s="641" t="s">
        <v>242</v>
      </c>
      <c r="O173" s="642" t="s">
        <v>243</v>
      </c>
      <c r="P173" s="643" t="s">
        <v>36</v>
      </c>
      <c r="Q173" s="641" t="s">
        <v>263</v>
      </c>
      <c r="R173" s="642" t="s">
        <v>264</v>
      </c>
      <c r="S173" s="643" t="s">
        <v>36</v>
      </c>
    </row>
    <row r="174" spans="3:19" ht="15.75" hidden="1">
      <c r="C174" s="705" t="s">
        <v>436</v>
      </c>
      <c r="D174" s="688" t="s">
        <v>432</v>
      </c>
      <c r="E174" s="641" t="e">
        <f>G174*E87/G87</f>
        <v>#DIV/0!</v>
      </c>
      <c r="F174" s="642" t="e">
        <f>G174-E174</f>
        <v>#DIV/0!</v>
      </c>
      <c r="G174" s="719"/>
      <c r="H174" s="641" t="e">
        <f>J174*H87/J87</f>
        <v>#DIV/0!</v>
      </c>
      <c r="I174" s="642" t="e">
        <f t="shared" ref="I174" si="128">J174-H174</f>
        <v>#DIV/0!</v>
      </c>
      <c r="J174" s="719"/>
      <c r="K174" s="641" t="e">
        <f>M174*K87/M87</f>
        <v>#DIV/0!</v>
      </c>
      <c r="L174" s="642" t="e">
        <f t="shared" ref="L174" si="129">M174-K174</f>
        <v>#DIV/0!</v>
      </c>
      <c r="M174" s="719"/>
      <c r="N174" s="641" t="e">
        <f>P174*N87/P87</f>
        <v>#DIV/0!</v>
      </c>
      <c r="O174" s="642" t="e">
        <f t="shared" ref="O174" si="130">P174-N174</f>
        <v>#DIV/0!</v>
      </c>
      <c r="P174" s="719"/>
      <c r="Q174" s="641" t="e">
        <f>S174*Q87/S87</f>
        <v>#DIV/0!</v>
      </c>
      <c r="R174" s="642" t="e">
        <f t="shared" ref="R174" si="131">S174-Q174</f>
        <v>#DIV/0!</v>
      </c>
      <c r="S174" s="719"/>
    </row>
    <row r="175" spans="3:19" ht="15.75" hidden="1" outlineLevel="1">
      <c r="C175" s="717" t="str">
        <f>E60</f>
        <v>ГУП "ТЭК СПб"</v>
      </c>
      <c r="D175" s="718" t="s">
        <v>432</v>
      </c>
      <c r="E175" s="694" t="e">
        <f t="shared" ref="E175:E182" si="132">G175*$E$174/$G$174</f>
        <v>#DIV/0!</v>
      </c>
      <c r="F175" s="695" t="e">
        <f>G175-E175</f>
        <v>#DIV/0!</v>
      </c>
      <c r="G175" s="719"/>
      <c r="H175" s="694" t="e">
        <f t="shared" ref="H175:H182" si="133">J175*$H$174/$J$174</f>
        <v>#DIV/0!</v>
      </c>
      <c r="I175" s="695" t="e">
        <f t="shared" ref="I175:R182" si="134">J175-H175</f>
        <v>#DIV/0!</v>
      </c>
      <c r="J175" s="719"/>
      <c r="K175" s="694" t="e">
        <f t="shared" ref="K175:K182" si="135">M175*$K$174/$M$174</f>
        <v>#DIV/0!</v>
      </c>
      <c r="L175" s="695" t="e">
        <f t="shared" ref="L175" si="136">M175-K175</f>
        <v>#DIV/0!</v>
      </c>
      <c r="M175" s="719"/>
      <c r="N175" s="694" t="e">
        <f t="shared" ref="N175:N182" si="137">P175*$N$174/$P$174</f>
        <v>#DIV/0!</v>
      </c>
      <c r="O175" s="695" t="e">
        <f t="shared" ref="O175" si="138">P175-N175</f>
        <v>#DIV/0!</v>
      </c>
      <c r="P175" s="719"/>
      <c r="Q175" s="694" t="e">
        <f t="shared" ref="Q175:Q182" si="139">S175*$Q$174/$S$174</f>
        <v>#DIV/0!</v>
      </c>
      <c r="R175" s="695" t="e">
        <f t="shared" ref="R175" si="140">S175-Q175</f>
        <v>#DIV/0!</v>
      </c>
      <c r="S175" s="719"/>
    </row>
    <row r="176" spans="3:19" ht="15.75" hidden="1" outlineLevel="1">
      <c r="C176" s="717" t="str">
        <f>F60</f>
        <v>ПАО "ТГК-1"</v>
      </c>
      <c r="D176" s="718" t="s">
        <v>432</v>
      </c>
      <c r="E176" s="694" t="e">
        <f t="shared" si="132"/>
        <v>#DIV/0!</v>
      </c>
      <c r="F176" s="695" t="e">
        <f t="shared" ref="F176:F182" si="141">G176-E176</f>
        <v>#DIV/0!</v>
      </c>
      <c r="G176" s="719"/>
      <c r="H176" s="694" t="e">
        <f t="shared" si="133"/>
        <v>#DIV/0!</v>
      </c>
      <c r="I176" s="695" t="e">
        <f t="shared" si="134"/>
        <v>#DIV/0!</v>
      </c>
      <c r="J176" s="719"/>
      <c r="K176" s="694" t="e">
        <f t="shared" si="135"/>
        <v>#DIV/0!</v>
      </c>
      <c r="L176" s="695" t="e">
        <f t="shared" si="134"/>
        <v>#DIV/0!</v>
      </c>
      <c r="M176" s="719"/>
      <c r="N176" s="694" t="e">
        <f t="shared" si="137"/>
        <v>#DIV/0!</v>
      </c>
      <c r="O176" s="695" t="e">
        <f t="shared" si="134"/>
        <v>#DIV/0!</v>
      </c>
      <c r="P176" s="719"/>
      <c r="Q176" s="694" t="e">
        <f t="shared" si="139"/>
        <v>#DIV/0!</v>
      </c>
      <c r="R176" s="695" t="e">
        <f t="shared" si="134"/>
        <v>#DIV/0!</v>
      </c>
      <c r="S176" s="719"/>
    </row>
    <row r="177" spans="3:19" ht="15.75" hidden="1" outlineLevel="1">
      <c r="C177" s="717" t="str">
        <f>G60</f>
        <v>ООО "Петербургтеплоэнерго"</v>
      </c>
      <c r="D177" s="718" t="s">
        <v>432</v>
      </c>
      <c r="E177" s="694" t="e">
        <f t="shared" si="132"/>
        <v>#DIV/0!</v>
      </c>
      <c r="F177" s="695" t="e">
        <f t="shared" si="141"/>
        <v>#DIV/0!</v>
      </c>
      <c r="G177" s="719"/>
      <c r="H177" s="694" t="e">
        <f t="shared" si="133"/>
        <v>#DIV/0!</v>
      </c>
      <c r="I177" s="695" t="e">
        <f t="shared" si="134"/>
        <v>#DIV/0!</v>
      </c>
      <c r="J177" s="719"/>
      <c r="K177" s="694" t="e">
        <f t="shared" si="135"/>
        <v>#DIV/0!</v>
      </c>
      <c r="L177" s="695" t="e">
        <f t="shared" si="134"/>
        <v>#DIV/0!</v>
      </c>
      <c r="M177" s="719"/>
      <c r="N177" s="694" t="e">
        <f t="shared" si="137"/>
        <v>#DIV/0!</v>
      </c>
      <c r="O177" s="695" t="e">
        <f t="shared" si="134"/>
        <v>#DIV/0!</v>
      </c>
      <c r="P177" s="719"/>
      <c r="Q177" s="694" t="e">
        <f t="shared" si="139"/>
        <v>#DIV/0!</v>
      </c>
      <c r="R177" s="695" t="e">
        <f t="shared" si="134"/>
        <v>#DIV/0!</v>
      </c>
      <c r="S177" s="719"/>
    </row>
    <row r="178" spans="3:19" ht="15.75" hidden="1" outlineLevel="1">
      <c r="C178" s="717" t="str">
        <f>H60</f>
        <v>Иные</v>
      </c>
      <c r="D178" s="718" t="s">
        <v>432</v>
      </c>
      <c r="E178" s="694" t="e">
        <f t="shared" si="132"/>
        <v>#DIV/0!</v>
      </c>
      <c r="F178" s="695" t="e">
        <f t="shared" si="141"/>
        <v>#DIV/0!</v>
      </c>
      <c r="G178" s="719"/>
      <c r="H178" s="694" t="e">
        <f t="shared" si="133"/>
        <v>#DIV/0!</v>
      </c>
      <c r="I178" s="695" t="e">
        <f t="shared" si="134"/>
        <v>#DIV/0!</v>
      </c>
      <c r="J178" s="719"/>
      <c r="K178" s="694" t="e">
        <f t="shared" si="135"/>
        <v>#DIV/0!</v>
      </c>
      <c r="L178" s="695" t="e">
        <f t="shared" si="134"/>
        <v>#DIV/0!</v>
      </c>
      <c r="M178" s="719"/>
      <c r="N178" s="694" t="e">
        <f t="shared" si="137"/>
        <v>#DIV/0!</v>
      </c>
      <c r="O178" s="695" t="e">
        <f t="shared" si="134"/>
        <v>#DIV/0!</v>
      </c>
      <c r="P178" s="719"/>
      <c r="Q178" s="694" t="e">
        <f t="shared" si="139"/>
        <v>#DIV/0!</v>
      </c>
      <c r="R178" s="695" t="e">
        <f t="shared" si="134"/>
        <v>#DIV/0!</v>
      </c>
      <c r="S178" s="719"/>
    </row>
    <row r="179" spans="3:19" ht="15.75" hidden="1" outlineLevel="1">
      <c r="C179" s="717" t="str">
        <f>I60</f>
        <v>Иные</v>
      </c>
      <c r="D179" s="718" t="s">
        <v>432</v>
      </c>
      <c r="E179" s="694" t="e">
        <f t="shared" si="132"/>
        <v>#DIV/0!</v>
      </c>
      <c r="F179" s="695" t="e">
        <f t="shared" si="141"/>
        <v>#DIV/0!</v>
      </c>
      <c r="G179" s="719"/>
      <c r="H179" s="694" t="e">
        <f t="shared" si="133"/>
        <v>#DIV/0!</v>
      </c>
      <c r="I179" s="695" t="e">
        <f t="shared" si="134"/>
        <v>#DIV/0!</v>
      </c>
      <c r="J179" s="719"/>
      <c r="K179" s="694" t="e">
        <f t="shared" si="135"/>
        <v>#DIV/0!</v>
      </c>
      <c r="L179" s="695" t="e">
        <f t="shared" si="134"/>
        <v>#DIV/0!</v>
      </c>
      <c r="M179" s="719"/>
      <c r="N179" s="694" t="e">
        <f t="shared" si="137"/>
        <v>#DIV/0!</v>
      </c>
      <c r="O179" s="695" t="e">
        <f t="shared" si="134"/>
        <v>#DIV/0!</v>
      </c>
      <c r="P179" s="719"/>
      <c r="Q179" s="694" t="e">
        <f t="shared" si="139"/>
        <v>#DIV/0!</v>
      </c>
      <c r="R179" s="695" t="e">
        <f t="shared" si="134"/>
        <v>#DIV/0!</v>
      </c>
      <c r="S179" s="719"/>
    </row>
    <row r="180" spans="3:19" ht="15.75" hidden="1" outlineLevel="1">
      <c r="C180" s="717" t="str">
        <f>J60</f>
        <v>Иные</v>
      </c>
      <c r="D180" s="718" t="s">
        <v>432</v>
      </c>
      <c r="E180" s="694" t="e">
        <f t="shared" si="132"/>
        <v>#DIV/0!</v>
      </c>
      <c r="F180" s="695" t="e">
        <f t="shared" si="141"/>
        <v>#DIV/0!</v>
      </c>
      <c r="G180" s="719"/>
      <c r="H180" s="694" t="e">
        <f t="shared" si="133"/>
        <v>#DIV/0!</v>
      </c>
      <c r="I180" s="695" t="e">
        <f t="shared" si="134"/>
        <v>#DIV/0!</v>
      </c>
      <c r="J180" s="719"/>
      <c r="K180" s="694" t="e">
        <f t="shared" si="135"/>
        <v>#DIV/0!</v>
      </c>
      <c r="L180" s="695" t="e">
        <f t="shared" si="134"/>
        <v>#DIV/0!</v>
      </c>
      <c r="M180" s="719"/>
      <c r="N180" s="694" t="e">
        <f t="shared" si="137"/>
        <v>#DIV/0!</v>
      </c>
      <c r="O180" s="695" t="e">
        <f t="shared" si="134"/>
        <v>#DIV/0!</v>
      </c>
      <c r="P180" s="719"/>
      <c r="Q180" s="694" t="e">
        <f t="shared" si="139"/>
        <v>#DIV/0!</v>
      </c>
      <c r="R180" s="695" t="e">
        <f t="shared" si="134"/>
        <v>#DIV/0!</v>
      </c>
      <c r="S180" s="719"/>
    </row>
    <row r="181" spans="3:19" ht="15.75" hidden="1" outlineLevel="1">
      <c r="C181" s="717" t="str">
        <f>K60</f>
        <v>Иные</v>
      </c>
      <c r="D181" s="718" t="s">
        <v>432</v>
      </c>
      <c r="E181" s="694" t="e">
        <f t="shared" si="132"/>
        <v>#DIV/0!</v>
      </c>
      <c r="F181" s="695" t="e">
        <f t="shared" si="141"/>
        <v>#DIV/0!</v>
      </c>
      <c r="G181" s="719"/>
      <c r="H181" s="694" t="e">
        <f t="shared" si="133"/>
        <v>#DIV/0!</v>
      </c>
      <c r="I181" s="695" t="e">
        <f t="shared" si="134"/>
        <v>#DIV/0!</v>
      </c>
      <c r="J181" s="719"/>
      <c r="K181" s="694" t="e">
        <f t="shared" si="135"/>
        <v>#DIV/0!</v>
      </c>
      <c r="L181" s="695" t="e">
        <f t="shared" si="134"/>
        <v>#DIV/0!</v>
      </c>
      <c r="M181" s="719"/>
      <c r="N181" s="694" t="e">
        <f t="shared" si="137"/>
        <v>#DIV/0!</v>
      </c>
      <c r="O181" s="695" t="e">
        <f t="shared" si="134"/>
        <v>#DIV/0!</v>
      </c>
      <c r="P181" s="719"/>
      <c r="Q181" s="694" t="e">
        <f t="shared" si="139"/>
        <v>#DIV/0!</v>
      </c>
      <c r="R181" s="695" t="e">
        <f t="shared" si="134"/>
        <v>#DIV/0!</v>
      </c>
      <c r="S181" s="719"/>
    </row>
    <row r="182" spans="3:19" ht="16.5" hidden="1" outlineLevel="1" thickBot="1">
      <c r="C182" s="717" t="str">
        <f>L60</f>
        <v>Иные</v>
      </c>
      <c r="D182" s="718" t="s">
        <v>432</v>
      </c>
      <c r="E182" s="709" t="e">
        <f t="shared" si="132"/>
        <v>#DIV/0!</v>
      </c>
      <c r="F182" s="710" t="e">
        <f t="shared" si="141"/>
        <v>#DIV/0!</v>
      </c>
      <c r="G182" s="737"/>
      <c r="H182" s="709" t="e">
        <f t="shared" si="133"/>
        <v>#DIV/0!</v>
      </c>
      <c r="I182" s="710" t="e">
        <f t="shared" si="134"/>
        <v>#DIV/0!</v>
      </c>
      <c r="J182" s="737"/>
      <c r="K182" s="709" t="e">
        <f t="shared" si="135"/>
        <v>#DIV/0!</v>
      </c>
      <c r="L182" s="710" t="e">
        <f t="shared" si="134"/>
        <v>#DIV/0!</v>
      </c>
      <c r="M182" s="737"/>
      <c r="N182" s="709" t="e">
        <f t="shared" si="137"/>
        <v>#DIV/0!</v>
      </c>
      <c r="O182" s="710" t="e">
        <f t="shared" si="134"/>
        <v>#DIV/0!</v>
      </c>
      <c r="P182" s="737"/>
      <c r="Q182" s="709" t="e">
        <f t="shared" si="139"/>
        <v>#DIV/0!</v>
      </c>
      <c r="R182" s="710" t="e">
        <f>S182-Q182</f>
        <v>#DIV/0!</v>
      </c>
      <c r="S182" s="737"/>
    </row>
    <row r="183" spans="3:19" hidden="1"/>
  </sheetData>
  <mergeCells count="39">
    <mergeCell ref="E172:G172"/>
    <mergeCell ref="H172:J172"/>
    <mergeCell ref="K172:M172"/>
    <mergeCell ref="N172:P172"/>
    <mergeCell ref="Q172:S172"/>
    <mergeCell ref="E149:G149"/>
    <mergeCell ref="H149:J149"/>
    <mergeCell ref="K149:M149"/>
    <mergeCell ref="N149:P149"/>
    <mergeCell ref="Q149:S149"/>
    <mergeCell ref="Q133:S133"/>
    <mergeCell ref="Q144:S144"/>
    <mergeCell ref="E133:G133"/>
    <mergeCell ref="H133:J133"/>
    <mergeCell ref="K133:M133"/>
    <mergeCell ref="N133:P133"/>
    <mergeCell ref="E144:G144"/>
    <mergeCell ref="H144:J144"/>
    <mergeCell ref="K144:M144"/>
    <mergeCell ref="N144:P144"/>
    <mergeCell ref="Q98:S98"/>
    <mergeCell ref="Q127:S127"/>
    <mergeCell ref="E98:G98"/>
    <mergeCell ref="H98:J98"/>
    <mergeCell ref="K98:M98"/>
    <mergeCell ref="N98:P98"/>
    <mergeCell ref="E127:G127"/>
    <mergeCell ref="H127:J127"/>
    <mergeCell ref="K127:M127"/>
    <mergeCell ref="N127:P127"/>
    <mergeCell ref="L23:O23"/>
    <mergeCell ref="C76:V76"/>
    <mergeCell ref="E78:G78"/>
    <mergeCell ref="H78:J78"/>
    <mergeCell ref="K78:M78"/>
    <mergeCell ref="N78:P78"/>
    <mergeCell ref="Q78:S78"/>
    <mergeCell ref="E48:F48"/>
    <mergeCell ref="E59:L59"/>
  </mergeCells>
  <pageMargins left="0.70866141732283472" right="0.70866141732283472" top="0.74803149606299213" bottom="0.74803149606299213" header="0.31496062992125984" footer="0.31496062992125984"/>
  <pageSetup paperSize="9" scale="23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Лист1!$A$1:$A$26</xm:f>
          </x14:formula1>
          <xm:sqref>F49</xm:sqref>
        </x14:dataValidation>
        <x14:dataValidation type="list" allowBlank="1" showInputMessage="1" showErrorMessage="1">
          <x14:formula1>
            <xm:f>Лист1!$A$28:$A$70</xm:f>
          </x14:formula1>
          <xm:sqref>H60:L60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22"/>
  <sheetViews>
    <sheetView workbookViewId="0">
      <selection activeCell="Q6" sqref="Q6"/>
    </sheetView>
  </sheetViews>
  <sheetFormatPr defaultRowHeight="15"/>
  <cols>
    <col min="1" max="1" width="4.625" style="1258" customWidth="1"/>
    <col min="2" max="2" width="22.75" style="1259" customWidth="1"/>
    <col min="3" max="3" width="8.75" style="1259" customWidth="1"/>
    <col min="4" max="4" width="11.75" style="1259" customWidth="1"/>
    <col min="5" max="5" width="11.875" style="1259" customWidth="1"/>
    <col min="6" max="6" width="10.75" style="1259" hidden="1" customWidth="1"/>
    <col min="7" max="8" width="13.375" style="1259" customWidth="1"/>
    <col min="9" max="10" width="14.625" style="1259" customWidth="1"/>
    <col min="11" max="11" width="13.625" style="1259" customWidth="1"/>
    <col min="12" max="12" width="15.625" style="1259" customWidth="1"/>
    <col min="13" max="13" width="11.375" style="1259" customWidth="1"/>
    <col min="14" max="20" width="13.75" style="1259" customWidth="1"/>
    <col min="21" max="236" width="9" style="1259"/>
    <col min="237" max="237" width="6.75" style="1259" customWidth="1"/>
    <col min="238" max="238" width="57.25" style="1259" customWidth="1"/>
    <col min="239" max="239" width="11.5" style="1259" customWidth="1"/>
    <col min="240" max="240" width="19" style="1259" customWidth="1"/>
    <col min="241" max="262" width="0" style="1259" hidden="1" customWidth="1"/>
    <col min="263" max="263" width="9" style="1259"/>
    <col min="264" max="264" width="8.875" style="1259" bestFit="1" customWidth="1"/>
    <col min="265" max="492" width="9" style="1259"/>
    <col min="493" max="493" width="6.75" style="1259" customWidth="1"/>
    <col min="494" max="494" width="57.25" style="1259" customWidth="1"/>
    <col min="495" max="495" width="11.5" style="1259" customWidth="1"/>
    <col min="496" max="496" width="19" style="1259" customWidth="1"/>
    <col min="497" max="518" width="0" style="1259" hidden="1" customWidth="1"/>
    <col min="519" max="519" width="9" style="1259"/>
    <col min="520" max="520" width="8.875" style="1259" bestFit="1" customWidth="1"/>
    <col min="521" max="748" width="9" style="1259"/>
    <col min="749" max="749" width="6.75" style="1259" customWidth="1"/>
    <col min="750" max="750" width="57.25" style="1259" customWidth="1"/>
    <col min="751" max="751" width="11.5" style="1259" customWidth="1"/>
    <col min="752" max="752" width="19" style="1259" customWidth="1"/>
    <col min="753" max="774" width="0" style="1259" hidden="1" customWidth="1"/>
    <col min="775" max="775" width="9" style="1259"/>
    <col min="776" max="776" width="8.875" style="1259" bestFit="1" customWidth="1"/>
    <col min="777" max="1004" width="9" style="1259"/>
    <col min="1005" max="1005" width="6.75" style="1259" customWidth="1"/>
    <col min="1006" max="1006" width="57.25" style="1259" customWidth="1"/>
    <col min="1007" max="1007" width="11.5" style="1259" customWidth="1"/>
    <col min="1008" max="1008" width="19" style="1259" customWidth="1"/>
    <col min="1009" max="1030" width="0" style="1259" hidden="1" customWidth="1"/>
    <col min="1031" max="1031" width="9" style="1259"/>
    <col min="1032" max="1032" width="8.875" style="1259" bestFit="1" customWidth="1"/>
    <col min="1033" max="1260" width="9" style="1259"/>
    <col min="1261" max="1261" width="6.75" style="1259" customWidth="1"/>
    <col min="1262" max="1262" width="57.25" style="1259" customWidth="1"/>
    <col min="1263" max="1263" width="11.5" style="1259" customWidth="1"/>
    <col min="1264" max="1264" width="19" style="1259" customWidth="1"/>
    <col min="1265" max="1286" width="0" style="1259" hidden="1" customWidth="1"/>
    <col min="1287" max="1287" width="9" style="1259"/>
    <col min="1288" max="1288" width="8.875" style="1259" bestFit="1" customWidth="1"/>
    <col min="1289" max="1516" width="9" style="1259"/>
    <col min="1517" max="1517" width="6.75" style="1259" customWidth="1"/>
    <col min="1518" max="1518" width="57.25" style="1259" customWidth="1"/>
    <col min="1519" max="1519" width="11.5" style="1259" customWidth="1"/>
    <col min="1520" max="1520" width="19" style="1259" customWidth="1"/>
    <col min="1521" max="1542" width="0" style="1259" hidden="1" customWidth="1"/>
    <col min="1543" max="1543" width="9" style="1259"/>
    <col min="1544" max="1544" width="8.875" style="1259" bestFit="1" customWidth="1"/>
    <col min="1545" max="1772" width="9" style="1259"/>
    <col min="1773" max="1773" width="6.75" style="1259" customWidth="1"/>
    <col min="1774" max="1774" width="57.25" style="1259" customWidth="1"/>
    <col min="1775" max="1775" width="11.5" style="1259" customWidth="1"/>
    <col min="1776" max="1776" width="19" style="1259" customWidth="1"/>
    <col min="1777" max="1798" width="0" style="1259" hidden="1" customWidth="1"/>
    <col min="1799" max="1799" width="9" style="1259"/>
    <col min="1800" max="1800" width="8.875" style="1259" bestFit="1" customWidth="1"/>
    <col min="1801" max="2028" width="9" style="1259"/>
    <col min="2029" max="2029" width="6.75" style="1259" customWidth="1"/>
    <col min="2030" max="2030" width="57.25" style="1259" customWidth="1"/>
    <col min="2031" max="2031" width="11.5" style="1259" customWidth="1"/>
    <col min="2032" max="2032" width="19" style="1259" customWidth="1"/>
    <col min="2033" max="2054" width="0" style="1259" hidden="1" customWidth="1"/>
    <col min="2055" max="2055" width="9" style="1259"/>
    <col min="2056" max="2056" width="8.875" style="1259" bestFit="1" customWidth="1"/>
    <col min="2057" max="2284" width="9" style="1259"/>
    <col min="2285" max="2285" width="6.75" style="1259" customWidth="1"/>
    <col min="2286" max="2286" width="57.25" style="1259" customWidth="1"/>
    <col min="2287" max="2287" width="11.5" style="1259" customWidth="1"/>
    <col min="2288" max="2288" width="19" style="1259" customWidth="1"/>
    <col min="2289" max="2310" width="0" style="1259" hidden="1" customWidth="1"/>
    <col min="2311" max="2311" width="9" style="1259"/>
    <col min="2312" max="2312" width="8.875" style="1259" bestFit="1" customWidth="1"/>
    <col min="2313" max="2540" width="9" style="1259"/>
    <col min="2541" max="2541" width="6.75" style="1259" customWidth="1"/>
    <col min="2542" max="2542" width="57.25" style="1259" customWidth="1"/>
    <col min="2543" max="2543" width="11.5" style="1259" customWidth="1"/>
    <col min="2544" max="2544" width="19" style="1259" customWidth="1"/>
    <col min="2545" max="2566" width="0" style="1259" hidden="1" customWidth="1"/>
    <col min="2567" max="2567" width="9" style="1259"/>
    <col min="2568" max="2568" width="8.875" style="1259" bestFit="1" customWidth="1"/>
    <col min="2569" max="2796" width="9" style="1259"/>
    <col min="2797" max="2797" width="6.75" style="1259" customWidth="1"/>
    <col min="2798" max="2798" width="57.25" style="1259" customWidth="1"/>
    <col min="2799" max="2799" width="11.5" style="1259" customWidth="1"/>
    <col min="2800" max="2800" width="19" style="1259" customWidth="1"/>
    <col min="2801" max="2822" width="0" style="1259" hidden="1" customWidth="1"/>
    <col min="2823" max="2823" width="9" style="1259"/>
    <col min="2824" max="2824" width="8.875" style="1259" bestFit="1" customWidth="1"/>
    <col min="2825" max="3052" width="9" style="1259"/>
    <col min="3053" max="3053" width="6.75" style="1259" customWidth="1"/>
    <col min="3054" max="3054" width="57.25" style="1259" customWidth="1"/>
    <col min="3055" max="3055" width="11.5" style="1259" customWidth="1"/>
    <col min="3056" max="3056" width="19" style="1259" customWidth="1"/>
    <col min="3057" max="3078" width="0" style="1259" hidden="1" customWidth="1"/>
    <col min="3079" max="3079" width="9" style="1259"/>
    <col min="3080" max="3080" width="8.875" style="1259" bestFit="1" customWidth="1"/>
    <col min="3081" max="3308" width="9" style="1259"/>
    <col min="3309" max="3309" width="6.75" style="1259" customWidth="1"/>
    <col min="3310" max="3310" width="57.25" style="1259" customWidth="1"/>
    <col min="3311" max="3311" width="11.5" style="1259" customWidth="1"/>
    <col min="3312" max="3312" width="19" style="1259" customWidth="1"/>
    <col min="3313" max="3334" width="0" style="1259" hidden="1" customWidth="1"/>
    <col min="3335" max="3335" width="9" style="1259"/>
    <col min="3336" max="3336" width="8.875" style="1259" bestFit="1" customWidth="1"/>
    <col min="3337" max="3564" width="9" style="1259"/>
    <col min="3565" max="3565" width="6.75" style="1259" customWidth="1"/>
    <col min="3566" max="3566" width="57.25" style="1259" customWidth="1"/>
    <col min="3567" max="3567" width="11.5" style="1259" customWidth="1"/>
    <col min="3568" max="3568" width="19" style="1259" customWidth="1"/>
    <col min="3569" max="3590" width="0" style="1259" hidden="1" customWidth="1"/>
    <col min="3591" max="3591" width="9" style="1259"/>
    <col min="3592" max="3592" width="8.875" style="1259" bestFit="1" customWidth="1"/>
    <col min="3593" max="3820" width="9" style="1259"/>
    <col min="3821" max="3821" width="6.75" style="1259" customWidth="1"/>
    <col min="3822" max="3822" width="57.25" style="1259" customWidth="1"/>
    <col min="3823" max="3823" width="11.5" style="1259" customWidth="1"/>
    <col min="3824" max="3824" width="19" style="1259" customWidth="1"/>
    <col min="3825" max="3846" width="0" style="1259" hidden="1" customWidth="1"/>
    <col min="3847" max="3847" width="9" style="1259"/>
    <col min="3848" max="3848" width="8.875" style="1259" bestFit="1" customWidth="1"/>
    <col min="3849" max="4076" width="9" style="1259"/>
    <col min="4077" max="4077" width="6.75" style="1259" customWidth="1"/>
    <col min="4078" max="4078" width="57.25" style="1259" customWidth="1"/>
    <col min="4079" max="4079" width="11.5" style="1259" customWidth="1"/>
    <col min="4080" max="4080" width="19" style="1259" customWidth="1"/>
    <col min="4081" max="4102" width="0" style="1259" hidden="1" customWidth="1"/>
    <col min="4103" max="4103" width="9" style="1259"/>
    <col min="4104" max="4104" width="8.875" style="1259" bestFit="1" customWidth="1"/>
    <col min="4105" max="4332" width="9" style="1259"/>
    <col min="4333" max="4333" width="6.75" style="1259" customWidth="1"/>
    <col min="4334" max="4334" width="57.25" style="1259" customWidth="1"/>
    <col min="4335" max="4335" width="11.5" style="1259" customWidth="1"/>
    <col min="4336" max="4336" width="19" style="1259" customWidth="1"/>
    <col min="4337" max="4358" width="0" style="1259" hidden="1" customWidth="1"/>
    <col min="4359" max="4359" width="9" style="1259"/>
    <col min="4360" max="4360" width="8.875" style="1259" bestFit="1" customWidth="1"/>
    <col min="4361" max="4588" width="9" style="1259"/>
    <col min="4589" max="4589" width="6.75" style="1259" customWidth="1"/>
    <col min="4590" max="4590" width="57.25" style="1259" customWidth="1"/>
    <col min="4591" max="4591" width="11.5" style="1259" customWidth="1"/>
    <col min="4592" max="4592" width="19" style="1259" customWidth="1"/>
    <col min="4593" max="4614" width="0" style="1259" hidden="1" customWidth="1"/>
    <col min="4615" max="4615" width="9" style="1259"/>
    <col min="4616" max="4616" width="8.875" style="1259" bestFit="1" customWidth="1"/>
    <col min="4617" max="4844" width="9" style="1259"/>
    <col min="4845" max="4845" width="6.75" style="1259" customWidth="1"/>
    <col min="4846" max="4846" width="57.25" style="1259" customWidth="1"/>
    <col min="4847" max="4847" width="11.5" style="1259" customWidth="1"/>
    <col min="4848" max="4848" width="19" style="1259" customWidth="1"/>
    <col min="4849" max="4870" width="0" style="1259" hidden="1" customWidth="1"/>
    <col min="4871" max="4871" width="9" style="1259"/>
    <col min="4872" max="4872" width="8.875" style="1259" bestFit="1" customWidth="1"/>
    <col min="4873" max="5100" width="9" style="1259"/>
    <col min="5101" max="5101" width="6.75" style="1259" customWidth="1"/>
    <col min="5102" max="5102" width="57.25" style="1259" customWidth="1"/>
    <col min="5103" max="5103" width="11.5" style="1259" customWidth="1"/>
    <col min="5104" max="5104" width="19" style="1259" customWidth="1"/>
    <col min="5105" max="5126" width="0" style="1259" hidden="1" customWidth="1"/>
    <col min="5127" max="5127" width="9" style="1259"/>
    <col min="5128" max="5128" width="8.875" style="1259" bestFit="1" customWidth="1"/>
    <col min="5129" max="5356" width="9" style="1259"/>
    <col min="5357" max="5357" width="6.75" style="1259" customWidth="1"/>
    <col min="5358" max="5358" width="57.25" style="1259" customWidth="1"/>
    <col min="5359" max="5359" width="11.5" style="1259" customWidth="1"/>
    <col min="5360" max="5360" width="19" style="1259" customWidth="1"/>
    <col min="5361" max="5382" width="0" style="1259" hidden="1" customWidth="1"/>
    <col min="5383" max="5383" width="9" style="1259"/>
    <col min="5384" max="5384" width="8.875" style="1259" bestFit="1" customWidth="1"/>
    <col min="5385" max="5612" width="9" style="1259"/>
    <col min="5613" max="5613" width="6.75" style="1259" customWidth="1"/>
    <col min="5614" max="5614" width="57.25" style="1259" customWidth="1"/>
    <col min="5615" max="5615" width="11.5" style="1259" customWidth="1"/>
    <col min="5616" max="5616" width="19" style="1259" customWidth="1"/>
    <col min="5617" max="5638" width="0" style="1259" hidden="1" customWidth="1"/>
    <col min="5639" max="5639" width="9" style="1259"/>
    <col min="5640" max="5640" width="8.875" style="1259" bestFit="1" customWidth="1"/>
    <col min="5641" max="5868" width="9" style="1259"/>
    <col min="5869" max="5869" width="6.75" style="1259" customWidth="1"/>
    <col min="5870" max="5870" width="57.25" style="1259" customWidth="1"/>
    <col min="5871" max="5871" width="11.5" style="1259" customWidth="1"/>
    <col min="5872" max="5872" width="19" style="1259" customWidth="1"/>
    <col min="5873" max="5894" width="0" style="1259" hidden="1" customWidth="1"/>
    <col min="5895" max="5895" width="9" style="1259"/>
    <col min="5896" max="5896" width="8.875" style="1259" bestFit="1" customWidth="1"/>
    <col min="5897" max="6124" width="9" style="1259"/>
    <col min="6125" max="6125" width="6.75" style="1259" customWidth="1"/>
    <col min="6126" max="6126" width="57.25" style="1259" customWidth="1"/>
    <col min="6127" max="6127" width="11.5" style="1259" customWidth="1"/>
    <col min="6128" max="6128" width="19" style="1259" customWidth="1"/>
    <col min="6129" max="6150" width="0" style="1259" hidden="1" customWidth="1"/>
    <col min="6151" max="6151" width="9" style="1259"/>
    <col min="6152" max="6152" width="8.875" style="1259" bestFit="1" customWidth="1"/>
    <col min="6153" max="6380" width="9" style="1259"/>
    <col min="6381" max="6381" width="6.75" style="1259" customWidth="1"/>
    <col min="6382" max="6382" width="57.25" style="1259" customWidth="1"/>
    <col min="6383" max="6383" width="11.5" style="1259" customWidth="1"/>
    <col min="6384" max="6384" width="19" style="1259" customWidth="1"/>
    <col min="6385" max="6406" width="0" style="1259" hidden="1" customWidth="1"/>
    <col min="6407" max="6407" width="9" style="1259"/>
    <col min="6408" max="6408" width="8.875" style="1259" bestFit="1" customWidth="1"/>
    <col min="6409" max="6636" width="9" style="1259"/>
    <col min="6637" max="6637" width="6.75" style="1259" customWidth="1"/>
    <col min="6638" max="6638" width="57.25" style="1259" customWidth="1"/>
    <col min="6639" max="6639" width="11.5" style="1259" customWidth="1"/>
    <col min="6640" max="6640" width="19" style="1259" customWidth="1"/>
    <col min="6641" max="6662" width="0" style="1259" hidden="1" customWidth="1"/>
    <col min="6663" max="6663" width="9" style="1259"/>
    <col min="6664" max="6664" width="8.875" style="1259" bestFit="1" customWidth="1"/>
    <col min="6665" max="6892" width="9" style="1259"/>
    <col min="6893" max="6893" width="6.75" style="1259" customWidth="1"/>
    <col min="6894" max="6894" width="57.25" style="1259" customWidth="1"/>
    <col min="6895" max="6895" width="11.5" style="1259" customWidth="1"/>
    <col min="6896" max="6896" width="19" style="1259" customWidth="1"/>
    <col min="6897" max="6918" width="0" style="1259" hidden="1" customWidth="1"/>
    <col min="6919" max="6919" width="9" style="1259"/>
    <col min="6920" max="6920" width="8.875" style="1259" bestFit="1" customWidth="1"/>
    <col min="6921" max="7148" width="9" style="1259"/>
    <col min="7149" max="7149" width="6.75" style="1259" customWidth="1"/>
    <col min="7150" max="7150" width="57.25" style="1259" customWidth="1"/>
    <col min="7151" max="7151" width="11.5" style="1259" customWidth="1"/>
    <col min="7152" max="7152" width="19" style="1259" customWidth="1"/>
    <col min="7153" max="7174" width="0" style="1259" hidden="1" customWidth="1"/>
    <col min="7175" max="7175" width="9" style="1259"/>
    <col min="7176" max="7176" width="8.875" style="1259" bestFit="1" customWidth="1"/>
    <col min="7177" max="7404" width="9" style="1259"/>
    <col min="7405" max="7405" width="6.75" style="1259" customWidth="1"/>
    <col min="7406" max="7406" width="57.25" style="1259" customWidth="1"/>
    <col min="7407" max="7407" width="11.5" style="1259" customWidth="1"/>
    <col min="7408" max="7408" width="19" style="1259" customWidth="1"/>
    <col min="7409" max="7430" width="0" style="1259" hidden="1" customWidth="1"/>
    <col min="7431" max="7431" width="9" style="1259"/>
    <col min="7432" max="7432" width="8.875" style="1259" bestFit="1" customWidth="1"/>
    <col min="7433" max="7660" width="9" style="1259"/>
    <col min="7661" max="7661" width="6.75" style="1259" customWidth="1"/>
    <col min="7662" max="7662" width="57.25" style="1259" customWidth="1"/>
    <col min="7663" max="7663" width="11.5" style="1259" customWidth="1"/>
    <col min="7664" max="7664" width="19" style="1259" customWidth="1"/>
    <col min="7665" max="7686" width="0" style="1259" hidden="1" customWidth="1"/>
    <col min="7687" max="7687" width="9" style="1259"/>
    <col min="7688" max="7688" width="8.875" style="1259" bestFit="1" customWidth="1"/>
    <col min="7689" max="7916" width="9" style="1259"/>
    <col min="7917" max="7917" width="6.75" style="1259" customWidth="1"/>
    <col min="7918" max="7918" width="57.25" style="1259" customWidth="1"/>
    <col min="7919" max="7919" width="11.5" style="1259" customWidth="1"/>
    <col min="7920" max="7920" width="19" style="1259" customWidth="1"/>
    <col min="7921" max="7942" width="0" style="1259" hidden="1" customWidth="1"/>
    <col min="7943" max="7943" width="9" style="1259"/>
    <col min="7944" max="7944" width="8.875" style="1259" bestFit="1" customWidth="1"/>
    <col min="7945" max="8172" width="9" style="1259"/>
    <col min="8173" max="8173" width="6.75" style="1259" customWidth="1"/>
    <col min="8174" max="8174" width="57.25" style="1259" customWidth="1"/>
    <col min="8175" max="8175" width="11.5" style="1259" customWidth="1"/>
    <col min="8176" max="8176" width="19" style="1259" customWidth="1"/>
    <col min="8177" max="8198" width="0" style="1259" hidden="1" customWidth="1"/>
    <col min="8199" max="8199" width="9" style="1259"/>
    <col min="8200" max="8200" width="8.875" style="1259" bestFit="1" customWidth="1"/>
    <col min="8201" max="8428" width="9" style="1259"/>
    <col min="8429" max="8429" width="6.75" style="1259" customWidth="1"/>
    <col min="8430" max="8430" width="57.25" style="1259" customWidth="1"/>
    <col min="8431" max="8431" width="11.5" style="1259" customWidth="1"/>
    <col min="8432" max="8432" width="19" style="1259" customWidth="1"/>
    <col min="8433" max="8454" width="0" style="1259" hidden="1" customWidth="1"/>
    <col min="8455" max="8455" width="9" style="1259"/>
    <col min="8456" max="8456" width="8.875" style="1259" bestFit="1" customWidth="1"/>
    <col min="8457" max="8684" width="9" style="1259"/>
    <col min="8685" max="8685" width="6.75" style="1259" customWidth="1"/>
    <col min="8686" max="8686" width="57.25" style="1259" customWidth="1"/>
    <col min="8687" max="8687" width="11.5" style="1259" customWidth="1"/>
    <col min="8688" max="8688" width="19" style="1259" customWidth="1"/>
    <col min="8689" max="8710" width="0" style="1259" hidden="1" customWidth="1"/>
    <col min="8711" max="8711" width="9" style="1259"/>
    <col min="8712" max="8712" width="8.875" style="1259" bestFit="1" customWidth="1"/>
    <col min="8713" max="8940" width="9" style="1259"/>
    <col min="8941" max="8941" width="6.75" style="1259" customWidth="1"/>
    <col min="8942" max="8942" width="57.25" style="1259" customWidth="1"/>
    <col min="8943" max="8943" width="11.5" style="1259" customWidth="1"/>
    <col min="8944" max="8944" width="19" style="1259" customWidth="1"/>
    <col min="8945" max="8966" width="0" style="1259" hidden="1" customWidth="1"/>
    <col min="8967" max="8967" width="9" style="1259"/>
    <col min="8968" max="8968" width="8.875" style="1259" bestFit="1" customWidth="1"/>
    <col min="8969" max="9196" width="9" style="1259"/>
    <col min="9197" max="9197" width="6.75" style="1259" customWidth="1"/>
    <col min="9198" max="9198" width="57.25" style="1259" customWidth="1"/>
    <col min="9199" max="9199" width="11.5" style="1259" customWidth="1"/>
    <col min="9200" max="9200" width="19" style="1259" customWidth="1"/>
    <col min="9201" max="9222" width="0" style="1259" hidden="1" customWidth="1"/>
    <col min="9223" max="9223" width="9" style="1259"/>
    <col min="9224" max="9224" width="8.875" style="1259" bestFit="1" customWidth="1"/>
    <col min="9225" max="9452" width="9" style="1259"/>
    <col min="9453" max="9453" width="6.75" style="1259" customWidth="1"/>
    <col min="9454" max="9454" width="57.25" style="1259" customWidth="1"/>
    <col min="9455" max="9455" width="11.5" style="1259" customWidth="1"/>
    <col min="9456" max="9456" width="19" style="1259" customWidth="1"/>
    <col min="9457" max="9478" width="0" style="1259" hidden="1" customWidth="1"/>
    <col min="9479" max="9479" width="9" style="1259"/>
    <col min="9480" max="9480" width="8.875" style="1259" bestFit="1" customWidth="1"/>
    <col min="9481" max="9708" width="9" style="1259"/>
    <col min="9709" max="9709" width="6.75" style="1259" customWidth="1"/>
    <col min="9710" max="9710" width="57.25" style="1259" customWidth="1"/>
    <col min="9711" max="9711" width="11.5" style="1259" customWidth="1"/>
    <col min="9712" max="9712" width="19" style="1259" customWidth="1"/>
    <col min="9713" max="9734" width="0" style="1259" hidden="1" customWidth="1"/>
    <col min="9735" max="9735" width="9" style="1259"/>
    <col min="9736" max="9736" width="8.875" style="1259" bestFit="1" customWidth="1"/>
    <col min="9737" max="9964" width="9" style="1259"/>
    <col min="9965" max="9965" width="6.75" style="1259" customWidth="1"/>
    <col min="9966" max="9966" width="57.25" style="1259" customWidth="1"/>
    <col min="9967" max="9967" width="11.5" style="1259" customWidth="1"/>
    <col min="9968" max="9968" width="19" style="1259" customWidth="1"/>
    <col min="9969" max="9990" width="0" style="1259" hidden="1" customWidth="1"/>
    <col min="9991" max="9991" width="9" style="1259"/>
    <col min="9992" max="9992" width="8.875" style="1259" bestFit="1" customWidth="1"/>
    <col min="9993" max="10220" width="9" style="1259"/>
    <col min="10221" max="10221" width="6.75" style="1259" customWidth="1"/>
    <col min="10222" max="10222" width="57.25" style="1259" customWidth="1"/>
    <col min="10223" max="10223" width="11.5" style="1259" customWidth="1"/>
    <col min="10224" max="10224" width="19" style="1259" customWidth="1"/>
    <col min="10225" max="10246" width="0" style="1259" hidden="1" customWidth="1"/>
    <col min="10247" max="10247" width="9" style="1259"/>
    <col min="10248" max="10248" width="8.875" style="1259" bestFit="1" customWidth="1"/>
    <col min="10249" max="10476" width="9" style="1259"/>
    <col min="10477" max="10477" width="6.75" style="1259" customWidth="1"/>
    <col min="10478" max="10478" width="57.25" style="1259" customWidth="1"/>
    <col min="10479" max="10479" width="11.5" style="1259" customWidth="1"/>
    <col min="10480" max="10480" width="19" style="1259" customWidth="1"/>
    <col min="10481" max="10502" width="0" style="1259" hidden="1" customWidth="1"/>
    <col min="10503" max="10503" width="9" style="1259"/>
    <col min="10504" max="10504" width="8.875" style="1259" bestFit="1" customWidth="1"/>
    <col min="10505" max="10732" width="9" style="1259"/>
    <col min="10733" max="10733" width="6.75" style="1259" customWidth="1"/>
    <col min="10734" max="10734" width="57.25" style="1259" customWidth="1"/>
    <col min="10735" max="10735" width="11.5" style="1259" customWidth="1"/>
    <col min="10736" max="10736" width="19" style="1259" customWidth="1"/>
    <col min="10737" max="10758" width="0" style="1259" hidden="1" customWidth="1"/>
    <col min="10759" max="10759" width="9" style="1259"/>
    <col min="10760" max="10760" width="8.875" style="1259" bestFit="1" customWidth="1"/>
    <col min="10761" max="10988" width="9" style="1259"/>
    <col min="10989" max="10989" width="6.75" style="1259" customWidth="1"/>
    <col min="10990" max="10990" width="57.25" style="1259" customWidth="1"/>
    <col min="10991" max="10991" width="11.5" style="1259" customWidth="1"/>
    <col min="10992" max="10992" width="19" style="1259" customWidth="1"/>
    <col min="10993" max="11014" width="0" style="1259" hidden="1" customWidth="1"/>
    <col min="11015" max="11015" width="9" style="1259"/>
    <col min="11016" max="11016" width="8.875" style="1259" bestFit="1" customWidth="1"/>
    <col min="11017" max="11244" width="9" style="1259"/>
    <col min="11245" max="11245" width="6.75" style="1259" customWidth="1"/>
    <col min="11246" max="11246" width="57.25" style="1259" customWidth="1"/>
    <col min="11247" max="11247" width="11.5" style="1259" customWidth="1"/>
    <col min="11248" max="11248" width="19" style="1259" customWidth="1"/>
    <col min="11249" max="11270" width="0" style="1259" hidden="1" customWidth="1"/>
    <col min="11271" max="11271" width="9" style="1259"/>
    <col min="11272" max="11272" width="8.875" style="1259" bestFit="1" customWidth="1"/>
    <col min="11273" max="11500" width="9" style="1259"/>
    <col min="11501" max="11501" width="6.75" style="1259" customWidth="1"/>
    <col min="11502" max="11502" width="57.25" style="1259" customWidth="1"/>
    <col min="11503" max="11503" width="11.5" style="1259" customWidth="1"/>
    <col min="11504" max="11504" width="19" style="1259" customWidth="1"/>
    <col min="11505" max="11526" width="0" style="1259" hidden="1" customWidth="1"/>
    <col min="11527" max="11527" width="9" style="1259"/>
    <col min="11528" max="11528" width="8.875" style="1259" bestFit="1" customWidth="1"/>
    <col min="11529" max="11756" width="9" style="1259"/>
    <col min="11757" max="11757" width="6.75" style="1259" customWidth="1"/>
    <col min="11758" max="11758" width="57.25" style="1259" customWidth="1"/>
    <col min="11759" max="11759" width="11.5" style="1259" customWidth="1"/>
    <col min="11760" max="11760" width="19" style="1259" customWidth="1"/>
    <col min="11761" max="11782" width="0" style="1259" hidden="1" customWidth="1"/>
    <col min="11783" max="11783" width="9" style="1259"/>
    <col min="11784" max="11784" width="8.875" style="1259" bestFit="1" customWidth="1"/>
    <col min="11785" max="12012" width="9" style="1259"/>
    <col min="12013" max="12013" width="6.75" style="1259" customWidth="1"/>
    <col min="12014" max="12014" width="57.25" style="1259" customWidth="1"/>
    <col min="12015" max="12015" width="11.5" style="1259" customWidth="1"/>
    <col min="12016" max="12016" width="19" style="1259" customWidth="1"/>
    <col min="12017" max="12038" width="0" style="1259" hidden="1" customWidth="1"/>
    <col min="12039" max="12039" width="9" style="1259"/>
    <col min="12040" max="12040" width="8.875" style="1259" bestFit="1" customWidth="1"/>
    <col min="12041" max="12268" width="9" style="1259"/>
    <col min="12269" max="12269" width="6.75" style="1259" customWidth="1"/>
    <col min="12270" max="12270" width="57.25" style="1259" customWidth="1"/>
    <col min="12271" max="12271" width="11.5" style="1259" customWidth="1"/>
    <col min="12272" max="12272" width="19" style="1259" customWidth="1"/>
    <col min="12273" max="12294" width="0" style="1259" hidden="1" customWidth="1"/>
    <col min="12295" max="12295" width="9" style="1259"/>
    <col min="12296" max="12296" width="8.875" style="1259" bestFit="1" customWidth="1"/>
    <col min="12297" max="12524" width="9" style="1259"/>
    <col min="12525" max="12525" width="6.75" style="1259" customWidth="1"/>
    <col min="12526" max="12526" width="57.25" style="1259" customWidth="1"/>
    <col min="12527" max="12527" width="11.5" style="1259" customWidth="1"/>
    <col min="12528" max="12528" width="19" style="1259" customWidth="1"/>
    <col min="12529" max="12550" width="0" style="1259" hidden="1" customWidth="1"/>
    <col min="12551" max="12551" width="9" style="1259"/>
    <col min="12552" max="12552" width="8.875" style="1259" bestFit="1" customWidth="1"/>
    <col min="12553" max="12780" width="9" style="1259"/>
    <col min="12781" max="12781" width="6.75" style="1259" customWidth="1"/>
    <col min="12782" max="12782" width="57.25" style="1259" customWidth="1"/>
    <col min="12783" max="12783" width="11.5" style="1259" customWidth="1"/>
    <col min="12784" max="12784" width="19" style="1259" customWidth="1"/>
    <col min="12785" max="12806" width="0" style="1259" hidden="1" customWidth="1"/>
    <col min="12807" max="12807" width="9" style="1259"/>
    <col min="12808" max="12808" width="8.875" style="1259" bestFit="1" customWidth="1"/>
    <col min="12809" max="13036" width="9" style="1259"/>
    <col min="13037" max="13037" width="6.75" style="1259" customWidth="1"/>
    <col min="13038" max="13038" width="57.25" style="1259" customWidth="1"/>
    <col min="13039" max="13039" width="11.5" style="1259" customWidth="1"/>
    <col min="13040" max="13040" width="19" style="1259" customWidth="1"/>
    <col min="13041" max="13062" width="0" style="1259" hidden="1" customWidth="1"/>
    <col min="13063" max="13063" width="9" style="1259"/>
    <col min="13064" max="13064" width="8.875" style="1259" bestFit="1" customWidth="1"/>
    <col min="13065" max="13292" width="9" style="1259"/>
    <col min="13293" max="13293" width="6.75" style="1259" customWidth="1"/>
    <col min="13294" max="13294" width="57.25" style="1259" customWidth="1"/>
    <col min="13295" max="13295" width="11.5" style="1259" customWidth="1"/>
    <col min="13296" max="13296" width="19" style="1259" customWidth="1"/>
    <col min="13297" max="13318" width="0" style="1259" hidden="1" customWidth="1"/>
    <col min="13319" max="13319" width="9" style="1259"/>
    <col min="13320" max="13320" width="8.875" style="1259" bestFit="1" customWidth="1"/>
    <col min="13321" max="13548" width="9" style="1259"/>
    <col min="13549" max="13549" width="6.75" style="1259" customWidth="1"/>
    <col min="13550" max="13550" width="57.25" style="1259" customWidth="1"/>
    <col min="13551" max="13551" width="11.5" style="1259" customWidth="1"/>
    <col min="13552" max="13552" width="19" style="1259" customWidth="1"/>
    <col min="13553" max="13574" width="0" style="1259" hidden="1" customWidth="1"/>
    <col min="13575" max="13575" width="9" style="1259"/>
    <col min="13576" max="13576" width="8.875" style="1259" bestFit="1" customWidth="1"/>
    <col min="13577" max="13804" width="9" style="1259"/>
    <col min="13805" max="13805" width="6.75" style="1259" customWidth="1"/>
    <col min="13806" max="13806" width="57.25" style="1259" customWidth="1"/>
    <col min="13807" max="13807" width="11.5" style="1259" customWidth="1"/>
    <col min="13808" max="13808" width="19" style="1259" customWidth="1"/>
    <col min="13809" max="13830" width="0" style="1259" hidden="1" customWidth="1"/>
    <col min="13831" max="13831" width="9" style="1259"/>
    <col min="13832" max="13832" width="8.875" style="1259" bestFit="1" customWidth="1"/>
    <col min="13833" max="14060" width="9" style="1259"/>
    <col min="14061" max="14061" width="6.75" style="1259" customWidth="1"/>
    <col min="14062" max="14062" width="57.25" style="1259" customWidth="1"/>
    <col min="14063" max="14063" width="11.5" style="1259" customWidth="1"/>
    <col min="14064" max="14064" width="19" style="1259" customWidth="1"/>
    <col min="14065" max="14086" width="0" style="1259" hidden="1" customWidth="1"/>
    <col min="14087" max="14087" width="9" style="1259"/>
    <col min="14088" max="14088" width="8.875" style="1259" bestFit="1" customWidth="1"/>
    <col min="14089" max="14316" width="9" style="1259"/>
    <col min="14317" max="14317" width="6.75" style="1259" customWidth="1"/>
    <col min="14318" max="14318" width="57.25" style="1259" customWidth="1"/>
    <col min="14319" max="14319" width="11.5" style="1259" customWidth="1"/>
    <col min="14320" max="14320" width="19" style="1259" customWidth="1"/>
    <col min="14321" max="14342" width="0" style="1259" hidden="1" customWidth="1"/>
    <col min="14343" max="14343" width="9" style="1259"/>
    <col min="14344" max="14344" width="8.875" style="1259" bestFit="1" customWidth="1"/>
    <col min="14345" max="14572" width="9" style="1259"/>
    <col min="14573" max="14573" width="6.75" style="1259" customWidth="1"/>
    <col min="14574" max="14574" width="57.25" style="1259" customWidth="1"/>
    <col min="14575" max="14575" width="11.5" style="1259" customWidth="1"/>
    <col min="14576" max="14576" width="19" style="1259" customWidth="1"/>
    <col min="14577" max="14598" width="0" style="1259" hidden="1" customWidth="1"/>
    <col min="14599" max="14599" width="9" style="1259"/>
    <col min="14600" max="14600" width="8.875" style="1259" bestFit="1" customWidth="1"/>
    <col min="14601" max="14828" width="9" style="1259"/>
    <col min="14829" max="14829" width="6.75" style="1259" customWidth="1"/>
    <col min="14830" max="14830" width="57.25" style="1259" customWidth="1"/>
    <col min="14831" max="14831" width="11.5" style="1259" customWidth="1"/>
    <col min="14832" max="14832" width="19" style="1259" customWidth="1"/>
    <col min="14833" max="14854" width="0" style="1259" hidden="1" customWidth="1"/>
    <col min="14855" max="14855" width="9" style="1259"/>
    <col min="14856" max="14856" width="8.875" style="1259" bestFit="1" customWidth="1"/>
    <col min="14857" max="15084" width="9" style="1259"/>
    <col min="15085" max="15085" width="6.75" style="1259" customWidth="1"/>
    <col min="15086" max="15086" width="57.25" style="1259" customWidth="1"/>
    <col min="15087" max="15087" width="11.5" style="1259" customWidth="1"/>
    <col min="15088" max="15088" width="19" style="1259" customWidth="1"/>
    <col min="15089" max="15110" width="0" style="1259" hidden="1" customWidth="1"/>
    <col min="15111" max="15111" width="9" style="1259"/>
    <col min="15112" max="15112" width="8.875" style="1259" bestFit="1" customWidth="1"/>
    <col min="15113" max="15340" width="9" style="1259"/>
    <col min="15341" max="15341" width="6.75" style="1259" customWidth="1"/>
    <col min="15342" max="15342" width="57.25" style="1259" customWidth="1"/>
    <col min="15343" max="15343" width="11.5" style="1259" customWidth="1"/>
    <col min="15344" max="15344" width="19" style="1259" customWidth="1"/>
    <col min="15345" max="15366" width="0" style="1259" hidden="1" customWidth="1"/>
    <col min="15367" max="15367" width="9" style="1259"/>
    <col min="15368" max="15368" width="8.875" style="1259" bestFit="1" customWidth="1"/>
    <col min="15369" max="15596" width="9" style="1259"/>
    <col min="15597" max="15597" width="6.75" style="1259" customWidth="1"/>
    <col min="15598" max="15598" width="57.25" style="1259" customWidth="1"/>
    <col min="15599" max="15599" width="11.5" style="1259" customWidth="1"/>
    <col min="15600" max="15600" width="19" style="1259" customWidth="1"/>
    <col min="15601" max="15622" width="0" style="1259" hidden="1" customWidth="1"/>
    <col min="15623" max="15623" width="9" style="1259"/>
    <col min="15624" max="15624" width="8.875" style="1259" bestFit="1" customWidth="1"/>
    <col min="15625" max="15852" width="9" style="1259"/>
    <col min="15853" max="15853" width="6.75" style="1259" customWidth="1"/>
    <col min="15854" max="15854" width="57.25" style="1259" customWidth="1"/>
    <col min="15855" max="15855" width="11.5" style="1259" customWidth="1"/>
    <col min="15856" max="15856" width="19" style="1259" customWidth="1"/>
    <col min="15857" max="15878" width="0" style="1259" hidden="1" customWidth="1"/>
    <col min="15879" max="15879" width="9" style="1259"/>
    <col min="15880" max="15880" width="8.875" style="1259" bestFit="1" customWidth="1"/>
    <col min="15881" max="16108" width="9" style="1259"/>
    <col min="16109" max="16109" width="6.75" style="1259" customWidth="1"/>
    <col min="16110" max="16110" width="57.25" style="1259" customWidth="1"/>
    <col min="16111" max="16111" width="11.5" style="1259" customWidth="1"/>
    <col min="16112" max="16112" width="19" style="1259" customWidth="1"/>
    <col min="16113" max="16134" width="0" style="1259" hidden="1" customWidth="1"/>
    <col min="16135" max="16135" width="9" style="1259"/>
    <col min="16136" max="16136" width="8.875" style="1259" bestFit="1" customWidth="1"/>
    <col min="16137" max="16384" width="9" style="1259"/>
  </cols>
  <sheetData>
    <row r="1" spans="1:13" ht="117" customHeight="1">
      <c r="C1" s="1299"/>
      <c r="D1" s="1299"/>
      <c r="E1" s="1299"/>
      <c r="F1" s="1299"/>
      <c r="J1" s="1697" t="s">
        <v>639</v>
      </c>
      <c r="K1" s="1698"/>
      <c r="L1" s="1698"/>
      <c r="M1" s="1698"/>
    </row>
    <row r="2" spans="1:13" ht="18" customHeight="1">
      <c r="B2" s="1678"/>
      <c r="C2" s="1678"/>
      <c r="D2" s="1678"/>
    </row>
    <row r="3" spans="1:13" ht="55.5" customHeight="1">
      <c r="A3" s="1699" t="s">
        <v>640</v>
      </c>
      <c r="B3" s="1699"/>
      <c r="C3" s="1699"/>
      <c r="D3" s="1699"/>
      <c r="E3" s="1699"/>
      <c r="F3" s="1699"/>
      <c r="G3" s="1699"/>
      <c r="H3" s="1699"/>
      <c r="I3" s="1699"/>
      <c r="J3" s="1699"/>
      <c r="K3" s="1699"/>
      <c r="L3" s="1699"/>
      <c r="M3" s="1699"/>
    </row>
    <row r="4" spans="1:13" s="1300" customFormat="1" ht="32.450000000000003" customHeight="1">
      <c r="A4" s="1700" t="s">
        <v>83</v>
      </c>
      <c r="B4" s="1700" t="s">
        <v>575</v>
      </c>
      <c r="C4" s="1700" t="s">
        <v>576</v>
      </c>
      <c r="D4" s="1700" t="s">
        <v>577</v>
      </c>
      <c r="E4" s="1700" t="s">
        <v>578</v>
      </c>
      <c r="F4" s="1700" t="s">
        <v>579</v>
      </c>
      <c r="G4" s="1704" t="s">
        <v>580</v>
      </c>
      <c r="H4" s="1705"/>
      <c r="I4" s="1704" t="s">
        <v>581</v>
      </c>
      <c r="J4" s="1707"/>
      <c r="K4" s="1705"/>
      <c r="L4" s="1700" t="s">
        <v>582</v>
      </c>
      <c r="M4" s="1700" t="s">
        <v>583</v>
      </c>
    </row>
    <row r="5" spans="1:13" s="1300" customFormat="1" ht="149.25" customHeight="1">
      <c r="A5" s="1701"/>
      <c r="B5" s="1701"/>
      <c r="C5" s="1701"/>
      <c r="D5" s="1702"/>
      <c r="E5" s="1702"/>
      <c r="F5" s="1702"/>
      <c r="G5" s="1301" t="s">
        <v>584</v>
      </c>
      <c r="H5" s="1301" t="s">
        <v>585</v>
      </c>
      <c r="I5" s="1301" t="s">
        <v>586</v>
      </c>
      <c r="J5" s="1301" t="s">
        <v>587</v>
      </c>
      <c r="K5" s="1301" t="s">
        <v>588</v>
      </c>
      <c r="L5" s="1702"/>
      <c r="M5" s="1702"/>
    </row>
    <row r="6" spans="1:13" s="1300" customFormat="1" ht="27.75" customHeight="1">
      <c r="A6" s="1702"/>
      <c r="B6" s="1703"/>
      <c r="C6" s="1702"/>
      <c r="D6" s="1301" t="s">
        <v>21</v>
      </c>
      <c r="E6" s="1302" t="s">
        <v>3</v>
      </c>
      <c r="F6" s="1301" t="s">
        <v>3</v>
      </c>
      <c r="G6" s="1301" t="s">
        <v>589</v>
      </c>
      <c r="H6" s="1301" t="s">
        <v>590</v>
      </c>
      <c r="I6" s="1302" t="s">
        <v>567</v>
      </c>
      <c r="J6" s="1302" t="s">
        <v>591</v>
      </c>
      <c r="K6" s="1302" t="s">
        <v>3</v>
      </c>
      <c r="L6" s="1301"/>
      <c r="M6" s="1301"/>
    </row>
    <row r="7" spans="1:13" s="1306" customFormat="1" ht="20.25" customHeight="1">
      <c r="A7" s="1303">
        <v>1</v>
      </c>
      <c r="B7" s="1303">
        <v>2</v>
      </c>
      <c r="C7" s="1303">
        <v>3</v>
      </c>
      <c r="D7" s="1262">
        <v>4</v>
      </c>
      <c r="E7" s="1304">
        <v>5</v>
      </c>
      <c r="F7" s="1303">
        <v>6</v>
      </c>
      <c r="G7" s="1305">
        <v>7</v>
      </c>
      <c r="H7" s="1304">
        <v>8</v>
      </c>
      <c r="I7" s="1305">
        <v>6</v>
      </c>
      <c r="J7" s="1304">
        <v>7</v>
      </c>
      <c r="K7" s="1305">
        <v>8</v>
      </c>
      <c r="L7" s="1303">
        <v>12</v>
      </c>
      <c r="M7" s="1262">
        <v>13</v>
      </c>
    </row>
    <row r="8" spans="1:13" s="1273" customFormat="1" ht="19.5" customHeight="1">
      <c r="A8" s="1689">
        <v>1</v>
      </c>
      <c r="B8" s="1689" t="s">
        <v>592</v>
      </c>
      <c r="C8" s="1307" t="s">
        <v>549</v>
      </c>
      <c r="D8" s="1695">
        <f>'[189]Кальк.2019-2023 (ДИ)'!P21</f>
        <v>5814.4290000000001</v>
      </c>
      <c r="E8" s="1308">
        <f>'[188]Кальк_2016-2018'!F7</f>
        <v>0.01</v>
      </c>
      <c r="F8" s="1308">
        <v>0</v>
      </c>
      <c r="G8" s="1309">
        <v>0</v>
      </c>
      <c r="H8" s="1309">
        <v>0</v>
      </c>
      <c r="I8" s="1310">
        <v>148.41</v>
      </c>
      <c r="J8" s="1311">
        <v>1.3</v>
      </c>
      <c r="K8" s="1312">
        <v>1.01</v>
      </c>
      <c r="L8" s="1313" t="s">
        <v>593</v>
      </c>
      <c r="M8" s="1313" t="s">
        <v>593</v>
      </c>
    </row>
    <row r="9" spans="1:13" ht="19.5" customHeight="1">
      <c r="A9" s="1690"/>
      <c r="B9" s="1690"/>
      <c r="C9" s="1307" t="s">
        <v>550</v>
      </c>
      <c r="D9" s="1696"/>
      <c r="E9" s="1308">
        <v>0.01</v>
      </c>
      <c r="F9" s="1308">
        <v>0</v>
      </c>
      <c r="G9" s="1309">
        <v>0</v>
      </c>
      <c r="H9" s="1309">
        <v>0</v>
      </c>
      <c r="I9" s="1310">
        <v>148.24</v>
      </c>
      <c r="J9" s="1311">
        <v>1.3</v>
      </c>
      <c r="K9" s="1312">
        <v>1.01</v>
      </c>
      <c r="L9" s="1313" t="s">
        <v>593</v>
      </c>
      <c r="M9" s="1313" t="s">
        <v>593</v>
      </c>
    </row>
    <row r="10" spans="1:13" s="1277" customFormat="1" ht="19.5" customHeight="1">
      <c r="A10" s="1690"/>
      <c r="B10" s="1690"/>
      <c r="C10" s="1307" t="s">
        <v>551</v>
      </c>
      <c r="D10" s="1696"/>
      <c r="E10" s="1308">
        <v>0.01</v>
      </c>
      <c r="F10" s="1308">
        <v>0</v>
      </c>
      <c r="G10" s="1309">
        <v>0</v>
      </c>
      <c r="H10" s="1309">
        <v>0</v>
      </c>
      <c r="I10" s="1310">
        <v>148.06</v>
      </c>
      <c r="J10" s="1311">
        <v>1.3</v>
      </c>
      <c r="K10" s="1312">
        <v>1.01</v>
      </c>
      <c r="L10" s="1313" t="s">
        <v>593</v>
      </c>
      <c r="M10" s="1313" t="s">
        <v>593</v>
      </c>
    </row>
    <row r="11" spans="1:13" s="1277" customFormat="1" ht="15.75" hidden="1" customHeight="1">
      <c r="A11" s="1691"/>
      <c r="B11" s="1693"/>
      <c r="C11" s="1307" t="s">
        <v>594</v>
      </c>
      <c r="D11" s="1693"/>
      <c r="E11" s="1294"/>
      <c r="F11" s="1294"/>
      <c r="G11" s="1272"/>
      <c r="H11" s="1272"/>
      <c r="I11" s="1314"/>
      <c r="J11" s="1294"/>
      <c r="K11" s="1312">
        <v>1.01</v>
      </c>
      <c r="L11" s="1294" t="s">
        <v>593</v>
      </c>
      <c r="M11" s="1294" t="s">
        <v>593</v>
      </c>
    </row>
    <row r="12" spans="1:13" s="1277" customFormat="1" ht="15.75" hidden="1" customHeight="1">
      <c r="A12" s="1691"/>
      <c r="B12" s="1693"/>
      <c r="C12" s="1307" t="s">
        <v>595</v>
      </c>
      <c r="D12" s="1693"/>
      <c r="E12" s="1315"/>
      <c r="F12" s="1315"/>
      <c r="G12" s="1278"/>
      <c r="H12" s="1278"/>
      <c r="I12" s="1314"/>
      <c r="J12" s="1315"/>
      <c r="K12" s="1312">
        <v>1.01</v>
      </c>
      <c r="L12" s="1294" t="s">
        <v>593</v>
      </c>
      <c r="M12" s="1294" t="s">
        <v>593</v>
      </c>
    </row>
    <row r="13" spans="1:13" s="1277" customFormat="1" ht="15.75" hidden="1" customHeight="1">
      <c r="A13" s="1691"/>
      <c r="B13" s="1693"/>
      <c r="C13" s="1307" t="s">
        <v>596</v>
      </c>
      <c r="D13" s="1693"/>
      <c r="E13" s="1295"/>
      <c r="F13" s="1295"/>
      <c r="G13" s="1316"/>
      <c r="H13" s="1316"/>
      <c r="I13" s="1314"/>
      <c r="J13" s="1295"/>
      <c r="K13" s="1317"/>
      <c r="L13" s="1294" t="s">
        <v>593</v>
      </c>
      <c r="M13" s="1294" t="s">
        <v>593</v>
      </c>
    </row>
    <row r="14" spans="1:13" s="1277" customFormat="1" ht="15.75">
      <c r="A14" s="1691"/>
      <c r="B14" s="1693"/>
      <c r="C14" s="1307" t="s">
        <v>552</v>
      </c>
      <c r="D14" s="1693"/>
      <c r="E14" s="1308">
        <v>0.01</v>
      </c>
      <c r="F14" s="1308">
        <v>0</v>
      </c>
      <c r="G14" s="1316"/>
      <c r="H14" s="1316"/>
      <c r="I14" s="1314">
        <v>147.88</v>
      </c>
      <c r="J14" s="1311">
        <v>1.3</v>
      </c>
      <c r="K14" s="1312">
        <v>1.01</v>
      </c>
      <c r="L14" s="1313" t="s">
        <v>593</v>
      </c>
      <c r="M14" s="1313" t="s">
        <v>593</v>
      </c>
    </row>
    <row r="15" spans="1:13" s="1277" customFormat="1" ht="15.75">
      <c r="A15" s="1692"/>
      <c r="B15" s="1694"/>
      <c r="C15" s="1314" t="s">
        <v>553</v>
      </c>
      <c r="D15" s="1694"/>
      <c r="E15" s="1308">
        <v>0.01</v>
      </c>
      <c r="F15" s="1308">
        <v>0</v>
      </c>
      <c r="G15" s="1295"/>
      <c r="H15" s="1295"/>
      <c r="I15" s="1318">
        <v>147.69999999999999</v>
      </c>
      <c r="J15" s="1311">
        <v>1.3</v>
      </c>
      <c r="K15" s="1312">
        <v>1.01</v>
      </c>
      <c r="L15" s="1313" t="s">
        <v>593</v>
      </c>
      <c r="M15" s="1313" t="s">
        <v>593</v>
      </c>
    </row>
    <row r="16" spans="1:13" s="1277" customFormat="1" ht="30.6" customHeight="1">
      <c r="A16" s="1273"/>
      <c r="B16" s="1706"/>
      <c r="C16" s="1706"/>
      <c r="D16" s="1706"/>
      <c r="E16" s="1706"/>
      <c r="F16" s="1706"/>
      <c r="G16" s="1706"/>
      <c r="H16" s="1706"/>
      <c r="I16" s="1706"/>
      <c r="J16" s="1706"/>
      <c r="K16" s="1706"/>
      <c r="L16" s="1706"/>
      <c r="M16" s="1706"/>
    </row>
    <row r="17" spans="1:13" s="1277" customFormat="1" ht="35.450000000000003" customHeight="1">
      <c r="A17" s="1273"/>
      <c r="B17" s="1706"/>
      <c r="C17" s="1706"/>
      <c r="D17" s="1706"/>
      <c r="E17" s="1706"/>
      <c r="F17" s="1706"/>
      <c r="G17" s="1706"/>
      <c r="H17" s="1706"/>
      <c r="I17" s="1706"/>
      <c r="J17" s="1706"/>
      <c r="K17" s="1706"/>
      <c r="L17" s="1706"/>
      <c r="M17" s="1706"/>
    </row>
    <row r="18" spans="1:13" s="1277" customFormat="1" ht="31.9" customHeight="1">
      <c r="A18" s="1273"/>
      <c r="B18" s="1706"/>
      <c r="C18" s="1706"/>
      <c r="D18" s="1706"/>
      <c r="E18" s="1706"/>
      <c r="F18" s="1706"/>
      <c r="G18" s="1706"/>
      <c r="H18" s="1706"/>
      <c r="I18" s="1706"/>
      <c r="J18" s="1706"/>
      <c r="K18" s="1706"/>
      <c r="L18" s="1706"/>
      <c r="M18" s="1706"/>
    </row>
    <row r="19" spans="1:13" s="1277" customFormat="1" ht="15.75">
      <c r="A19" s="1273"/>
    </row>
    <row r="20" spans="1:13" s="1277" customFormat="1" ht="15.75">
      <c r="A20" s="1273"/>
    </row>
    <row r="21" spans="1:13" s="1277" customFormat="1" ht="15.75">
      <c r="A21" s="1273"/>
    </row>
    <row r="22" spans="1:13" s="1277" customFormat="1" ht="15.75">
      <c r="A22" s="1273"/>
    </row>
  </sheetData>
  <mergeCells count="19">
    <mergeCell ref="B16:M16"/>
    <mergeCell ref="B17:M17"/>
    <mergeCell ref="B18:M18"/>
    <mergeCell ref="I4:K4"/>
    <mergeCell ref="L4:L5"/>
    <mergeCell ref="M4:M5"/>
    <mergeCell ref="A8:A15"/>
    <mergeCell ref="B8:B15"/>
    <mergeCell ref="D8:D15"/>
    <mergeCell ref="J1:M1"/>
    <mergeCell ref="B2:D2"/>
    <mergeCell ref="A3:M3"/>
    <mergeCell ref="A4:A6"/>
    <mergeCell ref="B4:B6"/>
    <mergeCell ref="C4:C6"/>
    <mergeCell ref="D4:D5"/>
    <mergeCell ref="E4:E5"/>
    <mergeCell ref="F4:F5"/>
    <mergeCell ref="G4:H4"/>
  </mergeCells>
  <printOptions horizontalCentered="1"/>
  <pageMargins left="0" right="0" top="0.39370078740157483" bottom="0.35433070866141736" header="0.31496062992125984" footer="0.31496062992125984"/>
  <pageSetup paperSize="9" scale="86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88"/>
  <sheetViews>
    <sheetView showGridLines="0" view="pageBreakPreview" zoomScale="80" zoomScaleNormal="80" zoomScaleSheetLayoutView="80" workbookViewId="0">
      <selection activeCell="AB26" sqref="AB26"/>
    </sheetView>
  </sheetViews>
  <sheetFormatPr defaultRowHeight="15.75" outlineLevelRow="1" outlineLevelCol="1"/>
  <cols>
    <col min="1" max="1" width="9" style="996"/>
    <col min="2" max="2" width="50.125" style="996" customWidth="1"/>
    <col min="3" max="3" width="11.5" style="996" customWidth="1"/>
    <col min="4" max="4" width="13" style="996" hidden="1" customWidth="1"/>
    <col min="5" max="5" width="13.25" style="996" customWidth="1" outlineLevel="1"/>
    <col min="6" max="6" width="15" style="996" customWidth="1"/>
    <col min="7" max="7" width="16.25" style="996" hidden="1" customWidth="1"/>
    <col min="8" max="8" width="15.375" style="996" hidden="1" customWidth="1"/>
    <col min="9" max="9" width="13.875" style="996" hidden="1" customWidth="1" outlineLevel="1"/>
    <col min="10" max="10" width="13.875" style="996" customWidth="1" outlineLevel="1"/>
    <col min="11" max="11" width="37" style="1455" customWidth="1" outlineLevel="1"/>
    <col min="12" max="12" width="14.75" style="996" customWidth="1"/>
    <col min="13" max="13" width="13.625" style="996" hidden="1" customWidth="1"/>
    <col min="14" max="14" width="12.125" style="996" hidden="1" customWidth="1"/>
    <col min="15" max="15" width="14.125" style="996" hidden="1" customWidth="1" outlineLevel="1"/>
    <col min="16" max="16" width="12.625" style="996" hidden="1" customWidth="1"/>
    <col min="17" max="17" width="17.125" style="996" customWidth="1"/>
    <col min="18" max="18" width="14" style="996" hidden="1" customWidth="1"/>
    <col min="19" max="19" width="11.5" style="996" hidden="1" customWidth="1"/>
    <col min="20" max="20" width="13.5" style="996" hidden="1" customWidth="1" outlineLevel="1"/>
    <col min="21" max="23" width="0" style="996" hidden="1" customWidth="1"/>
    <col min="24" max="25" width="16.375" style="996" customWidth="1"/>
    <col min="26" max="16384" width="9" style="996"/>
  </cols>
  <sheetData>
    <row r="1" spans="1:25">
      <c r="F1" s="1319"/>
      <c r="G1" s="1319"/>
      <c r="H1" s="1319"/>
      <c r="I1" s="1319"/>
      <c r="J1" s="1319"/>
      <c r="K1" s="1713" t="s">
        <v>638</v>
      </c>
      <c r="L1" s="1713"/>
      <c r="M1" s="1713"/>
      <c r="N1" s="1713"/>
      <c r="O1" s="1713"/>
      <c r="P1" s="1713"/>
      <c r="Q1" s="1714"/>
      <c r="R1" s="1714"/>
      <c r="S1" s="1714"/>
      <c r="T1" s="1714"/>
      <c r="U1" s="1714"/>
      <c r="V1" s="1714"/>
      <c r="W1" s="1714"/>
      <c r="X1" s="1714"/>
      <c r="Y1" s="1714"/>
    </row>
    <row r="2" spans="1:25">
      <c r="F2" s="1319"/>
      <c r="G2" s="1319"/>
      <c r="H2" s="1319"/>
      <c r="I2" s="1319"/>
      <c r="J2" s="1319"/>
      <c r="K2" s="1713"/>
      <c r="L2" s="1713"/>
      <c r="M2" s="1713"/>
      <c r="N2" s="1713"/>
      <c r="O2" s="1713"/>
      <c r="P2" s="1713"/>
      <c r="Q2" s="1714"/>
      <c r="R2" s="1714"/>
      <c r="S2" s="1714"/>
      <c r="T2" s="1714"/>
      <c r="U2" s="1714"/>
      <c r="V2" s="1714"/>
      <c r="W2" s="1714"/>
      <c r="X2" s="1714"/>
      <c r="Y2" s="1714"/>
    </row>
    <row r="3" spans="1:25" ht="45.75" customHeight="1">
      <c r="F3" s="1319"/>
      <c r="G3" s="1319"/>
      <c r="H3" s="1319"/>
      <c r="I3" s="1319"/>
      <c r="J3" s="1319"/>
      <c r="K3" s="1713"/>
      <c r="L3" s="1713"/>
      <c r="M3" s="1713"/>
      <c r="N3" s="1713"/>
      <c r="O3" s="1713"/>
      <c r="P3" s="1713"/>
      <c r="Q3" s="1714"/>
      <c r="R3" s="1714"/>
      <c r="S3" s="1714"/>
      <c r="T3" s="1714"/>
      <c r="U3" s="1714"/>
      <c r="V3" s="1714"/>
      <c r="W3" s="1714"/>
      <c r="X3" s="1714"/>
      <c r="Y3" s="1714"/>
    </row>
    <row r="4" spans="1:25">
      <c r="F4" s="1319"/>
      <c r="G4" s="1319"/>
      <c r="H4" s="1319"/>
      <c r="I4" s="1319"/>
      <c r="J4" s="1319"/>
      <c r="K4" s="1320"/>
      <c r="L4" s="1319"/>
      <c r="M4" s="1319"/>
      <c r="N4" s="1319"/>
      <c r="O4" s="1319"/>
      <c r="Q4" s="1319"/>
      <c r="R4" s="1319"/>
      <c r="S4" s="1319"/>
      <c r="T4" s="1319"/>
      <c r="U4" s="1321"/>
      <c r="V4" s="1321"/>
    </row>
    <row r="5" spans="1:25" ht="48.75" customHeight="1">
      <c r="B5" s="1724" t="s">
        <v>597</v>
      </c>
      <c r="C5" s="1724"/>
      <c r="D5" s="1724"/>
      <c r="E5" s="1724"/>
      <c r="F5" s="1724"/>
      <c r="G5" s="1724"/>
      <c r="H5" s="1724"/>
      <c r="I5" s="1724"/>
      <c r="J5" s="1724"/>
      <c r="K5" s="1724"/>
      <c r="L5" s="1724"/>
      <c r="M5" s="1724"/>
      <c r="N5" s="1724"/>
      <c r="O5" s="1724"/>
      <c r="P5" s="1724"/>
      <c r="Q5" s="1724"/>
      <c r="R5" s="1319"/>
      <c r="S5" s="1319"/>
      <c r="T5" s="1319"/>
      <c r="U5" s="1321"/>
      <c r="V5" s="1321"/>
    </row>
    <row r="6" spans="1:25" ht="30.75" customHeight="1">
      <c r="B6" s="1725" t="s">
        <v>598</v>
      </c>
      <c r="C6" s="1725"/>
      <c r="D6" s="1725"/>
      <c r="E6" s="1725"/>
      <c r="F6" s="1725"/>
      <c r="G6" s="1725"/>
      <c r="H6" s="1725"/>
      <c r="I6" s="1725"/>
      <c r="J6" s="1725"/>
      <c r="K6" s="1725"/>
      <c r="L6" s="1725"/>
      <c r="M6" s="1725"/>
      <c r="N6" s="1725"/>
      <c r="O6" s="1725"/>
      <c r="P6" s="1725"/>
      <c r="Q6" s="1725"/>
      <c r="R6" s="1319"/>
      <c r="S6" s="1319"/>
      <c r="T6" s="1319"/>
      <c r="U6" s="1321"/>
      <c r="V6" s="1321"/>
    </row>
    <row r="7" spans="1:25" s="1325" customFormat="1" ht="26.25" customHeight="1">
      <c r="A7" s="1710" t="s">
        <v>98</v>
      </c>
      <c r="B7" s="1710" t="s">
        <v>99</v>
      </c>
      <c r="C7" s="1710" t="s">
        <v>100</v>
      </c>
      <c r="D7" s="1710" t="s">
        <v>599</v>
      </c>
      <c r="E7" s="1710" t="s">
        <v>600</v>
      </c>
      <c r="F7" s="1712" t="s">
        <v>601</v>
      </c>
      <c r="G7" s="1322"/>
      <c r="H7" s="1322"/>
      <c r="I7" s="1322"/>
      <c r="J7" s="1708" t="s">
        <v>602</v>
      </c>
      <c r="K7" s="1717" t="s">
        <v>603</v>
      </c>
      <c r="L7" s="1712" t="s">
        <v>177</v>
      </c>
      <c r="M7" s="1712"/>
      <c r="N7" s="1712"/>
      <c r="O7" s="1322"/>
      <c r="P7" s="1710" t="s">
        <v>604</v>
      </c>
      <c r="Q7" s="1712" t="s">
        <v>179</v>
      </c>
      <c r="R7" s="1323"/>
      <c r="S7" s="1323"/>
      <c r="T7" s="1324"/>
      <c r="U7" s="1722" t="s">
        <v>605</v>
      </c>
      <c r="V7" s="1722" t="s">
        <v>606</v>
      </c>
      <c r="X7" s="1712" t="s">
        <v>236</v>
      </c>
      <c r="Y7" s="1712" t="s">
        <v>254</v>
      </c>
    </row>
    <row r="8" spans="1:25" s="1325" customFormat="1" ht="69.75" customHeight="1">
      <c r="A8" s="1726"/>
      <c r="B8" s="1711"/>
      <c r="C8" s="1711"/>
      <c r="D8" s="1711"/>
      <c r="E8" s="1710"/>
      <c r="F8" s="1712"/>
      <c r="G8" s="1326" t="s">
        <v>91</v>
      </c>
      <c r="H8" s="1326" t="s">
        <v>41</v>
      </c>
      <c r="I8" s="1326" t="s">
        <v>84</v>
      </c>
      <c r="J8" s="1709"/>
      <c r="K8" s="1718"/>
      <c r="L8" s="1712"/>
      <c r="M8" s="1712"/>
      <c r="N8" s="1712"/>
      <c r="O8" s="1326" t="s">
        <v>84</v>
      </c>
      <c r="P8" s="1710"/>
      <c r="Q8" s="1712"/>
      <c r="R8" s="1327" t="s">
        <v>91</v>
      </c>
      <c r="S8" s="1326" t="s">
        <v>41</v>
      </c>
      <c r="T8" s="1326" t="s">
        <v>84</v>
      </c>
      <c r="U8" s="1723"/>
      <c r="V8" s="1723"/>
      <c r="X8" s="1712"/>
      <c r="Y8" s="1712"/>
    </row>
    <row r="9" spans="1:25" s="1334" customFormat="1" ht="34.5" hidden="1" customHeight="1">
      <c r="A9" s="1719" t="s">
        <v>102</v>
      </c>
      <c r="B9" s="1720"/>
      <c r="C9" s="1328"/>
      <c r="D9" s="1328"/>
      <c r="E9" s="1328"/>
      <c r="F9" s="1329"/>
      <c r="G9" s="1329"/>
      <c r="H9" s="1329"/>
      <c r="I9" s="1329"/>
      <c r="J9" s="1329"/>
      <c r="K9" s="1330"/>
      <c r="L9" s="1331">
        <f>IF(AND(M9=N9,N9=O9),M9,"расчет")</f>
        <v>1.0494000000000001</v>
      </c>
      <c r="M9" s="1331">
        <f>(1-L11)*(1+L10)*(1+M12*L15)</f>
        <v>1.0494000000000001</v>
      </c>
      <c r="N9" s="1331">
        <f>(1-L11)*(1+L10)*(1+N12*L15)</f>
        <v>1.0494000000000001</v>
      </c>
      <c r="O9" s="1331">
        <f>(1-L11)*(1+L10)*(1+O12*L15)</f>
        <v>1.0494000000000001</v>
      </c>
      <c r="P9" s="1328"/>
      <c r="Q9" s="1331">
        <f>IF(AND(R9=S9,S9=T9),R9,"расчет")</f>
        <v>1.0395000000000001</v>
      </c>
      <c r="R9" s="1332">
        <f>(1-Q11)*(1+Q10)*(1+R12*Q15)</f>
        <v>1.0395000000000001</v>
      </c>
      <c r="S9" s="1331">
        <f>(1-Q11)*(1+Q10)*(1+S12*Q15)</f>
        <v>1.0395000000000001</v>
      </c>
      <c r="T9" s="1331">
        <f>(1-Q11)*(1+Q10)*(1+T12*Q15)</f>
        <v>1.0395000000000001</v>
      </c>
      <c r="U9" s="1333" t="str">
        <f t="shared" ref="U9:U15" si="0">IF(ISERROR(L9/F9)," ",L9/F9)</f>
        <v xml:space="preserve"> </v>
      </c>
      <c r="V9" s="1333">
        <f>IF(ISERROR(Q9/L9)," ",Q9/L9)</f>
        <v>0.99056603773584906</v>
      </c>
      <c r="X9" s="1335"/>
      <c r="Y9" s="1335"/>
    </row>
    <row r="10" spans="1:25" s="1325" customFormat="1" ht="32.25" hidden="1" customHeight="1" outlineLevel="1">
      <c r="A10" s="1336"/>
      <c r="B10" s="1337" t="s">
        <v>103</v>
      </c>
      <c r="C10" s="1338" t="s">
        <v>3</v>
      </c>
      <c r="D10" s="1338"/>
      <c r="E10" s="1339">
        <v>4.3999999999999997E-2</v>
      </c>
      <c r="F10" s="1340">
        <f>([188]индексы!H5-1)</f>
        <v>6.4000000000000057E-2</v>
      </c>
      <c r="G10" s="1341"/>
      <c r="H10" s="1341"/>
      <c r="I10" s="1341"/>
      <c r="J10" s="1341"/>
      <c r="K10" s="1342"/>
      <c r="L10" s="1340">
        <f>([188]индексы!I5-1)</f>
        <v>6.0000000000000053E-2</v>
      </c>
      <c r="M10" s="1341"/>
      <c r="N10" s="1341"/>
      <c r="O10" s="1341"/>
      <c r="P10" s="1339">
        <v>4.2999999999999997E-2</v>
      </c>
      <c r="Q10" s="1340">
        <f>[188]индексы!J5-1</f>
        <v>5.0000000000000044E-2</v>
      </c>
      <c r="R10" s="1343"/>
      <c r="S10" s="1341"/>
      <c r="T10" s="1341"/>
      <c r="U10" s="1333">
        <f t="shared" si="0"/>
        <v>0.9375</v>
      </c>
      <c r="V10" s="1333">
        <f t="shared" ref="V10:V63" si="1">IF(ISERROR(Q10/L10)," ",Q10/L10)</f>
        <v>0.83333333333333337</v>
      </c>
      <c r="X10" s="1344"/>
      <c r="Y10" s="1344"/>
    </row>
    <row r="11" spans="1:25" s="1325" customFormat="1" ht="15" hidden="1" customHeight="1" outlineLevel="1">
      <c r="A11" s="1336"/>
      <c r="B11" s="1337" t="s">
        <v>104</v>
      </c>
      <c r="C11" s="1338" t="s">
        <v>3</v>
      </c>
      <c r="D11" s="1338"/>
      <c r="E11" s="1345"/>
      <c r="F11" s="1346">
        <v>0.01</v>
      </c>
      <c r="G11" s="1341"/>
      <c r="H11" s="1341"/>
      <c r="I11" s="1341"/>
      <c r="J11" s="1341"/>
      <c r="K11" s="1342"/>
      <c r="L11" s="1346">
        <v>0.01</v>
      </c>
      <c r="M11" s="1341"/>
      <c r="N11" s="1341"/>
      <c r="O11" s="1341"/>
      <c r="P11" s="1345"/>
      <c r="Q11" s="1346">
        <v>0.01</v>
      </c>
      <c r="R11" s="1343"/>
      <c r="S11" s="1341"/>
      <c r="T11" s="1341"/>
      <c r="U11" s="1333">
        <f t="shared" si="0"/>
        <v>1</v>
      </c>
      <c r="V11" s="1333">
        <f t="shared" si="1"/>
        <v>1</v>
      </c>
      <c r="X11" s="1344"/>
      <c r="Y11" s="1344"/>
    </row>
    <row r="12" spans="1:25" s="1325" customFormat="1" ht="18.75" hidden="1" customHeight="1" outlineLevel="1">
      <c r="A12" s="1336"/>
      <c r="B12" s="1337" t="s">
        <v>105</v>
      </c>
      <c r="C12" s="1338" t="s">
        <v>3</v>
      </c>
      <c r="D12" s="1338"/>
      <c r="E12" s="1338"/>
      <c r="F12" s="1347" t="s">
        <v>593</v>
      </c>
      <c r="G12" s="1341"/>
      <c r="H12" s="1341"/>
      <c r="I12" s="1341"/>
      <c r="J12" s="1341"/>
      <c r="K12" s="1342"/>
      <c r="L12" s="1347">
        <f>IF(AND(M12=N12,N12=O12),M12,"расчет")</f>
        <v>0</v>
      </c>
      <c r="M12" s="1347">
        <f>(L13-F13)/F13</f>
        <v>0</v>
      </c>
      <c r="N12" s="1347">
        <f>(L14-F14)/F14</f>
        <v>0</v>
      </c>
      <c r="O12" s="1347">
        <f>M12</f>
        <v>0</v>
      </c>
      <c r="P12" s="1338"/>
      <c r="Q12" s="1347">
        <f>IF(AND(R12=S12,S12=T12),R12,"расчет")</f>
        <v>0</v>
      </c>
      <c r="R12" s="1348">
        <f>(Q13-L13)/L13</f>
        <v>0</v>
      </c>
      <c r="S12" s="1347">
        <f>(Q14-L14)/L14</f>
        <v>0</v>
      </c>
      <c r="T12" s="1347">
        <f>R12</f>
        <v>0</v>
      </c>
      <c r="U12" s="1333" t="str">
        <f t="shared" si="0"/>
        <v xml:space="preserve"> </v>
      </c>
      <c r="V12" s="1333" t="str">
        <f t="shared" si="1"/>
        <v xml:space="preserve"> </v>
      </c>
      <c r="X12" s="1344"/>
      <c r="Y12" s="1344"/>
    </row>
    <row r="13" spans="1:25" s="1325" customFormat="1" ht="33" hidden="1" customHeight="1" outlineLevel="1">
      <c r="A13" s="1336"/>
      <c r="B13" s="1337" t="s">
        <v>106</v>
      </c>
      <c r="C13" s="1338" t="s">
        <v>97</v>
      </c>
      <c r="D13" s="1338"/>
      <c r="E13" s="1349"/>
      <c r="F13" s="1350">
        <v>15.22</v>
      </c>
      <c r="G13" s="1351"/>
      <c r="H13" s="1341"/>
      <c r="I13" s="1341"/>
      <c r="J13" s="1341"/>
      <c r="K13" s="1342"/>
      <c r="L13" s="1350">
        <f>F13</f>
        <v>15.22</v>
      </c>
      <c r="M13" s="1351"/>
      <c r="N13" s="1341"/>
      <c r="O13" s="1341"/>
      <c r="P13" s="1349"/>
      <c r="Q13" s="1350">
        <f>F13</f>
        <v>15.22</v>
      </c>
      <c r="S13" s="1341"/>
      <c r="T13" s="1341"/>
      <c r="U13" s="1333">
        <f t="shared" si="0"/>
        <v>1</v>
      </c>
      <c r="V13" s="1333">
        <f t="shared" si="1"/>
        <v>1</v>
      </c>
      <c r="X13" s="1344"/>
      <c r="Y13" s="1344"/>
    </row>
    <row r="14" spans="1:25" s="1325" customFormat="1" ht="51" hidden="1" customHeight="1" outlineLevel="1">
      <c r="A14" s="1336"/>
      <c r="B14" s="1337" t="s">
        <v>107</v>
      </c>
      <c r="C14" s="1338" t="s">
        <v>108</v>
      </c>
      <c r="D14" s="1338"/>
      <c r="E14" s="1349"/>
      <c r="F14" s="1352">
        <v>1</v>
      </c>
      <c r="G14" s="1341"/>
      <c r="H14" s="1351"/>
      <c r="I14" s="1341"/>
      <c r="J14" s="1341"/>
      <c r="K14" s="1342"/>
      <c r="L14" s="1350">
        <f>F14</f>
        <v>1</v>
      </c>
      <c r="M14" s="1341"/>
      <c r="N14" s="1351"/>
      <c r="O14" s="1341"/>
      <c r="P14" s="1349"/>
      <c r="Q14" s="1350">
        <f>F14</f>
        <v>1</v>
      </c>
      <c r="R14" s="1343"/>
      <c r="T14" s="1341"/>
      <c r="U14" s="1333">
        <f t="shared" si="0"/>
        <v>1</v>
      </c>
      <c r="V14" s="1333">
        <f t="shared" si="1"/>
        <v>1</v>
      </c>
      <c r="X14" s="1344"/>
      <c r="Y14" s="1344"/>
    </row>
    <row r="15" spans="1:25" s="1325" customFormat="1" ht="16.5" hidden="1" outlineLevel="1">
      <c r="A15" s="1336"/>
      <c r="B15" s="1337" t="s">
        <v>607</v>
      </c>
      <c r="C15" s="1338"/>
      <c r="D15" s="1338"/>
      <c r="E15" s="1338"/>
      <c r="F15" s="1326">
        <v>0.75</v>
      </c>
      <c r="G15" s="1341"/>
      <c r="H15" s="1341"/>
      <c r="I15" s="1341"/>
      <c r="J15" s="1341"/>
      <c r="K15" s="1342"/>
      <c r="L15" s="1326">
        <v>0.75</v>
      </c>
      <c r="M15" s="1341"/>
      <c r="N15" s="1341"/>
      <c r="O15" s="1341"/>
      <c r="P15" s="1338"/>
      <c r="Q15" s="1326">
        <v>0.75</v>
      </c>
      <c r="R15" s="1343"/>
      <c r="S15" s="1341"/>
      <c r="T15" s="1341"/>
      <c r="U15" s="1333">
        <f t="shared" si="0"/>
        <v>1</v>
      </c>
      <c r="V15" s="1333">
        <f t="shared" si="1"/>
        <v>1</v>
      </c>
      <c r="X15" s="1344"/>
      <c r="Y15" s="1344"/>
    </row>
    <row r="16" spans="1:25" s="1325" customFormat="1" outlineLevel="1">
      <c r="A16" s="1353" t="s">
        <v>42</v>
      </c>
      <c r="B16" s="1353">
        <v>2</v>
      </c>
      <c r="C16" s="1353">
        <v>3</v>
      </c>
      <c r="D16" s="1353"/>
      <c r="E16" s="1353">
        <v>4</v>
      </c>
      <c r="F16" s="1353">
        <v>5</v>
      </c>
      <c r="G16" s="1353"/>
      <c r="H16" s="1353"/>
      <c r="I16" s="1353"/>
      <c r="J16" s="1353">
        <v>6</v>
      </c>
      <c r="K16" s="1354">
        <v>7</v>
      </c>
      <c r="L16" s="1353">
        <v>8</v>
      </c>
      <c r="M16" s="1353"/>
      <c r="N16" s="1353"/>
      <c r="O16" s="1353"/>
      <c r="P16" s="1353"/>
      <c r="Q16" s="1353">
        <v>9</v>
      </c>
      <c r="R16" s="1343"/>
      <c r="S16" s="1341"/>
      <c r="T16" s="1341"/>
      <c r="U16" s="1333"/>
      <c r="V16" s="1333"/>
      <c r="X16" s="1355">
        <v>10</v>
      </c>
      <c r="Y16" s="1355">
        <v>11</v>
      </c>
    </row>
    <row r="17" spans="1:30" s="1334" customFormat="1" ht="41.25" customHeight="1">
      <c r="A17" s="1715" t="s">
        <v>608</v>
      </c>
      <c r="B17" s="1716"/>
      <c r="C17" s="1328" t="s">
        <v>1</v>
      </c>
      <c r="D17" s="1356">
        <f>SUM(D18:D20)</f>
        <v>21613.919999999998</v>
      </c>
      <c r="E17" s="1329">
        <f>SUM(E18:E20)+0.01</f>
        <v>25959.41</v>
      </c>
      <c r="F17" s="1329">
        <f>SUM(F18:F20)</f>
        <v>25674.44</v>
      </c>
      <c r="G17" s="1329">
        <f>SUM(G18:G20)</f>
        <v>20787.370000000003</v>
      </c>
      <c r="H17" s="1329">
        <f>SUM(H18:H20)</f>
        <v>0</v>
      </c>
      <c r="I17" s="1329">
        <f>SUM(I18:I20)</f>
        <v>2109.2199999999998</v>
      </c>
      <c r="J17" s="1329">
        <f>F17-E17</f>
        <v>-284.97000000000116</v>
      </c>
      <c r="K17" s="1721" t="s">
        <v>628</v>
      </c>
      <c r="L17" s="1329">
        <f>SUM(L18:L20)</f>
        <v>26445.64</v>
      </c>
      <c r="M17" s="1329">
        <f t="shared" ref="M17:Y17" si="2">SUM(M18:M20)</f>
        <v>21504.75</v>
      </c>
      <c r="N17" s="1329">
        <f t="shared" si="2"/>
        <v>0</v>
      </c>
      <c r="O17" s="1329">
        <f t="shared" si="2"/>
        <v>2323.1799999999998</v>
      </c>
      <c r="P17" s="1329">
        <f t="shared" si="2"/>
        <v>25147.519999999997</v>
      </c>
      <c r="Q17" s="1329">
        <f t="shared" si="2"/>
        <v>27368.42</v>
      </c>
      <c r="R17" s="1329">
        <f t="shared" si="2"/>
        <v>22285.930000000004</v>
      </c>
      <c r="S17" s="1329">
        <f t="shared" si="2"/>
        <v>0</v>
      </c>
      <c r="T17" s="1329">
        <f t="shared" si="2"/>
        <v>2558.88</v>
      </c>
      <c r="U17" s="1329">
        <f t="shared" si="2"/>
        <v>3.1413580674149078</v>
      </c>
      <c r="V17" s="1329">
        <f t="shared" si="2"/>
        <v>3.1316989336312773</v>
      </c>
      <c r="W17" s="1329">
        <f t="shared" si="2"/>
        <v>0</v>
      </c>
      <c r="X17" s="1357">
        <f t="shared" si="2"/>
        <v>28231.54</v>
      </c>
      <c r="Y17" s="1357">
        <f t="shared" si="2"/>
        <v>29119.84</v>
      </c>
    </row>
    <row r="18" spans="1:30" s="1325" customFormat="1" ht="15.75" customHeight="1" outlineLevel="1">
      <c r="A18" s="1336" t="s">
        <v>42</v>
      </c>
      <c r="B18" s="1358" t="s">
        <v>49</v>
      </c>
      <c r="C18" s="1359" t="s">
        <v>1</v>
      </c>
      <c r="D18" s="1360">
        <f>[188]Кальк_2016_ЭОР!E8</f>
        <v>17881.27</v>
      </c>
      <c r="E18" s="1361">
        <v>20142.97</v>
      </c>
      <c r="F18" s="1362">
        <v>19651.16</v>
      </c>
      <c r="G18" s="1363">
        <f>[188]Кальк_2016_ЭОР!R8</f>
        <v>18683.18</v>
      </c>
      <c r="H18" s="1363"/>
      <c r="I18" s="1363"/>
      <c r="J18" s="1363">
        <f t="shared" ref="J18:J54" si="3">F18-E18</f>
        <v>-491.81000000000131</v>
      </c>
      <c r="K18" s="1721"/>
      <c r="L18" s="1362">
        <v>20031.28</v>
      </c>
      <c r="M18" s="1363">
        <f>[188]переменные!H17</f>
        <v>19179.38</v>
      </c>
      <c r="N18" s="1363"/>
      <c r="O18" s="1363"/>
      <c r="P18" s="1363">
        <v>20577.919999999998</v>
      </c>
      <c r="Q18" s="1362">
        <v>20607.5</v>
      </c>
      <c r="R18" s="1364">
        <f>[188]переменные!K17</f>
        <v>19721.080000000002</v>
      </c>
      <c r="S18" s="1365"/>
      <c r="T18" s="1365"/>
      <c r="U18" s="1333">
        <f>IF(ISERROR(L18/F18)," ",L18/F18)</f>
        <v>1.0193433873623745</v>
      </c>
      <c r="V18" s="1333">
        <f t="shared" si="1"/>
        <v>1.0287660099604219</v>
      </c>
      <c r="X18" s="1366">
        <v>21200.27</v>
      </c>
      <c r="Y18" s="1366">
        <v>21810.06</v>
      </c>
    </row>
    <row r="19" spans="1:30" s="1325" customFormat="1" ht="16.5" customHeight="1" outlineLevel="1">
      <c r="A19" s="1336" t="s">
        <v>45</v>
      </c>
      <c r="B19" s="1358" t="s">
        <v>111</v>
      </c>
      <c r="C19" s="1359" t="s">
        <v>1</v>
      </c>
      <c r="D19" s="1360">
        <f>[188]Кальк_2016_ЭОР!E11</f>
        <v>1387.76</v>
      </c>
      <c r="E19" s="1361">
        <v>2598.56</v>
      </c>
      <c r="F19" s="1362">
        <v>2390.33</v>
      </c>
      <c r="G19" s="1363">
        <f>[188]Кальк_2016_ЭОР!R11</f>
        <v>1586.97</v>
      </c>
      <c r="H19" s="1363"/>
      <c r="I19" s="1363"/>
      <c r="J19" s="1363">
        <f t="shared" si="3"/>
        <v>-208.23000000000002</v>
      </c>
      <c r="K19" s="1721"/>
      <c r="L19" s="1362">
        <v>2490.73</v>
      </c>
      <c r="M19" s="1363">
        <f>[188]переменные!K47</f>
        <v>1706.7</v>
      </c>
      <c r="N19" s="1363"/>
      <c r="O19" s="1363"/>
      <c r="P19" s="1363">
        <v>1763.69</v>
      </c>
      <c r="Q19" s="1362">
        <v>2590.35</v>
      </c>
      <c r="R19" s="1364">
        <f>[188]переменные!N47</f>
        <v>1828.86</v>
      </c>
      <c r="S19" s="1365"/>
      <c r="T19" s="1365"/>
      <c r="U19" s="1333">
        <f>IF(ISERROR(L19/F19)," ",L19/F19)</f>
        <v>1.0420025686829852</v>
      </c>
      <c r="V19" s="1333">
        <f t="shared" si="1"/>
        <v>1.0399963063037743</v>
      </c>
      <c r="X19" s="1366">
        <v>2693.98</v>
      </c>
      <c r="Y19" s="1366">
        <v>2799.05</v>
      </c>
    </row>
    <row r="20" spans="1:30" s="1325" customFormat="1" ht="16.5" customHeight="1" outlineLevel="1">
      <c r="A20" s="1367" t="s">
        <v>46</v>
      </c>
      <c r="B20" s="1368" t="s">
        <v>50</v>
      </c>
      <c r="C20" s="1359" t="s">
        <v>1</v>
      </c>
      <c r="D20" s="1360">
        <f>[188]Кальк_2016_ЭОР!E12+[188]Кальк_2016_ЭОР!G12</f>
        <v>2344.89</v>
      </c>
      <c r="E20" s="1361">
        <v>3217.87</v>
      </c>
      <c r="F20" s="1362">
        <v>3632.95</v>
      </c>
      <c r="G20" s="1363">
        <f>[188]Кальк_2016_ЭОР!R12</f>
        <v>517.22</v>
      </c>
      <c r="H20" s="1363"/>
      <c r="I20" s="1363">
        <f>[188]Кальк_2016_ЭОР!T12</f>
        <v>2109.2199999999998</v>
      </c>
      <c r="J20" s="1363">
        <f t="shared" si="3"/>
        <v>415.07999999999993</v>
      </c>
      <c r="K20" s="1721"/>
      <c r="L20" s="1362">
        <v>3923.63</v>
      </c>
      <c r="M20" s="1363">
        <f>ROUND(([188]теплоноситель!O15+[188]переменные!H27),2)</f>
        <v>618.66999999999996</v>
      </c>
      <c r="N20" s="1363"/>
      <c r="O20" s="1363">
        <f>ROUND(([188]теплоноситель!O14+[188]теплоноситель!O22),2)</f>
        <v>2323.1799999999998</v>
      </c>
      <c r="P20" s="1363">
        <f>13.16+2792.75</f>
        <v>2805.91</v>
      </c>
      <c r="Q20" s="1362">
        <v>4170.57</v>
      </c>
      <c r="R20" s="1364">
        <f>ROUND(([188]теплоноситель!R15+[188]переменные!K27),2)</f>
        <v>735.99</v>
      </c>
      <c r="S20" s="1365"/>
      <c r="T20" s="1365">
        <f>ROUND(([188]теплоноситель!R14+[188]теплоноситель!R22),2)</f>
        <v>2558.88</v>
      </c>
      <c r="U20" s="1333">
        <f>IF(ISERROR(L20/F20)," ",L20/F20)</f>
        <v>1.0800121113695482</v>
      </c>
      <c r="V20" s="1333">
        <f t="shared" si="1"/>
        <v>1.0629366173670809</v>
      </c>
      <c r="X20" s="1366">
        <v>4337.29</v>
      </c>
      <c r="Y20" s="1366">
        <v>4510.7299999999996</v>
      </c>
    </row>
    <row r="21" spans="1:30" s="1334" customFormat="1" ht="46.5" customHeight="1">
      <c r="A21" s="1715" t="s">
        <v>609</v>
      </c>
      <c r="B21" s="1716"/>
      <c r="C21" s="1328" t="s">
        <v>1</v>
      </c>
      <c r="D21" s="1356" t="e">
        <f>SUM(D23:D26,D28,D35:D38)</f>
        <v>#REF!</v>
      </c>
      <c r="E21" s="1329">
        <f>SUM(E23:E26,E28,E35:E38)</f>
        <v>6078.21</v>
      </c>
      <c r="F21" s="1329">
        <f>SUM(F23:F26,F28,F35:F38)</f>
        <v>5814.43</v>
      </c>
      <c r="G21" s="1329" t="e">
        <f>SUM(G23:G26,G28,G35:G38)</f>
        <v>#REF!</v>
      </c>
      <c r="H21" s="1329" t="e">
        <f>SUM(H23:H26,H28,H35:H38)</f>
        <v>#REF!</v>
      </c>
      <c r="I21" s="1329">
        <f>SUM(I24:I28,I35:I38)</f>
        <v>0</v>
      </c>
      <c r="J21" s="1329">
        <f t="shared" si="3"/>
        <v>-263.77999999999975</v>
      </c>
      <c r="K21" s="1460"/>
      <c r="L21" s="1329">
        <f t="shared" ref="L21:X21" si="4">L23+L24+L25+L26+L28+L35+L37+L38</f>
        <v>5951.9999999999991</v>
      </c>
      <c r="M21" s="1329" t="e">
        <f t="shared" si="4"/>
        <v>#REF!</v>
      </c>
      <c r="N21" s="1329" t="e">
        <f t="shared" si="4"/>
        <v>#REF!</v>
      </c>
      <c r="O21" s="1329">
        <f t="shared" si="4"/>
        <v>0</v>
      </c>
      <c r="P21" s="1329" t="e">
        <f t="shared" si="4"/>
        <v>#REF!</v>
      </c>
      <c r="Q21" s="1329">
        <f t="shared" si="4"/>
        <v>6128.18</v>
      </c>
      <c r="R21" s="1329">
        <f t="shared" si="4"/>
        <v>2306.6799999999998</v>
      </c>
      <c r="S21" s="1329">
        <f t="shared" si="4"/>
        <v>1173.6799999999998</v>
      </c>
      <c r="T21" s="1329">
        <f t="shared" si="4"/>
        <v>0</v>
      </c>
      <c r="U21" s="1329">
        <f t="shared" si="4"/>
        <v>15.353453643691122</v>
      </c>
      <c r="V21" s="1329">
        <f t="shared" si="4"/>
        <v>15.444365934586038</v>
      </c>
      <c r="W21" s="1329">
        <f t="shared" si="4"/>
        <v>0</v>
      </c>
      <c r="X21" s="1329">
        <f t="shared" si="4"/>
        <v>6309.57</v>
      </c>
      <c r="Y21" s="1329">
        <f>Y23+Y24+Y25+Y26+Y28+Y35+Y37+Y38-0.01</f>
        <v>6496.34</v>
      </c>
      <c r="AD21" s="1369"/>
    </row>
    <row r="22" spans="1:30" s="1334" customFormat="1" ht="29.25" hidden="1" customHeight="1">
      <c r="A22" s="1370"/>
      <c r="B22" s="1371" t="s">
        <v>610</v>
      </c>
      <c r="C22" s="1328"/>
      <c r="D22" s="1356"/>
      <c r="E22" s="1329"/>
      <c r="F22" s="1372" t="e">
        <f>F21/(D21*H22)</f>
        <v>#REF!</v>
      </c>
      <c r="G22" s="1373" t="s">
        <v>611</v>
      </c>
      <c r="H22" s="1374">
        <f>[188]Кальк_2016_ЭОР!Q74/[188]Кальк_2016_ЭОР!D74</f>
        <v>1</v>
      </c>
      <c r="I22" s="1329"/>
      <c r="J22" s="1329" t="e">
        <f t="shared" si="3"/>
        <v>#REF!</v>
      </c>
      <c r="K22" s="1461"/>
      <c r="L22" s="1329"/>
      <c r="M22" s="1329"/>
      <c r="N22" s="1329"/>
      <c r="O22" s="1329"/>
      <c r="P22" s="1329"/>
      <c r="Q22" s="1329"/>
      <c r="R22" s="1375"/>
      <c r="S22" s="1356"/>
      <c r="T22" s="1356"/>
      <c r="U22" s="1333"/>
      <c r="V22" s="1333"/>
      <c r="X22" s="1376"/>
      <c r="Y22" s="1376"/>
    </row>
    <row r="23" spans="1:30" s="1325" customFormat="1" ht="30">
      <c r="A23" s="1367">
        <v>1</v>
      </c>
      <c r="B23" s="1368" t="s">
        <v>113</v>
      </c>
      <c r="C23" s="1359" t="s">
        <v>1</v>
      </c>
      <c r="D23" s="1377">
        <f>[188]Кальк_2016_ЭОР!D7</f>
        <v>8.27</v>
      </c>
      <c r="E23" s="1363">
        <v>52.27</v>
      </c>
      <c r="F23" s="1362">
        <v>9.5</v>
      </c>
      <c r="G23" s="1363">
        <f>[188]Кальк_2016_ЭОР!R7</f>
        <v>8.5299999999999994</v>
      </c>
      <c r="H23" s="1363">
        <f>[188]Кальк_2016_ЭОР!S7</f>
        <v>0</v>
      </c>
      <c r="I23" s="1363"/>
      <c r="J23" s="1363">
        <f t="shared" si="3"/>
        <v>-42.77</v>
      </c>
      <c r="K23" s="1378" t="s">
        <v>629</v>
      </c>
      <c r="L23" s="1362">
        <v>9.7200000000000006</v>
      </c>
      <c r="M23" s="1363">
        <f>ROUND((G23*$M$9),2)</f>
        <v>8.9499999999999993</v>
      </c>
      <c r="N23" s="1363">
        <f>ROUND((H23*$M$9),2)</f>
        <v>0</v>
      </c>
      <c r="O23" s="1363"/>
      <c r="P23" s="1363" t="e">
        <f>#REF!*1.043</f>
        <v>#REF!</v>
      </c>
      <c r="Q23" s="1362">
        <v>10.01</v>
      </c>
      <c r="R23" s="1364">
        <f t="shared" ref="R23:S25" si="5">ROUND((M23*$R$9),2)</f>
        <v>9.3000000000000007</v>
      </c>
      <c r="S23" s="1365">
        <f t="shared" si="5"/>
        <v>0</v>
      </c>
      <c r="T23" s="1377"/>
      <c r="U23" s="1333">
        <f t="shared" ref="U23:U63" si="6">IF(ISERROR(L23/F23)," ",L23/F23)</f>
        <v>1.0231578947368423</v>
      </c>
      <c r="V23" s="1333">
        <f t="shared" si="1"/>
        <v>1.0298353909465019</v>
      </c>
      <c r="X23" s="1379">
        <v>10.31</v>
      </c>
      <c r="Y23" s="1379">
        <v>10.61</v>
      </c>
    </row>
    <row r="24" spans="1:30" s="1325" customFormat="1" ht="15">
      <c r="A24" s="1367">
        <v>2</v>
      </c>
      <c r="B24" s="1368" t="s">
        <v>114</v>
      </c>
      <c r="C24" s="1359" t="s">
        <v>1</v>
      </c>
      <c r="D24" s="1377">
        <f>[188]Кальк_2016_ЭОР!D23</f>
        <v>1715.67</v>
      </c>
      <c r="E24" s="1363">
        <v>1939.9</v>
      </c>
      <c r="F24" s="1362">
        <v>1939.9</v>
      </c>
      <c r="G24" s="1363">
        <f>[188]Кальк_2016_ЭОР!R23</f>
        <v>1150.47</v>
      </c>
      <c r="H24" s="1363">
        <f>[188]Кальк_2016_ЭОР!S23</f>
        <v>620.1</v>
      </c>
      <c r="I24" s="1363"/>
      <c r="J24" s="1380">
        <v>9.9999999999999995E-7</v>
      </c>
      <c r="K24" s="1378"/>
      <c r="L24" s="1362">
        <v>1985.8</v>
      </c>
      <c r="M24" s="1363">
        <f>ROUND((G24*$M$9),2)</f>
        <v>1207.3</v>
      </c>
      <c r="N24" s="1363">
        <f>ROUND((H24*$N$9),2)</f>
        <v>650.73</v>
      </c>
      <c r="O24" s="1363"/>
      <c r="P24" s="1363" t="e">
        <f>#REF!*1.043</f>
        <v>#REF!</v>
      </c>
      <c r="Q24" s="1362">
        <v>2044.58</v>
      </c>
      <c r="R24" s="1364">
        <f t="shared" si="5"/>
        <v>1254.99</v>
      </c>
      <c r="S24" s="1365">
        <f>ROUND((N24*$S$9),2)</f>
        <v>676.43</v>
      </c>
      <c r="T24" s="1377"/>
      <c r="U24" s="1333">
        <f t="shared" si="6"/>
        <v>1.0236610134543016</v>
      </c>
      <c r="V24" s="1333">
        <f t="shared" si="1"/>
        <v>1.0296001611441232</v>
      </c>
      <c r="W24" s="1381"/>
      <c r="X24" s="1379">
        <v>2105.1</v>
      </c>
      <c r="Y24" s="1379">
        <v>2167.41</v>
      </c>
    </row>
    <row r="25" spans="1:30" s="1325" customFormat="1" ht="60.75" customHeight="1">
      <c r="A25" s="1367">
        <v>3</v>
      </c>
      <c r="B25" s="1368" t="s">
        <v>115</v>
      </c>
      <c r="C25" s="1359" t="s">
        <v>1</v>
      </c>
      <c r="D25" s="1377">
        <f>[188]Кальк_2016_ЭОР!D15</f>
        <v>1037.8399999999999</v>
      </c>
      <c r="E25" s="1363">
        <v>1580.02</v>
      </c>
      <c r="F25" s="1362">
        <v>1577.33</v>
      </c>
      <c r="G25" s="1363">
        <f>[188]Кальк_2016_ЭОР!R15</f>
        <v>640.25</v>
      </c>
      <c r="H25" s="1363">
        <f>[188]Кальк_2016_ЭОР!S15</f>
        <v>430.8</v>
      </c>
      <c r="I25" s="1363"/>
      <c r="J25" s="1363">
        <f>F25-E25</f>
        <v>-2.6900000000000546</v>
      </c>
      <c r="K25" s="1378" t="s">
        <v>630</v>
      </c>
      <c r="L25" s="1362">
        <v>1614.65</v>
      </c>
      <c r="M25" s="1363">
        <f>ROUND((G25*$M$9),2)</f>
        <v>671.88</v>
      </c>
      <c r="N25" s="1363">
        <f>ROUND((H25*$N$9),2)</f>
        <v>452.08</v>
      </c>
      <c r="O25" s="1363"/>
      <c r="P25" s="1363" t="e">
        <f>#REF!*1.043</f>
        <v>#REF!</v>
      </c>
      <c r="Q25" s="1362">
        <v>1662.44</v>
      </c>
      <c r="R25" s="1382">
        <f t="shared" si="5"/>
        <v>698.42</v>
      </c>
      <c r="S25" s="1377">
        <f>ROUND((N25*$S$9),2)</f>
        <v>469.94</v>
      </c>
      <c r="T25" s="1377"/>
      <c r="U25" s="1333">
        <f t="shared" si="6"/>
        <v>1.0236602359683771</v>
      </c>
      <c r="V25" s="1333">
        <f t="shared" si="1"/>
        <v>1.0295977456414702</v>
      </c>
      <c r="X25" s="1379">
        <v>1711.65</v>
      </c>
      <c r="Y25" s="1379">
        <v>1762.32</v>
      </c>
    </row>
    <row r="26" spans="1:30" s="1325" customFormat="1" ht="38.25" customHeight="1">
      <c r="A26" s="1367">
        <v>4</v>
      </c>
      <c r="B26" s="1368" t="s">
        <v>122</v>
      </c>
      <c r="C26" s="1359" t="s">
        <v>1</v>
      </c>
      <c r="D26" s="1377" t="e">
        <f>#REF!+D27</f>
        <v>#REF!</v>
      </c>
      <c r="E26" s="1363">
        <f>SUM(E27:E27)</f>
        <v>1899.79</v>
      </c>
      <c r="F26" s="1362">
        <f>F27</f>
        <v>1796.15</v>
      </c>
      <c r="G26" s="1363" t="e">
        <f>#REF!+G27</f>
        <v>#REF!</v>
      </c>
      <c r="H26" s="1363" t="e">
        <f>#REF!+H27</f>
        <v>#REF!</v>
      </c>
      <c r="I26" s="1363"/>
      <c r="J26" s="1363">
        <f t="shared" si="3"/>
        <v>-103.63999999999987</v>
      </c>
      <c r="K26" s="1729" t="s">
        <v>631</v>
      </c>
      <c r="L26" s="1362">
        <f>L27</f>
        <v>1838.65</v>
      </c>
      <c r="M26" s="1363" t="e">
        <f>#REF!+M27</f>
        <v>#REF!</v>
      </c>
      <c r="N26" s="1363" t="e">
        <f>#REF!+N27</f>
        <v>#REF!</v>
      </c>
      <c r="O26" s="1363"/>
      <c r="P26" s="1363" t="e">
        <f>SUM(P27:P27)</f>
        <v>#REF!</v>
      </c>
      <c r="Q26" s="1362">
        <f>Q27</f>
        <v>1893.07</v>
      </c>
      <c r="R26" s="1362">
        <f t="shared" ref="R26:Y26" si="7">R27</f>
        <v>0</v>
      </c>
      <c r="S26" s="1362">
        <f t="shared" si="7"/>
        <v>0</v>
      </c>
      <c r="T26" s="1362">
        <f t="shared" si="7"/>
        <v>0</v>
      </c>
      <c r="U26" s="1362">
        <f t="shared" si="7"/>
        <v>1.0236617209030425</v>
      </c>
      <c r="V26" s="1362">
        <f t="shared" si="7"/>
        <v>1.0295978027357027</v>
      </c>
      <c r="W26" s="1362">
        <f t="shared" si="7"/>
        <v>0</v>
      </c>
      <c r="X26" s="1362">
        <f>X27</f>
        <v>1949.11</v>
      </c>
      <c r="Y26" s="1362">
        <f t="shared" si="7"/>
        <v>2006.8</v>
      </c>
    </row>
    <row r="27" spans="1:30" s="1325" customFormat="1" ht="15" customHeight="1" outlineLevel="1">
      <c r="A27" s="1367"/>
      <c r="B27" s="1383" t="s">
        <v>612</v>
      </c>
      <c r="C27" s="1359" t="s">
        <v>1</v>
      </c>
      <c r="D27" s="1365">
        <f>[188]Кальк_2016_ЭОР!D29</f>
        <v>127.12</v>
      </c>
      <c r="E27" s="1363">
        <v>1899.79</v>
      </c>
      <c r="F27" s="1362">
        <v>1796.15</v>
      </c>
      <c r="G27" s="1363"/>
      <c r="H27" s="1363"/>
      <c r="I27" s="1363"/>
      <c r="J27" s="1363">
        <f>F27-E27</f>
        <v>-103.63999999999987</v>
      </c>
      <c r="K27" s="1730"/>
      <c r="L27" s="1362">
        <v>1838.65</v>
      </c>
      <c r="M27" s="1363">
        <f>ROUND((G27*$M$9),2)</f>
        <v>0</v>
      </c>
      <c r="N27" s="1363">
        <f>ROUND((H27*$M$9),2)</f>
        <v>0</v>
      </c>
      <c r="O27" s="1363"/>
      <c r="P27" s="1363" t="e">
        <f>#REF!*1.043</f>
        <v>#REF!</v>
      </c>
      <c r="Q27" s="1362">
        <v>1893.07</v>
      </c>
      <c r="R27" s="1364">
        <f t="shared" ref="R27" si="8">ROUND((M27*$R$9),2)</f>
        <v>0</v>
      </c>
      <c r="S27" s="1365"/>
      <c r="T27" s="1365"/>
      <c r="U27" s="1333">
        <f t="shared" si="6"/>
        <v>1.0236617209030425</v>
      </c>
      <c r="V27" s="1333">
        <f t="shared" si="1"/>
        <v>1.0295978027357027</v>
      </c>
      <c r="X27" s="1379">
        <v>1949.11</v>
      </c>
      <c r="Y27" s="1379">
        <v>2006.8</v>
      </c>
    </row>
    <row r="28" spans="1:30" s="1325" customFormat="1" ht="32.25" customHeight="1">
      <c r="A28" s="1367">
        <v>5</v>
      </c>
      <c r="B28" s="1368" t="s">
        <v>613</v>
      </c>
      <c r="C28" s="1359" t="s">
        <v>1</v>
      </c>
      <c r="D28" s="1377">
        <f>SUM(D29:D34)</f>
        <v>220.82000000000002</v>
      </c>
      <c r="E28" s="1363">
        <f>SUM(E29:E34)</f>
        <v>287.90999999999997</v>
      </c>
      <c r="F28" s="1363">
        <f>SUM(F29:F34)</f>
        <v>195.97</v>
      </c>
      <c r="G28" s="1363">
        <f>SUM(G29:G34)</f>
        <v>136.91</v>
      </c>
      <c r="H28" s="1363">
        <f>SUM(H29:H34)</f>
        <v>10.84</v>
      </c>
      <c r="I28" s="1363"/>
      <c r="J28" s="1363">
        <f t="shared" si="3"/>
        <v>-91.939999999999969</v>
      </c>
      <c r="K28" s="1729" t="s">
        <v>632</v>
      </c>
      <c r="L28" s="1362">
        <f>SUM(L29:L34)</f>
        <v>200.61</v>
      </c>
      <c r="M28" s="1362">
        <f t="shared" ref="M28:Y28" si="9">SUM(M29:M34)</f>
        <v>143.67000000000002</v>
      </c>
      <c r="N28" s="1362">
        <f t="shared" si="9"/>
        <v>11.370000000000001</v>
      </c>
      <c r="O28" s="1362">
        <f t="shared" si="9"/>
        <v>0</v>
      </c>
      <c r="P28" s="1362" t="e">
        <f t="shared" si="9"/>
        <v>#REF!</v>
      </c>
      <c r="Q28" s="1362">
        <f t="shared" si="9"/>
        <v>206.54000000000002</v>
      </c>
      <c r="R28" s="1362">
        <f t="shared" si="9"/>
        <v>149.34</v>
      </c>
      <c r="S28" s="1362">
        <f t="shared" si="9"/>
        <v>11.82</v>
      </c>
      <c r="T28" s="1362">
        <f t="shared" si="9"/>
        <v>0</v>
      </c>
      <c r="U28" s="1362">
        <f t="shared" si="9"/>
        <v>6.1410075243913198</v>
      </c>
      <c r="V28" s="1362">
        <f t="shared" si="9"/>
        <v>6.1772322769171568</v>
      </c>
      <c r="W28" s="1362">
        <f t="shared" si="9"/>
        <v>0</v>
      </c>
      <c r="X28" s="1362">
        <f t="shared" si="9"/>
        <v>212.65000000000003</v>
      </c>
      <c r="Y28" s="1362">
        <f t="shared" si="9"/>
        <v>218.95999999999998</v>
      </c>
    </row>
    <row r="29" spans="1:30" s="1325" customFormat="1" ht="15" customHeight="1" outlineLevel="1">
      <c r="A29" s="1367"/>
      <c r="B29" s="1383" t="s">
        <v>614</v>
      </c>
      <c r="C29" s="1359" t="s">
        <v>1</v>
      </c>
      <c r="D29" s="1360"/>
      <c r="E29" s="1361">
        <v>10.19</v>
      </c>
      <c r="F29" s="1362">
        <v>10.19</v>
      </c>
      <c r="G29" s="1363"/>
      <c r="H29" s="1363"/>
      <c r="I29" s="1363"/>
      <c r="J29" s="1363">
        <v>1E-4</v>
      </c>
      <c r="K29" s="1731"/>
      <c r="L29" s="1362">
        <v>10.43</v>
      </c>
      <c r="M29" s="1363">
        <f t="shared" ref="M29:N30" si="10">ROUND((G29*$M$9),2)</f>
        <v>0</v>
      </c>
      <c r="N29" s="1363">
        <f t="shared" si="10"/>
        <v>0</v>
      </c>
      <c r="O29" s="1363"/>
      <c r="P29" s="1363" t="e">
        <f>#REF!*1.043</f>
        <v>#REF!</v>
      </c>
      <c r="Q29" s="1362">
        <v>10.74</v>
      </c>
      <c r="R29" s="1364">
        <f t="shared" ref="R29:S30" si="11">ROUND((M29*$R$9),2)</f>
        <v>0</v>
      </c>
      <c r="S29" s="1365">
        <f t="shared" si="11"/>
        <v>0</v>
      </c>
      <c r="T29" s="1365"/>
      <c r="U29" s="1333">
        <f t="shared" si="6"/>
        <v>1.0235525024533858</v>
      </c>
      <c r="V29" s="1333">
        <f t="shared" si="1"/>
        <v>1.0297219558964525</v>
      </c>
      <c r="X29" s="1379">
        <v>11.05</v>
      </c>
      <c r="Y29" s="1379">
        <v>11.38</v>
      </c>
    </row>
    <row r="30" spans="1:30" s="1325" customFormat="1" ht="15" customHeight="1" outlineLevel="1">
      <c r="A30" s="1367"/>
      <c r="B30" s="1383" t="s">
        <v>615</v>
      </c>
      <c r="C30" s="1359" t="s">
        <v>1</v>
      </c>
      <c r="D30" s="1360"/>
      <c r="E30" s="1361">
        <v>91.86</v>
      </c>
      <c r="F30" s="1362">
        <v>43.89</v>
      </c>
      <c r="G30" s="1363"/>
      <c r="H30" s="1363"/>
      <c r="I30" s="1363"/>
      <c r="J30" s="1363">
        <f t="shared" si="3"/>
        <v>-47.97</v>
      </c>
      <c r="K30" s="1731"/>
      <c r="L30" s="1362">
        <v>44.93</v>
      </c>
      <c r="M30" s="1363">
        <f t="shared" si="10"/>
        <v>0</v>
      </c>
      <c r="N30" s="1363">
        <f t="shared" si="10"/>
        <v>0</v>
      </c>
      <c r="O30" s="1363"/>
      <c r="P30" s="1363" t="e">
        <f>#REF!*1.043</f>
        <v>#REF!</v>
      </c>
      <c r="Q30" s="1362">
        <v>46.26</v>
      </c>
      <c r="R30" s="1364">
        <f t="shared" si="11"/>
        <v>0</v>
      </c>
      <c r="S30" s="1365">
        <f t="shared" si="11"/>
        <v>0</v>
      </c>
      <c r="T30" s="1365"/>
      <c r="U30" s="1333">
        <f t="shared" si="6"/>
        <v>1.0236956026429711</v>
      </c>
      <c r="V30" s="1333">
        <f t="shared" si="1"/>
        <v>1.0296016024927666</v>
      </c>
      <c r="X30" s="1379">
        <v>47.63</v>
      </c>
      <c r="Y30" s="1379">
        <v>49.04</v>
      </c>
    </row>
    <row r="31" spans="1:30" s="1325" customFormat="1" ht="15" customHeight="1" outlineLevel="1">
      <c r="A31" s="1367"/>
      <c r="B31" s="1383" t="s">
        <v>280</v>
      </c>
      <c r="C31" s="1359" t="s">
        <v>1</v>
      </c>
      <c r="D31" s="1360">
        <f>[188]Кальк_2016_ЭОР!D39</f>
        <v>77.650000000000006</v>
      </c>
      <c r="E31" s="1361">
        <v>11.46</v>
      </c>
      <c r="F31" s="1362">
        <v>2.66</v>
      </c>
      <c r="G31" s="1363">
        <f>[188]Кальк_2016_ЭОР!R39</f>
        <v>0</v>
      </c>
      <c r="H31" s="1363">
        <f>[188]Кальк_2016_ЭОР!S39</f>
        <v>0</v>
      </c>
      <c r="I31" s="1363">
        <f>[188]Кальк_2016_ЭОР!T39</f>
        <v>0</v>
      </c>
      <c r="J31" s="1363">
        <f t="shared" si="3"/>
        <v>-8.8000000000000007</v>
      </c>
      <c r="K31" s="1731"/>
      <c r="L31" s="1362">
        <v>2.72</v>
      </c>
      <c r="M31" s="1363"/>
      <c r="N31" s="1363"/>
      <c r="O31" s="1363"/>
      <c r="P31" s="1363" t="e">
        <f>#REF!*1.043</f>
        <v>#REF!</v>
      </c>
      <c r="Q31" s="1362">
        <v>2.8</v>
      </c>
      <c r="R31" s="1364"/>
      <c r="S31" s="1365"/>
      <c r="T31" s="1365"/>
      <c r="U31" s="1333">
        <f t="shared" si="6"/>
        <v>1.0225563909774436</v>
      </c>
      <c r="V31" s="1333">
        <f t="shared" si="1"/>
        <v>1.0294117647058822</v>
      </c>
      <c r="X31" s="1379">
        <v>2.89</v>
      </c>
      <c r="Y31" s="1379">
        <v>2.97</v>
      </c>
    </row>
    <row r="32" spans="1:30" s="1325" customFormat="1" ht="40.5" customHeight="1" outlineLevel="1">
      <c r="A32" s="1367"/>
      <c r="B32" s="1383" t="s">
        <v>70</v>
      </c>
      <c r="C32" s="1359" t="s">
        <v>1</v>
      </c>
      <c r="D32" s="1360">
        <f>[188]Кальк_2016_ЭОР!D40</f>
        <v>28.02</v>
      </c>
      <c r="E32" s="1361">
        <v>12.6</v>
      </c>
      <c r="F32" s="1362">
        <v>12.6</v>
      </c>
      <c r="G32" s="1363">
        <f>[188]Кальк_2016_ЭОР!R40</f>
        <v>26.8</v>
      </c>
      <c r="H32" s="1363">
        <f>[188]Кальк_2016_ЭОР!S40</f>
        <v>2.12</v>
      </c>
      <c r="I32" s="1363">
        <f>[188]Кальк_2016_ЭОР!T40</f>
        <v>0</v>
      </c>
      <c r="J32" s="1363">
        <v>1.0000000000000001E-5</v>
      </c>
      <c r="K32" s="1731"/>
      <c r="L32" s="1362">
        <v>12.9</v>
      </c>
      <c r="M32" s="1363">
        <f>ROUND((G32*$M$9),2)</f>
        <v>28.12</v>
      </c>
      <c r="N32" s="1363">
        <f>ROUND((H32*$N$9),2)</f>
        <v>2.2200000000000002</v>
      </c>
      <c r="O32" s="1363"/>
      <c r="P32" s="1363" t="e">
        <f>#REF!*1.043</f>
        <v>#REF!</v>
      </c>
      <c r="Q32" s="1362">
        <v>13.28</v>
      </c>
      <c r="R32" s="1364">
        <f t="shared" ref="R32:R34" si="12">ROUND((M32*$R$9),2)</f>
        <v>29.23</v>
      </c>
      <c r="S32" s="1365">
        <f>ROUND((N32*$S$9),2)</f>
        <v>2.31</v>
      </c>
      <c r="T32" s="1365"/>
      <c r="U32" s="1333">
        <f t="shared" si="6"/>
        <v>1.0238095238095239</v>
      </c>
      <c r="V32" s="1333">
        <f t="shared" si="1"/>
        <v>1.0294573643410851</v>
      </c>
      <c r="X32" s="1379">
        <v>13.67</v>
      </c>
      <c r="Y32" s="1379">
        <v>14.08</v>
      </c>
    </row>
    <row r="33" spans="1:25" s="1325" customFormat="1" ht="50.25" customHeight="1" outlineLevel="1">
      <c r="A33" s="1367"/>
      <c r="B33" s="1383" t="s">
        <v>71</v>
      </c>
      <c r="C33" s="1359" t="s">
        <v>1</v>
      </c>
      <c r="D33" s="1360">
        <f>[188]Кальк_2016_ЭОР!D41</f>
        <v>77.94</v>
      </c>
      <c r="E33" s="1361">
        <v>63.01</v>
      </c>
      <c r="F33" s="1362">
        <v>27.84</v>
      </c>
      <c r="G33" s="1363">
        <f>[188]Кальк_2016_ЭОР!R41</f>
        <v>74.540000000000006</v>
      </c>
      <c r="H33" s="1363">
        <f>[188]Кальк_2016_ЭОР!S41</f>
        <v>5.89</v>
      </c>
      <c r="I33" s="1363">
        <f>[188]Кальк_2016_ЭОР!T41</f>
        <v>0</v>
      </c>
      <c r="J33" s="1363">
        <f t="shared" si="3"/>
        <v>-35.17</v>
      </c>
      <c r="K33" s="1731"/>
      <c r="L33" s="1362">
        <v>28.5</v>
      </c>
      <c r="M33" s="1363">
        <f>ROUND((G33*$M$9),2)</f>
        <v>78.22</v>
      </c>
      <c r="N33" s="1363">
        <f>ROUND((H33*M$9),2)</f>
        <v>6.18</v>
      </c>
      <c r="O33" s="1363"/>
      <c r="P33" s="1363" t="e">
        <f>#REF!*1.043</f>
        <v>#REF!</v>
      </c>
      <c r="Q33" s="1362">
        <v>29.34</v>
      </c>
      <c r="R33" s="1364">
        <f t="shared" si="12"/>
        <v>81.31</v>
      </c>
      <c r="S33" s="1365">
        <f t="shared" ref="S33:S34" si="13">ROUND((N33*$S$9),2)</f>
        <v>6.42</v>
      </c>
      <c r="T33" s="1365"/>
      <c r="U33" s="1333">
        <f t="shared" si="6"/>
        <v>1.0237068965517242</v>
      </c>
      <c r="V33" s="1333">
        <f t="shared" si="1"/>
        <v>1.0294736842105263</v>
      </c>
      <c r="X33" s="1379">
        <v>30.21</v>
      </c>
      <c r="Y33" s="1379">
        <v>31.11</v>
      </c>
    </row>
    <row r="34" spans="1:25" s="1325" customFormat="1" ht="19.5" customHeight="1" outlineLevel="1" collapsed="1">
      <c r="A34" s="1367"/>
      <c r="B34" s="1383" t="s">
        <v>279</v>
      </c>
      <c r="C34" s="1359" t="s">
        <v>1</v>
      </c>
      <c r="D34" s="1360">
        <f>[188]Кальк_2016_ЭОР!D42</f>
        <v>37.21</v>
      </c>
      <c r="E34" s="1361">
        <v>98.79</v>
      </c>
      <c r="F34" s="1362">
        <v>98.79</v>
      </c>
      <c r="G34" s="1363">
        <f>[188]Кальк_2016_ЭОР!R42</f>
        <v>35.57</v>
      </c>
      <c r="H34" s="1363">
        <f>[188]Кальк_2016_ЭОР!S42</f>
        <v>2.83</v>
      </c>
      <c r="I34" s="1363">
        <f>[188]Кальк_2016_ЭОР!T42</f>
        <v>0</v>
      </c>
      <c r="J34" s="1363">
        <v>1E-4</v>
      </c>
      <c r="K34" s="1730"/>
      <c r="L34" s="1362">
        <v>101.13</v>
      </c>
      <c r="M34" s="1363">
        <f>ROUND((G34*$M$9),2)</f>
        <v>37.33</v>
      </c>
      <c r="N34" s="1363">
        <f>ROUND((H34*$N$9),2)</f>
        <v>2.97</v>
      </c>
      <c r="O34" s="1363"/>
      <c r="P34" s="1363" t="e">
        <f>#REF!*1.043</f>
        <v>#REF!</v>
      </c>
      <c r="Q34" s="1362">
        <v>104.12</v>
      </c>
      <c r="R34" s="1364">
        <f t="shared" si="12"/>
        <v>38.799999999999997</v>
      </c>
      <c r="S34" s="1365">
        <f t="shared" si="13"/>
        <v>3.09</v>
      </c>
      <c r="T34" s="1365"/>
      <c r="U34" s="1333">
        <f t="shared" si="6"/>
        <v>1.0236866079562708</v>
      </c>
      <c r="V34" s="1333">
        <f t="shared" si="1"/>
        <v>1.029565905270444</v>
      </c>
      <c r="X34" s="1379">
        <v>107.2</v>
      </c>
      <c r="Y34" s="1379">
        <v>110.38</v>
      </c>
    </row>
    <row r="35" spans="1:25" s="1325" customFormat="1" ht="86.25" customHeight="1">
      <c r="A35" s="1367" t="s">
        <v>39</v>
      </c>
      <c r="B35" s="1368" t="s">
        <v>125</v>
      </c>
      <c r="C35" s="1359" t="s">
        <v>1</v>
      </c>
      <c r="D35" s="1377">
        <f>[188]Кальк_2016_ЭОР!D48</f>
        <v>31</v>
      </c>
      <c r="E35" s="1363">
        <v>35.049999999999997</v>
      </c>
      <c r="F35" s="1362">
        <v>35.049999999999997</v>
      </c>
      <c r="G35" s="1363">
        <f>[188]Кальк_2016_ЭОР!R48</f>
        <v>29.64</v>
      </c>
      <c r="H35" s="1363">
        <f>[188]Кальк_2016_ЭОР!S48</f>
        <v>2.35</v>
      </c>
      <c r="I35" s="1363"/>
      <c r="J35" s="1363">
        <v>1E-4</v>
      </c>
      <c r="K35" s="1378"/>
      <c r="L35" s="1362">
        <v>35.880000000000003</v>
      </c>
      <c r="M35" s="1363">
        <f>ROUND((G35*$M$9),2)</f>
        <v>31.1</v>
      </c>
      <c r="N35" s="1363">
        <f>ROUND((H35*$N$9),2)</f>
        <v>2.4700000000000002</v>
      </c>
      <c r="O35" s="1363"/>
      <c r="P35" s="1363" t="e">
        <f>#REF!*1.043</f>
        <v>#REF!</v>
      </c>
      <c r="Q35" s="1362">
        <v>36.94</v>
      </c>
      <c r="R35" s="1382">
        <f>ROUND((M35*$R$9),2)</f>
        <v>32.33</v>
      </c>
      <c r="S35" s="1377">
        <f>ROUND((N35*$S$9),2)</f>
        <v>2.57</v>
      </c>
      <c r="T35" s="1377"/>
      <c r="U35" s="1333">
        <f t="shared" si="6"/>
        <v>1.0236804564907276</v>
      </c>
      <c r="V35" s="1333">
        <f t="shared" si="1"/>
        <v>1.0295429208472686</v>
      </c>
      <c r="X35" s="1379">
        <v>38.04</v>
      </c>
      <c r="Y35" s="1379">
        <v>39.159999999999997</v>
      </c>
    </row>
    <row r="36" spans="1:25" s="1325" customFormat="1" ht="15" hidden="1" customHeight="1">
      <c r="A36" s="1367" t="s">
        <v>60</v>
      </c>
      <c r="B36" s="1368" t="s">
        <v>126</v>
      </c>
      <c r="C36" s="1359" t="s">
        <v>1</v>
      </c>
      <c r="D36" s="1377"/>
      <c r="E36" s="1363"/>
      <c r="F36" s="1362">
        <f t="shared" ref="F36" si="14">G36+H36+I36</f>
        <v>0</v>
      </c>
      <c r="G36" s="1363"/>
      <c r="H36" s="1363"/>
      <c r="I36" s="1363"/>
      <c r="J36" s="1363">
        <f t="shared" si="3"/>
        <v>0</v>
      </c>
      <c r="K36" s="1459"/>
      <c r="L36" s="1362">
        <f t="shared" ref="L36" si="15">M36+N36+O36</f>
        <v>0</v>
      </c>
      <c r="M36" s="1363"/>
      <c r="N36" s="1363"/>
      <c r="O36" s="1363"/>
      <c r="P36" s="1363"/>
      <c r="Q36" s="1362">
        <f t="shared" ref="Q36" si="16">R36+S36+T36</f>
        <v>0</v>
      </c>
      <c r="R36" s="1382"/>
      <c r="S36" s="1377"/>
      <c r="T36" s="1377"/>
      <c r="U36" s="1333" t="str">
        <f t="shared" si="6"/>
        <v xml:space="preserve"> </v>
      </c>
      <c r="V36" s="1333" t="str">
        <f t="shared" si="1"/>
        <v xml:space="preserve"> </v>
      </c>
      <c r="X36" s="1379"/>
      <c r="Y36" s="1379"/>
    </row>
    <row r="37" spans="1:25" s="1325" customFormat="1" ht="38.25" customHeight="1">
      <c r="A37" s="1367" t="s">
        <v>37</v>
      </c>
      <c r="B37" s="1368" t="s">
        <v>127</v>
      </c>
      <c r="C37" s="1359" t="s">
        <v>1</v>
      </c>
      <c r="D37" s="1377">
        <f>[188]Кальк_2016_ЭОР!D45</f>
        <v>36</v>
      </c>
      <c r="E37" s="1363">
        <v>125.1</v>
      </c>
      <c r="F37" s="1362">
        <v>121.5</v>
      </c>
      <c r="G37" s="1363">
        <f>[188]Кальк_2016_ЭОР!R45</f>
        <v>33.36</v>
      </c>
      <c r="H37" s="1363">
        <f>[188]Кальк_2016_ЭОР!S45</f>
        <v>2.64</v>
      </c>
      <c r="I37" s="1363"/>
      <c r="J37" s="1363">
        <f>F37-E37</f>
        <v>-3.5999999999999943</v>
      </c>
      <c r="K37" s="1462" t="s">
        <v>633</v>
      </c>
      <c r="L37" s="1362">
        <v>124.37</v>
      </c>
      <c r="M37" s="1363">
        <f>ROUND((G37*$M$9),2)</f>
        <v>35.01</v>
      </c>
      <c r="N37" s="1363">
        <f>ROUND((H37*$N$9),2)</f>
        <v>2.77</v>
      </c>
      <c r="O37" s="1363"/>
      <c r="P37" s="1363" t="e">
        <f>#REF!*1.043</f>
        <v>#REF!</v>
      </c>
      <c r="Q37" s="1362">
        <v>128.06</v>
      </c>
      <c r="R37" s="1382">
        <f>ROUND((M37*$R$9),2)</f>
        <v>36.39</v>
      </c>
      <c r="S37" s="1377">
        <f>ROUND((N37*$S$9),2)</f>
        <v>2.88</v>
      </c>
      <c r="T37" s="1377"/>
      <c r="U37" s="1333">
        <f t="shared" si="6"/>
        <v>1.0236213991769547</v>
      </c>
      <c r="V37" s="1333">
        <f t="shared" si="1"/>
        <v>1.0296695344536464</v>
      </c>
      <c r="X37" s="1379">
        <v>131.85</v>
      </c>
      <c r="Y37" s="1379">
        <v>135.75</v>
      </c>
    </row>
    <row r="38" spans="1:25" s="1325" customFormat="1" ht="32.25" customHeight="1">
      <c r="A38" s="1367" t="s">
        <v>60</v>
      </c>
      <c r="B38" s="1368" t="s">
        <v>616</v>
      </c>
      <c r="C38" s="1359" t="s">
        <v>1</v>
      </c>
      <c r="D38" s="1377">
        <f>D39+D40+D41</f>
        <v>120.77</v>
      </c>
      <c r="E38" s="1363">
        <f>SUM(E39:E41)</f>
        <v>158.17000000000002</v>
      </c>
      <c r="F38" s="1363">
        <f>SUM(F39:F41)</f>
        <v>139.03</v>
      </c>
      <c r="G38" s="1363">
        <f>G39+G40+G41</f>
        <v>115.42999999999999</v>
      </c>
      <c r="H38" s="1363">
        <f>H39+H40+H41</f>
        <v>9.2100000000000009</v>
      </c>
      <c r="I38" s="1363">
        <f>I39+I40+I41</f>
        <v>0</v>
      </c>
      <c r="J38" s="1363">
        <f t="shared" si="3"/>
        <v>-19.140000000000015</v>
      </c>
      <c r="K38" s="1729" t="s">
        <v>634</v>
      </c>
      <c r="L38" s="1362">
        <f>SUM(L39:L41)</f>
        <v>142.32</v>
      </c>
      <c r="M38" s="1362">
        <f t="shared" ref="M38:Y38" si="17">SUM(M39:M41)</f>
        <v>121.13</v>
      </c>
      <c r="N38" s="1362">
        <f t="shared" si="17"/>
        <v>9.66</v>
      </c>
      <c r="O38" s="1362">
        <f t="shared" si="17"/>
        <v>0</v>
      </c>
      <c r="P38" s="1362" t="e">
        <f t="shared" si="17"/>
        <v>#REF!</v>
      </c>
      <c r="Q38" s="1362">
        <f t="shared" si="17"/>
        <v>146.54</v>
      </c>
      <c r="R38" s="1362">
        <f t="shared" si="17"/>
        <v>125.91</v>
      </c>
      <c r="S38" s="1362">
        <f t="shared" si="17"/>
        <v>10.040000000000001</v>
      </c>
      <c r="T38" s="1362">
        <f t="shared" si="17"/>
        <v>0</v>
      </c>
      <c r="U38" s="1362">
        <f t="shared" si="17"/>
        <v>3.0710033985695575</v>
      </c>
      <c r="V38" s="1362">
        <f t="shared" si="17"/>
        <v>3.0892901019001711</v>
      </c>
      <c r="W38" s="1362">
        <f t="shared" si="17"/>
        <v>0</v>
      </c>
      <c r="X38" s="1362">
        <f t="shared" si="17"/>
        <v>150.85999999999999</v>
      </c>
      <c r="Y38" s="1362">
        <f t="shared" si="17"/>
        <v>155.34</v>
      </c>
    </row>
    <row r="39" spans="1:25" s="1325" customFormat="1" ht="15.75" customHeight="1">
      <c r="A39" s="1367"/>
      <c r="B39" s="1383" t="s">
        <v>617</v>
      </c>
      <c r="C39" s="1359" t="s">
        <v>1</v>
      </c>
      <c r="D39" s="1365">
        <v>88.89</v>
      </c>
      <c r="E39" s="1363">
        <v>116.23</v>
      </c>
      <c r="F39" s="1362">
        <v>98.8</v>
      </c>
      <c r="G39" s="1363">
        <f>[188]Кальк_2016_ЭОР!R51</f>
        <v>84.97</v>
      </c>
      <c r="H39" s="1363">
        <f>[188]Кальк_2016_ЭОР!S51</f>
        <v>6.76</v>
      </c>
      <c r="I39" s="1363"/>
      <c r="J39" s="1363">
        <f t="shared" si="3"/>
        <v>-17.430000000000007</v>
      </c>
      <c r="K39" s="1731"/>
      <c r="L39" s="1362">
        <v>101.14</v>
      </c>
      <c r="M39" s="1363">
        <f>ROUND((G39*$M$9),2)</f>
        <v>89.17</v>
      </c>
      <c r="N39" s="1363">
        <f>ROUND((H39*$N$9),2)</f>
        <v>7.09</v>
      </c>
      <c r="O39" s="1363"/>
      <c r="P39" s="1363" t="e">
        <f>#REF!*1.043</f>
        <v>#REF!</v>
      </c>
      <c r="Q39" s="1362">
        <v>104.13</v>
      </c>
      <c r="R39" s="1364">
        <f t="shared" ref="R39:R41" si="18">ROUND((M39*$R$9),2)</f>
        <v>92.69</v>
      </c>
      <c r="S39" s="1365">
        <f t="shared" ref="S39:S41" si="19">ROUND((N39*$S$9),2)</f>
        <v>7.37</v>
      </c>
      <c r="T39" s="1377"/>
      <c r="U39" s="1333">
        <f t="shared" si="6"/>
        <v>1.0236842105263158</v>
      </c>
      <c r="V39" s="1333">
        <f t="shared" si="1"/>
        <v>1.0295629820051413</v>
      </c>
      <c r="X39" s="1379">
        <v>107.21</v>
      </c>
      <c r="Y39" s="1379">
        <v>110.39</v>
      </c>
    </row>
    <row r="40" spans="1:25" s="1325" customFormat="1" ht="16.5" customHeight="1">
      <c r="A40" s="1367"/>
      <c r="B40" s="1383" t="s">
        <v>618</v>
      </c>
      <c r="C40" s="1359" t="s">
        <v>1</v>
      </c>
      <c r="D40" s="1365">
        <f>[188]Кальк_2016_ЭОР!D64</f>
        <v>21.46</v>
      </c>
      <c r="E40" s="1363">
        <v>30.16</v>
      </c>
      <c r="F40" s="1362">
        <v>28.45</v>
      </c>
      <c r="G40" s="1363">
        <f>[188]Кальк_2016_ЭОР!R64</f>
        <v>20.52</v>
      </c>
      <c r="H40" s="1363">
        <f>[188]Кальк_2016_ЭОР!S64</f>
        <v>1.63</v>
      </c>
      <c r="I40" s="1363"/>
      <c r="J40" s="1363">
        <f t="shared" si="3"/>
        <v>-1.7100000000000009</v>
      </c>
      <c r="K40" s="1731"/>
      <c r="L40" s="1362">
        <v>29.12</v>
      </c>
      <c r="M40" s="1363">
        <f>ROUND((G40*$M$9),2)</f>
        <v>21.53</v>
      </c>
      <c r="N40" s="1363">
        <f>ROUND((H40*$N$9),2)</f>
        <v>1.71</v>
      </c>
      <c r="O40" s="1363"/>
      <c r="P40" s="1363" t="e">
        <f>#REF!*1.043</f>
        <v>#REF!</v>
      </c>
      <c r="Q40" s="1362">
        <v>29.99</v>
      </c>
      <c r="R40" s="1364">
        <f t="shared" si="18"/>
        <v>22.38</v>
      </c>
      <c r="S40" s="1365">
        <f t="shared" si="19"/>
        <v>1.78</v>
      </c>
      <c r="T40" s="1377"/>
      <c r="U40" s="1333">
        <f t="shared" si="6"/>
        <v>1.0235500878734622</v>
      </c>
      <c r="V40" s="1333">
        <f t="shared" si="1"/>
        <v>1.0298763736263736</v>
      </c>
      <c r="X40" s="1379">
        <v>30.87</v>
      </c>
      <c r="Y40" s="1379">
        <v>31.79</v>
      </c>
    </row>
    <row r="41" spans="1:25" s="1325" customFormat="1" ht="16.5" customHeight="1">
      <c r="A41" s="1367"/>
      <c r="B41" s="1383" t="s">
        <v>619</v>
      </c>
      <c r="C41" s="1359" t="s">
        <v>1</v>
      </c>
      <c r="D41" s="1365">
        <v>10.420000000000002</v>
      </c>
      <c r="E41" s="1363">
        <v>11.78</v>
      </c>
      <c r="F41" s="1362">
        <v>11.78</v>
      </c>
      <c r="G41" s="1363">
        <f>[188]Кальк_2016_ЭОР!R53</f>
        <v>9.94</v>
      </c>
      <c r="H41" s="1363">
        <f>[188]Кальк_2016_ЭОР!S53</f>
        <v>0.82</v>
      </c>
      <c r="I41" s="1363"/>
      <c r="J41" s="1363">
        <v>1E-4</v>
      </c>
      <c r="K41" s="1731"/>
      <c r="L41" s="1362">
        <v>12.06</v>
      </c>
      <c r="M41" s="1363">
        <f>ROUND((G41*$M$9),2)</f>
        <v>10.43</v>
      </c>
      <c r="N41" s="1363">
        <f>ROUND((H41*$N$9),2)</f>
        <v>0.86</v>
      </c>
      <c r="O41" s="1363"/>
      <c r="P41" s="1363" t="e">
        <f>#REF!*1.043</f>
        <v>#REF!</v>
      </c>
      <c r="Q41" s="1362">
        <v>12.42</v>
      </c>
      <c r="R41" s="1364">
        <f t="shared" si="18"/>
        <v>10.84</v>
      </c>
      <c r="S41" s="1365">
        <f t="shared" si="19"/>
        <v>0.89</v>
      </c>
      <c r="T41" s="1377"/>
      <c r="U41" s="1333">
        <f t="shared" si="6"/>
        <v>1.0237691001697793</v>
      </c>
      <c r="V41" s="1333">
        <f t="shared" si="1"/>
        <v>1.0298507462686566</v>
      </c>
      <c r="X41" s="1379">
        <v>12.78</v>
      </c>
      <c r="Y41" s="1379">
        <v>13.16</v>
      </c>
    </row>
    <row r="42" spans="1:25" s="1334" customFormat="1" ht="36" customHeight="1">
      <c r="A42" s="1715" t="s">
        <v>146</v>
      </c>
      <c r="B42" s="1716"/>
      <c r="C42" s="1328" t="s">
        <v>1</v>
      </c>
      <c r="D42" s="1356" t="e">
        <f>SUM(D43,D46,D51:D53,#REF!,D54:D54)</f>
        <v>#REF!</v>
      </c>
      <c r="E42" s="1329">
        <f>E43+E46+E51+E52+E53+E54</f>
        <v>985.97</v>
      </c>
      <c r="F42" s="1329">
        <f>F43+F46+F51+F52+F53+F54</f>
        <v>617.39001999999994</v>
      </c>
      <c r="G42" s="1329" t="e">
        <f>SUM(G43,G46,G51:G53,#REF!,G54:G54)</f>
        <v>#REF!</v>
      </c>
      <c r="H42" s="1329" t="e">
        <f>SUM(H43,H46,H51:H53,#REF!,H54:H54)</f>
        <v>#REF!</v>
      </c>
      <c r="I42" s="1329" t="e">
        <f>SUM(I43,I46,I51:I53,#REF!,I54:I54)</f>
        <v>#REF!</v>
      </c>
      <c r="J42" s="1329">
        <f t="shared" si="3"/>
        <v>-368.57998000000009</v>
      </c>
      <c r="K42" s="1461"/>
      <c r="L42" s="1329">
        <f>L43+L46+L51+L52+L53+L54</f>
        <v>627.65010099999995</v>
      </c>
      <c r="M42" s="1329" t="e">
        <f t="shared" ref="M42:Y42" si="20">M43+M46+M51+M52+M53+M54</f>
        <v>#REF!</v>
      </c>
      <c r="N42" s="1329" t="e">
        <f t="shared" si="20"/>
        <v>#REF!</v>
      </c>
      <c r="O42" s="1329" t="e">
        <f t="shared" si="20"/>
        <v>#REF!</v>
      </c>
      <c r="P42" s="1329" t="e">
        <f t="shared" si="20"/>
        <v>#REF!</v>
      </c>
      <c r="Q42" s="1329">
        <f t="shared" si="20"/>
        <v>544.30002000000002</v>
      </c>
      <c r="R42" s="1329" t="e">
        <f t="shared" si="20"/>
        <v>#REF!</v>
      </c>
      <c r="S42" s="1329" t="e">
        <f t="shared" si="20"/>
        <v>#REF!</v>
      </c>
      <c r="T42" s="1329" t="e">
        <f t="shared" si="20"/>
        <v>#REF!</v>
      </c>
      <c r="U42" s="1329">
        <f t="shared" si="20"/>
        <v>16.535893338194036</v>
      </c>
      <c r="V42" s="1329">
        <f t="shared" si="20"/>
        <v>15.192460478122667</v>
      </c>
      <c r="W42" s="1329">
        <f t="shared" si="20"/>
        <v>0</v>
      </c>
      <c r="X42" s="1329">
        <f t="shared" si="20"/>
        <v>559.8101099999999</v>
      </c>
      <c r="Y42" s="1329">
        <f t="shared" si="20"/>
        <v>575.79001100000005</v>
      </c>
    </row>
    <row r="43" spans="1:25" s="1325" customFormat="1" ht="84.75" customHeight="1">
      <c r="A43" s="1367" t="s">
        <v>42</v>
      </c>
      <c r="B43" s="1385" t="s">
        <v>129</v>
      </c>
      <c r="C43" s="1386" t="s">
        <v>21</v>
      </c>
      <c r="D43" s="1387">
        <f>SUM(D44:D45)</f>
        <v>9.1300000000000008</v>
      </c>
      <c r="E43" s="1388">
        <f>E44</f>
        <v>12.81</v>
      </c>
      <c r="F43" s="1388">
        <f>F44</f>
        <v>14.14</v>
      </c>
      <c r="G43" s="1388">
        <f>SUM(G44:G45)</f>
        <v>9.9700000000000006</v>
      </c>
      <c r="H43" s="1388">
        <f t="shared" ref="H43" si="21">SUM(H44:H45)</f>
        <v>0</v>
      </c>
      <c r="I43" s="1388"/>
      <c r="J43" s="1388">
        <f t="shared" si="3"/>
        <v>1.33</v>
      </c>
      <c r="K43" s="1462"/>
      <c r="L43" s="1362">
        <f>L44</f>
        <v>15.27</v>
      </c>
      <c r="M43" s="1362">
        <f t="shared" ref="M43:Y43" si="22">M44</f>
        <v>10.79</v>
      </c>
      <c r="N43" s="1362">
        <f t="shared" si="22"/>
        <v>0</v>
      </c>
      <c r="O43" s="1362">
        <f t="shared" si="22"/>
        <v>0</v>
      </c>
      <c r="P43" s="1362">
        <f t="shared" si="22"/>
        <v>9.8350000000000009</v>
      </c>
      <c r="Q43" s="1362">
        <f>Q44</f>
        <v>16.23</v>
      </c>
      <c r="R43" s="1362">
        <f t="shared" si="22"/>
        <v>12.08</v>
      </c>
      <c r="S43" s="1362">
        <f t="shared" si="22"/>
        <v>0</v>
      </c>
      <c r="T43" s="1362">
        <f t="shared" si="22"/>
        <v>0</v>
      </c>
      <c r="U43" s="1362">
        <f t="shared" si="22"/>
        <v>1.0799151343705797</v>
      </c>
      <c r="V43" s="1362">
        <f t="shared" si="22"/>
        <v>1.0628683693516701</v>
      </c>
      <c r="W43" s="1362">
        <f t="shared" si="22"/>
        <v>0</v>
      </c>
      <c r="X43" s="1362">
        <f t="shared" si="22"/>
        <v>16.88</v>
      </c>
      <c r="Y43" s="1362">
        <f t="shared" si="22"/>
        <v>17.559999999999999</v>
      </c>
    </row>
    <row r="44" spans="1:25" s="1325" customFormat="1" ht="15.75" customHeight="1" outlineLevel="1">
      <c r="A44" s="1367"/>
      <c r="B44" s="1389" t="s">
        <v>130</v>
      </c>
      <c r="C44" s="1386" t="s">
        <v>1</v>
      </c>
      <c r="D44" s="1390">
        <f>[188]Кальк_2016_ЭОР!D25</f>
        <v>9.1300000000000008</v>
      </c>
      <c r="E44" s="1391">
        <v>12.81</v>
      </c>
      <c r="F44" s="1362">
        <v>14.14</v>
      </c>
      <c r="G44" s="1363">
        <f>[188]Кальк_2016_ЭОР!R25</f>
        <v>9.9700000000000006</v>
      </c>
      <c r="H44" s="1363">
        <f>[188]Кальк_2016_ЭОР!S25</f>
        <v>0</v>
      </c>
      <c r="I44" s="1363"/>
      <c r="J44" s="1363">
        <f t="shared" si="3"/>
        <v>1.33</v>
      </c>
      <c r="K44" s="1462"/>
      <c r="L44" s="1362">
        <v>15.27</v>
      </c>
      <c r="M44" s="1363">
        <f>[188]переменные!H28</f>
        <v>10.79</v>
      </c>
      <c r="N44" s="1363"/>
      <c r="O44" s="1363"/>
      <c r="P44" s="1391">
        <v>9.8350000000000009</v>
      </c>
      <c r="Q44" s="1362">
        <v>16.23</v>
      </c>
      <c r="R44" s="1364">
        <f>[188]переменные!K28</f>
        <v>12.08</v>
      </c>
      <c r="S44" s="1365"/>
      <c r="T44" s="1365"/>
      <c r="U44" s="1333">
        <f t="shared" si="6"/>
        <v>1.0799151343705797</v>
      </c>
      <c r="V44" s="1333">
        <f t="shared" si="1"/>
        <v>1.0628683693516701</v>
      </c>
      <c r="X44" s="1379">
        <v>16.88</v>
      </c>
      <c r="Y44" s="1379">
        <v>17.559999999999999</v>
      </c>
    </row>
    <row r="45" spans="1:25" s="1325" customFormat="1" ht="15" hidden="1" outlineLevel="1">
      <c r="A45" s="1367" t="s">
        <v>44</v>
      </c>
      <c r="B45" s="1389" t="s">
        <v>67</v>
      </c>
      <c r="C45" s="1386" t="s">
        <v>1</v>
      </c>
      <c r="D45" s="1392"/>
      <c r="E45" s="1386"/>
      <c r="F45" s="1362">
        <f t="shared" ref="F45" si="23">G45+H45+I45</f>
        <v>0</v>
      </c>
      <c r="G45" s="1363">
        <f>[188]Кальк_2016_ЭОР!R26</f>
        <v>0</v>
      </c>
      <c r="H45" s="1363">
        <f>[188]Кальк_2016_ЭОР!S26</f>
        <v>0</v>
      </c>
      <c r="I45" s="1363"/>
      <c r="J45" s="1363">
        <f t="shared" si="3"/>
        <v>0</v>
      </c>
      <c r="K45" s="1398"/>
      <c r="L45" s="1362">
        <f t="shared" ref="L45" si="24">M45+N45+O45</f>
        <v>0</v>
      </c>
      <c r="M45" s="1363"/>
      <c r="N45" s="1363"/>
      <c r="O45" s="1363"/>
      <c r="P45" s="1386"/>
      <c r="Q45" s="1362">
        <f t="shared" ref="Q45" si="25">R45+S45+T45</f>
        <v>0</v>
      </c>
      <c r="R45" s="1364"/>
      <c r="S45" s="1365"/>
      <c r="T45" s="1365"/>
      <c r="U45" s="1333" t="str">
        <f t="shared" si="6"/>
        <v xml:space="preserve"> </v>
      </c>
      <c r="V45" s="1333" t="str">
        <f t="shared" si="1"/>
        <v xml:space="preserve"> </v>
      </c>
      <c r="X45" s="1379"/>
      <c r="Y45" s="1379"/>
    </row>
    <row r="46" spans="1:25" s="1325" customFormat="1" ht="29.25" customHeight="1" collapsed="1">
      <c r="A46" s="1367" t="s">
        <v>45</v>
      </c>
      <c r="B46" s="1385" t="s">
        <v>131</v>
      </c>
      <c r="C46" s="1386" t="s">
        <v>21</v>
      </c>
      <c r="D46" s="1393">
        <f>SUM(D47:D50)</f>
        <v>53.11</v>
      </c>
      <c r="E46" s="1388">
        <f>SUM(E47:E50)</f>
        <v>65.06</v>
      </c>
      <c r="F46" s="1388">
        <f>SUM(F47:F50)</f>
        <v>13.88001</v>
      </c>
      <c r="G46" s="1388">
        <f>SUM(G47:G50)</f>
        <v>35.53</v>
      </c>
      <c r="H46" s="1388">
        <f>SUM(H47:H50)</f>
        <v>3.1500000000000004</v>
      </c>
      <c r="I46" s="1388"/>
      <c r="J46" s="1388">
        <f t="shared" si="3"/>
        <v>-51.179990000000004</v>
      </c>
      <c r="K46" s="1732" t="s">
        <v>635</v>
      </c>
      <c r="L46" s="1362">
        <f>SUM(L47:L50)</f>
        <v>11.730001</v>
      </c>
      <c r="M46" s="1362" t="e">
        <f t="shared" ref="M46:Y46" si="26">SUM(M47:M50)</f>
        <v>#REF!</v>
      </c>
      <c r="N46" s="1362" t="e">
        <f t="shared" si="26"/>
        <v>#REF!</v>
      </c>
      <c r="O46" s="1362">
        <f t="shared" si="26"/>
        <v>0</v>
      </c>
      <c r="P46" s="1362">
        <f t="shared" si="26"/>
        <v>42.416143149999996</v>
      </c>
      <c r="Q46" s="1362">
        <f>SUM(Q47:Q50)</f>
        <v>10.66001</v>
      </c>
      <c r="R46" s="1362" t="e">
        <f t="shared" si="26"/>
        <v>#REF!</v>
      </c>
      <c r="S46" s="1362" t="e">
        <f t="shared" si="26"/>
        <v>#REF!</v>
      </c>
      <c r="T46" s="1362">
        <f t="shared" si="26"/>
        <v>0</v>
      </c>
      <c r="U46" s="1362">
        <f t="shared" si="26"/>
        <v>2.4322981366459628</v>
      </c>
      <c r="V46" s="1362">
        <f t="shared" si="26"/>
        <v>12.000000000000002</v>
      </c>
      <c r="W46" s="1362">
        <f t="shared" si="26"/>
        <v>0</v>
      </c>
      <c r="X46" s="1362">
        <f t="shared" si="26"/>
        <v>10.66001</v>
      </c>
      <c r="Y46" s="1362">
        <f t="shared" si="26"/>
        <v>10.660000999999999</v>
      </c>
    </row>
    <row r="47" spans="1:25" s="1325" customFormat="1" ht="15" outlineLevel="1">
      <c r="A47" s="1367"/>
      <c r="B47" s="1394" t="s">
        <v>620</v>
      </c>
      <c r="C47" s="1395" t="s">
        <v>21</v>
      </c>
      <c r="D47" s="1390">
        <f>[188]Кальк_2016_ЭОР!D43</f>
        <v>0.98</v>
      </c>
      <c r="E47" s="1391">
        <v>4.28</v>
      </c>
      <c r="F47" s="1362">
        <v>3.96</v>
      </c>
      <c r="G47" s="1388">
        <f>[188]Кальк_2016_ЭОР!R43</f>
        <v>0.59</v>
      </c>
      <c r="H47" s="1388">
        <f>[188]Кальк_2016_ЭОР!S43</f>
        <v>0.39</v>
      </c>
      <c r="I47" s="1388"/>
      <c r="J47" s="1388">
        <f t="shared" si="3"/>
        <v>-0.32000000000000028</v>
      </c>
      <c r="K47" s="1733"/>
      <c r="L47" s="1362">
        <v>3.96</v>
      </c>
      <c r="M47" s="1388">
        <f>G47</f>
        <v>0.59</v>
      </c>
      <c r="N47" s="1388">
        <f>H47</f>
        <v>0.39</v>
      </c>
      <c r="O47" s="1388"/>
      <c r="P47" s="1391">
        <f>0.6+0.38+0.12*1.043*1.043</f>
        <v>1.11054188</v>
      </c>
      <c r="Q47" s="1362">
        <v>3.96</v>
      </c>
      <c r="R47" s="1396">
        <f>M47</f>
        <v>0.59</v>
      </c>
      <c r="S47" s="1387">
        <f>N47</f>
        <v>0.39</v>
      </c>
      <c r="T47" s="1387"/>
      <c r="U47" s="1333">
        <f t="shared" si="6"/>
        <v>1</v>
      </c>
      <c r="V47" s="1333">
        <f t="shared" si="1"/>
        <v>1</v>
      </c>
      <c r="X47" s="1379">
        <v>3.96</v>
      </c>
      <c r="Y47" s="1379">
        <v>3.96</v>
      </c>
    </row>
    <row r="48" spans="1:25" s="1325" customFormat="1" ht="15" outlineLevel="1">
      <c r="A48" s="1367"/>
      <c r="B48" s="1394" t="s">
        <v>132</v>
      </c>
      <c r="C48" s="1395" t="s">
        <v>21</v>
      </c>
      <c r="D48" s="1390">
        <f>[188]Кальк_2016_ЭОР!D49</f>
        <v>20.67</v>
      </c>
      <c r="E48" s="1391">
        <v>7.56</v>
      </c>
      <c r="F48" s="1362">
        <v>6.7</v>
      </c>
      <c r="G48" s="1388">
        <f>[188]Кальк_2016_ЭОР!R49</f>
        <v>19.77</v>
      </c>
      <c r="H48" s="1388">
        <f>[188]Кальк_2016_ЭОР!S49</f>
        <v>1.56</v>
      </c>
      <c r="I48" s="1388"/>
      <c r="J48" s="1388">
        <f t="shared" si="3"/>
        <v>-0.85999999999999943</v>
      </c>
      <c r="K48" s="1733"/>
      <c r="L48" s="1362">
        <v>6.7</v>
      </c>
      <c r="M48" s="1388">
        <f>ROUND((G48/2+G48/2*[188]индексы!$I$5),2)</f>
        <v>20.36</v>
      </c>
      <c r="N48" s="1388">
        <f>ROUND((H48/2+H48/2*[188]индексы!$I$5),2)</f>
        <v>1.61</v>
      </c>
      <c r="O48" s="1388">
        <f>ROUND(I48*O$9,2)</f>
        <v>0</v>
      </c>
      <c r="P48" s="1391">
        <f>12.69+7.994+2.59*1.043*1.043</f>
        <v>23.501528909999998</v>
      </c>
      <c r="Q48" s="1362">
        <v>6.7</v>
      </c>
      <c r="R48" s="1396">
        <f>ROUND((M48/2+M48/2*[188]индексы!$J$5),2)</f>
        <v>20.87</v>
      </c>
      <c r="S48" s="1387">
        <f>ROUND((N48/2+N48/2*[188]индексы!$J$5),2)</f>
        <v>1.65</v>
      </c>
      <c r="T48" s="1387">
        <f>ROUND(O48*T$9,2)</f>
        <v>0</v>
      </c>
      <c r="U48" s="1333">
        <f t="shared" si="6"/>
        <v>1</v>
      </c>
      <c r="V48" s="1333">
        <f t="shared" si="1"/>
        <v>1</v>
      </c>
      <c r="X48" s="1362">
        <v>6.7</v>
      </c>
      <c r="Y48" s="1362">
        <v>6.7</v>
      </c>
    </row>
    <row r="49" spans="1:25" s="1325" customFormat="1" ht="15.75" customHeight="1" outlineLevel="1">
      <c r="A49" s="1367"/>
      <c r="B49" s="1394" t="s">
        <v>133</v>
      </c>
      <c r="C49" s="1395" t="s">
        <v>21</v>
      </c>
      <c r="D49" s="1390">
        <f>[188]Кальк_2016_ЭОР!D54</f>
        <v>31.459999999999997</v>
      </c>
      <c r="E49" s="1391">
        <v>3.22</v>
      </c>
      <c r="F49" s="1362">
        <v>3.22</v>
      </c>
      <c r="G49" s="1388">
        <f>[188]Кальк_2016_ЭОР!R54</f>
        <v>15.17</v>
      </c>
      <c r="H49" s="1388">
        <f>[188]Кальк_2016_ЭОР!S54</f>
        <v>1.2</v>
      </c>
      <c r="I49" s="1388"/>
      <c r="J49" s="1388">
        <v>1E-4</v>
      </c>
      <c r="K49" s="1733"/>
      <c r="L49" s="1362">
        <v>1.07</v>
      </c>
      <c r="M49" s="1388">
        <f>G49</f>
        <v>15.17</v>
      </c>
      <c r="N49" s="1388">
        <f>H49</f>
        <v>1.2</v>
      </c>
      <c r="O49" s="1388"/>
      <c r="P49" s="1391">
        <f>9.79+6.23+1.64*1.043*1.043</f>
        <v>17.804072359999999</v>
      </c>
      <c r="Q49" s="1397">
        <v>0</v>
      </c>
      <c r="R49" s="1396">
        <f t="shared" ref="R49:S49" si="27">M49</f>
        <v>15.17</v>
      </c>
      <c r="S49" s="1387">
        <f t="shared" si="27"/>
        <v>1.2</v>
      </c>
      <c r="T49" s="1387"/>
      <c r="U49" s="1333">
        <f t="shared" si="6"/>
        <v>0.33229813664596275</v>
      </c>
      <c r="V49" s="1333">
        <f t="shared" si="1"/>
        <v>0</v>
      </c>
      <c r="X49" s="1379">
        <v>0</v>
      </c>
      <c r="Y49" s="1379">
        <v>0</v>
      </c>
    </row>
    <row r="50" spans="1:25" s="1325" customFormat="1" ht="15" customHeight="1" outlineLevel="1">
      <c r="A50" s="1367"/>
      <c r="B50" s="1394" t="s">
        <v>138</v>
      </c>
      <c r="C50" s="1395" t="s">
        <v>21</v>
      </c>
      <c r="D50" s="1390"/>
      <c r="E50" s="1391">
        <v>50</v>
      </c>
      <c r="F50" s="1362">
        <v>1.0000000000000001E-5</v>
      </c>
      <c r="G50" s="1388">
        <f>[188]Кальк_2016_ЭОР!R71</f>
        <v>0</v>
      </c>
      <c r="H50" s="1388">
        <f>[188]Кальк_2016_ЭОР!S71</f>
        <v>0</v>
      </c>
      <c r="I50" s="1388"/>
      <c r="J50" s="1388">
        <v>1.0000000000000001E-5</v>
      </c>
      <c r="K50" s="1733"/>
      <c r="L50" s="1362">
        <v>9.9999999999999995E-7</v>
      </c>
      <c r="M50" s="1388" t="e">
        <f>ROUND((#REF!*0.2/0.8),2)</f>
        <v>#REF!</v>
      </c>
      <c r="N50" s="1388" t="e">
        <f>ROUND((#REF!*0.8/0.2),2)</f>
        <v>#REF!</v>
      </c>
      <c r="O50" s="1388"/>
      <c r="P50" s="1391"/>
      <c r="Q50" s="1397">
        <v>1.0000000000000001E-5</v>
      </c>
      <c r="R50" s="1396" t="e">
        <f>ROUND((#REF!*0.2/0.8),2)</f>
        <v>#REF!</v>
      </c>
      <c r="S50" s="1387" t="e">
        <f>ROUND((#REF!*0.8/0.2),2)</f>
        <v>#REF!</v>
      </c>
      <c r="T50" s="1387"/>
      <c r="U50" s="1333">
        <f t="shared" si="6"/>
        <v>9.9999999999999992E-2</v>
      </c>
      <c r="V50" s="1333">
        <f t="shared" si="1"/>
        <v>10.000000000000002</v>
      </c>
      <c r="X50" s="1379">
        <v>1.0000000000000001E-5</v>
      </c>
      <c r="Y50" s="1379">
        <v>9.9999999999999995E-7</v>
      </c>
    </row>
    <row r="51" spans="1:25" s="1325" customFormat="1" ht="28.5" customHeight="1">
      <c r="A51" s="1367" t="s">
        <v>46</v>
      </c>
      <c r="B51" s="1385" t="s">
        <v>621</v>
      </c>
      <c r="C51" s="1395" t="s">
        <v>21</v>
      </c>
      <c r="D51" s="1390">
        <f>[188]Кальк_2016_ЭОР!D46</f>
        <v>12.55</v>
      </c>
      <c r="E51" s="1391">
        <v>15.45</v>
      </c>
      <c r="F51" s="1362">
        <v>15.35</v>
      </c>
      <c r="G51" s="1388">
        <f>[188]Кальк_2016_ЭОР!R46</f>
        <v>12.14</v>
      </c>
      <c r="H51" s="1388">
        <f>[188]Кальк_2016_ЭОР!S46</f>
        <v>0.96</v>
      </c>
      <c r="I51" s="1388">
        <f>[188]Кальк_2016_ЭОР!T46</f>
        <v>0</v>
      </c>
      <c r="J51" s="1388">
        <f>F51-E51</f>
        <v>-9.9999999999999645E-2</v>
      </c>
      <c r="K51" s="1462" t="s">
        <v>636</v>
      </c>
      <c r="L51" s="1362">
        <v>15.35</v>
      </c>
      <c r="M51" s="1388" t="e">
        <f>ROUND((#REF!*G51/$F$51),2)</f>
        <v>#REF!</v>
      </c>
      <c r="N51" s="1388" t="e">
        <f>ROUND((#REF!*H51/$F$51),2)</f>
        <v>#REF!</v>
      </c>
      <c r="O51" s="1388"/>
      <c r="P51" s="1391">
        <f>7.7+4.84+1.57*1.043*1.043</f>
        <v>14.24792293</v>
      </c>
      <c r="Q51" s="1397">
        <v>15.35</v>
      </c>
      <c r="R51" s="1399" t="e">
        <f>ROUND(($P$51*M51/$L$51),2)</f>
        <v>#REF!</v>
      </c>
      <c r="S51" s="1393" t="e">
        <f>ROUND(($P$51*N51/$L$51),2)+0.01</f>
        <v>#REF!</v>
      </c>
      <c r="T51" s="1393"/>
      <c r="U51" s="1333">
        <f t="shared" si="6"/>
        <v>1</v>
      </c>
      <c r="V51" s="1333">
        <f t="shared" si="1"/>
        <v>1</v>
      </c>
      <c r="X51" s="1379">
        <v>15.35</v>
      </c>
      <c r="Y51" s="1379">
        <v>15.35</v>
      </c>
    </row>
    <row r="52" spans="1:25" s="1325" customFormat="1" ht="45.75" customHeight="1">
      <c r="A52" s="1367" t="s">
        <v>48</v>
      </c>
      <c r="B52" s="1385" t="s">
        <v>622</v>
      </c>
      <c r="C52" s="1395" t="s">
        <v>21</v>
      </c>
      <c r="D52" s="1400">
        <f>[188]Кальк_2016_ЭОР!D19</f>
        <v>313.43</v>
      </c>
      <c r="E52" s="1362">
        <v>477.17</v>
      </c>
      <c r="F52" s="1362">
        <v>476.35</v>
      </c>
      <c r="G52" s="1388">
        <f>[188]Кальк_2016_ЭОР!R19</f>
        <v>193.36</v>
      </c>
      <c r="H52" s="1388">
        <f>[188]Кальк_2016_ЭОР!S19</f>
        <v>130.1</v>
      </c>
      <c r="I52" s="1388"/>
      <c r="J52" s="1388">
        <f t="shared" si="3"/>
        <v>-0.81999999999999318</v>
      </c>
      <c r="K52" s="1378"/>
      <c r="L52" s="1362">
        <v>487.63</v>
      </c>
      <c r="M52" s="1388">
        <f>ROUND((G52*$M$9),2)</f>
        <v>202.91</v>
      </c>
      <c r="N52" s="1388">
        <f>ROUND((H52*$M$9),2)</f>
        <v>136.53</v>
      </c>
      <c r="O52" s="1388"/>
      <c r="P52" s="1363">
        <f>299.01+188.264+61.08*1.043*1.043</f>
        <v>553.71981691999997</v>
      </c>
      <c r="Q52" s="1397">
        <v>502.06</v>
      </c>
      <c r="R52" s="1399">
        <f>ROUND((M52*$R$9),2)</f>
        <v>210.92</v>
      </c>
      <c r="S52" s="1393">
        <f>ROUND((N52*$R$9),2)</f>
        <v>141.91999999999999</v>
      </c>
      <c r="T52" s="1393">
        <f>ROUND(O52*T$9,2)</f>
        <v>0</v>
      </c>
      <c r="U52" s="1333">
        <f t="shared" si="6"/>
        <v>1.0236800671774955</v>
      </c>
      <c r="V52" s="1333">
        <f t="shared" si="1"/>
        <v>1.0295921087709945</v>
      </c>
      <c r="X52" s="1379">
        <v>516.91999999999996</v>
      </c>
      <c r="Y52" s="1379">
        <v>532.22</v>
      </c>
    </row>
    <row r="53" spans="1:25" s="1325" customFormat="1" ht="15">
      <c r="A53" s="1367" t="s">
        <v>47</v>
      </c>
      <c r="B53" s="1385" t="s">
        <v>623</v>
      </c>
      <c r="C53" s="1395" t="s">
        <v>21</v>
      </c>
      <c r="D53" s="1393" t="e">
        <f>SUM(#REF!)</f>
        <v>#REF!</v>
      </c>
      <c r="E53" s="1388">
        <v>97.67</v>
      </c>
      <c r="F53" s="1388">
        <v>97.67</v>
      </c>
      <c r="G53" s="1388" t="e">
        <f>SUM(#REF!)</f>
        <v>#REF!</v>
      </c>
      <c r="H53" s="1388" t="e">
        <f>SUM(#REF!)</f>
        <v>#REF!</v>
      </c>
      <c r="I53" s="1388"/>
      <c r="J53" s="1388">
        <v>1.0000000000000001E-5</v>
      </c>
      <c r="K53" s="1398"/>
      <c r="L53" s="1388">
        <v>97.67</v>
      </c>
      <c r="M53" s="1388" t="e">
        <f>SUM(#REF!)</f>
        <v>#REF!</v>
      </c>
      <c r="N53" s="1388" t="e">
        <f>SUM(#REF!)</f>
        <v>#REF!</v>
      </c>
      <c r="O53" s="1388" t="e">
        <f>#REF!+#REF!</f>
        <v>#REF!</v>
      </c>
      <c r="P53" s="1388" t="e">
        <f>SUM(#REF!)</f>
        <v>#REF!</v>
      </c>
      <c r="Q53" s="1388">
        <v>0</v>
      </c>
      <c r="R53" s="1399" t="e">
        <f>SUM(#REF!)</f>
        <v>#REF!</v>
      </c>
      <c r="S53" s="1393" t="e">
        <f>SUM(#REF!)</f>
        <v>#REF!</v>
      </c>
      <c r="T53" s="1393" t="e">
        <f>#REF!+#REF!</f>
        <v>#REF!</v>
      </c>
      <c r="U53" s="1333">
        <f t="shared" si="6"/>
        <v>1</v>
      </c>
      <c r="V53" s="1333">
        <f t="shared" si="1"/>
        <v>0</v>
      </c>
      <c r="X53" s="1388">
        <v>0</v>
      </c>
      <c r="Y53" s="1388">
        <v>0</v>
      </c>
    </row>
    <row r="54" spans="1:25" s="1325" customFormat="1" ht="30" customHeight="1">
      <c r="A54" s="1401" t="s">
        <v>39</v>
      </c>
      <c r="B54" s="1402" t="s">
        <v>624</v>
      </c>
      <c r="C54" s="1395" t="s">
        <v>21</v>
      </c>
      <c r="D54" s="1403"/>
      <c r="E54" s="1361">
        <v>317.81</v>
      </c>
      <c r="F54" s="1362">
        <v>1.0000000000000001E-5</v>
      </c>
      <c r="G54" s="1363"/>
      <c r="H54" s="1363"/>
      <c r="I54" s="1363"/>
      <c r="J54" s="1363">
        <f t="shared" si="3"/>
        <v>-317.80999000000003</v>
      </c>
      <c r="K54" s="1463" t="s">
        <v>636</v>
      </c>
      <c r="L54" s="1362">
        <v>1E-4</v>
      </c>
      <c r="M54" s="1388"/>
      <c r="N54" s="1388"/>
      <c r="O54" s="1388"/>
      <c r="P54" s="1388"/>
      <c r="Q54" s="1362">
        <v>1.0000000000000001E-5</v>
      </c>
      <c r="R54" s="1399"/>
      <c r="S54" s="1393"/>
      <c r="T54" s="1393"/>
      <c r="U54" s="1333">
        <f t="shared" si="6"/>
        <v>10</v>
      </c>
      <c r="V54" s="1333">
        <f t="shared" si="1"/>
        <v>0.1</v>
      </c>
      <c r="X54" s="1379">
        <v>1E-4</v>
      </c>
      <c r="Y54" s="1379">
        <v>1.0000000000000001E-5</v>
      </c>
    </row>
    <row r="55" spans="1:25" s="1325" customFormat="1" ht="30" customHeight="1">
      <c r="A55" s="1727" t="s">
        <v>207</v>
      </c>
      <c r="B55" s="1728"/>
      <c r="C55" s="1404" t="s">
        <v>21</v>
      </c>
      <c r="D55" s="1403"/>
      <c r="E55" s="1405">
        <v>644.03</v>
      </c>
      <c r="F55" s="1406">
        <v>622.75</v>
      </c>
      <c r="G55" s="1407"/>
      <c r="H55" s="1407"/>
      <c r="I55" s="1407"/>
      <c r="J55" s="1407">
        <f>F55-E55</f>
        <v>-21.279999999999973</v>
      </c>
      <c r="K55" s="1463" t="s">
        <v>637</v>
      </c>
      <c r="L55" s="1406">
        <v>649.70000000000005</v>
      </c>
      <c r="M55" s="1407"/>
      <c r="N55" s="1407"/>
      <c r="O55" s="1407"/>
      <c r="P55" s="1407"/>
      <c r="Q55" s="1406">
        <v>671.67</v>
      </c>
      <c r="R55" s="1408"/>
      <c r="S55" s="1409"/>
      <c r="T55" s="1409"/>
      <c r="U55" s="1410">
        <f t="shared" si="6"/>
        <v>1.0432757928542755</v>
      </c>
      <c r="V55" s="1410">
        <f t="shared" si="1"/>
        <v>1.0338156072033244</v>
      </c>
      <c r="W55" s="1411"/>
      <c r="X55" s="1412">
        <v>695.03</v>
      </c>
      <c r="Y55" s="1412">
        <v>719.1</v>
      </c>
    </row>
    <row r="56" spans="1:25" s="1334" customFormat="1" ht="23.25" customHeight="1">
      <c r="A56" s="1719" t="s">
        <v>150</v>
      </c>
      <c r="B56" s="1720"/>
      <c r="C56" s="1413" t="s">
        <v>1</v>
      </c>
      <c r="D56" s="1356"/>
      <c r="E56" s="1329">
        <v>1E-3</v>
      </c>
      <c r="F56" s="1329">
        <v>1E-4</v>
      </c>
      <c r="G56" s="1329"/>
      <c r="H56" s="1329"/>
      <c r="I56" s="1329"/>
      <c r="J56" s="1329">
        <f t="shared" ref="J56:J57" si="28">F56-E56</f>
        <v>-8.9999999999999998E-4</v>
      </c>
      <c r="K56" s="1461"/>
      <c r="L56" s="1329">
        <v>1E-4</v>
      </c>
      <c r="M56" s="1329"/>
      <c r="N56" s="1329"/>
      <c r="O56" s="1329"/>
      <c r="P56" s="1329"/>
      <c r="Q56" s="1329">
        <v>-159.78</v>
      </c>
      <c r="R56" s="1375"/>
      <c r="S56" s="1356"/>
      <c r="T56" s="1356"/>
      <c r="U56" s="1333">
        <f t="shared" si="6"/>
        <v>1</v>
      </c>
      <c r="V56" s="1333">
        <f t="shared" si="1"/>
        <v>-1597800</v>
      </c>
      <c r="X56" s="1412">
        <v>1E-4</v>
      </c>
      <c r="Y56" s="1412">
        <v>1E-4</v>
      </c>
    </row>
    <row r="57" spans="1:25" s="1334" customFormat="1" ht="27.75" customHeight="1">
      <c r="A57" s="1715" t="s">
        <v>161</v>
      </c>
      <c r="B57" s="1716"/>
      <c r="C57" s="1413" t="s">
        <v>1</v>
      </c>
      <c r="D57" s="1356" t="e">
        <f>SUM(D58:D62)</f>
        <v>#REF!</v>
      </c>
      <c r="E57" s="1329">
        <f>E17+E21+E42+E55+E56</f>
        <v>33667.620999999992</v>
      </c>
      <c r="F57" s="1329">
        <f>F17+F21+F42+F55+F56</f>
        <v>32729.010119999999</v>
      </c>
      <c r="G57" s="1329" t="e">
        <f>SUM(G58:G62)</f>
        <v>#REF!</v>
      </c>
      <c r="H57" s="1329" t="e">
        <f>SUM(H58:H62)</f>
        <v>#REF!</v>
      </c>
      <c r="I57" s="1329" t="e">
        <f>SUM(I58:I62)</f>
        <v>#REF!</v>
      </c>
      <c r="J57" s="1329">
        <f t="shared" si="28"/>
        <v>-938.6108799999929</v>
      </c>
      <c r="K57" s="1461"/>
      <c r="L57" s="1329">
        <f>L17+L21+L42+L55+L56</f>
        <v>33674.990200999993</v>
      </c>
      <c r="M57" s="1329" t="e">
        <f t="shared" ref="M57:Y57" si="29">M17+M21+M42+M55+M56</f>
        <v>#REF!</v>
      </c>
      <c r="N57" s="1329" t="e">
        <f t="shared" si="29"/>
        <v>#REF!</v>
      </c>
      <c r="O57" s="1329" t="e">
        <f t="shared" si="29"/>
        <v>#REF!</v>
      </c>
      <c r="P57" s="1329" t="e">
        <f t="shared" si="29"/>
        <v>#REF!</v>
      </c>
      <c r="Q57" s="1329">
        <f t="shared" si="29"/>
        <v>34552.79002</v>
      </c>
      <c r="R57" s="1329" t="e">
        <f t="shared" si="29"/>
        <v>#REF!</v>
      </c>
      <c r="S57" s="1329" t="e">
        <f t="shared" si="29"/>
        <v>#REF!</v>
      </c>
      <c r="T57" s="1329" t="e">
        <f t="shared" si="29"/>
        <v>#REF!</v>
      </c>
      <c r="U57" s="1329">
        <f t="shared" si="29"/>
        <v>37.073980842154342</v>
      </c>
      <c r="V57" s="1329">
        <f t="shared" si="29"/>
        <v>-1597765.1976590464</v>
      </c>
      <c r="W57" s="1329">
        <f t="shared" si="29"/>
        <v>0</v>
      </c>
      <c r="X57" s="1329">
        <f t="shared" si="29"/>
        <v>35795.950209999995</v>
      </c>
      <c r="Y57" s="1329">
        <f t="shared" si="29"/>
        <v>36911.070110999994</v>
      </c>
    </row>
    <row r="58" spans="1:25" s="1325" customFormat="1" ht="15" hidden="1" outlineLevel="1">
      <c r="A58" s="1414"/>
      <c r="B58" s="1415" t="s">
        <v>145</v>
      </c>
      <c r="C58" s="1416" t="s">
        <v>1</v>
      </c>
      <c r="D58" s="1365" t="e">
        <f>D21</f>
        <v>#REF!</v>
      </c>
      <c r="E58" s="1365">
        <f>E21</f>
        <v>6078.21</v>
      </c>
      <c r="F58" s="1417" t="e">
        <f>G58+H58+I58</f>
        <v>#REF!</v>
      </c>
      <c r="G58" s="1365" t="e">
        <f>G21</f>
        <v>#REF!</v>
      </c>
      <c r="H58" s="1365" t="e">
        <f>H21</f>
        <v>#REF!</v>
      </c>
      <c r="I58" s="1365">
        <f>I21</f>
        <v>0</v>
      </c>
      <c r="J58" s="1365"/>
      <c r="K58" s="1418"/>
      <c r="L58" s="1417" t="e">
        <f>M58+N58+O58</f>
        <v>#REF!</v>
      </c>
      <c r="M58" s="1365" t="e">
        <f>M21</f>
        <v>#REF!</v>
      </c>
      <c r="N58" s="1365" t="e">
        <f>N21</f>
        <v>#REF!</v>
      </c>
      <c r="O58" s="1365">
        <f>O21</f>
        <v>0</v>
      </c>
      <c r="P58" s="1365" t="e">
        <f>P21</f>
        <v>#REF!</v>
      </c>
      <c r="Q58" s="1417">
        <f>R58+S58+T58</f>
        <v>3480.3599999999997</v>
      </c>
      <c r="R58" s="1365">
        <f>R21</f>
        <v>2306.6799999999998</v>
      </c>
      <c r="S58" s="1365">
        <f>S21</f>
        <v>1173.6799999999998</v>
      </c>
      <c r="T58" s="1365">
        <f>T21</f>
        <v>0</v>
      </c>
      <c r="U58" s="1333" t="str">
        <f t="shared" si="6"/>
        <v xml:space="preserve"> </v>
      </c>
      <c r="V58" s="1333" t="str">
        <f t="shared" si="1"/>
        <v xml:space="preserve"> </v>
      </c>
    </row>
    <row r="59" spans="1:25" s="1325" customFormat="1" ht="15" hidden="1" outlineLevel="1">
      <c r="A59" s="1414"/>
      <c r="B59" s="1415" t="s">
        <v>146</v>
      </c>
      <c r="C59" s="1416" t="s">
        <v>1</v>
      </c>
      <c r="D59" s="1365" t="e">
        <f>D42</f>
        <v>#REF!</v>
      </c>
      <c r="E59" s="1365">
        <f>E42</f>
        <v>985.97</v>
      </c>
      <c r="F59" s="1417" t="e">
        <f t="shared" ref="F59:F62" si="30">G59+H59+I59</f>
        <v>#REF!</v>
      </c>
      <c r="G59" s="1365" t="e">
        <f>G42</f>
        <v>#REF!</v>
      </c>
      <c r="H59" s="1365" t="e">
        <f>H42</f>
        <v>#REF!</v>
      </c>
      <c r="I59" s="1365" t="e">
        <f>I42</f>
        <v>#REF!</v>
      </c>
      <c r="J59" s="1365"/>
      <c r="K59" s="1418"/>
      <c r="L59" s="1417" t="e">
        <f t="shared" ref="L59:L62" si="31">M59+N59+O59</f>
        <v>#REF!</v>
      </c>
      <c r="M59" s="1365" t="e">
        <f>M42</f>
        <v>#REF!</v>
      </c>
      <c r="N59" s="1365" t="e">
        <f>N42</f>
        <v>#REF!</v>
      </c>
      <c r="O59" s="1365" t="e">
        <f>O42</f>
        <v>#REF!</v>
      </c>
      <c r="P59" s="1365" t="e">
        <f>P42</f>
        <v>#REF!</v>
      </c>
      <c r="Q59" s="1417" t="e">
        <f t="shared" ref="Q59:Q62" si="32">R59+S59+T59</f>
        <v>#REF!</v>
      </c>
      <c r="R59" s="1365" t="e">
        <f>R42</f>
        <v>#REF!</v>
      </c>
      <c r="S59" s="1365" t="e">
        <f>S42</f>
        <v>#REF!</v>
      </c>
      <c r="T59" s="1365" t="e">
        <f>T42</f>
        <v>#REF!</v>
      </c>
      <c r="U59" s="1333" t="str">
        <f t="shared" si="6"/>
        <v xml:space="preserve"> </v>
      </c>
      <c r="V59" s="1333" t="str">
        <f t="shared" si="1"/>
        <v xml:space="preserve"> </v>
      </c>
    </row>
    <row r="60" spans="1:25" s="1325" customFormat="1" ht="15" hidden="1" outlineLevel="1">
      <c r="A60" s="1414"/>
      <c r="B60" s="1415" t="s">
        <v>147</v>
      </c>
      <c r="C60" s="1416" t="s">
        <v>1</v>
      </c>
      <c r="D60" s="1365">
        <f>D17</f>
        <v>21613.919999999998</v>
      </c>
      <c r="E60" s="1365">
        <f>E17</f>
        <v>25959.41</v>
      </c>
      <c r="F60" s="1417">
        <f t="shared" si="30"/>
        <v>22896.590000000004</v>
      </c>
      <c r="G60" s="1365">
        <f>G17</f>
        <v>20787.370000000003</v>
      </c>
      <c r="H60" s="1365">
        <f>H17</f>
        <v>0</v>
      </c>
      <c r="I60" s="1365">
        <f>I17</f>
        <v>2109.2199999999998</v>
      </c>
      <c r="J60" s="1365"/>
      <c r="K60" s="1418"/>
      <c r="L60" s="1417">
        <f t="shared" si="31"/>
        <v>23827.93</v>
      </c>
      <c r="M60" s="1365">
        <f>M17</f>
        <v>21504.75</v>
      </c>
      <c r="N60" s="1365">
        <f>N17</f>
        <v>0</v>
      </c>
      <c r="O60" s="1365">
        <f>O17</f>
        <v>2323.1799999999998</v>
      </c>
      <c r="P60" s="1365">
        <f>P17</f>
        <v>25147.519999999997</v>
      </c>
      <c r="Q60" s="1417">
        <f t="shared" si="32"/>
        <v>24844.810000000005</v>
      </c>
      <c r="R60" s="1365">
        <f>R17</f>
        <v>22285.930000000004</v>
      </c>
      <c r="S60" s="1365">
        <f>S17</f>
        <v>0</v>
      </c>
      <c r="T60" s="1365">
        <f>T17</f>
        <v>2558.88</v>
      </c>
      <c r="U60" s="1333">
        <f t="shared" si="6"/>
        <v>1.040675925978497</v>
      </c>
      <c r="V60" s="1333">
        <f t="shared" si="1"/>
        <v>1.0426759689154703</v>
      </c>
    </row>
    <row r="61" spans="1:25" s="1325" customFormat="1" ht="15" hidden="1" outlineLevel="1">
      <c r="A61" s="1414"/>
      <c r="B61" s="1415" t="s">
        <v>148</v>
      </c>
      <c r="C61" s="1416" t="s">
        <v>1</v>
      </c>
      <c r="D61" s="1365" t="e">
        <f>#REF!</f>
        <v>#REF!</v>
      </c>
      <c r="E61" s="1365" t="e">
        <f>#REF!</f>
        <v>#REF!</v>
      </c>
      <c r="F61" s="1417" t="e">
        <f t="shared" si="30"/>
        <v>#REF!</v>
      </c>
      <c r="G61" s="1365" t="e">
        <f>#REF!</f>
        <v>#REF!</v>
      </c>
      <c r="H61" s="1365" t="e">
        <f>#REF!</f>
        <v>#REF!</v>
      </c>
      <c r="I61" s="1365" t="e">
        <f>#REF!</f>
        <v>#REF!</v>
      </c>
      <c r="J61" s="1365"/>
      <c r="K61" s="1418"/>
      <c r="L61" s="1417" t="e">
        <f t="shared" si="31"/>
        <v>#REF!</v>
      </c>
      <c r="M61" s="1365" t="e">
        <f>#REF!</f>
        <v>#REF!</v>
      </c>
      <c r="N61" s="1365" t="e">
        <f>#REF!</f>
        <v>#REF!</v>
      </c>
      <c r="O61" s="1365" t="e">
        <f>#REF!</f>
        <v>#REF!</v>
      </c>
      <c r="P61" s="1365" t="e">
        <f>#REF!</f>
        <v>#REF!</v>
      </c>
      <c r="Q61" s="1417" t="e">
        <f t="shared" si="32"/>
        <v>#REF!</v>
      </c>
      <c r="R61" s="1365" t="e">
        <f>#REF!</f>
        <v>#REF!</v>
      </c>
      <c r="S61" s="1365" t="e">
        <f>#REF!</f>
        <v>#REF!</v>
      </c>
      <c r="T61" s="1365" t="e">
        <f>#REF!</f>
        <v>#REF!</v>
      </c>
      <c r="U61" s="1333" t="str">
        <f t="shared" si="6"/>
        <v xml:space="preserve"> </v>
      </c>
      <c r="V61" s="1333" t="str">
        <f t="shared" si="1"/>
        <v xml:space="preserve"> </v>
      </c>
    </row>
    <row r="62" spans="1:25" s="1325" customFormat="1" ht="15" hidden="1" outlineLevel="1">
      <c r="A62" s="1414"/>
      <c r="B62" s="1415" t="s">
        <v>149</v>
      </c>
      <c r="C62" s="1416" t="s">
        <v>1</v>
      </c>
      <c r="D62" s="1419">
        <f>[188]Кальк_2016_ЭОР!D72</f>
        <v>-1484.25</v>
      </c>
      <c r="E62" s="1419" t="e">
        <f>#REF!</f>
        <v>#REF!</v>
      </c>
      <c r="F62" s="1417">
        <f t="shared" si="30"/>
        <v>-516.29999999999995</v>
      </c>
      <c r="G62" s="1365">
        <f>[188]Кальк_2016_ЭОР!R72</f>
        <v>-516.29999999999995</v>
      </c>
      <c r="H62" s="1365"/>
      <c r="I62" s="1365"/>
      <c r="J62" s="1365"/>
      <c r="K62" s="1418"/>
      <c r="L62" s="1417">
        <f t="shared" si="31"/>
        <v>0</v>
      </c>
      <c r="M62" s="1365"/>
      <c r="N62" s="1365"/>
      <c r="O62" s="1365"/>
      <c r="P62" s="1365"/>
      <c r="Q62" s="1417">
        <f t="shared" si="32"/>
        <v>0</v>
      </c>
      <c r="R62" s="1387"/>
      <c r="S62" s="1387"/>
      <c r="T62" s="1387"/>
      <c r="U62" s="1333">
        <f t="shared" si="6"/>
        <v>0</v>
      </c>
      <c r="V62" s="1333" t="str">
        <f t="shared" si="1"/>
        <v xml:space="preserve"> </v>
      </c>
    </row>
    <row r="63" spans="1:25" s="1325" customFormat="1" ht="15" hidden="1" outlineLevel="1">
      <c r="A63" s="1414"/>
      <c r="B63" s="1420" t="s">
        <v>150</v>
      </c>
      <c r="C63" s="1416" t="s">
        <v>1</v>
      </c>
      <c r="D63" s="1419"/>
      <c r="E63" s="1419"/>
      <c r="F63" s="1417"/>
      <c r="G63" s="1365"/>
      <c r="H63" s="1365"/>
      <c r="I63" s="1365"/>
      <c r="J63" s="1365"/>
      <c r="K63" s="1418"/>
      <c r="L63" s="1417"/>
      <c r="M63" s="1365"/>
      <c r="N63" s="1365"/>
      <c r="O63" s="1365"/>
      <c r="P63" s="1365"/>
      <c r="Q63" s="1417"/>
      <c r="R63" s="1387"/>
      <c r="S63" s="1387"/>
      <c r="T63" s="1387"/>
      <c r="U63" s="1333" t="str">
        <f t="shared" si="6"/>
        <v xml:space="preserve"> </v>
      </c>
      <c r="V63" s="1333" t="str">
        <f t="shared" si="1"/>
        <v xml:space="preserve"> </v>
      </c>
    </row>
    <row r="64" spans="1:25" s="1325" customFormat="1" ht="15" hidden="1">
      <c r="A64" s="1421"/>
      <c r="B64" s="1422"/>
      <c r="C64" s="1423"/>
      <c r="D64" s="1423"/>
      <c r="E64" s="1424"/>
      <c r="F64" s="1425"/>
      <c r="G64" s="1425"/>
      <c r="H64" s="1425"/>
      <c r="I64" s="1424"/>
      <c r="J64" s="1424"/>
      <c r="K64" s="1426"/>
      <c r="L64" s="1425"/>
      <c r="M64" s="1425"/>
      <c r="N64" s="1425"/>
      <c r="O64" s="1424"/>
      <c r="P64" s="1424"/>
      <c r="Q64" s="1427"/>
      <c r="R64" s="1427"/>
      <c r="S64" s="1427"/>
      <c r="T64" s="1428"/>
      <c r="U64" s="1428"/>
    </row>
    <row r="65" spans="1:22" s="1325" customFormat="1" ht="15" hidden="1">
      <c r="A65" s="1429" t="s">
        <v>92</v>
      </c>
      <c r="B65" s="1358" t="s">
        <v>625</v>
      </c>
      <c r="C65" s="1416" t="s">
        <v>1</v>
      </c>
      <c r="D65" s="1430" t="e">
        <f>D57-#REF!-D50</f>
        <v>#REF!</v>
      </c>
      <c r="E65" s="1430" t="e">
        <f>E57-#REF!-E50</f>
        <v>#REF!</v>
      </c>
      <c r="F65" s="1430" t="e">
        <f>F57-#REF!-F50</f>
        <v>#REF!</v>
      </c>
      <c r="G65" s="1362" t="e">
        <f>G57-#REF!-G50</f>
        <v>#REF!</v>
      </c>
      <c r="H65" s="1362" t="e">
        <f>H57-#REF!-H50</f>
        <v>#REF!</v>
      </c>
      <c r="I65" s="1365"/>
      <c r="J65" s="1365"/>
      <c r="K65" s="1418"/>
      <c r="L65" s="1430" t="e">
        <f>L57-#REF!-L50</f>
        <v>#REF!</v>
      </c>
      <c r="M65" s="1362" t="e">
        <f>M57-#REF!-M50</f>
        <v>#REF!</v>
      </c>
      <c r="N65" s="1362" t="e">
        <f>N57-#REF!-N50</f>
        <v>#REF!</v>
      </c>
      <c r="O65" s="1365"/>
      <c r="P65" s="1430" t="e">
        <f>P57-#REF!-P50</f>
        <v>#REF!</v>
      </c>
      <c r="Q65" s="1430" t="e">
        <f>Q57-#REF!-Q50</f>
        <v>#REF!</v>
      </c>
      <c r="R65" s="1362" t="e">
        <f>R57-#REF!-R50</f>
        <v>#REF!</v>
      </c>
      <c r="S65" s="1362" t="e">
        <f>S57-#REF!-S50</f>
        <v>#REF!</v>
      </c>
      <c r="T65" s="1387"/>
      <c r="U65" s="1333" t="str">
        <f>IF(ISERROR(L65/F65)," ",L65/F65)</f>
        <v xml:space="preserve"> </v>
      </c>
      <c r="V65" s="1333" t="str">
        <f t="shared" ref="V65:V69" si="33">IF(ISERROR(Q65/L65)," ",Q65/L65)</f>
        <v xml:space="preserve"> </v>
      </c>
    </row>
    <row r="66" spans="1:22" s="1325" customFormat="1" ht="15" hidden="1">
      <c r="A66" s="1429" t="s">
        <v>93</v>
      </c>
      <c r="B66" s="1358" t="s">
        <v>148</v>
      </c>
      <c r="C66" s="1416" t="s">
        <v>1</v>
      </c>
      <c r="D66" s="1430" t="e">
        <f>#REF!</f>
        <v>#REF!</v>
      </c>
      <c r="E66" s="1430" t="e">
        <f>#REF!</f>
        <v>#REF!</v>
      </c>
      <c r="F66" s="1430" t="e">
        <f>#REF!</f>
        <v>#REF!</v>
      </c>
      <c r="G66" s="1362" t="e">
        <f>#REF!</f>
        <v>#REF!</v>
      </c>
      <c r="H66" s="1362" t="e">
        <f>#REF!</f>
        <v>#REF!</v>
      </c>
      <c r="I66" s="1365"/>
      <c r="J66" s="1365"/>
      <c r="K66" s="1418"/>
      <c r="L66" s="1430" t="e">
        <f>#REF!</f>
        <v>#REF!</v>
      </c>
      <c r="M66" s="1362" t="e">
        <f>#REF!</f>
        <v>#REF!</v>
      </c>
      <c r="N66" s="1362" t="e">
        <f>#REF!</f>
        <v>#REF!</v>
      </c>
      <c r="O66" s="1365"/>
      <c r="P66" s="1365"/>
      <c r="Q66" s="1430" t="e">
        <f>#REF!</f>
        <v>#REF!</v>
      </c>
      <c r="R66" s="1362" t="e">
        <f>#REF!</f>
        <v>#REF!</v>
      </c>
      <c r="S66" s="1362" t="e">
        <f>#REF!</f>
        <v>#REF!</v>
      </c>
      <c r="T66" s="1387"/>
      <c r="U66" s="1333" t="str">
        <f>IF(ISERROR(L66/F66)," ",L66/F66)</f>
        <v xml:space="preserve"> </v>
      </c>
      <c r="V66" s="1333" t="str">
        <f t="shared" si="33"/>
        <v xml:space="preserve"> </v>
      </c>
    </row>
    <row r="67" spans="1:22" s="1325" customFormat="1" ht="15" hidden="1">
      <c r="A67" s="1429" t="s">
        <v>94</v>
      </c>
      <c r="B67" s="1358" t="s">
        <v>626</v>
      </c>
      <c r="C67" s="1416" t="s">
        <v>1</v>
      </c>
      <c r="D67" s="1430">
        <f>D50</f>
        <v>0</v>
      </c>
      <c r="E67" s="1430">
        <f>E50</f>
        <v>50</v>
      </c>
      <c r="F67" s="1430">
        <f>F50</f>
        <v>1.0000000000000001E-5</v>
      </c>
      <c r="G67" s="1362">
        <f>G50</f>
        <v>0</v>
      </c>
      <c r="H67" s="1362">
        <f>H50</f>
        <v>0</v>
      </c>
      <c r="I67" s="1365"/>
      <c r="J67" s="1365"/>
      <c r="K67" s="1418"/>
      <c r="L67" s="1430">
        <f>L50</f>
        <v>9.9999999999999995E-7</v>
      </c>
      <c r="M67" s="1362" t="e">
        <f>M50</f>
        <v>#REF!</v>
      </c>
      <c r="N67" s="1362" t="e">
        <f>N50</f>
        <v>#REF!</v>
      </c>
      <c r="O67" s="1365"/>
      <c r="P67" s="1365"/>
      <c r="Q67" s="1430">
        <f>Q50</f>
        <v>1.0000000000000001E-5</v>
      </c>
      <c r="R67" s="1362" t="e">
        <f>R50</f>
        <v>#REF!</v>
      </c>
      <c r="S67" s="1362" t="e">
        <f>S50</f>
        <v>#REF!</v>
      </c>
      <c r="T67" s="1387"/>
      <c r="U67" s="1333">
        <f>IF(ISERROR(L67/F67)," ",L67/F67)</f>
        <v>9.9999999999999992E-2</v>
      </c>
      <c r="V67" s="1333">
        <f t="shared" si="33"/>
        <v>10.000000000000002</v>
      </c>
    </row>
    <row r="68" spans="1:22" s="1325" customFormat="1" ht="15" hidden="1">
      <c r="A68" s="1429" t="s">
        <v>95</v>
      </c>
      <c r="B68" s="1431" t="s">
        <v>151</v>
      </c>
      <c r="C68" s="1416" t="s">
        <v>1</v>
      </c>
      <c r="D68" s="1430" t="e">
        <f>D65+D66+D67</f>
        <v>#REF!</v>
      </c>
      <c r="E68" s="1430" t="e">
        <f>E65+E66+E67</f>
        <v>#REF!</v>
      </c>
      <c r="F68" s="1430" t="e">
        <f>F65+F66+F67</f>
        <v>#REF!</v>
      </c>
      <c r="G68" s="1362" t="e">
        <f>G65+G66+G67</f>
        <v>#REF!</v>
      </c>
      <c r="H68" s="1362" t="e">
        <f>H65+H66+H67</f>
        <v>#REF!</v>
      </c>
      <c r="I68" s="1365"/>
      <c r="J68" s="1365"/>
      <c r="K68" s="1418"/>
      <c r="L68" s="1430" t="e">
        <f>L65+L66+L67</f>
        <v>#REF!</v>
      </c>
      <c r="M68" s="1362" t="e">
        <f>M65+M66+M67</f>
        <v>#REF!</v>
      </c>
      <c r="N68" s="1362" t="e">
        <f>N65+N66+N67</f>
        <v>#REF!</v>
      </c>
      <c r="O68" s="1365"/>
      <c r="P68" s="1430" t="e">
        <f>P65+P66+P67</f>
        <v>#REF!</v>
      </c>
      <c r="Q68" s="1430" t="e">
        <f>Q65+Q66+Q67</f>
        <v>#REF!</v>
      </c>
      <c r="R68" s="1362" t="e">
        <f>R65+R66+R67</f>
        <v>#REF!</v>
      </c>
      <c r="S68" s="1362" t="e">
        <f>S65+S66+S67</f>
        <v>#REF!</v>
      </c>
      <c r="T68" s="1387"/>
      <c r="U68" s="1333" t="str">
        <f>IF(ISERROR(L68/F68)," ",L68/F68)</f>
        <v xml:space="preserve"> </v>
      </c>
      <c r="V68" s="1333" t="str">
        <f t="shared" si="33"/>
        <v xml:space="preserve"> </v>
      </c>
    </row>
    <row r="69" spans="1:22" s="1438" customFormat="1" ht="30" hidden="1" outlineLevel="1">
      <c r="A69" s="1429"/>
      <c r="B69" s="1432" t="s">
        <v>627</v>
      </c>
      <c r="C69" s="1433" t="s">
        <v>3</v>
      </c>
      <c r="D69" s="1434" t="e">
        <f>#REF!/(D57-#REF!-D50)</f>
        <v>#REF!</v>
      </c>
      <c r="E69" s="1434" t="e">
        <f>#REF!/(E57-#REF!-E50)</f>
        <v>#REF!</v>
      </c>
      <c r="F69" s="1434" t="e">
        <f>#REF!/(F57-#REF!-F50)</f>
        <v>#REF!</v>
      </c>
      <c r="G69" s="1435"/>
      <c r="H69" s="1435"/>
      <c r="I69" s="1435"/>
      <c r="J69" s="1435"/>
      <c r="K69" s="1436"/>
      <c r="L69" s="1434" t="e">
        <f>#REF!/(L57-#REF!-L50)</f>
        <v>#REF!</v>
      </c>
      <c r="M69" s="1435"/>
      <c r="N69" s="1435"/>
      <c r="O69" s="1435"/>
      <c r="P69" s="1435" t="e">
        <f>#REF!/(P57-#REF!-P50)</f>
        <v>#REF!</v>
      </c>
      <c r="Q69" s="1434" t="e">
        <f>#REF!/(Q57-#REF!-Q50)</f>
        <v>#REF!</v>
      </c>
      <c r="R69" s="1437"/>
      <c r="S69" s="1437"/>
      <c r="T69" s="1437"/>
      <c r="U69" s="1333" t="str">
        <f>IF(ISERROR(L69/F69)," ",L69/F69)</f>
        <v xml:space="preserve"> </v>
      </c>
      <c r="V69" s="1333" t="str">
        <f t="shared" si="33"/>
        <v xml:space="preserve"> </v>
      </c>
    </row>
    <row r="70" spans="1:22" s="1438" customFormat="1" ht="15" hidden="1">
      <c r="A70" s="1429"/>
      <c r="B70" s="1432"/>
      <c r="C70" s="1433"/>
      <c r="D70" s="1434"/>
      <c r="E70" s="1439"/>
      <c r="F70" s="1439"/>
      <c r="G70" s="1435"/>
      <c r="H70" s="1435"/>
      <c r="I70" s="1435"/>
      <c r="J70" s="1435"/>
      <c r="K70" s="1436"/>
      <c r="L70" s="1439"/>
      <c r="M70" s="1435"/>
      <c r="N70" s="1435"/>
      <c r="O70" s="1435"/>
      <c r="P70" s="1435"/>
      <c r="Q70" s="1439"/>
      <c r="R70" s="1437"/>
      <c r="S70" s="1437"/>
      <c r="T70" s="1440"/>
      <c r="U70" s="1441"/>
      <c r="V70" s="1441"/>
    </row>
    <row r="71" spans="1:22" hidden="1">
      <c r="A71" s="1429"/>
      <c r="B71" s="1358" t="s">
        <v>152</v>
      </c>
      <c r="C71" s="1416" t="s">
        <v>13</v>
      </c>
      <c r="D71" s="1365">
        <f>D72+D73</f>
        <v>26741</v>
      </c>
      <c r="E71" s="1365">
        <f>E72+E73</f>
        <v>26741</v>
      </c>
      <c r="F71" s="1417">
        <f>F72+F73</f>
        <v>26741</v>
      </c>
      <c r="G71" s="1365"/>
      <c r="H71" s="1365"/>
      <c r="I71" s="1365"/>
      <c r="J71" s="1365"/>
      <c r="K71" s="1418"/>
      <c r="L71" s="1417">
        <f>L72+L73</f>
        <v>26741</v>
      </c>
      <c r="M71" s="1365"/>
      <c r="N71" s="1365"/>
      <c r="O71" s="1365"/>
      <c r="P71" s="1365" t="e">
        <f>#REF!</f>
        <v>#REF!</v>
      </c>
      <c r="Q71" s="1417">
        <f>Q72+Q73</f>
        <v>26741</v>
      </c>
      <c r="R71" s="1365"/>
      <c r="S71" s="1365"/>
      <c r="T71" s="1365"/>
      <c r="U71" s="1333">
        <f t="shared" ref="U71:U80" si="34">IF(ISERROR(L71/F71)," ",L71/F71)</f>
        <v>1</v>
      </c>
      <c r="V71" s="1333">
        <f t="shared" ref="V71:V80" si="35">IF(ISERROR(Q71/L71)," ",Q71/L71)</f>
        <v>1</v>
      </c>
    </row>
    <row r="72" spans="1:22" hidden="1" outlineLevel="1">
      <c r="A72" s="1429"/>
      <c r="B72" s="1358" t="s">
        <v>153</v>
      </c>
      <c r="C72" s="1416" t="s">
        <v>13</v>
      </c>
      <c r="D72" s="1442"/>
      <c r="E72" s="1442"/>
      <c r="F72" s="1442"/>
      <c r="G72" s="1435"/>
      <c r="H72" s="1435"/>
      <c r="I72" s="1442">
        <f>E72</f>
        <v>0</v>
      </c>
      <c r="J72" s="1442"/>
      <c r="K72" s="1443"/>
      <c r="L72" s="1442"/>
      <c r="M72" s="1435"/>
      <c r="N72" s="1435"/>
      <c r="O72" s="1442"/>
      <c r="P72" s="1442"/>
      <c r="Q72" s="1442"/>
      <c r="R72" s="1437" t="str">
        <f>IF(ISERROR(#REF!/F72)," ",#REF!/F72)</f>
        <v xml:space="preserve"> </v>
      </c>
      <c r="S72" s="1437" t="str">
        <f>IF(ISERROR(O72/#REF!)," ",O72/#REF!)</f>
        <v xml:space="preserve"> </v>
      </c>
      <c r="T72" s="1442"/>
      <c r="U72" s="1333" t="str">
        <f t="shared" si="34"/>
        <v xml:space="preserve"> </v>
      </c>
      <c r="V72" s="1333" t="str">
        <f t="shared" si="35"/>
        <v xml:space="preserve"> </v>
      </c>
    </row>
    <row r="73" spans="1:22" hidden="1" outlineLevel="1">
      <c r="A73" s="1429"/>
      <c r="B73" s="1358" t="s">
        <v>154</v>
      </c>
      <c r="C73" s="1416" t="s">
        <v>13</v>
      </c>
      <c r="D73" s="1442">
        <f>[188]Кальк_2016_ЭОР!D74</f>
        <v>26741</v>
      </c>
      <c r="E73" s="1442">
        <f>[188]Кальк_2016_ЭОР!H74</f>
        <v>26741</v>
      </c>
      <c r="F73" s="1442">
        <f>[188]Кальк_2016_ЭОР!Q74</f>
        <v>26741</v>
      </c>
      <c r="G73" s="1435"/>
      <c r="H73" s="1435"/>
      <c r="I73" s="1442"/>
      <c r="J73" s="1442"/>
      <c r="K73" s="1443"/>
      <c r="L73" s="1442">
        <f>F73</f>
        <v>26741</v>
      </c>
      <c r="M73" s="1435"/>
      <c r="N73" s="1435"/>
      <c r="O73" s="1442"/>
      <c r="P73" s="1442" t="e">
        <f>#REF!</f>
        <v>#REF!</v>
      </c>
      <c r="Q73" s="1442">
        <f>L73</f>
        <v>26741</v>
      </c>
      <c r="R73" s="1437"/>
      <c r="S73" s="1437"/>
      <c r="T73" s="1442"/>
      <c r="U73" s="1333">
        <f t="shared" si="34"/>
        <v>1</v>
      </c>
      <c r="V73" s="1333">
        <f t="shared" si="35"/>
        <v>1</v>
      </c>
    </row>
    <row r="74" spans="1:22" hidden="1">
      <c r="A74" s="1429"/>
      <c r="B74" s="1358" t="s">
        <v>155</v>
      </c>
      <c r="C74" s="1416" t="s">
        <v>13</v>
      </c>
      <c r="D74" s="1442">
        <f>[188]Кальк_2016_ЭОР!D75</f>
        <v>281.02999999999997</v>
      </c>
      <c r="E74" s="1442">
        <f>[188]Кальк_2016_ЭОР!H75</f>
        <v>272.83999999999997</v>
      </c>
      <c r="F74" s="1442">
        <f>[188]Кальк_2016_ЭОР!Q75</f>
        <v>272.83999999999997</v>
      </c>
      <c r="G74" s="1435"/>
      <c r="H74" s="1435"/>
      <c r="I74" s="1442"/>
      <c r="J74" s="1442"/>
      <c r="K74" s="1443"/>
      <c r="L74" s="1442">
        <f>F74</f>
        <v>272.83999999999997</v>
      </c>
      <c r="M74" s="1435"/>
      <c r="N74" s="1435"/>
      <c r="O74" s="1442"/>
      <c r="P74" s="1442" t="e">
        <f>#REF!</f>
        <v>#REF!</v>
      </c>
      <c r="Q74" s="1442">
        <f>L74</f>
        <v>272.83999999999997</v>
      </c>
      <c r="R74" s="1437"/>
      <c r="S74" s="1437"/>
      <c r="T74" s="1442"/>
      <c r="U74" s="1333">
        <f t="shared" si="34"/>
        <v>1</v>
      </c>
      <c r="V74" s="1333">
        <f t="shared" si="35"/>
        <v>1</v>
      </c>
    </row>
    <row r="75" spans="1:22" hidden="1">
      <c r="A75" s="1429"/>
      <c r="B75" s="1358" t="s">
        <v>75</v>
      </c>
      <c r="C75" s="1416" t="s">
        <v>76</v>
      </c>
      <c r="D75" s="1444">
        <f>[188]Кальк_2016_ЭОР!D82</f>
        <v>101888</v>
      </c>
      <c r="E75" s="1442">
        <f>[188]Кальк_2016_ЭОР!H82</f>
        <v>101888</v>
      </c>
      <c r="F75" s="1444">
        <f>[188]Кальк_2016_ЭОР!Q82</f>
        <v>101888</v>
      </c>
      <c r="G75" s="1435"/>
      <c r="H75" s="1435"/>
      <c r="I75" s="1444"/>
      <c r="J75" s="1444"/>
      <c r="K75" s="1384"/>
      <c r="L75" s="1444">
        <f>F75</f>
        <v>101888</v>
      </c>
      <c r="M75" s="1435"/>
      <c r="N75" s="1435"/>
      <c r="O75" s="1444"/>
      <c r="P75" s="1442">
        <f>E75</f>
        <v>101888</v>
      </c>
      <c r="Q75" s="1444">
        <f>L75</f>
        <v>101888</v>
      </c>
      <c r="R75" s="1437"/>
      <c r="S75" s="1437"/>
      <c r="T75" s="1444"/>
      <c r="U75" s="1333">
        <f t="shared" si="34"/>
        <v>1</v>
      </c>
      <c r="V75" s="1333">
        <f t="shared" si="35"/>
        <v>1</v>
      </c>
    </row>
    <row r="76" spans="1:22" hidden="1">
      <c r="A76" s="1429"/>
      <c r="B76" s="1358" t="s">
        <v>156</v>
      </c>
      <c r="C76" s="1416" t="s">
        <v>1</v>
      </c>
      <c r="D76" s="1444">
        <f>[188]Кальк_2016_ЭОР!D76</f>
        <v>235.78</v>
      </c>
      <c r="E76" s="1444">
        <f>[188]Кальк_2016_ЭОР!H76</f>
        <v>254.17</v>
      </c>
      <c r="F76" s="1444">
        <f>[188]Кальк_2016_ЭОР!Q76</f>
        <v>240.81</v>
      </c>
      <c r="G76" s="1444"/>
      <c r="H76" s="1444"/>
      <c r="I76" s="1444"/>
      <c r="J76" s="1444"/>
      <c r="K76" s="1384"/>
      <c r="L76" s="1444" t="e">
        <f>ROUND(M78*L74/1000,2)</f>
        <v>#REF!</v>
      </c>
      <c r="M76" s="1435"/>
      <c r="N76" s="1435"/>
      <c r="O76" s="1444"/>
      <c r="P76" s="1444" t="e">
        <f>1007.24*P74/1000</f>
        <v>#REF!</v>
      </c>
      <c r="Q76" s="1444" t="e">
        <f>ROUND(R78*Q74/1000,2)</f>
        <v>#REF!</v>
      </c>
      <c r="R76" s="1437"/>
      <c r="S76" s="1437"/>
      <c r="T76" s="1437"/>
      <c r="U76" s="1333" t="str">
        <f t="shared" si="34"/>
        <v xml:space="preserve"> </v>
      </c>
      <c r="V76" s="1333" t="str">
        <f t="shared" si="35"/>
        <v xml:space="preserve"> </v>
      </c>
    </row>
    <row r="77" spans="1:22" hidden="1">
      <c r="A77" s="1429"/>
      <c r="B77" s="1358" t="s">
        <v>157</v>
      </c>
      <c r="C77" s="1416" t="s">
        <v>1</v>
      </c>
      <c r="D77" s="1444">
        <f>D76+[188]Кальк_2016_ЭОР!F73</f>
        <v>2133.7400000000002</v>
      </c>
      <c r="E77" s="1444">
        <f>E76+[188]Кальк_2016_ЭОР!J73</f>
        <v>2857.0899999999997</v>
      </c>
      <c r="F77" s="1444" t="e">
        <f>F76+H57</f>
        <v>#REF!</v>
      </c>
      <c r="G77" s="1444"/>
      <c r="H77" s="1444"/>
      <c r="I77" s="1444"/>
      <c r="J77" s="1444"/>
      <c r="K77" s="1384"/>
      <c r="L77" s="1444" t="e">
        <f>L76+N57</f>
        <v>#REF!</v>
      </c>
      <c r="M77" s="1435"/>
      <c r="N77" s="1435"/>
      <c r="O77" s="1444"/>
      <c r="P77" s="1444" t="e">
        <f>S82+P76</f>
        <v>#REF!</v>
      </c>
      <c r="Q77" s="1444" t="e">
        <f>Q76+S57</f>
        <v>#REF!</v>
      </c>
      <c r="R77" s="1437"/>
      <c r="S77" s="1437"/>
      <c r="T77" s="1437"/>
      <c r="U77" s="1333" t="str">
        <f t="shared" si="34"/>
        <v xml:space="preserve"> </v>
      </c>
      <c r="V77" s="1333" t="str">
        <f t="shared" si="35"/>
        <v xml:space="preserve"> </v>
      </c>
    </row>
    <row r="78" spans="1:22" hidden="1">
      <c r="A78" s="1429"/>
      <c r="B78" s="1445" t="s">
        <v>158</v>
      </c>
      <c r="C78" s="1446" t="s">
        <v>12</v>
      </c>
      <c r="D78" s="1447">
        <f>[188]Кальк_2016_ЭОР!D77</f>
        <v>918.79197004482876</v>
      </c>
      <c r="E78" s="1447">
        <f>[188]Кальк_2016_ЭОР!H77</f>
        <v>1038.4230499981302</v>
      </c>
      <c r="F78" s="1447" t="e">
        <f>G78+H78</f>
        <v>#REF!</v>
      </c>
      <c r="G78" s="1444" t="e">
        <f>(G57)*1000/(F71+F74)</f>
        <v>#REF!</v>
      </c>
      <c r="H78" s="1444" t="e">
        <f>F77*1000/F73</f>
        <v>#REF!</v>
      </c>
      <c r="I78" s="1447">
        <f>IF(ISERROR(I56/I71),0,I56/I71*1000)</f>
        <v>0</v>
      </c>
      <c r="J78" s="1447"/>
      <c r="K78" s="1448"/>
      <c r="L78" s="1447" t="e">
        <f>M78+N78</f>
        <v>#REF!</v>
      </c>
      <c r="M78" s="1444" t="e">
        <f>(M57)*1000/(L71+L74)</f>
        <v>#REF!</v>
      </c>
      <c r="N78" s="1444" t="e">
        <f>L77*1000/L73</f>
        <v>#REF!</v>
      </c>
      <c r="O78" s="1447"/>
      <c r="P78" s="1447">
        <v>1118.54</v>
      </c>
      <c r="Q78" s="1447" t="e">
        <f>R78+S78</f>
        <v>#REF!</v>
      </c>
      <c r="R78" s="1444" t="e">
        <f>(R57)*1000/(Q71+Q74)</f>
        <v>#REF!</v>
      </c>
      <c r="S78" s="1444" t="e">
        <f>Q77*1000/Q73</f>
        <v>#REF!</v>
      </c>
      <c r="T78" s="1447"/>
      <c r="U78" s="1333" t="str">
        <f t="shared" si="34"/>
        <v xml:space="preserve"> </v>
      </c>
      <c r="V78" s="1333" t="str">
        <f t="shared" si="35"/>
        <v xml:space="preserve"> </v>
      </c>
    </row>
    <row r="79" spans="1:22" hidden="1">
      <c r="A79" s="1429"/>
      <c r="B79" s="1449" t="s">
        <v>260</v>
      </c>
      <c r="C79" s="1446" t="s">
        <v>53</v>
      </c>
      <c r="D79" s="1447">
        <f>[188]Кальк_2016_ЭОР!D83</f>
        <v>18.72</v>
      </c>
      <c r="E79" s="1447">
        <f>[188]Кальк_2016_ЭОР!H83</f>
        <v>28.3</v>
      </c>
      <c r="F79" s="1447">
        <f>I60/F75*1000</f>
        <v>20.701358354271356</v>
      </c>
      <c r="G79" s="1435"/>
      <c r="H79" s="1435"/>
      <c r="I79" s="1447"/>
      <c r="J79" s="1447"/>
      <c r="K79" s="1448"/>
      <c r="L79" s="1447">
        <f>O60/L75*1000</f>
        <v>22.80131124371859</v>
      </c>
      <c r="M79" s="1435"/>
      <c r="N79" s="1447"/>
      <c r="O79" s="1447"/>
      <c r="P79" s="1447">
        <v>30.92</v>
      </c>
      <c r="Q79" s="1447">
        <f>T60/Q75*1000</f>
        <v>25.114635678391959</v>
      </c>
      <c r="R79" s="1437"/>
      <c r="S79" s="1437" t="str">
        <f>IF(ISERROR(O79/#REF!)," ",O79/#REF!)</f>
        <v xml:space="preserve"> </v>
      </c>
      <c r="T79" s="1447"/>
      <c r="U79" s="1333">
        <f t="shared" si="34"/>
        <v>1.1014403428755652</v>
      </c>
      <c r="V79" s="1333">
        <f t="shared" si="35"/>
        <v>1.1014557632211022</v>
      </c>
    </row>
    <row r="80" spans="1:22" hidden="1">
      <c r="A80" s="1429"/>
      <c r="B80" s="1450" t="s">
        <v>123</v>
      </c>
      <c r="C80" s="1451"/>
      <c r="D80" s="1452">
        <f>[188]Кальк_2016_ЭОР!D77</f>
        <v>918.79197004482876</v>
      </c>
      <c r="E80" s="1452">
        <f>[188]Кальк_2016_ЭОР!H77</f>
        <v>1038.4230499981302</v>
      </c>
      <c r="F80" s="1452" t="e">
        <f>IF(F72&gt;0,"---",(G57+H57)/F71*1000)</f>
        <v>#REF!</v>
      </c>
      <c r="G80" s="1435"/>
      <c r="H80" s="1435"/>
      <c r="I80" s="1452"/>
      <c r="J80" s="1452"/>
      <c r="K80" s="1453"/>
      <c r="L80" s="1452" t="e">
        <f>IF(L72&gt;0,"---",(M57+N57)/L71*1000)</f>
        <v>#REF!</v>
      </c>
      <c r="M80" s="1435"/>
      <c r="N80" s="1452"/>
      <c r="O80" s="1452"/>
      <c r="P80" s="1452"/>
      <c r="Q80" s="1452" t="e">
        <f>IF(Q72&gt;0,"---",(R57+S57)/Q71*1000)</f>
        <v>#REF!</v>
      </c>
      <c r="R80" s="1437" t="str">
        <f>IF(ISERROR(#REF!/F80)," ",#REF!/F80)</f>
        <v xml:space="preserve"> </v>
      </c>
      <c r="S80" s="1437" t="str">
        <f>IF(ISERROR(O80/#REF!)," ",O80/#REF!)</f>
        <v xml:space="preserve"> </v>
      </c>
      <c r="T80" s="1452"/>
      <c r="U80" s="1333" t="str">
        <f t="shared" si="34"/>
        <v xml:space="preserve"> </v>
      </c>
      <c r="V80" s="1333" t="str">
        <f t="shared" si="35"/>
        <v xml:space="preserve"> </v>
      </c>
    </row>
    <row r="81" spans="4:20" hidden="1">
      <c r="D81" s="1454"/>
      <c r="E81" s="1454"/>
      <c r="P81" s="1454"/>
    </row>
    <row r="82" spans="4:20" hidden="1">
      <c r="F82" s="1454"/>
      <c r="L82" s="1456">
        <f>SUM(M82:O82)</f>
        <v>31886.469999999998</v>
      </c>
      <c r="M82" s="996">
        <v>26272.69</v>
      </c>
      <c r="N82" s="996">
        <v>2590.25</v>
      </c>
      <c r="O82" s="1457">
        <v>3023.53</v>
      </c>
      <c r="P82" s="996">
        <v>450.52</v>
      </c>
      <c r="Q82" s="1458">
        <f>SUM(R82:T82)</f>
        <v>33061.299999999996</v>
      </c>
      <c r="R82" s="996">
        <v>27209.35</v>
      </c>
      <c r="S82" s="1457">
        <v>2701.6</v>
      </c>
      <c r="T82" s="996">
        <v>3150.35</v>
      </c>
    </row>
    <row r="83" spans="4:20" hidden="1">
      <c r="O83" s="1457" t="e">
        <f>O82/#REF!*1000</f>
        <v>#REF!</v>
      </c>
      <c r="P83" s="1454" t="e">
        <f>P82-P42</f>
        <v>#REF!</v>
      </c>
    </row>
    <row r="84" spans="4:20">
      <c r="E84" s="1454"/>
      <c r="M84" s="1457" t="e">
        <f>M82/(#REF!+#REF!)*1000</f>
        <v>#REF!</v>
      </c>
      <c r="R84" s="1457" t="e">
        <f>R82/(P73+P74)*1000</f>
        <v>#REF!</v>
      </c>
    </row>
    <row r="85" spans="4:20">
      <c r="P85" s="1458" t="e">
        <f>P57/P71*1000</f>
        <v>#REF!</v>
      </c>
      <c r="Q85" s="1457"/>
    </row>
    <row r="87" spans="4:20">
      <c r="P87" s="996">
        <v>27209.35</v>
      </c>
    </row>
    <row r="88" spans="4:20">
      <c r="P88" s="996">
        <v>29910.97</v>
      </c>
    </row>
  </sheetData>
  <mergeCells count="30">
    <mergeCell ref="A55:B55"/>
    <mergeCell ref="A56:B56"/>
    <mergeCell ref="A57:B57"/>
    <mergeCell ref="K26:K27"/>
    <mergeCell ref="K28:K34"/>
    <mergeCell ref="K38:K41"/>
    <mergeCell ref="A42:B42"/>
    <mergeCell ref="K46:K50"/>
    <mergeCell ref="K1:Y3"/>
    <mergeCell ref="A21:B21"/>
    <mergeCell ref="K7:K8"/>
    <mergeCell ref="L7:N8"/>
    <mergeCell ref="P7:P8"/>
    <mergeCell ref="Q7:Q8"/>
    <mergeCell ref="X7:X8"/>
    <mergeCell ref="Y7:Y8"/>
    <mergeCell ref="A9:B9"/>
    <mergeCell ref="A17:B17"/>
    <mergeCell ref="K17:K20"/>
    <mergeCell ref="U7:U8"/>
    <mergeCell ref="V7:V8"/>
    <mergeCell ref="B5:Q5"/>
    <mergeCell ref="B6:Q6"/>
    <mergeCell ref="A7:A8"/>
    <mergeCell ref="J7:J8"/>
    <mergeCell ref="B7:B8"/>
    <mergeCell ref="C7:C8"/>
    <mergeCell ref="D7:D8"/>
    <mergeCell ref="E7:E8"/>
    <mergeCell ref="F7:F8"/>
  </mergeCells>
  <pageMargins left="0.39370078740157483" right="0.39370078740157483" top="0.39370078740157483" bottom="0.39370078740157483" header="0.31496062992125984" footer="0.31496062992125984"/>
  <pageSetup paperSize="9" scale="41" orientation="portrait" horizontalDpi="300" verticalDpi="3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22"/>
  <sheetViews>
    <sheetView tabSelected="1" workbookViewId="0">
      <selection activeCell="M7" sqref="M7"/>
    </sheetView>
  </sheetViews>
  <sheetFormatPr defaultRowHeight="15"/>
  <cols>
    <col min="1" max="1" width="4.625" style="1258" customWidth="1"/>
    <col min="2" max="2" width="22.75" style="1259" customWidth="1"/>
    <col min="3" max="3" width="8.75" style="1259" customWidth="1"/>
    <col min="4" max="4" width="11.75" style="1259" customWidth="1"/>
    <col min="5" max="5" width="11.875" style="1259" customWidth="1"/>
    <col min="6" max="6" width="10.75" style="1259" hidden="1" customWidth="1"/>
    <col min="7" max="8" width="13.375" style="1259" customWidth="1"/>
    <col min="9" max="10" width="14.625" style="1259" customWidth="1"/>
    <col min="11" max="11" width="13.625" style="1259" customWidth="1"/>
    <col min="12" max="12" width="15.625" style="1259" customWidth="1"/>
    <col min="13" max="13" width="11.375" style="1259" customWidth="1"/>
    <col min="14" max="20" width="13.75" style="1259" customWidth="1"/>
    <col min="21" max="236" width="9" style="1259"/>
    <col min="237" max="237" width="6.75" style="1259" customWidth="1"/>
    <col min="238" max="238" width="57.25" style="1259" customWidth="1"/>
    <col min="239" max="239" width="11.5" style="1259" customWidth="1"/>
    <col min="240" max="240" width="19" style="1259" customWidth="1"/>
    <col min="241" max="262" width="0" style="1259" hidden="1" customWidth="1"/>
    <col min="263" max="263" width="9" style="1259"/>
    <col min="264" max="264" width="8.875" style="1259" bestFit="1" customWidth="1"/>
    <col min="265" max="492" width="9" style="1259"/>
    <col min="493" max="493" width="6.75" style="1259" customWidth="1"/>
    <col min="494" max="494" width="57.25" style="1259" customWidth="1"/>
    <col min="495" max="495" width="11.5" style="1259" customWidth="1"/>
    <col min="496" max="496" width="19" style="1259" customWidth="1"/>
    <col min="497" max="518" width="0" style="1259" hidden="1" customWidth="1"/>
    <col min="519" max="519" width="9" style="1259"/>
    <col min="520" max="520" width="8.875" style="1259" bestFit="1" customWidth="1"/>
    <col min="521" max="748" width="9" style="1259"/>
    <col min="749" max="749" width="6.75" style="1259" customWidth="1"/>
    <col min="750" max="750" width="57.25" style="1259" customWidth="1"/>
    <col min="751" max="751" width="11.5" style="1259" customWidth="1"/>
    <col min="752" max="752" width="19" style="1259" customWidth="1"/>
    <col min="753" max="774" width="0" style="1259" hidden="1" customWidth="1"/>
    <col min="775" max="775" width="9" style="1259"/>
    <col min="776" max="776" width="8.875" style="1259" bestFit="1" customWidth="1"/>
    <col min="777" max="1004" width="9" style="1259"/>
    <col min="1005" max="1005" width="6.75" style="1259" customWidth="1"/>
    <col min="1006" max="1006" width="57.25" style="1259" customWidth="1"/>
    <col min="1007" max="1007" width="11.5" style="1259" customWidth="1"/>
    <col min="1008" max="1008" width="19" style="1259" customWidth="1"/>
    <col min="1009" max="1030" width="0" style="1259" hidden="1" customWidth="1"/>
    <col min="1031" max="1031" width="9" style="1259"/>
    <col min="1032" max="1032" width="8.875" style="1259" bestFit="1" customWidth="1"/>
    <col min="1033" max="1260" width="9" style="1259"/>
    <col min="1261" max="1261" width="6.75" style="1259" customWidth="1"/>
    <col min="1262" max="1262" width="57.25" style="1259" customWidth="1"/>
    <col min="1263" max="1263" width="11.5" style="1259" customWidth="1"/>
    <col min="1264" max="1264" width="19" style="1259" customWidth="1"/>
    <col min="1265" max="1286" width="0" style="1259" hidden="1" customWidth="1"/>
    <col min="1287" max="1287" width="9" style="1259"/>
    <col min="1288" max="1288" width="8.875" style="1259" bestFit="1" customWidth="1"/>
    <col min="1289" max="1516" width="9" style="1259"/>
    <col min="1517" max="1517" width="6.75" style="1259" customWidth="1"/>
    <col min="1518" max="1518" width="57.25" style="1259" customWidth="1"/>
    <col min="1519" max="1519" width="11.5" style="1259" customWidth="1"/>
    <col min="1520" max="1520" width="19" style="1259" customWidth="1"/>
    <col min="1521" max="1542" width="0" style="1259" hidden="1" customWidth="1"/>
    <col min="1543" max="1543" width="9" style="1259"/>
    <col min="1544" max="1544" width="8.875" style="1259" bestFit="1" customWidth="1"/>
    <col min="1545" max="1772" width="9" style="1259"/>
    <col min="1773" max="1773" width="6.75" style="1259" customWidth="1"/>
    <col min="1774" max="1774" width="57.25" style="1259" customWidth="1"/>
    <col min="1775" max="1775" width="11.5" style="1259" customWidth="1"/>
    <col min="1776" max="1776" width="19" style="1259" customWidth="1"/>
    <col min="1777" max="1798" width="0" style="1259" hidden="1" customWidth="1"/>
    <col min="1799" max="1799" width="9" style="1259"/>
    <col min="1800" max="1800" width="8.875" style="1259" bestFit="1" customWidth="1"/>
    <col min="1801" max="2028" width="9" style="1259"/>
    <col min="2029" max="2029" width="6.75" style="1259" customWidth="1"/>
    <col min="2030" max="2030" width="57.25" style="1259" customWidth="1"/>
    <col min="2031" max="2031" width="11.5" style="1259" customWidth="1"/>
    <col min="2032" max="2032" width="19" style="1259" customWidth="1"/>
    <col min="2033" max="2054" width="0" style="1259" hidden="1" customWidth="1"/>
    <col min="2055" max="2055" width="9" style="1259"/>
    <col min="2056" max="2056" width="8.875" style="1259" bestFit="1" customWidth="1"/>
    <col min="2057" max="2284" width="9" style="1259"/>
    <col min="2285" max="2285" width="6.75" style="1259" customWidth="1"/>
    <col min="2286" max="2286" width="57.25" style="1259" customWidth="1"/>
    <col min="2287" max="2287" width="11.5" style="1259" customWidth="1"/>
    <col min="2288" max="2288" width="19" style="1259" customWidth="1"/>
    <col min="2289" max="2310" width="0" style="1259" hidden="1" customWidth="1"/>
    <col min="2311" max="2311" width="9" style="1259"/>
    <col min="2312" max="2312" width="8.875" style="1259" bestFit="1" customWidth="1"/>
    <col min="2313" max="2540" width="9" style="1259"/>
    <col min="2541" max="2541" width="6.75" style="1259" customWidth="1"/>
    <col min="2542" max="2542" width="57.25" style="1259" customWidth="1"/>
    <col min="2543" max="2543" width="11.5" style="1259" customWidth="1"/>
    <col min="2544" max="2544" width="19" style="1259" customWidth="1"/>
    <col min="2545" max="2566" width="0" style="1259" hidden="1" customWidth="1"/>
    <col min="2567" max="2567" width="9" style="1259"/>
    <col min="2568" max="2568" width="8.875" style="1259" bestFit="1" customWidth="1"/>
    <col min="2569" max="2796" width="9" style="1259"/>
    <col min="2797" max="2797" width="6.75" style="1259" customWidth="1"/>
    <col min="2798" max="2798" width="57.25" style="1259" customWidth="1"/>
    <col min="2799" max="2799" width="11.5" style="1259" customWidth="1"/>
    <col min="2800" max="2800" width="19" style="1259" customWidth="1"/>
    <col min="2801" max="2822" width="0" style="1259" hidden="1" customWidth="1"/>
    <col min="2823" max="2823" width="9" style="1259"/>
    <col min="2824" max="2824" width="8.875" style="1259" bestFit="1" customWidth="1"/>
    <col min="2825" max="3052" width="9" style="1259"/>
    <col min="3053" max="3053" width="6.75" style="1259" customWidth="1"/>
    <col min="3054" max="3054" width="57.25" style="1259" customWidth="1"/>
    <col min="3055" max="3055" width="11.5" style="1259" customWidth="1"/>
    <col min="3056" max="3056" width="19" style="1259" customWidth="1"/>
    <col min="3057" max="3078" width="0" style="1259" hidden="1" customWidth="1"/>
    <col min="3079" max="3079" width="9" style="1259"/>
    <col min="3080" max="3080" width="8.875" style="1259" bestFit="1" customWidth="1"/>
    <col min="3081" max="3308" width="9" style="1259"/>
    <col min="3309" max="3309" width="6.75" style="1259" customWidth="1"/>
    <col min="3310" max="3310" width="57.25" style="1259" customWidth="1"/>
    <col min="3311" max="3311" width="11.5" style="1259" customWidth="1"/>
    <col min="3312" max="3312" width="19" style="1259" customWidth="1"/>
    <col min="3313" max="3334" width="0" style="1259" hidden="1" customWidth="1"/>
    <col min="3335" max="3335" width="9" style="1259"/>
    <col min="3336" max="3336" width="8.875" style="1259" bestFit="1" customWidth="1"/>
    <col min="3337" max="3564" width="9" style="1259"/>
    <col min="3565" max="3565" width="6.75" style="1259" customWidth="1"/>
    <col min="3566" max="3566" width="57.25" style="1259" customWidth="1"/>
    <col min="3567" max="3567" width="11.5" style="1259" customWidth="1"/>
    <col min="3568" max="3568" width="19" style="1259" customWidth="1"/>
    <col min="3569" max="3590" width="0" style="1259" hidden="1" customWidth="1"/>
    <col min="3591" max="3591" width="9" style="1259"/>
    <col min="3592" max="3592" width="8.875" style="1259" bestFit="1" customWidth="1"/>
    <col min="3593" max="3820" width="9" style="1259"/>
    <col min="3821" max="3821" width="6.75" style="1259" customWidth="1"/>
    <col min="3822" max="3822" width="57.25" style="1259" customWidth="1"/>
    <col min="3823" max="3823" width="11.5" style="1259" customWidth="1"/>
    <col min="3824" max="3824" width="19" style="1259" customWidth="1"/>
    <col min="3825" max="3846" width="0" style="1259" hidden="1" customWidth="1"/>
    <col min="3847" max="3847" width="9" style="1259"/>
    <col min="3848" max="3848" width="8.875" style="1259" bestFit="1" customWidth="1"/>
    <col min="3849" max="4076" width="9" style="1259"/>
    <col min="4077" max="4077" width="6.75" style="1259" customWidth="1"/>
    <col min="4078" max="4078" width="57.25" style="1259" customWidth="1"/>
    <col min="4079" max="4079" width="11.5" style="1259" customWidth="1"/>
    <col min="4080" max="4080" width="19" style="1259" customWidth="1"/>
    <col min="4081" max="4102" width="0" style="1259" hidden="1" customWidth="1"/>
    <col min="4103" max="4103" width="9" style="1259"/>
    <col min="4104" max="4104" width="8.875" style="1259" bestFit="1" customWidth="1"/>
    <col min="4105" max="4332" width="9" style="1259"/>
    <col min="4333" max="4333" width="6.75" style="1259" customWidth="1"/>
    <col min="4334" max="4334" width="57.25" style="1259" customWidth="1"/>
    <col min="4335" max="4335" width="11.5" style="1259" customWidth="1"/>
    <col min="4336" max="4336" width="19" style="1259" customWidth="1"/>
    <col min="4337" max="4358" width="0" style="1259" hidden="1" customWidth="1"/>
    <col min="4359" max="4359" width="9" style="1259"/>
    <col min="4360" max="4360" width="8.875" style="1259" bestFit="1" customWidth="1"/>
    <col min="4361" max="4588" width="9" style="1259"/>
    <col min="4589" max="4589" width="6.75" style="1259" customWidth="1"/>
    <col min="4590" max="4590" width="57.25" style="1259" customWidth="1"/>
    <col min="4591" max="4591" width="11.5" style="1259" customWidth="1"/>
    <col min="4592" max="4592" width="19" style="1259" customWidth="1"/>
    <col min="4593" max="4614" width="0" style="1259" hidden="1" customWidth="1"/>
    <col min="4615" max="4615" width="9" style="1259"/>
    <col min="4616" max="4616" width="8.875" style="1259" bestFit="1" customWidth="1"/>
    <col min="4617" max="4844" width="9" style="1259"/>
    <col min="4845" max="4845" width="6.75" style="1259" customWidth="1"/>
    <col min="4846" max="4846" width="57.25" style="1259" customWidth="1"/>
    <col min="4847" max="4847" width="11.5" style="1259" customWidth="1"/>
    <col min="4848" max="4848" width="19" style="1259" customWidth="1"/>
    <col min="4849" max="4870" width="0" style="1259" hidden="1" customWidth="1"/>
    <col min="4871" max="4871" width="9" style="1259"/>
    <col min="4872" max="4872" width="8.875" style="1259" bestFit="1" customWidth="1"/>
    <col min="4873" max="5100" width="9" style="1259"/>
    <col min="5101" max="5101" width="6.75" style="1259" customWidth="1"/>
    <col min="5102" max="5102" width="57.25" style="1259" customWidth="1"/>
    <col min="5103" max="5103" width="11.5" style="1259" customWidth="1"/>
    <col min="5104" max="5104" width="19" style="1259" customWidth="1"/>
    <col min="5105" max="5126" width="0" style="1259" hidden="1" customWidth="1"/>
    <col min="5127" max="5127" width="9" style="1259"/>
    <col min="5128" max="5128" width="8.875" style="1259" bestFit="1" customWidth="1"/>
    <col min="5129" max="5356" width="9" style="1259"/>
    <col min="5357" max="5357" width="6.75" style="1259" customWidth="1"/>
    <col min="5358" max="5358" width="57.25" style="1259" customWidth="1"/>
    <col min="5359" max="5359" width="11.5" style="1259" customWidth="1"/>
    <col min="5360" max="5360" width="19" style="1259" customWidth="1"/>
    <col min="5361" max="5382" width="0" style="1259" hidden="1" customWidth="1"/>
    <col min="5383" max="5383" width="9" style="1259"/>
    <col min="5384" max="5384" width="8.875" style="1259" bestFit="1" customWidth="1"/>
    <col min="5385" max="5612" width="9" style="1259"/>
    <col min="5613" max="5613" width="6.75" style="1259" customWidth="1"/>
    <col min="5614" max="5614" width="57.25" style="1259" customWidth="1"/>
    <col min="5615" max="5615" width="11.5" style="1259" customWidth="1"/>
    <col min="5616" max="5616" width="19" style="1259" customWidth="1"/>
    <col min="5617" max="5638" width="0" style="1259" hidden="1" customWidth="1"/>
    <col min="5639" max="5639" width="9" style="1259"/>
    <col min="5640" max="5640" width="8.875" style="1259" bestFit="1" customWidth="1"/>
    <col min="5641" max="5868" width="9" style="1259"/>
    <col min="5869" max="5869" width="6.75" style="1259" customWidth="1"/>
    <col min="5870" max="5870" width="57.25" style="1259" customWidth="1"/>
    <col min="5871" max="5871" width="11.5" style="1259" customWidth="1"/>
    <col min="5872" max="5872" width="19" style="1259" customWidth="1"/>
    <col min="5873" max="5894" width="0" style="1259" hidden="1" customWidth="1"/>
    <col min="5895" max="5895" width="9" style="1259"/>
    <col min="5896" max="5896" width="8.875" style="1259" bestFit="1" customWidth="1"/>
    <col min="5897" max="6124" width="9" style="1259"/>
    <col min="6125" max="6125" width="6.75" style="1259" customWidth="1"/>
    <col min="6126" max="6126" width="57.25" style="1259" customWidth="1"/>
    <col min="6127" max="6127" width="11.5" style="1259" customWidth="1"/>
    <col min="6128" max="6128" width="19" style="1259" customWidth="1"/>
    <col min="6129" max="6150" width="0" style="1259" hidden="1" customWidth="1"/>
    <col min="6151" max="6151" width="9" style="1259"/>
    <col min="6152" max="6152" width="8.875" style="1259" bestFit="1" customWidth="1"/>
    <col min="6153" max="6380" width="9" style="1259"/>
    <col min="6381" max="6381" width="6.75" style="1259" customWidth="1"/>
    <col min="6382" max="6382" width="57.25" style="1259" customWidth="1"/>
    <col min="6383" max="6383" width="11.5" style="1259" customWidth="1"/>
    <col min="6384" max="6384" width="19" style="1259" customWidth="1"/>
    <col min="6385" max="6406" width="0" style="1259" hidden="1" customWidth="1"/>
    <col min="6407" max="6407" width="9" style="1259"/>
    <col min="6408" max="6408" width="8.875" style="1259" bestFit="1" customWidth="1"/>
    <col min="6409" max="6636" width="9" style="1259"/>
    <col min="6637" max="6637" width="6.75" style="1259" customWidth="1"/>
    <col min="6638" max="6638" width="57.25" style="1259" customWidth="1"/>
    <col min="6639" max="6639" width="11.5" style="1259" customWidth="1"/>
    <col min="6640" max="6640" width="19" style="1259" customWidth="1"/>
    <col min="6641" max="6662" width="0" style="1259" hidden="1" customWidth="1"/>
    <col min="6663" max="6663" width="9" style="1259"/>
    <col min="6664" max="6664" width="8.875" style="1259" bestFit="1" customWidth="1"/>
    <col min="6665" max="6892" width="9" style="1259"/>
    <col min="6893" max="6893" width="6.75" style="1259" customWidth="1"/>
    <col min="6894" max="6894" width="57.25" style="1259" customWidth="1"/>
    <col min="6895" max="6895" width="11.5" style="1259" customWidth="1"/>
    <col min="6896" max="6896" width="19" style="1259" customWidth="1"/>
    <col min="6897" max="6918" width="0" style="1259" hidden="1" customWidth="1"/>
    <col min="6919" max="6919" width="9" style="1259"/>
    <col min="6920" max="6920" width="8.875" style="1259" bestFit="1" customWidth="1"/>
    <col min="6921" max="7148" width="9" style="1259"/>
    <col min="7149" max="7149" width="6.75" style="1259" customWidth="1"/>
    <col min="7150" max="7150" width="57.25" style="1259" customWidth="1"/>
    <col min="7151" max="7151" width="11.5" style="1259" customWidth="1"/>
    <col min="7152" max="7152" width="19" style="1259" customWidth="1"/>
    <col min="7153" max="7174" width="0" style="1259" hidden="1" customWidth="1"/>
    <col min="7175" max="7175" width="9" style="1259"/>
    <col min="7176" max="7176" width="8.875" style="1259" bestFit="1" customWidth="1"/>
    <col min="7177" max="7404" width="9" style="1259"/>
    <col min="7405" max="7405" width="6.75" style="1259" customWidth="1"/>
    <col min="7406" max="7406" width="57.25" style="1259" customWidth="1"/>
    <col min="7407" max="7407" width="11.5" style="1259" customWidth="1"/>
    <col min="7408" max="7408" width="19" style="1259" customWidth="1"/>
    <col min="7409" max="7430" width="0" style="1259" hidden="1" customWidth="1"/>
    <col min="7431" max="7431" width="9" style="1259"/>
    <col min="7432" max="7432" width="8.875" style="1259" bestFit="1" customWidth="1"/>
    <col min="7433" max="7660" width="9" style="1259"/>
    <col min="7661" max="7661" width="6.75" style="1259" customWidth="1"/>
    <col min="7662" max="7662" width="57.25" style="1259" customWidth="1"/>
    <col min="7663" max="7663" width="11.5" style="1259" customWidth="1"/>
    <col min="7664" max="7664" width="19" style="1259" customWidth="1"/>
    <col min="7665" max="7686" width="0" style="1259" hidden="1" customWidth="1"/>
    <col min="7687" max="7687" width="9" style="1259"/>
    <col min="7688" max="7688" width="8.875" style="1259" bestFit="1" customWidth="1"/>
    <col min="7689" max="7916" width="9" style="1259"/>
    <col min="7917" max="7917" width="6.75" style="1259" customWidth="1"/>
    <col min="7918" max="7918" width="57.25" style="1259" customWidth="1"/>
    <col min="7919" max="7919" width="11.5" style="1259" customWidth="1"/>
    <col min="7920" max="7920" width="19" style="1259" customWidth="1"/>
    <col min="7921" max="7942" width="0" style="1259" hidden="1" customWidth="1"/>
    <col min="7943" max="7943" width="9" style="1259"/>
    <col min="7944" max="7944" width="8.875" style="1259" bestFit="1" customWidth="1"/>
    <col min="7945" max="8172" width="9" style="1259"/>
    <col min="8173" max="8173" width="6.75" style="1259" customWidth="1"/>
    <col min="8174" max="8174" width="57.25" style="1259" customWidth="1"/>
    <col min="8175" max="8175" width="11.5" style="1259" customWidth="1"/>
    <col min="8176" max="8176" width="19" style="1259" customWidth="1"/>
    <col min="8177" max="8198" width="0" style="1259" hidden="1" customWidth="1"/>
    <col min="8199" max="8199" width="9" style="1259"/>
    <col min="8200" max="8200" width="8.875" style="1259" bestFit="1" customWidth="1"/>
    <col min="8201" max="8428" width="9" style="1259"/>
    <col min="8429" max="8429" width="6.75" style="1259" customWidth="1"/>
    <col min="8430" max="8430" width="57.25" style="1259" customWidth="1"/>
    <col min="8431" max="8431" width="11.5" style="1259" customWidth="1"/>
    <col min="8432" max="8432" width="19" style="1259" customWidth="1"/>
    <col min="8433" max="8454" width="0" style="1259" hidden="1" customWidth="1"/>
    <col min="8455" max="8455" width="9" style="1259"/>
    <col min="8456" max="8456" width="8.875" style="1259" bestFit="1" customWidth="1"/>
    <col min="8457" max="8684" width="9" style="1259"/>
    <col min="8685" max="8685" width="6.75" style="1259" customWidth="1"/>
    <col min="8686" max="8686" width="57.25" style="1259" customWidth="1"/>
    <col min="8687" max="8687" width="11.5" style="1259" customWidth="1"/>
    <col min="8688" max="8688" width="19" style="1259" customWidth="1"/>
    <col min="8689" max="8710" width="0" style="1259" hidden="1" customWidth="1"/>
    <col min="8711" max="8711" width="9" style="1259"/>
    <col min="8712" max="8712" width="8.875" style="1259" bestFit="1" customWidth="1"/>
    <col min="8713" max="8940" width="9" style="1259"/>
    <col min="8941" max="8941" width="6.75" style="1259" customWidth="1"/>
    <col min="8942" max="8942" width="57.25" style="1259" customWidth="1"/>
    <col min="8943" max="8943" width="11.5" style="1259" customWidth="1"/>
    <col min="8944" max="8944" width="19" style="1259" customWidth="1"/>
    <col min="8945" max="8966" width="0" style="1259" hidden="1" customWidth="1"/>
    <col min="8967" max="8967" width="9" style="1259"/>
    <col min="8968" max="8968" width="8.875" style="1259" bestFit="1" customWidth="1"/>
    <col min="8969" max="9196" width="9" style="1259"/>
    <col min="9197" max="9197" width="6.75" style="1259" customWidth="1"/>
    <col min="9198" max="9198" width="57.25" style="1259" customWidth="1"/>
    <col min="9199" max="9199" width="11.5" style="1259" customWidth="1"/>
    <col min="9200" max="9200" width="19" style="1259" customWidth="1"/>
    <col min="9201" max="9222" width="0" style="1259" hidden="1" customWidth="1"/>
    <col min="9223" max="9223" width="9" style="1259"/>
    <col min="9224" max="9224" width="8.875" style="1259" bestFit="1" customWidth="1"/>
    <col min="9225" max="9452" width="9" style="1259"/>
    <col min="9453" max="9453" width="6.75" style="1259" customWidth="1"/>
    <col min="9454" max="9454" width="57.25" style="1259" customWidth="1"/>
    <col min="9455" max="9455" width="11.5" style="1259" customWidth="1"/>
    <col min="9456" max="9456" width="19" style="1259" customWidth="1"/>
    <col min="9457" max="9478" width="0" style="1259" hidden="1" customWidth="1"/>
    <col min="9479" max="9479" width="9" style="1259"/>
    <col min="9480" max="9480" width="8.875" style="1259" bestFit="1" customWidth="1"/>
    <col min="9481" max="9708" width="9" style="1259"/>
    <col min="9709" max="9709" width="6.75" style="1259" customWidth="1"/>
    <col min="9710" max="9710" width="57.25" style="1259" customWidth="1"/>
    <col min="9711" max="9711" width="11.5" style="1259" customWidth="1"/>
    <col min="9712" max="9712" width="19" style="1259" customWidth="1"/>
    <col min="9713" max="9734" width="0" style="1259" hidden="1" customWidth="1"/>
    <col min="9735" max="9735" width="9" style="1259"/>
    <col min="9736" max="9736" width="8.875" style="1259" bestFit="1" customWidth="1"/>
    <col min="9737" max="9964" width="9" style="1259"/>
    <col min="9965" max="9965" width="6.75" style="1259" customWidth="1"/>
    <col min="9966" max="9966" width="57.25" style="1259" customWidth="1"/>
    <col min="9967" max="9967" width="11.5" style="1259" customWidth="1"/>
    <col min="9968" max="9968" width="19" style="1259" customWidth="1"/>
    <col min="9969" max="9990" width="0" style="1259" hidden="1" customWidth="1"/>
    <col min="9991" max="9991" width="9" style="1259"/>
    <col min="9992" max="9992" width="8.875" style="1259" bestFit="1" customWidth="1"/>
    <col min="9993" max="10220" width="9" style="1259"/>
    <col min="10221" max="10221" width="6.75" style="1259" customWidth="1"/>
    <col min="10222" max="10222" width="57.25" style="1259" customWidth="1"/>
    <col min="10223" max="10223" width="11.5" style="1259" customWidth="1"/>
    <col min="10224" max="10224" width="19" style="1259" customWidth="1"/>
    <col min="10225" max="10246" width="0" style="1259" hidden="1" customWidth="1"/>
    <col min="10247" max="10247" width="9" style="1259"/>
    <col min="10248" max="10248" width="8.875" style="1259" bestFit="1" customWidth="1"/>
    <col min="10249" max="10476" width="9" style="1259"/>
    <col min="10477" max="10477" width="6.75" style="1259" customWidth="1"/>
    <col min="10478" max="10478" width="57.25" style="1259" customWidth="1"/>
    <col min="10479" max="10479" width="11.5" style="1259" customWidth="1"/>
    <col min="10480" max="10480" width="19" style="1259" customWidth="1"/>
    <col min="10481" max="10502" width="0" style="1259" hidden="1" customWidth="1"/>
    <col min="10503" max="10503" width="9" style="1259"/>
    <col min="10504" max="10504" width="8.875" style="1259" bestFit="1" customWidth="1"/>
    <col min="10505" max="10732" width="9" style="1259"/>
    <col min="10733" max="10733" width="6.75" style="1259" customWidth="1"/>
    <col min="10734" max="10734" width="57.25" style="1259" customWidth="1"/>
    <col min="10735" max="10735" width="11.5" style="1259" customWidth="1"/>
    <col min="10736" max="10736" width="19" style="1259" customWidth="1"/>
    <col min="10737" max="10758" width="0" style="1259" hidden="1" customWidth="1"/>
    <col min="10759" max="10759" width="9" style="1259"/>
    <col min="10760" max="10760" width="8.875" style="1259" bestFit="1" customWidth="1"/>
    <col min="10761" max="10988" width="9" style="1259"/>
    <col min="10989" max="10989" width="6.75" style="1259" customWidth="1"/>
    <col min="10990" max="10990" width="57.25" style="1259" customWidth="1"/>
    <col min="10991" max="10991" width="11.5" style="1259" customWidth="1"/>
    <col min="10992" max="10992" width="19" style="1259" customWidth="1"/>
    <col min="10993" max="11014" width="0" style="1259" hidden="1" customWidth="1"/>
    <col min="11015" max="11015" width="9" style="1259"/>
    <col min="11016" max="11016" width="8.875" style="1259" bestFit="1" customWidth="1"/>
    <col min="11017" max="11244" width="9" style="1259"/>
    <col min="11245" max="11245" width="6.75" style="1259" customWidth="1"/>
    <col min="11246" max="11246" width="57.25" style="1259" customWidth="1"/>
    <col min="11247" max="11247" width="11.5" style="1259" customWidth="1"/>
    <col min="11248" max="11248" width="19" style="1259" customWidth="1"/>
    <col min="11249" max="11270" width="0" style="1259" hidden="1" customWidth="1"/>
    <col min="11271" max="11271" width="9" style="1259"/>
    <col min="11272" max="11272" width="8.875" style="1259" bestFit="1" customWidth="1"/>
    <col min="11273" max="11500" width="9" style="1259"/>
    <col min="11501" max="11501" width="6.75" style="1259" customWidth="1"/>
    <col min="11502" max="11502" width="57.25" style="1259" customWidth="1"/>
    <col min="11503" max="11503" width="11.5" style="1259" customWidth="1"/>
    <col min="11504" max="11504" width="19" style="1259" customWidth="1"/>
    <col min="11505" max="11526" width="0" style="1259" hidden="1" customWidth="1"/>
    <col min="11527" max="11527" width="9" style="1259"/>
    <col min="11528" max="11528" width="8.875" style="1259" bestFit="1" customWidth="1"/>
    <col min="11529" max="11756" width="9" style="1259"/>
    <col min="11757" max="11757" width="6.75" style="1259" customWidth="1"/>
    <col min="11758" max="11758" width="57.25" style="1259" customWidth="1"/>
    <col min="11759" max="11759" width="11.5" style="1259" customWidth="1"/>
    <col min="11760" max="11760" width="19" style="1259" customWidth="1"/>
    <col min="11761" max="11782" width="0" style="1259" hidden="1" customWidth="1"/>
    <col min="11783" max="11783" width="9" style="1259"/>
    <col min="11784" max="11784" width="8.875" style="1259" bestFit="1" customWidth="1"/>
    <col min="11785" max="12012" width="9" style="1259"/>
    <col min="12013" max="12013" width="6.75" style="1259" customWidth="1"/>
    <col min="12014" max="12014" width="57.25" style="1259" customWidth="1"/>
    <col min="12015" max="12015" width="11.5" style="1259" customWidth="1"/>
    <col min="12016" max="12016" width="19" style="1259" customWidth="1"/>
    <col min="12017" max="12038" width="0" style="1259" hidden="1" customWidth="1"/>
    <col min="12039" max="12039" width="9" style="1259"/>
    <col min="12040" max="12040" width="8.875" style="1259" bestFit="1" customWidth="1"/>
    <col min="12041" max="12268" width="9" style="1259"/>
    <col min="12269" max="12269" width="6.75" style="1259" customWidth="1"/>
    <col min="12270" max="12270" width="57.25" style="1259" customWidth="1"/>
    <col min="12271" max="12271" width="11.5" style="1259" customWidth="1"/>
    <col min="12272" max="12272" width="19" style="1259" customWidth="1"/>
    <col min="12273" max="12294" width="0" style="1259" hidden="1" customWidth="1"/>
    <col min="12295" max="12295" width="9" style="1259"/>
    <col min="12296" max="12296" width="8.875" style="1259" bestFit="1" customWidth="1"/>
    <col min="12297" max="12524" width="9" style="1259"/>
    <col min="12525" max="12525" width="6.75" style="1259" customWidth="1"/>
    <col min="12526" max="12526" width="57.25" style="1259" customWidth="1"/>
    <col min="12527" max="12527" width="11.5" style="1259" customWidth="1"/>
    <col min="12528" max="12528" width="19" style="1259" customWidth="1"/>
    <col min="12529" max="12550" width="0" style="1259" hidden="1" customWidth="1"/>
    <col min="12551" max="12551" width="9" style="1259"/>
    <col min="12552" max="12552" width="8.875" style="1259" bestFit="1" customWidth="1"/>
    <col min="12553" max="12780" width="9" style="1259"/>
    <col min="12781" max="12781" width="6.75" style="1259" customWidth="1"/>
    <col min="12782" max="12782" width="57.25" style="1259" customWidth="1"/>
    <col min="12783" max="12783" width="11.5" style="1259" customWidth="1"/>
    <col min="12784" max="12784" width="19" style="1259" customWidth="1"/>
    <col min="12785" max="12806" width="0" style="1259" hidden="1" customWidth="1"/>
    <col min="12807" max="12807" width="9" style="1259"/>
    <col min="12808" max="12808" width="8.875" style="1259" bestFit="1" customWidth="1"/>
    <col min="12809" max="13036" width="9" style="1259"/>
    <col min="13037" max="13037" width="6.75" style="1259" customWidth="1"/>
    <col min="13038" max="13038" width="57.25" style="1259" customWidth="1"/>
    <col min="13039" max="13039" width="11.5" style="1259" customWidth="1"/>
    <col min="13040" max="13040" width="19" style="1259" customWidth="1"/>
    <col min="13041" max="13062" width="0" style="1259" hidden="1" customWidth="1"/>
    <col min="13063" max="13063" width="9" style="1259"/>
    <col min="13064" max="13064" width="8.875" style="1259" bestFit="1" customWidth="1"/>
    <col min="13065" max="13292" width="9" style="1259"/>
    <col min="13293" max="13293" width="6.75" style="1259" customWidth="1"/>
    <col min="13294" max="13294" width="57.25" style="1259" customWidth="1"/>
    <col min="13295" max="13295" width="11.5" style="1259" customWidth="1"/>
    <col min="13296" max="13296" width="19" style="1259" customWidth="1"/>
    <col min="13297" max="13318" width="0" style="1259" hidden="1" customWidth="1"/>
    <col min="13319" max="13319" width="9" style="1259"/>
    <col min="13320" max="13320" width="8.875" style="1259" bestFit="1" customWidth="1"/>
    <col min="13321" max="13548" width="9" style="1259"/>
    <col min="13549" max="13549" width="6.75" style="1259" customWidth="1"/>
    <col min="13550" max="13550" width="57.25" style="1259" customWidth="1"/>
    <col min="13551" max="13551" width="11.5" style="1259" customWidth="1"/>
    <col min="13552" max="13552" width="19" style="1259" customWidth="1"/>
    <col min="13553" max="13574" width="0" style="1259" hidden="1" customWidth="1"/>
    <col min="13575" max="13575" width="9" style="1259"/>
    <col min="13576" max="13576" width="8.875" style="1259" bestFit="1" customWidth="1"/>
    <col min="13577" max="13804" width="9" style="1259"/>
    <col min="13805" max="13805" width="6.75" style="1259" customWidth="1"/>
    <col min="13806" max="13806" width="57.25" style="1259" customWidth="1"/>
    <col min="13807" max="13807" width="11.5" style="1259" customWidth="1"/>
    <col min="13808" max="13808" width="19" style="1259" customWidth="1"/>
    <col min="13809" max="13830" width="0" style="1259" hidden="1" customWidth="1"/>
    <col min="13831" max="13831" width="9" style="1259"/>
    <col min="13832" max="13832" width="8.875" style="1259" bestFit="1" customWidth="1"/>
    <col min="13833" max="14060" width="9" style="1259"/>
    <col min="14061" max="14061" width="6.75" style="1259" customWidth="1"/>
    <col min="14062" max="14062" width="57.25" style="1259" customWidth="1"/>
    <col min="14063" max="14063" width="11.5" style="1259" customWidth="1"/>
    <col min="14064" max="14064" width="19" style="1259" customWidth="1"/>
    <col min="14065" max="14086" width="0" style="1259" hidden="1" customWidth="1"/>
    <col min="14087" max="14087" width="9" style="1259"/>
    <col min="14088" max="14088" width="8.875" style="1259" bestFit="1" customWidth="1"/>
    <col min="14089" max="14316" width="9" style="1259"/>
    <col min="14317" max="14317" width="6.75" style="1259" customWidth="1"/>
    <col min="14318" max="14318" width="57.25" style="1259" customWidth="1"/>
    <col min="14319" max="14319" width="11.5" style="1259" customWidth="1"/>
    <col min="14320" max="14320" width="19" style="1259" customWidth="1"/>
    <col min="14321" max="14342" width="0" style="1259" hidden="1" customWidth="1"/>
    <col min="14343" max="14343" width="9" style="1259"/>
    <col min="14344" max="14344" width="8.875" style="1259" bestFit="1" customWidth="1"/>
    <col min="14345" max="14572" width="9" style="1259"/>
    <col min="14573" max="14573" width="6.75" style="1259" customWidth="1"/>
    <col min="14574" max="14574" width="57.25" style="1259" customWidth="1"/>
    <col min="14575" max="14575" width="11.5" style="1259" customWidth="1"/>
    <col min="14576" max="14576" width="19" style="1259" customWidth="1"/>
    <col min="14577" max="14598" width="0" style="1259" hidden="1" customWidth="1"/>
    <col min="14599" max="14599" width="9" style="1259"/>
    <col min="14600" max="14600" width="8.875" style="1259" bestFit="1" customWidth="1"/>
    <col min="14601" max="14828" width="9" style="1259"/>
    <col min="14829" max="14829" width="6.75" style="1259" customWidth="1"/>
    <col min="14830" max="14830" width="57.25" style="1259" customWidth="1"/>
    <col min="14831" max="14831" width="11.5" style="1259" customWidth="1"/>
    <col min="14832" max="14832" width="19" style="1259" customWidth="1"/>
    <col min="14833" max="14854" width="0" style="1259" hidden="1" customWidth="1"/>
    <col min="14855" max="14855" width="9" style="1259"/>
    <col min="14856" max="14856" width="8.875" style="1259" bestFit="1" customWidth="1"/>
    <col min="14857" max="15084" width="9" style="1259"/>
    <col min="15085" max="15085" width="6.75" style="1259" customWidth="1"/>
    <col min="15086" max="15086" width="57.25" style="1259" customWidth="1"/>
    <col min="15087" max="15087" width="11.5" style="1259" customWidth="1"/>
    <col min="15088" max="15088" width="19" style="1259" customWidth="1"/>
    <col min="15089" max="15110" width="0" style="1259" hidden="1" customWidth="1"/>
    <col min="15111" max="15111" width="9" style="1259"/>
    <col min="15112" max="15112" width="8.875" style="1259" bestFit="1" customWidth="1"/>
    <col min="15113" max="15340" width="9" style="1259"/>
    <col min="15341" max="15341" width="6.75" style="1259" customWidth="1"/>
    <col min="15342" max="15342" width="57.25" style="1259" customWidth="1"/>
    <col min="15343" max="15343" width="11.5" style="1259" customWidth="1"/>
    <col min="15344" max="15344" width="19" style="1259" customWidth="1"/>
    <col min="15345" max="15366" width="0" style="1259" hidden="1" customWidth="1"/>
    <col min="15367" max="15367" width="9" style="1259"/>
    <col min="15368" max="15368" width="8.875" style="1259" bestFit="1" customWidth="1"/>
    <col min="15369" max="15596" width="9" style="1259"/>
    <col min="15597" max="15597" width="6.75" style="1259" customWidth="1"/>
    <col min="15598" max="15598" width="57.25" style="1259" customWidth="1"/>
    <col min="15599" max="15599" width="11.5" style="1259" customWidth="1"/>
    <col min="15600" max="15600" width="19" style="1259" customWidth="1"/>
    <col min="15601" max="15622" width="0" style="1259" hidden="1" customWidth="1"/>
    <col min="15623" max="15623" width="9" style="1259"/>
    <col min="15624" max="15624" width="8.875" style="1259" bestFit="1" customWidth="1"/>
    <col min="15625" max="15852" width="9" style="1259"/>
    <col min="15853" max="15853" width="6.75" style="1259" customWidth="1"/>
    <col min="15854" max="15854" width="57.25" style="1259" customWidth="1"/>
    <col min="15855" max="15855" width="11.5" style="1259" customWidth="1"/>
    <col min="15856" max="15856" width="19" style="1259" customWidth="1"/>
    <col min="15857" max="15878" width="0" style="1259" hidden="1" customWidth="1"/>
    <col min="15879" max="15879" width="9" style="1259"/>
    <col min="15880" max="15880" width="8.875" style="1259" bestFit="1" customWidth="1"/>
    <col min="15881" max="16108" width="9" style="1259"/>
    <col min="16109" max="16109" width="6.75" style="1259" customWidth="1"/>
    <col min="16110" max="16110" width="57.25" style="1259" customWidth="1"/>
    <col min="16111" max="16111" width="11.5" style="1259" customWidth="1"/>
    <col min="16112" max="16112" width="19" style="1259" customWidth="1"/>
    <col min="16113" max="16134" width="0" style="1259" hidden="1" customWidth="1"/>
    <col min="16135" max="16135" width="9" style="1259"/>
    <col min="16136" max="16136" width="8.875" style="1259" bestFit="1" customWidth="1"/>
    <col min="16137" max="16384" width="9" style="1259"/>
  </cols>
  <sheetData>
    <row r="1" spans="1:13" ht="117" customHeight="1">
      <c r="C1" s="1299"/>
      <c r="D1" s="1299"/>
      <c r="E1" s="1299"/>
      <c r="F1" s="1299"/>
      <c r="J1" s="1697" t="s">
        <v>641</v>
      </c>
      <c r="K1" s="1698"/>
      <c r="L1" s="1698"/>
      <c r="M1" s="1698"/>
    </row>
    <row r="2" spans="1:13" ht="18" customHeight="1">
      <c r="B2" s="1678"/>
      <c r="C2" s="1678"/>
      <c r="D2" s="1678"/>
    </row>
    <row r="3" spans="1:13" ht="55.5" customHeight="1">
      <c r="A3" s="1699" t="s">
        <v>640</v>
      </c>
      <c r="B3" s="1699"/>
      <c r="C3" s="1699"/>
      <c r="D3" s="1699"/>
      <c r="E3" s="1699"/>
      <c r="F3" s="1699"/>
      <c r="G3" s="1699"/>
      <c r="H3" s="1699"/>
      <c r="I3" s="1699"/>
      <c r="J3" s="1699"/>
      <c r="K3" s="1699"/>
      <c r="L3" s="1699"/>
      <c r="M3" s="1699"/>
    </row>
    <row r="4" spans="1:13" s="1300" customFormat="1" ht="32.450000000000003" customHeight="1">
      <c r="A4" s="1700" t="s">
        <v>83</v>
      </c>
      <c r="B4" s="1700" t="s">
        <v>575</v>
      </c>
      <c r="C4" s="1700" t="s">
        <v>576</v>
      </c>
      <c r="D4" s="1700" t="s">
        <v>577</v>
      </c>
      <c r="E4" s="1700" t="s">
        <v>578</v>
      </c>
      <c r="F4" s="1700" t="s">
        <v>579</v>
      </c>
      <c r="G4" s="1704" t="s">
        <v>580</v>
      </c>
      <c r="H4" s="1705"/>
      <c r="I4" s="1704" t="s">
        <v>581</v>
      </c>
      <c r="J4" s="1707"/>
      <c r="K4" s="1705"/>
      <c r="L4" s="1700" t="s">
        <v>582</v>
      </c>
      <c r="M4" s="1700" t="s">
        <v>583</v>
      </c>
    </row>
    <row r="5" spans="1:13" s="1300" customFormat="1" ht="149.25" customHeight="1">
      <c r="A5" s="1701"/>
      <c r="B5" s="1701"/>
      <c r="C5" s="1701"/>
      <c r="D5" s="1702"/>
      <c r="E5" s="1702"/>
      <c r="F5" s="1702"/>
      <c r="G5" s="1572" t="s">
        <v>584</v>
      </c>
      <c r="H5" s="1572" t="s">
        <v>585</v>
      </c>
      <c r="I5" s="1572" t="s">
        <v>586</v>
      </c>
      <c r="J5" s="1572" t="s">
        <v>587</v>
      </c>
      <c r="K5" s="1572" t="s">
        <v>588</v>
      </c>
      <c r="L5" s="1702"/>
      <c r="M5" s="1702"/>
    </row>
    <row r="6" spans="1:13" s="1300" customFormat="1" ht="27.75" customHeight="1">
      <c r="A6" s="1702"/>
      <c r="B6" s="1703"/>
      <c r="C6" s="1702"/>
      <c r="D6" s="1572" t="s">
        <v>21</v>
      </c>
      <c r="E6" s="1302" t="s">
        <v>3</v>
      </c>
      <c r="F6" s="1572" t="s">
        <v>3</v>
      </c>
      <c r="G6" s="1572" t="s">
        <v>589</v>
      </c>
      <c r="H6" s="1572" t="s">
        <v>590</v>
      </c>
      <c r="I6" s="1302" t="s">
        <v>567</v>
      </c>
      <c r="J6" s="1302" t="s">
        <v>591</v>
      </c>
      <c r="K6" s="1302" t="s">
        <v>3</v>
      </c>
      <c r="L6" s="1572"/>
      <c r="M6" s="1572"/>
    </row>
    <row r="7" spans="1:13" s="1306" customFormat="1" ht="20.25" customHeight="1">
      <c r="A7" s="1303">
        <v>1</v>
      </c>
      <c r="B7" s="1303">
        <v>2</v>
      </c>
      <c r="C7" s="1303">
        <v>3</v>
      </c>
      <c r="D7" s="1262">
        <v>4</v>
      </c>
      <c r="E7" s="1304">
        <v>5</v>
      </c>
      <c r="F7" s="1303">
        <v>6</v>
      </c>
      <c r="G7" s="1305">
        <v>6</v>
      </c>
      <c r="H7" s="1304">
        <v>7</v>
      </c>
      <c r="I7" s="1305">
        <v>8</v>
      </c>
      <c r="J7" s="1304">
        <v>9</v>
      </c>
      <c r="K7" s="1305">
        <v>10</v>
      </c>
      <c r="L7" s="1303">
        <v>11</v>
      </c>
      <c r="M7" s="1262">
        <v>12</v>
      </c>
    </row>
    <row r="8" spans="1:13" s="1273" customFormat="1" ht="19.5" customHeight="1">
      <c r="A8" s="1689">
        <v>1</v>
      </c>
      <c r="B8" s="1689" t="s">
        <v>592</v>
      </c>
      <c r="C8" s="1307" t="s">
        <v>549</v>
      </c>
      <c r="D8" s="1695">
        <f>'[189]Кальк.2019-2023 (ДИ)'!P21</f>
        <v>5814.4290000000001</v>
      </c>
      <c r="E8" s="1308">
        <f>'[188]Кальк_2016-2018'!F7</f>
        <v>0.01</v>
      </c>
      <c r="F8" s="1308">
        <v>0</v>
      </c>
      <c r="G8" s="1309">
        <v>0</v>
      </c>
      <c r="H8" s="1309">
        <v>0</v>
      </c>
      <c r="I8" s="1310">
        <v>148.41</v>
      </c>
      <c r="J8" s="1311">
        <v>1.3</v>
      </c>
      <c r="K8" s="1312">
        <v>1.01</v>
      </c>
      <c r="L8" s="1313" t="s">
        <v>593</v>
      </c>
      <c r="M8" s="1313" t="s">
        <v>593</v>
      </c>
    </row>
    <row r="9" spans="1:13" ht="19.5" customHeight="1">
      <c r="A9" s="1690"/>
      <c r="B9" s="1690"/>
      <c r="C9" s="1307" t="s">
        <v>550</v>
      </c>
      <c r="D9" s="1696"/>
      <c r="E9" s="1308">
        <v>0.01</v>
      </c>
      <c r="F9" s="1308">
        <v>0</v>
      </c>
      <c r="G9" s="1309">
        <v>0</v>
      </c>
      <c r="H9" s="1309">
        <v>0</v>
      </c>
      <c r="I9" s="1310">
        <v>148.24</v>
      </c>
      <c r="J9" s="1311">
        <v>1.3</v>
      </c>
      <c r="K9" s="1312">
        <v>1.01</v>
      </c>
      <c r="L9" s="1313" t="s">
        <v>593</v>
      </c>
      <c r="M9" s="1313" t="s">
        <v>593</v>
      </c>
    </row>
    <row r="10" spans="1:13" s="1277" customFormat="1" ht="19.5" customHeight="1">
      <c r="A10" s="1690"/>
      <c r="B10" s="1690"/>
      <c r="C10" s="1307" t="s">
        <v>551</v>
      </c>
      <c r="D10" s="1696"/>
      <c r="E10" s="1308">
        <v>0.01</v>
      </c>
      <c r="F10" s="1308">
        <v>0</v>
      </c>
      <c r="G10" s="1309">
        <v>0</v>
      </c>
      <c r="H10" s="1309">
        <v>0</v>
      </c>
      <c r="I10" s="1310">
        <v>148.06</v>
      </c>
      <c r="J10" s="1311">
        <v>1.3</v>
      </c>
      <c r="K10" s="1312">
        <v>1.01</v>
      </c>
      <c r="L10" s="1313" t="s">
        <v>593</v>
      </c>
      <c r="M10" s="1313" t="s">
        <v>593</v>
      </c>
    </row>
    <row r="11" spans="1:13" s="1277" customFormat="1" ht="15.75" hidden="1" customHeight="1">
      <c r="A11" s="1691"/>
      <c r="B11" s="1693"/>
      <c r="C11" s="1307" t="s">
        <v>594</v>
      </c>
      <c r="D11" s="1693"/>
      <c r="E11" s="1294"/>
      <c r="F11" s="1294"/>
      <c r="G11" s="1272"/>
      <c r="H11" s="1272"/>
      <c r="I11" s="1314"/>
      <c r="J11" s="1294"/>
      <c r="K11" s="1312">
        <v>1.01</v>
      </c>
      <c r="L11" s="1294" t="s">
        <v>593</v>
      </c>
      <c r="M11" s="1294" t="s">
        <v>593</v>
      </c>
    </row>
    <row r="12" spans="1:13" s="1277" customFormat="1" ht="15.75" hidden="1" customHeight="1">
      <c r="A12" s="1691"/>
      <c r="B12" s="1693"/>
      <c r="C12" s="1307" t="s">
        <v>595</v>
      </c>
      <c r="D12" s="1693"/>
      <c r="E12" s="1315"/>
      <c r="F12" s="1315"/>
      <c r="G12" s="1278"/>
      <c r="H12" s="1278"/>
      <c r="I12" s="1314"/>
      <c r="J12" s="1315"/>
      <c r="K12" s="1312">
        <v>1.01</v>
      </c>
      <c r="L12" s="1294" t="s">
        <v>593</v>
      </c>
      <c r="M12" s="1294" t="s">
        <v>593</v>
      </c>
    </row>
    <row r="13" spans="1:13" s="1277" customFormat="1" ht="15.75" hidden="1" customHeight="1">
      <c r="A13" s="1691"/>
      <c r="B13" s="1693"/>
      <c r="C13" s="1307" t="s">
        <v>596</v>
      </c>
      <c r="D13" s="1693"/>
      <c r="E13" s="1295"/>
      <c r="F13" s="1295"/>
      <c r="G13" s="1316"/>
      <c r="H13" s="1316"/>
      <c r="I13" s="1314"/>
      <c r="J13" s="1295"/>
      <c r="K13" s="1317"/>
      <c r="L13" s="1294" t="s">
        <v>593</v>
      </c>
      <c r="M13" s="1294" t="s">
        <v>593</v>
      </c>
    </row>
    <row r="14" spans="1:13" s="1277" customFormat="1" ht="15.75">
      <c r="A14" s="1691"/>
      <c r="B14" s="1693"/>
      <c r="C14" s="1307" t="s">
        <v>552</v>
      </c>
      <c r="D14" s="1693"/>
      <c r="E14" s="1308">
        <v>0.01</v>
      </c>
      <c r="F14" s="1308">
        <v>0</v>
      </c>
      <c r="G14" s="1316"/>
      <c r="H14" s="1316"/>
      <c r="I14" s="1314">
        <v>147.88</v>
      </c>
      <c r="J14" s="1311">
        <v>1.3</v>
      </c>
      <c r="K14" s="1312">
        <v>1.01</v>
      </c>
      <c r="L14" s="1313" t="s">
        <v>593</v>
      </c>
      <c r="M14" s="1313" t="s">
        <v>593</v>
      </c>
    </row>
    <row r="15" spans="1:13" s="1277" customFormat="1" ht="15.75">
      <c r="A15" s="1692"/>
      <c r="B15" s="1694"/>
      <c r="C15" s="1314" t="s">
        <v>553</v>
      </c>
      <c r="D15" s="1694"/>
      <c r="E15" s="1308">
        <v>0.01</v>
      </c>
      <c r="F15" s="1308">
        <v>0</v>
      </c>
      <c r="G15" s="1295"/>
      <c r="H15" s="1295"/>
      <c r="I15" s="1318">
        <v>147.69999999999999</v>
      </c>
      <c r="J15" s="1311">
        <v>1.3</v>
      </c>
      <c r="K15" s="1312">
        <v>1.01</v>
      </c>
      <c r="L15" s="1313" t="s">
        <v>593</v>
      </c>
      <c r="M15" s="1313" t="s">
        <v>593</v>
      </c>
    </row>
    <row r="16" spans="1:13" s="1277" customFormat="1" ht="30.6" customHeight="1">
      <c r="A16" s="1273"/>
      <c r="B16" s="1706"/>
      <c r="C16" s="1706"/>
      <c r="D16" s="1706"/>
      <c r="E16" s="1706"/>
      <c r="F16" s="1706"/>
      <c r="G16" s="1706"/>
      <c r="H16" s="1706"/>
      <c r="I16" s="1706"/>
      <c r="J16" s="1706"/>
      <c r="K16" s="1706"/>
      <c r="L16" s="1706"/>
      <c r="M16" s="1706"/>
    </row>
    <row r="17" spans="1:13" s="1277" customFormat="1" ht="35.450000000000003" customHeight="1">
      <c r="A17" s="1273"/>
      <c r="B17" s="1706"/>
      <c r="C17" s="1706"/>
      <c r="D17" s="1706"/>
      <c r="E17" s="1706"/>
      <c r="F17" s="1706"/>
      <c r="G17" s="1706"/>
      <c r="H17" s="1706"/>
      <c r="I17" s="1706"/>
      <c r="J17" s="1706"/>
      <c r="K17" s="1706"/>
      <c r="L17" s="1706"/>
      <c r="M17" s="1706"/>
    </row>
    <row r="18" spans="1:13" s="1277" customFormat="1" ht="31.9" customHeight="1">
      <c r="A18" s="1273"/>
      <c r="B18" s="1706"/>
      <c r="C18" s="1706"/>
      <c r="D18" s="1706"/>
      <c r="E18" s="1706"/>
      <c r="F18" s="1706"/>
      <c r="G18" s="1706"/>
      <c r="H18" s="1706"/>
      <c r="I18" s="1706"/>
      <c r="J18" s="1706"/>
      <c r="K18" s="1706"/>
      <c r="L18" s="1706"/>
      <c r="M18" s="1706"/>
    </row>
    <row r="19" spans="1:13" s="1277" customFormat="1" ht="15.75">
      <c r="A19" s="1273"/>
    </row>
    <row r="20" spans="1:13" s="1277" customFormat="1" ht="15.75">
      <c r="A20" s="1273"/>
    </row>
    <row r="21" spans="1:13" s="1277" customFormat="1" ht="15.75">
      <c r="A21" s="1273"/>
    </row>
    <row r="22" spans="1:13" s="1277" customFormat="1" ht="15.75">
      <c r="A22" s="1273"/>
    </row>
  </sheetData>
  <mergeCells count="19">
    <mergeCell ref="A8:A15"/>
    <mergeCell ref="B8:B15"/>
    <mergeCell ref="D8:D15"/>
    <mergeCell ref="J1:M1"/>
    <mergeCell ref="B2:D2"/>
    <mergeCell ref="A3:M3"/>
    <mergeCell ref="A4:A6"/>
    <mergeCell ref="B4:B6"/>
    <mergeCell ref="C4:C6"/>
    <mergeCell ref="D4:D5"/>
    <mergeCell ref="E4:E5"/>
    <mergeCell ref="F4:F5"/>
    <mergeCell ref="G4:H4"/>
    <mergeCell ref="B16:M16"/>
    <mergeCell ref="B17:M17"/>
    <mergeCell ref="B18:M18"/>
    <mergeCell ref="I4:K4"/>
    <mergeCell ref="L4:L5"/>
    <mergeCell ref="M4:M5"/>
  </mergeCells>
  <printOptions horizontalCentered="1"/>
  <pageMargins left="0" right="0" top="0.39370078740157483" bottom="0.35433070866141736" header="0.31496062992125984" footer="0.31496062992125984"/>
  <pageSetup paperSize="9" scale="86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14"/>
  <sheetViews>
    <sheetView view="pageBreakPreview" topLeftCell="A94" zoomScale="70" zoomScaleNormal="80" zoomScaleSheetLayoutView="70" workbookViewId="0">
      <selection activeCell="D120" sqref="D120:F121"/>
    </sheetView>
  </sheetViews>
  <sheetFormatPr defaultRowHeight="12.75" outlineLevelRow="1"/>
  <cols>
    <col min="1" max="1" width="2.125" style="2" customWidth="1"/>
    <col min="2" max="2" width="29.75" style="2" customWidth="1"/>
    <col min="3" max="3" width="8.75" style="3" customWidth="1"/>
    <col min="4" max="5" width="13.75" style="56" customWidth="1"/>
    <col min="6" max="6" width="12.5" style="56" customWidth="1"/>
    <col min="7" max="8" width="13.75" style="56" customWidth="1"/>
    <col min="9" max="9" width="12.5" style="56" customWidth="1"/>
    <col min="10" max="11" width="13.75" style="56" customWidth="1"/>
    <col min="12" max="12" width="12.5" style="56" customWidth="1"/>
    <col min="13" max="14" width="13.75" style="56" customWidth="1"/>
    <col min="15" max="15" width="12.5" style="56" customWidth="1"/>
    <col min="16" max="17" width="13.75" style="56" customWidth="1"/>
    <col min="18" max="18" width="12.5" style="56" customWidth="1"/>
    <col min="19" max="19" width="9" style="2"/>
    <col min="20" max="20" width="22.875" style="2" customWidth="1"/>
    <col min="21" max="21" width="24.875" style="2" customWidth="1"/>
    <col min="22" max="22" width="11.375" style="2" bestFit="1" customWidth="1"/>
    <col min="23" max="260" width="9" style="2"/>
    <col min="261" max="261" width="2.125" style="2" customWidth="1"/>
    <col min="262" max="262" width="27.875" style="2" customWidth="1"/>
    <col min="263" max="263" width="8.75" style="2" customWidth="1"/>
    <col min="264" max="265" width="13.75" style="2" customWidth="1"/>
    <col min="266" max="266" width="12.5" style="2" customWidth="1"/>
    <col min="267" max="267" width="12" style="2" customWidth="1"/>
    <col min="268" max="269" width="14.375" style="2" customWidth="1"/>
    <col min="270" max="272" width="12.5" style="2" customWidth="1"/>
    <col min="273" max="273" width="9" style="2"/>
    <col min="274" max="276" width="9.625" style="2" customWidth="1"/>
    <col min="277" max="516" width="9" style="2"/>
    <col min="517" max="517" width="2.125" style="2" customWidth="1"/>
    <col min="518" max="518" width="27.875" style="2" customWidth="1"/>
    <col min="519" max="519" width="8.75" style="2" customWidth="1"/>
    <col min="520" max="521" width="13.75" style="2" customWidth="1"/>
    <col min="522" max="522" width="12.5" style="2" customWidth="1"/>
    <col min="523" max="523" width="12" style="2" customWidth="1"/>
    <col min="524" max="525" width="14.375" style="2" customWidth="1"/>
    <col min="526" max="528" width="12.5" style="2" customWidth="1"/>
    <col min="529" max="529" width="9" style="2"/>
    <col min="530" max="532" width="9.625" style="2" customWidth="1"/>
    <col min="533" max="772" width="9" style="2"/>
    <col min="773" max="773" width="2.125" style="2" customWidth="1"/>
    <col min="774" max="774" width="27.875" style="2" customWidth="1"/>
    <col min="775" max="775" width="8.75" style="2" customWidth="1"/>
    <col min="776" max="777" width="13.75" style="2" customWidth="1"/>
    <col min="778" max="778" width="12.5" style="2" customWidth="1"/>
    <col min="779" max="779" width="12" style="2" customWidth="1"/>
    <col min="780" max="781" width="14.375" style="2" customWidth="1"/>
    <col min="782" max="784" width="12.5" style="2" customWidth="1"/>
    <col min="785" max="785" width="9" style="2"/>
    <col min="786" max="788" width="9.625" style="2" customWidth="1"/>
    <col min="789" max="1028" width="9" style="2"/>
    <col min="1029" max="1029" width="2.125" style="2" customWidth="1"/>
    <col min="1030" max="1030" width="27.875" style="2" customWidth="1"/>
    <col min="1031" max="1031" width="8.75" style="2" customWidth="1"/>
    <col min="1032" max="1033" width="13.75" style="2" customWidth="1"/>
    <col min="1034" max="1034" width="12.5" style="2" customWidth="1"/>
    <col min="1035" max="1035" width="12" style="2" customWidth="1"/>
    <col min="1036" max="1037" width="14.375" style="2" customWidth="1"/>
    <col min="1038" max="1040" width="12.5" style="2" customWidth="1"/>
    <col min="1041" max="1041" width="9" style="2"/>
    <col min="1042" max="1044" width="9.625" style="2" customWidth="1"/>
    <col min="1045" max="1284" width="9" style="2"/>
    <col min="1285" max="1285" width="2.125" style="2" customWidth="1"/>
    <col min="1286" max="1286" width="27.875" style="2" customWidth="1"/>
    <col min="1287" max="1287" width="8.75" style="2" customWidth="1"/>
    <col min="1288" max="1289" width="13.75" style="2" customWidth="1"/>
    <col min="1290" max="1290" width="12.5" style="2" customWidth="1"/>
    <col min="1291" max="1291" width="12" style="2" customWidth="1"/>
    <col min="1292" max="1293" width="14.375" style="2" customWidth="1"/>
    <col min="1294" max="1296" width="12.5" style="2" customWidth="1"/>
    <col min="1297" max="1297" width="9" style="2"/>
    <col min="1298" max="1300" width="9.625" style="2" customWidth="1"/>
    <col min="1301" max="1540" width="9" style="2"/>
    <col min="1541" max="1541" width="2.125" style="2" customWidth="1"/>
    <col min="1542" max="1542" width="27.875" style="2" customWidth="1"/>
    <col min="1543" max="1543" width="8.75" style="2" customWidth="1"/>
    <col min="1544" max="1545" width="13.75" style="2" customWidth="1"/>
    <col min="1546" max="1546" width="12.5" style="2" customWidth="1"/>
    <col min="1547" max="1547" width="12" style="2" customWidth="1"/>
    <col min="1548" max="1549" width="14.375" style="2" customWidth="1"/>
    <col min="1550" max="1552" width="12.5" style="2" customWidth="1"/>
    <col min="1553" max="1553" width="9" style="2"/>
    <col min="1554" max="1556" width="9.625" style="2" customWidth="1"/>
    <col min="1557" max="1796" width="9" style="2"/>
    <col min="1797" max="1797" width="2.125" style="2" customWidth="1"/>
    <col min="1798" max="1798" width="27.875" style="2" customWidth="1"/>
    <col min="1799" max="1799" width="8.75" style="2" customWidth="1"/>
    <col min="1800" max="1801" width="13.75" style="2" customWidth="1"/>
    <col min="1802" max="1802" width="12.5" style="2" customWidth="1"/>
    <col min="1803" max="1803" width="12" style="2" customWidth="1"/>
    <col min="1804" max="1805" width="14.375" style="2" customWidth="1"/>
    <col min="1806" max="1808" width="12.5" style="2" customWidth="1"/>
    <col min="1809" max="1809" width="9" style="2"/>
    <col min="1810" max="1812" width="9.625" style="2" customWidth="1"/>
    <col min="1813" max="2052" width="9" style="2"/>
    <col min="2053" max="2053" width="2.125" style="2" customWidth="1"/>
    <col min="2054" max="2054" width="27.875" style="2" customWidth="1"/>
    <col min="2055" max="2055" width="8.75" style="2" customWidth="1"/>
    <col min="2056" max="2057" width="13.75" style="2" customWidth="1"/>
    <col min="2058" max="2058" width="12.5" style="2" customWidth="1"/>
    <col min="2059" max="2059" width="12" style="2" customWidth="1"/>
    <col min="2060" max="2061" width="14.375" style="2" customWidth="1"/>
    <col min="2062" max="2064" width="12.5" style="2" customWidth="1"/>
    <col min="2065" max="2065" width="9" style="2"/>
    <col min="2066" max="2068" width="9.625" style="2" customWidth="1"/>
    <col min="2069" max="2308" width="9" style="2"/>
    <col min="2309" max="2309" width="2.125" style="2" customWidth="1"/>
    <col min="2310" max="2310" width="27.875" style="2" customWidth="1"/>
    <col min="2311" max="2311" width="8.75" style="2" customWidth="1"/>
    <col min="2312" max="2313" width="13.75" style="2" customWidth="1"/>
    <col min="2314" max="2314" width="12.5" style="2" customWidth="1"/>
    <col min="2315" max="2315" width="12" style="2" customWidth="1"/>
    <col min="2316" max="2317" width="14.375" style="2" customWidth="1"/>
    <col min="2318" max="2320" width="12.5" style="2" customWidth="1"/>
    <col min="2321" max="2321" width="9" style="2"/>
    <col min="2322" max="2324" width="9.625" style="2" customWidth="1"/>
    <col min="2325" max="2564" width="9" style="2"/>
    <col min="2565" max="2565" width="2.125" style="2" customWidth="1"/>
    <col min="2566" max="2566" width="27.875" style="2" customWidth="1"/>
    <col min="2567" max="2567" width="8.75" style="2" customWidth="1"/>
    <col min="2568" max="2569" width="13.75" style="2" customWidth="1"/>
    <col min="2570" max="2570" width="12.5" style="2" customWidth="1"/>
    <col min="2571" max="2571" width="12" style="2" customWidth="1"/>
    <col min="2572" max="2573" width="14.375" style="2" customWidth="1"/>
    <col min="2574" max="2576" width="12.5" style="2" customWidth="1"/>
    <col min="2577" max="2577" width="9" style="2"/>
    <col min="2578" max="2580" width="9.625" style="2" customWidth="1"/>
    <col min="2581" max="2820" width="9" style="2"/>
    <col min="2821" max="2821" width="2.125" style="2" customWidth="1"/>
    <col min="2822" max="2822" width="27.875" style="2" customWidth="1"/>
    <col min="2823" max="2823" width="8.75" style="2" customWidth="1"/>
    <col min="2824" max="2825" width="13.75" style="2" customWidth="1"/>
    <col min="2826" max="2826" width="12.5" style="2" customWidth="1"/>
    <col min="2827" max="2827" width="12" style="2" customWidth="1"/>
    <col min="2828" max="2829" width="14.375" style="2" customWidth="1"/>
    <col min="2830" max="2832" width="12.5" style="2" customWidth="1"/>
    <col min="2833" max="2833" width="9" style="2"/>
    <col min="2834" max="2836" width="9.625" style="2" customWidth="1"/>
    <col min="2837" max="3076" width="9" style="2"/>
    <col min="3077" max="3077" width="2.125" style="2" customWidth="1"/>
    <col min="3078" max="3078" width="27.875" style="2" customWidth="1"/>
    <col min="3079" max="3079" width="8.75" style="2" customWidth="1"/>
    <col min="3080" max="3081" width="13.75" style="2" customWidth="1"/>
    <col min="3082" max="3082" width="12.5" style="2" customWidth="1"/>
    <col min="3083" max="3083" width="12" style="2" customWidth="1"/>
    <col min="3084" max="3085" width="14.375" style="2" customWidth="1"/>
    <col min="3086" max="3088" width="12.5" style="2" customWidth="1"/>
    <col min="3089" max="3089" width="9" style="2"/>
    <col min="3090" max="3092" width="9.625" style="2" customWidth="1"/>
    <col min="3093" max="3332" width="9" style="2"/>
    <col min="3333" max="3333" width="2.125" style="2" customWidth="1"/>
    <col min="3334" max="3334" width="27.875" style="2" customWidth="1"/>
    <col min="3335" max="3335" width="8.75" style="2" customWidth="1"/>
    <col min="3336" max="3337" width="13.75" style="2" customWidth="1"/>
    <col min="3338" max="3338" width="12.5" style="2" customWidth="1"/>
    <col min="3339" max="3339" width="12" style="2" customWidth="1"/>
    <col min="3340" max="3341" width="14.375" style="2" customWidth="1"/>
    <col min="3342" max="3344" width="12.5" style="2" customWidth="1"/>
    <col min="3345" max="3345" width="9" style="2"/>
    <col min="3346" max="3348" width="9.625" style="2" customWidth="1"/>
    <col min="3349" max="3588" width="9" style="2"/>
    <col min="3589" max="3589" width="2.125" style="2" customWidth="1"/>
    <col min="3590" max="3590" width="27.875" style="2" customWidth="1"/>
    <col min="3591" max="3591" width="8.75" style="2" customWidth="1"/>
    <col min="3592" max="3593" width="13.75" style="2" customWidth="1"/>
    <col min="3594" max="3594" width="12.5" style="2" customWidth="1"/>
    <col min="3595" max="3595" width="12" style="2" customWidth="1"/>
    <col min="3596" max="3597" width="14.375" style="2" customWidth="1"/>
    <col min="3598" max="3600" width="12.5" style="2" customWidth="1"/>
    <col min="3601" max="3601" width="9" style="2"/>
    <col min="3602" max="3604" width="9.625" style="2" customWidth="1"/>
    <col min="3605" max="3844" width="9" style="2"/>
    <col min="3845" max="3845" width="2.125" style="2" customWidth="1"/>
    <col min="3846" max="3846" width="27.875" style="2" customWidth="1"/>
    <col min="3847" max="3847" width="8.75" style="2" customWidth="1"/>
    <col min="3848" max="3849" width="13.75" style="2" customWidth="1"/>
    <col min="3850" max="3850" width="12.5" style="2" customWidth="1"/>
    <col min="3851" max="3851" width="12" style="2" customWidth="1"/>
    <col min="3852" max="3853" width="14.375" style="2" customWidth="1"/>
    <col min="3854" max="3856" width="12.5" style="2" customWidth="1"/>
    <col min="3857" max="3857" width="9" style="2"/>
    <col min="3858" max="3860" width="9.625" style="2" customWidth="1"/>
    <col min="3861" max="4100" width="9" style="2"/>
    <col min="4101" max="4101" width="2.125" style="2" customWidth="1"/>
    <col min="4102" max="4102" width="27.875" style="2" customWidth="1"/>
    <col min="4103" max="4103" width="8.75" style="2" customWidth="1"/>
    <col min="4104" max="4105" width="13.75" style="2" customWidth="1"/>
    <col min="4106" max="4106" width="12.5" style="2" customWidth="1"/>
    <col min="4107" max="4107" width="12" style="2" customWidth="1"/>
    <col min="4108" max="4109" width="14.375" style="2" customWidth="1"/>
    <col min="4110" max="4112" width="12.5" style="2" customWidth="1"/>
    <col min="4113" max="4113" width="9" style="2"/>
    <col min="4114" max="4116" width="9.625" style="2" customWidth="1"/>
    <col min="4117" max="4356" width="9" style="2"/>
    <col min="4357" max="4357" width="2.125" style="2" customWidth="1"/>
    <col min="4358" max="4358" width="27.875" style="2" customWidth="1"/>
    <col min="4359" max="4359" width="8.75" style="2" customWidth="1"/>
    <col min="4360" max="4361" width="13.75" style="2" customWidth="1"/>
    <col min="4362" max="4362" width="12.5" style="2" customWidth="1"/>
    <col min="4363" max="4363" width="12" style="2" customWidth="1"/>
    <col min="4364" max="4365" width="14.375" style="2" customWidth="1"/>
    <col min="4366" max="4368" width="12.5" style="2" customWidth="1"/>
    <col min="4369" max="4369" width="9" style="2"/>
    <col min="4370" max="4372" width="9.625" style="2" customWidth="1"/>
    <col min="4373" max="4612" width="9" style="2"/>
    <col min="4613" max="4613" width="2.125" style="2" customWidth="1"/>
    <col min="4614" max="4614" width="27.875" style="2" customWidth="1"/>
    <col min="4615" max="4615" width="8.75" style="2" customWidth="1"/>
    <col min="4616" max="4617" width="13.75" style="2" customWidth="1"/>
    <col min="4618" max="4618" width="12.5" style="2" customWidth="1"/>
    <col min="4619" max="4619" width="12" style="2" customWidth="1"/>
    <col min="4620" max="4621" width="14.375" style="2" customWidth="1"/>
    <col min="4622" max="4624" width="12.5" style="2" customWidth="1"/>
    <col min="4625" max="4625" width="9" style="2"/>
    <col min="4626" max="4628" width="9.625" style="2" customWidth="1"/>
    <col min="4629" max="4868" width="9" style="2"/>
    <col min="4869" max="4869" width="2.125" style="2" customWidth="1"/>
    <col min="4870" max="4870" width="27.875" style="2" customWidth="1"/>
    <col min="4871" max="4871" width="8.75" style="2" customWidth="1"/>
    <col min="4872" max="4873" width="13.75" style="2" customWidth="1"/>
    <col min="4874" max="4874" width="12.5" style="2" customWidth="1"/>
    <col min="4875" max="4875" width="12" style="2" customWidth="1"/>
    <col min="4876" max="4877" width="14.375" style="2" customWidth="1"/>
    <col min="4878" max="4880" width="12.5" style="2" customWidth="1"/>
    <col min="4881" max="4881" width="9" style="2"/>
    <col min="4882" max="4884" width="9.625" style="2" customWidth="1"/>
    <col min="4885" max="5124" width="9" style="2"/>
    <col min="5125" max="5125" width="2.125" style="2" customWidth="1"/>
    <col min="5126" max="5126" width="27.875" style="2" customWidth="1"/>
    <col min="5127" max="5127" width="8.75" style="2" customWidth="1"/>
    <col min="5128" max="5129" width="13.75" style="2" customWidth="1"/>
    <col min="5130" max="5130" width="12.5" style="2" customWidth="1"/>
    <col min="5131" max="5131" width="12" style="2" customWidth="1"/>
    <col min="5132" max="5133" width="14.375" style="2" customWidth="1"/>
    <col min="5134" max="5136" width="12.5" style="2" customWidth="1"/>
    <col min="5137" max="5137" width="9" style="2"/>
    <col min="5138" max="5140" width="9.625" style="2" customWidth="1"/>
    <col min="5141" max="5380" width="9" style="2"/>
    <col min="5381" max="5381" width="2.125" style="2" customWidth="1"/>
    <col min="5382" max="5382" width="27.875" style="2" customWidth="1"/>
    <col min="5383" max="5383" width="8.75" style="2" customWidth="1"/>
    <col min="5384" max="5385" width="13.75" style="2" customWidth="1"/>
    <col min="5386" max="5386" width="12.5" style="2" customWidth="1"/>
    <col min="5387" max="5387" width="12" style="2" customWidth="1"/>
    <col min="5388" max="5389" width="14.375" style="2" customWidth="1"/>
    <col min="5390" max="5392" width="12.5" style="2" customWidth="1"/>
    <col min="5393" max="5393" width="9" style="2"/>
    <col min="5394" max="5396" width="9.625" style="2" customWidth="1"/>
    <col min="5397" max="5636" width="9" style="2"/>
    <col min="5637" max="5637" width="2.125" style="2" customWidth="1"/>
    <col min="5638" max="5638" width="27.875" style="2" customWidth="1"/>
    <col min="5639" max="5639" width="8.75" style="2" customWidth="1"/>
    <col min="5640" max="5641" width="13.75" style="2" customWidth="1"/>
    <col min="5642" max="5642" width="12.5" style="2" customWidth="1"/>
    <col min="5643" max="5643" width="12" style="2" customWidth="1"/>
    <col min="5644" max="5645" width="14.375" style="2" customWidth="1"/>
    <col min="5646" max="5648" width="12.5" style="2" customWidth="1"/>
    <col min="5649" max="5649" width="9" style="2"/>
    <col min="5650" max="5652" width="9.625" style="2" customWidth="1"/>
    <col min="5653" max="5892" width="9" style="2"/>
    <col min="5893" max="5893" width="2.125" style="2" customWidth="1"/>
    <col min="5894" max="5894" width="27.875" style="2" customWidth="1"/>
    <col min="5895" max="5895" width="8.75" style="2" customWidth="1"/>
    <col min="5896" max="5897" width="13.75" style="2" customWidth="1"/>
    <col min="5898" max="5898" width="12.5" style="2" customWidth="1"/>
    <col min="5899" max="5899" width="12" style="2" customWidth="1"/>
    <col min="5900" max="5901" width="14.375" style="2" customWidth="1"/>
    <col min="5902" max="5904" width="12.5" style="2" customWidth="1"/>
    <col min="5905" max="5905" width="9" style="2"/>
    <col min="5906" max="5908" width="9.625" style="2" customWidth="1"/>
    <col min="5909" max="6148" width="9" style="2"/>
    <col min="6149" max="6149" width="2.125" style="2" customWidth="1"/>
    <col min="6150" max="6150" width="27.875" style="2" customWidth="1"/>
    <col min="6151" max="6151" width="8.75" style="2" customWidth="1"/>
    <col min="6152" max="6153" width="13.75" style="2" customWidth="1"/>
    <col min="6154" max="6154" width="12.5" style="2" customWidth="1"/>
    <col min="6155" max="6155" width="12" style="2" customWidth="1"/>
    <col min="6156" max="6157" width="14.375" style="2" customWidth="1"/>
    <col min="6158" max="6160" width="12.5" style="2" customWidth="1"/>
    <col min="6161" max="6161" width="9" style="2"/>
    <col min="6162" max="6164" width="9.625" style="2" customWidth="1"/>
    <col min="6165" max="6404" width="9" style="2"/>
    <col min="6405" max="6405" width="2.125" style="2" customWidth="1"/>
    <col min="6406" max="6406" width="27.875" style="2" customWidth="1"/>
    <col min="6407" max="6407" width="8.75" style="2" customWidth="1"/>
    <col min="6408" max="6409" width="13.75" style="2" customWidth="1"/>
    <col min="6410" max="6410" width="12.5" style="2" customWidth="1"/>
    <col min="6411" max="6411" width="12" style="2" customWidth="1"/>
    <col min="6412" max="6413" width="14.375" style="2" customWidth="1"/>
    <col min="6414" max="6416" width="12.5" style="2" customWidth="1"/>
    <col min="6417" max="6417" width="9" style="2"/>
    <col min="6418" max="6420" width="9.625" style="2" customWidth="1"/>
    <col min="6421" max="6660" width="9" style="2"/>
    <col min="6661" max="6661" width="2.125" style="2" customWidth="1"/>
    <col min="6662" max="6662" width="27.875" style="2" customWidth="1"/>
    <col min="6663" max="6663" width="8.75" style="2" customWidth="1"/>
    <col min="6664" max="6665" width="13.75" style="2" customWidth="1"/>
    <col min="6666" max="6666" width="12.5" style="2" customWidth="1"/>
    <col min="6667" max="6667" width="12" style="2" customWidth="1"/>
    <col min="6668" max="6669" width="14.375" style="2" customWidth="1"/>
    <col min="6670" max="6672" width="12.5" style="2" customWidth="1"/>
    <col min="6673" max="6673" width="9" style="2"/>
    <col min="6674" max="6676" width="9.625" style="2" customWidth="1"/>
    <col min="6677" max="6916" width="9" style="2"/>
    <col min="6917" max="6917" width="2.125" style="2" customWidth="1"/>
    <col min="6918" max="6918" width="27.875" style="2" customWidth="1"/>
    <col min="6919" max="6919" width="8.75" style="2" customWidth="1"/>
    <col min="6920" max="6921" width="13.75" style="2" customWidth="1"/>
    <col min="6922" max="6922" width="12.5" style="2" customWidth="1"/>
    <col min="6923" max="6923" width="12" style="2" customWidth="1"/>
    <col min="6924" max="6925" width="14.375" style="2" customWidth="1"/>
    <col min="6926" max="6928" width="12.5" style="2" customWidth="1"/>
    <col min="6929" max="6929" width="9" style="2"/>
    <col min="6930" max="6932" width="9.625" style="2" customWidth="1"/>
    <col min="6933" max="7172" width="9" style="2"/>
    <col min="7173" max="7173" width="2.125" style="2" customWidth="1"/>
    <col min="7174" max="7174" width="27.875" style="2" customWidth="1"/>
    <col min="7175" max="7175" width="8.75" style="2" customWidth="1"/>
    <col min="7176" max="7177" width="13.75" style="2" customWidth="1"/>
    <col min="7178" max="7178" width="12.5" style="2" customWidth="1"/>
    <col min="7179" max="7179" width="12" style="2" customWidth="1"/>
    <col min="7180" max="7181" width="14.375" style="2" customWidth="1"/>
    <col min="7182" max="7184" width="12.5" style="2" customWidth="1"/>
    <col min="7185" max="7185" width="9" style="2"/>
    <col min="7186" max="7188" width="9.625" style="2" customWidth="1"/>
    <col min="7189" max="7428" width="9" style="2"/>
    <col min="7429" max="7429" width="2.125" style="2" customWidth="1"/>
    <col min="7430" max="7430" width="27.875" style="2" customWidth="1"/>
    <col min="7431" max="7431" width="8.75" style="2" customWidth="1"/>
    <col min="7432" max="7433" width="13.75" style="2" customWidth="1"/>
    <col min="7434" max="7434" width="12.5" style="2" customWidth="1"/>
    <col min="7435" max="7435" width="12" style="2" customWidth="1"/>
    <col min="7436" max="7437" width="14.375" style="2" customWidth="1"/>
    <col min="7438" max="7440" width="12.5" style="2" customWidth="1"/>
    <col min="7441" max="7441" width="9" style="2"/>
    <col min="7442" max="7444" width="9.625" style="2" customWidth="1"/>
    <col min="7445" max="7684" width="9" style="2"/>
    <col min="7685" max="7685" width="2.125" style="2" customWidth="1"/>
    <col min="7686" max="7686" width="27.875" style="2" customWidth="1"/>
    <col min="7687" max="7687" width="8.75" style="2" customWidth="1"/>
    <col min="7688" max="7689" width="13.75" style="2" customWidth="1"/>
    <col min="7690" max="7690" width="12.5" style="2" customWidth="1"/>
    <col min="7691" max="7691" width="12" style="2" customWidth="1"/>
    <col min="7692" max="7693" width="14.375" style="2" customWidth="1"/>
    <col min="7694" max="7696" width="12.5" style="2" customWidth="1"/>
    <col min="7697" max="7697" width="9" style="2"/>
    <col min="7698" max="7700" width="9.625" style="2" customWidth="1"/>
    <col min="7701" max="7940" width="9" style="2"/>
    <col min="7941" max="7941" width="2.125" style="2" customWidth="1"/>
    <col min="7942" max="7942" width="27.875" style="2" customWidth="1"/>
    <col min="7943" max="7943" width="8.75" style="2" customWidth="1"/>
    <col min="7944" max="7945" width="13.75" style="2" customWidth="1"/>
    <col min="7946" max="7946" width="12.5" style="2" customWidth="1"/>
    <col min="7947" max="7947" width="12" style="2" customWidth="1"/>
    <col min="7948" max="7949" width="14.375" style="2" customWidth="1"/>
    <col min="7950" max="7952" width="12.5" style="2" customWidth="1"/>
    <col min="7953" max="7953" width="9" style="2"/>
    <col min="7954" max="7956" width="9.625" style="2" customWidth="1"/>
    <col min="7957" max="8196" width="9" style="2"/>
    <col min="8197" max="8197" width="2.125" style="2" customWidth="1"/>
    <col min="8198" max="8198" width="27.875" style="2" customWidth="1"/>
    <col min="8199" max="8199" width="8.75" style="2" customWidth="1"/>
    <col min="8200" max="8201" width="13.75" style="2" customWidth="1"/>
    <col min="8202" max="8202" width="12.5" style="2" customWidth="1"/>
    <col min="8203" max="8203" width="12" style="2" customWidth="1"/>
    <col min="8204" max="8205" width="14.375" style="2" customWidth="1"/>
    <col min="8206" max="8208" width="12.5" style="2" customWidth="1"/>
    <col min="8209" max="8209" width="9" style="2"/>
    <col min="8210" max="8212" width="9.625" style="2" customWidth="1"/>
    <col min="8213" max="8452" width="9" style="2"/>
    <col min="8453" max="8453" width="2.125" style="2" customWidth="1"/>
    <col min="8454" max="8454" width="27.875" style="2" customWidth="1"/>
    <col min="8455" max="8455" width="8.75" style="2" customWidth="1"/>
    <col min="8456" max="8457" width="13.75" style="2" customWidth="1"/>
    <col min="8458" max="8458" width="12.5" style="2" customWidth="1"/>
    <col min="8459" max="8459" width="12" style="2" customWidth="1"/>
    <col min="8460" max="8461" width="14.375" style="2" customWidth="1"/>
    <col min="8462" max="8464" width="12.5" style="2" customWidth="1"/>
    <col min="8465" max="8465" width="9" style="2"/>
    <col min="8466" max="8468" width="9.625" style="2" customWidth="1"/>
    <col min="8469" max="8708" width="9" style="2"/>
    <col min="8709" max="8709" width="2.125" style="2" customWidth="1"/>
    <col min="8710" max="8710" width="27.875" style="2" customWidth="1"/>
    <col min="8711" max="8711" width="8.75" style="2" customWidth="1"/>
    <col min="8712" max="8713" width="13.75" style="2" customWidth="1"/>
    <col min="8714" max="8714" width="12.5" style="2" customWidth="1"/>
    <col min="8715" max="8715" width="12" style="2" customWidth="1"/>
    <col min="8716" max="8717" width="14.375" style="2" customWidth="1"/>
    <col min="8718" max="8720" width="12.5" style="2" customWidth="1"/>
    <col min="8721" max="8721" width="9" style="2"/>
    <col min="8722" max="8724" width="9.625" style="2" customWidth="1"/>
    <col min="8725" max="8964" width="9" style="2"/>
    <col min="8965" max="8965" width="2.125" style="2" customWidth="1"/>
    <col min="8966" max="8966" width="27.875" style="2" customWidth="1"/>
    <col min="8967" max="8967" width="8.75" style="2" customWidth="1"/>
    <col min="8968" max="8969" width="13.75" style="2" customWidth="1"/>
    <col min="8970" max="8970" width="12.5" style="2" customWidth="1"/>
    <col min="8971" max="8971" width="12" style="2" customWidth="1"/>
    <col min="8972" max="8973" width="14.375" style="2" customWidth="1"/>
    <col min="8974" max="8976" width="12.5" style="2" customWidth="1"/>
    <col min="8977" max="8977" width="9" style="2"/>
    <col min="8978" max="8980" width="9.625" style="2" customWidth="1"/>
    <col min="8981" max="9220" width="9" style="2"/>
    <col min="9221" max="9221" width="2.125" style="2" customWidth="1"/>
    <col min="9222" max="9222" width="27.875" style="2" customWidth="1"/>
    <col min="9223" max="9223" width="8.75" style="2" customWidth="1"/>
    <col min="9224" max="9225" width="13.75" style="2" customWidth="1"/>
    <col min="9226" max="9226" width="12.5" style="2" customWidth="1"/>
    <col min="9227" max="9227" width="12" style="2" customWidth="1"/>
    <col min="9228" max="9229" width="14.375" style="2" customWidth="1"/>
    <col min="9230" max="9232" width="12.5" style="2" customWidth="1"/>
    <col min="9233" max="9233" width="9" style="2"/>
    <col min="9234" max="9236" width="9.625" style="2" customWidth="1"/>
    <col min="9237" max="9476" width="9" style="2"/>
    <col min="9477" max="9477" width="2.125" style="2" customWidth="1"/>
    <col min="9478" max="9478" width="27.875" style="2" customWidth="1"/>
    <col min="9479" max="9479" width="8.75" style="2" customWidth="1"/>
    <col min="9480" max="9481" width="13.75" style="2" customWidth="1"/>
    <col min="9482" max="9482" width="12.5" style="2" customWidth="1"/>
    <col min="9483" max="9483" width="12" style="2" customWidth="1"/>
    <col min="9484" max="9485" width="14.375" style="2" customWidth="1"/>
    <col min="9486" max="9488" width="12.5" style="2" customWidth="1"/>
    <col min="9489" max="9489" width="9" style="2"/>
    <col min="9490" max="9492" width="9.625" style="2" customWidth="1"/>
    <col min="9493" max="9732" width="9" style="2"/>
    <col min="9733" max="9733" width="2.125" style="2" customWidth="1"/>
    <col min="9734" max="9734" width="27.875" style="2" customWidth="1"/>
    <col min="9735" max="9735" width="8.75" style="2" customWidth="1"/>
    <col min="9736" max="9737" width="13.75" style="2" customWidth="1"/>
    <col min="9738" max="9738" width="12.5" style="2" customWidth="1"/>
    <col min="9739" max="9739" width="12" style="2" customWidth="1"/>
    <col min="9740" max="9741" width="14.375" style="2" customWidth="1"/>
    <col min="9742" max="9744" width="12.5" style="2" customWidth="1"/>
    <col min="9745" max="9745" width="9" style="2"/>
    <col min="9746" max="9748" width="9.625" style="2" customWidth="1"/>
    <col min="9749" max="9988" width="9" style="2"/>
    <col min="9989" max="9989" width="2.125" style="2" customWidth="1"/>
    <col min="9990" max="9990" width="27.875" style="2" customWidth="1"/>
    <col min="9991" max="9991" width="8.75" style="2" customWidth="1"/>
    <col min="9992" max="9993" width="13.75" style="2" customWidth="1"/>
    <col min="9994" max="9994" width="12.5" style="2" customWidth="1"/>
    <col min="9995" max="9995" width="12" style="2" customWidth="1"/>
    <col min="9996" max="9997" width="14.375" style="2" customWidth="1"/>
    <col min="9998" max="10000" width="12.5" style="2" customWidth="1"/>
    <col min="10001" max="10001" width="9" style="2"/>
    <col min="10002" max="10004" width="9.625" style="2" customWidth="1"/>
    <col min="10005" max="10244" width="9" style="2"/>
    <col min="10245" max="10245" width="2.125" style="2" customWidth="1"/>
    <col min="10246" max="10246" width="27.875" style="2" customWidth="1"/>
    <col min="10247" max="10247" width="8.75" style="2" customWidth="1"/>
    <col min="10248" max="10249" width="13.75" style="2" customWidth="1"/>
    <col min="10250" max="10250" width="12.5" style="2" customWidth="1"/>
    <col min="10251" max="10251" width="12" style="2" customWidth="1"/>
    <col min="10252" max="10253" width="14.375" style="2" customWidth="1"/>
    <col min="10254" max="10256" width="12.5" style="2" customWidth="1"/>
    <col min="10257" max="10257" width="9" style="2"/>
    <col min="10258" max="10260" width="9.625" style="2" customWidth="1"/>
    <col min="10261" max="10500" width="9" style="2"/>
    <col min="10501" max="10501" width="2.125" style="2" customWidth="1"/>
    <col min="10502" max="10502" width="27.875" style="2" customWidth="1"/>
    <col min="10503" max="10503" width="8.75" style="2" customWidth="1"/>
    <col min="10504" max="10505" width="13.75" style="2" customWidth="1"/>
    <col min="10506" max="10506" width="12.5" style="2" customWidth="1"/>
    <col min="10507" max="10507" width="12" style="2" customWidth="1"/>
    <col min="10508" max="10509" width="14.375" style="2" customWidth="1"/>
    <col min="10510" max="10512" width="12.5" style="2" customWidth="1"/>
    <col min="10513" max="10513" width="9" style="2"/>
    <col min="10514" max="10516" width="9.625" style="2" customWidth="1"/>
    <col min="10517" max="10756" width="9" style="2"/>
    <col min="10757" max="10757" width="2.125" style="2" customWidth="1"/>
    <col min="10758" max="10758" width="27.875" style="2" customWidth="1"/>
    <col min="10759" max="10759" width="8.75" style="2" customWidth="1"/>
    <col min="10760" max="10761" width="13.75" style="2" customWidth="1"/>
    <col min="10762" max="10762" width="12.5" style="2" customWidth="1"/>
    <col min="10763" max="10763" width="12" style="2" customWidth="1"/>
    <col min="10764" max="10765" width="14.375" style="2" customWidth="1"/>
    <col min="10766" max="10768" width="12.5" style="2" customWidth="1"/>
    <col min="10769" max="10769" width="9" style="2"/>
    <col min="10770" max="10772" width="9.625" style="2" customWidth="1"/>
    <col min="10773" max="11012" width="9" style="2"/>
    <col min="11013" max="11013" width="2.125" style="2" customWidth="1"/>
    <col min="11014" max="11014" width="27.875" style="2" customWidth="1"/>
    <col min="11015" max="11015" width="8.75" style="2" customWidth="1"/>
    <col min="11016" max="11017" width="13.75" style="2" customWidth="1"/>
    <col min="11018" max="11018" width="12.5" style="2" customWidth="1"/>
    <col min="11019" max="11019" width="12" style="2" customWidth="1"/>
    <col min="11020" max="11021" width="14.375" style="2" customWidth="1"/>
    <col min="11022" max="11024" width="12.5" style="2" customWidth="1"/>
    <col min="11025" max="11025" width="9" style="2"/>
    <col min="11026" max="11028" width="9.625" style="2" customWidth="1"/>
    <col min="11029" max="11268" width="9" style="2"/>
    <col min="11269" max="11269" width="2.125" style="2" customWidth="1"/>
    <col min="11270" max="11270" width="27.875" style="2" customWidth="1"/>
    <col min="11271" max="11271" width="8.75" style="2" customWidth="1"/>
    <col min="11272" max="11273" width="13.75" style="2" customWidth="1"/>
    <col min="11274" max="11274" width="12.5" style="2" customWidth="1"/>
    <col min="11275" max="11275" width="12" style="2" customWidth="1"/>
    <col min="11276" max="11277" width="14.375" style="2" customWidth="1"/>
    <col min="11278" max="11280" width="12.5" style="2" customWidth="1"/>
    <col min="11281" max="11281" width="9" style="2"/>
    <col min="11282" max="11284" width="9.625" style="2" customWidth="1"/>
    <col min="11285" max="11524" width="9" style="2"/>
    <col min="11525" max="11525" width="2.125" style="2" customWidth="1"/>
    <col min="11526" max="11526" width="27.875" style="2" customWidth="1"/>
    <col min="11527" max="11527" width="8.75" style="2" customWidth="1"/>
    <col min="11528" max="11529" width="13.75" style="2" customWidth="1"/>
    <col min="11530" max="11530" width="12.5" style="2" customWidth="1"/>
    <col min="11531" max="11531" width="12" style="2" customWidth="1"/>
    <col min="11532" max="11533" width="14.375" style="2" customWidth="1"/>
    <col min="11534" max="11536" width="12.5" style="2" customWidth="1"/>
    <col min="11537" max="11537" width="9" style="2"/>
    <col min="11538" max="11540" width="9.625" style="2" customWidth="1"/>
    <col min="11541" max="11780" width="9" style="2"/>
    <col min="11781" max="11781" width="2.125" style="2" customWidth="1"/>
    <col min="11782" max="11782" width="27.875" style="2" customWidth="1"/>
    <col min="11783" max="11783" width="8.75" style="2" customWidth="1"/>
    <col min="11784" max="11785" width="13.75" style="2" customWidth="1"/>
    <col min="11786" max="11786" width="12.5" style="2" customWidth="1"/>
    <col min="11787" max="11787" width="12" style="2" customWidth="1"/>
    <col min="11788" max="11789" width="14.375" style="2" customWidth="1"/>
    <col min="11790" max="11792" width="12.5" style="2" customWidth="1"/>
    <col min="11793" max="11793" width="9" style="2"/>
    <col min="11794" max="11796" width="9.625" style="2" customWidth="1"/>
    <col min="11797" max="12036" width="9" style="2"/>
    <col min="12037" max="12037" width="2.125" style="2" customWidth="1"/>
    <col min="12038" max="12038" width="27.875" style="2" customWidth="1"/>
    <col min="12039" max="12039" width="8.75" style="2" customWidth="1"/>
    <col min="12040" max="12041" width="13.75" style="2" customWidth="1"/>
    <col min="12042" max="12042" width="12.5" style="2" customWidth="1"/>
    <col min="12043" max="12043" width="12" style="2" customWidth="1"/>
    <col min="12044" max="12045" width="14.375" style="2" customWidth="1"/>
    <col min="12046" max="12048" width="12.5" style="2" customWidth="1"/>
    <col min="12049" max="12049" width="9" style="2"/>
    <col min="12050" max="12052" width="9.625" style="2" customWidth="1"/>
    <col min="12053" max="12292" width="9" style="2"/>
    <col min="12293" max="12293" width="2.125" style="2" customWidth="1"/>
    <col min="12294" max="12294" width="27.875" style="2" customWidth="1"/>
    <col min="12295" max="12295" width="8.75" style="2" customWidth="1"/>
    <col min="12296" max="12297" width="13.75" style="2" customWidth="1"/>
    <col min="12298" max="12298" width="12.5" style="2" customWidth="1"/>
    <col min="12299" max="12299" width="12" style="2" customWidth="1"/>
    <col min="12300" max="12301" width="14.375" style="2" customWidth="1"/>
    <col min="12302" max="12304" width="12.5" style="2" customWidth="1"/>
    <col min="12305" max="12305" width="9" style="2"/>
    <col min="12306" max="12308" width="9.625" style="2" customWidth="1"/>
    <col min="12309" max="12548" width="9" style="2"/>
    <col min="12549" max="12549" width="2.125" style="2" customWidth="1"/>
    <col min="12550" max="12550" width="27.875" style="2" customWidth="1"/>
    <col min="12551" max="12551" width="8.75" style="2" customWidth="1"/>
    <col min="12552" max="12553" width="13.75" style="2" customWidth="1"/>
    <col min="12554" max="12554" width="12.5" style="2" customWidth="1"/>
    <col min="12555" max="12555" width="12" style="2" customWidth="1"/>
    <col min="12556" max="12557" width="14.375" style="2" customWidth="1"/>
    <col min="12558" max="12560" width="12.5" style="2" customWidth="1"/>
    <col min="12561" max="12561" width="9" style="2"/>
    <col min="12562" max="12564" width="9.625" style="2" customWidth="1"/>
    <col min="12565" max="12804" width="9" style="2"/>
    <col min="12805" max="12805" width="2.125" style="2" customWidth="1"/>
    <col min="12806" max="12806" width="27.875" style="2" customWidth="1"/>
    <col min="12807" max="12807" width="8.75" style="2" customWidth="1"/>
    <col min="12808" max="12809" width="13.75" style="2" customWidth="1"/>
    <col min="12810" max="12810" width="12.5" style="2" customWidth="1"/>
    <col min="12811" max="12811" width="12" style="2" customWidth="1"/>
    <col min="12812" max="12813" width="14.375" style="2" customWidth="1"/>
    <col min="12814" max="12816" width="12.5" style="2" customWidth="1"/>
    <col min="12817" max="12817" width="9" style="2"/>
    <col min="12818" max="12820" width="9.625" style="2" customWidth="1"/>
    <col min="12821" max="13060" width="9" style="2"/>
    <col min="13061" max="13061" width="2.125" style="2" customWidth="1"/>
    <col min="13062" max="13062" width="27.875" style="2" customWidth="1"/>
    <col min="13063" max="13063" width="8.75" style="2" customWidth="1"/>
    <col min="13064" max="13065" width="13.75" style="2" customWidth="1"/>
    <col min="13066" max="13066" width="12.5" style="2" customWidth="1"/>
    <col min="13067" max="13067" width="12" style="2" customWidth="1"/>
    <col min="13068" max="13069" width="14.375" style="2" customWidth="1"/>
    <col min="13070" max="13072" width="12.5" style="2" customWidth="1"/>
    <col min="13073" max="13073" width="9" style="2"/>
    <col min="13074" max="13076" width="9.625" style="2" customWidth="1"/>
    <col min="13077" max="13316" width="9" style="2"/>
    <col min="13317" max="13317" width="2.125" style="2" customWidth="1"/>
    <col min="13318" max="13318" width="27.875" style="2" customWidth="1"/>
    <col min="13319" max="13319" width="8.75" style="2" customWidth="1"/>
    <col min="13320" max="13321" width="13.75" style="2" customWidth="1"/>
    <col min="13322" max="13322" width="12.5" style="2" customWidth="1"/>
    <col min="13323" max="13323" width="12" style="2" customWidth="1"/>
    <col min="13324" max="13325" width="14.375" style="2" customWidth="1"/>
    <col min="13326" max="13328" width="12.5" style="2" customWidth="1"/>
    <col min="13329" max="13329" width="9" style="2"/>
    <col min="13330" max="13332" width="9.625" style="2" customWidth="1"/>
    <col min="13333" max="13572" width="9" style="2"/>
    <col min="13573" max="13573" width="2.125" style="2" customWidth="1"/>
    <col min="13574" max="13574" width="27.875" style="2" customWidth="1"/>
    <col min="13575" max="13575" width="8.75" style="2" customWidth="1"/>
    <col min="13576" max="13577" width="13.75" style="2" customWidth="1"/>
    <col min="13578" max="13578" width="12.5" style="2" customWidth="1"/>
    <col min="13579" max="13579" width="12" style="2" customWidth="1"/>
    <col min="13580" max="13581" width="14.375" style="2" customWidth="1"/>
    <col min="13582" max="13584" width="12.5" style="2" customWidth="1"/>
    <col min="13585" max="13585" width="9" style="2"/>
    <col min="13586" max="13588" width="9.625" style="2" customWidth="1"/>
    <col min="13589" max="13828" width="9" style="2"/>
    <col min="13829" max="13829" width="2.125" style="2" customWidth="1"/>
    <col min="13830" max="13830" width="27.875" style="2" customWidth="1"/>
    <col min="13831" max="13831" width="8.75" style="2" customWidth="1"/>
    <col min="13832" max="13833" width="13.75" style="2" customWidth="1"/>
    <col min="13834" max="13834" width="12.5" style="2" customWidth="1"/>
    <col min="13835" max="13835" width="12" style="2" customWidth="1"/>
    <col min="13836" max="13837" width="14.375" style="2" customWidth="1"/>
    <col min="13838" max="13840" width="12.5" style="2" customWidth="1"/>
    <col min="13841" max="13841" width="9" style="2"/>
    <col min="13842" max="13844" width="9.625" style="2" customWidth="1"/>
    <col min="13845" max="14084" width="9" style="2"/>
    <col min="14085" max="14085" width="2.125" style="2" customWidth="1"/>
    <col min="14086" max="14086" width="27.875" style="2" customWidth="1"/>
    <col min="14087" max="14087" width="8.75" style="2" customWidth="1"/>
    <col min="14088" max="14089" width="13.75" style="2" customWidth="1"/>
    <col min="14090" max="14090" width="12.5" style="2" customWidth="1"/>
    <col min="14091" max="14091" width="12" style="2" customWidth="1"/>
    <col min="14092" max="14093" width="14.375" style="2" customWidth="1"/>
    <col min="14094" max="14096" width="12.5" style="2" customWidth="1"/>
    <col min="14097" max="14097" width="9" style="2"/>
    <col min="14098" max="14100" width="9.625" style="2" customWidth="1"/>
    <col min="14101" max="14340" width="9" style="2"/>
    <col min="14341" max="14341" width="2.125" style="2" customWidth="1"/>
    <col min="14342" max="14342" width="27.875" style="2" customWidth="1"/>
    <col min="14343" max="14343" width="8.75" style="2" customWidth="1"/>
    <col min="14344" max="14345" width="13.75" style="2" customWidth="1"/>
    <col min="14346" max="14346" width="12.5" style="2" customWidth="1"/>
    <col min="14347" max="14347" width="12" style="2" customWidth="1"/>
    <col min="14348" max="14349" width="14.375" style="2" customWidth="1"/>
    <col min="14350" max="14352" width="12.5" style="2" customWidth="1"/>
    <col min="14353" max="14353" width="9" style="2"/>
    <col min="14354" max="14356" width="9.625" style="2" customWidth="1"/>
    <col min="14357" max="14596" width="9" style="2"/>
    <col min="14597" max="14597" width="2.125" style="2" customWidth="1"/>
    <col min="14598" max="14598" width="27.875" style="2" customWidth="1"/>
    <col min="14599" max="14599" width="8.75" style="2" customWidth="1"/>
    <col min="14600" max="14601" width="13.75" style="2" customWidth="1"/>
    <col min="14602" max="14602" width="12.5" style="2" customWidth="1"/>
    <col min="14603" max="14603" width="12" style="2" customWidth="1"/>
    <col min="14604" max="14605" width="14.375" style="2" customWidth="1"/>
    <col min="14606" max="14608" width="12.5" style="2" customWidth="1"/>
    <col min="14609" max="14609" width="9" style="2"/>
    <col min="14610" max="14612" width="9.625" style="2" customWidth="1"/>
    <col min="14613" max="14852" width="9" style="2"/>
    <col min="14853" max="14853" width="2.125" style="2" customWidth="1"/>
    <col min="14854" max="14854" width="27.875" style="2" customWidth="1"/>
    <col min="14855" max="14855" width="8.75" style="2" customWidth="1"/>
    <col min="14856" max="14857" width="13.75" style="2" customWidth="1"/>
    <col min="14858" max="14858" width="12.5" style="2" customWidth="1"/>
    <col min="14859" max="14859" width="12" style="2" customWidth="1"/>
    <col min="14860" max="14861" width="14.375" style="2" customWidth="1"/>
    <col min="14862" max="14864" width="12.5" style="2" customWidth="1"/>
    <col min="14865" max="14865" width="9" style="2"/>
    <col min="14866" max="14868" width="9.625" style="2" customWidth="1"/>
    <col min="14869" max="15108" width="9" style="2"/>
    <col min="15109" max="15109" width="2.125" style="2" customWidth="1"/>
    <col min="15110" max="15110" width="27.875" style="2" customWidth="1"/>
    <col min="15111" max="15111" width="8.75" style="2" customWidth="1"/>
    <col min="15112" max="15113" width="13.75" style="2" customWidth="1"/>
    <col min="15114" max="15114" width="12.5" style="2" customWidth="1"/>
    <col min="15115" max="15115" width="12" style="2" customWidth="1"/>
    <col min="15116" max="15117" width="14.375" style="2" customWidth="1"/>
    <col min="15118" max="15120" width="12.5" style="2" customWidth="1"/>
    <col min="15121" max="15121" width="9" style="2"/>
    <col min="15122" max="15124" width="9.625" style="2" customWidth="1"/>
    <col min="15125" max="15364" width="9" style="2"/>
    <col min="15365" max="15365" width="2.125" style="2" customWidth="1"/>
    <col min="15366" max="15366" width="27.875" style="2" customWidth="1"/>
    <col min="15367" max="15367" width="8.75" style="2" customWidth="1"/>
    <col min="15368" max="15369" width="13.75" style="2" customWidth="1"/>
    <col min="15370" max="15370" width="12.5" style="2" customWidth="1"/>
    <col min="15371" max="15371" width="12" style="2" customWidth="1"/>
    <col min="15372" max="15373" width="14.375" style="2" customWidth="1"/>
    <col min="15374" max="15376" width="12.5" style="2" customWidth="1"/>
    <col min="15377" max="15377" width="9" style="2"/>
    <col min="15378" max="15380" width="9.625" style="2" customWidth="1"/>
    <col min="15381" max="15620" width="9" style="2"/>
    <col min="15621" max="15621" width="2.125" style="2" customWidth="1"/>
    <col min="15622" max="15622" width="27.875" style="2" customWidth="1"/>
    <col min="15623" max="15623" width="8.75" style="2" customWidth="1"/>
    <col min="15624" max="15625" width="13.75" style="2" customWidth="1"/>
    <col min="15626" max="15626" width="12.5" style="2" customWidth="1"/>
    <col min="15627" max="15627" width="12" style="2" customWidth="1"/>
    <col min="15628" max="15629" width="14.375" style="2" customWidth="1"/>
    <col min="15630" max="15632" width="12.5" style="2" customWidth="1"/>
    <col min="15633" max="15633" width="9" style="2"/>
    <col min="15634" max="15636" width="9.625" style="2" customWidth="1"/>
    <col min="15637" max="15876" width="9" style="2"/>
    <col min="15877" max="15877" width="2.125" style="2" customWidth="1"/>
    <col min="15878" max="15878" width="27.875" style="2" customWidth="1"/>
    <col min="15879" max="15879" width="8.75" style="2" customWidth="1"/>
    <col min="15880" max="15881" width="13.75" style="2" customWidth="1"/>
    <col min="15882" max="15882" width="12.5" style="2" customWidth="1"/>
    <col min="15883" max="15883" width="12" style="2" customWidth="1"/>
    <col min="15884" max="15885" width="14.375" style="2" customWidth="1"/>
    <col min="15886" max="15888" width="12.5" style="2" customWidth="1"/>
    <col min="15889" max="15889" width="9" style="2"/>
    <col min="15890" max="15892" width="9.625" style="2" customWidth="1"/>
    <col min="15893" max="16132" width="9" style="2"/>
    <col min="16133" max="16133" width="2.125" style="2" customWidth="1"/>
    <col min="16134" max="16134" width="27.875" style="2" customWidth="1"/>
    <col min="16135" max="16135" width="8.75" style="2" customWidth="1"/>
    <col min="16136" max="16137" width="13.75" style="2" customWidth="1"/>
    <col min="16138" max="16138" width="12.5" style="2" customWidth="1"/>
    <col min="16139" max="16139" width="12" style="2" customWidth="1"/>
    <col min="16140" max="16141" width="14.375" style="2" customWidth="1"/>
    <col min="16142" max="16144" width="12.5" style="2" customWidth="1"/>
    <col min="16145" max="16145" width="9" style="2"/>
    <col min="16146" max="16148" width="9.625" style="2" customWidth="1"/>
    <col min="16149" max="16384" width="9" style="2"/>
  </cols>
  <sheetData>
    <row r="1" spans="2:24" s="4" customFormat="1">
      <c r="C1" s="7"/>
      <c r="D1" s="361"/>
      <c r="E1" s="361"/>
      <c r="F1" s="362"/>
      <c r="G1" s="361"/>
      <c r="H1" s="361"/>
      <c r="I1" s="362"/>
      <c r="J1" s="361"/>
      <c r="K1" s="361"/>
      <c r="L1" s="362"/>
      <c r="M1" s="361"/>
      <c r="N1" s="361"/>
      <c r="O1" s="362"/>
      <c r="P1" s="28"/>
      <c r="Q1" s="28"/>
      <c r="R1" s="27"/>
    </row>
    <row r="2" spans="2:24" s="10" customFormat="1" ht="15.75">
      <c r="B2" s="1734" t="s">
        <v>0</v>
      </c>
      <c r="C2" s="1734"/>
      <c r="D2" s="1734"/>
      <c r="E2" s="29"/>
      <c r="F2" s="29">
        <f>индексы!H14</f>
        <v>1.014</v>
      </c>
      <c r="G2" s="29"/>
      <c r="H2" s="29"/>
      <c r="I2" s="29">
        <f>индексы!I14</f>
        <v>1.03</v>
      </c>
      <c r="J2" s="29"/>
      <c r="K2" s="29"/>
      <c r="L2" s="29">
        <f>индексы!J14</f>
        <v>1.03</v>
      </c>
      <c r="M2" s="29"/>
      <c r="N2" s="29"/>
      <c r="O2" s="29">
        <f>индексы!K14</f>
        <v>1.03</v>
      </c>
      <c r="P2" s="29"/>
      <c r="Q2" s="29"/>
      <c r="R2" s="29">
        <f>индексы!L14</f>
        <v>1.03</v>
      </c>
    </row>
    <row r="3" spans="2:24" ht="21" customHeight="1" thickBot="1">
      <c r="B3" s="2" t="s">
        <v>409</v>
      </c>
      <c r="D3" s="70"/>
      <c r="E3" s="70"/>
      <c r="F3" s="71">
        <f>индексы!H15</f>
        <v>1.014</v>
      </c>
      <c r="G3" s="70"/>
      <c r="H3" s="70"/>
      <c r="I3" s="71">
        <f>индексы!I15</f>
        <v>1.03</v>
      </c>
      <c r="J3" s="70"/>
      <c r="K3" s="70"/>
      <c r="L3" s="71">
        <f>индексы!J15</f>
        <v>1.03</v>
      </c>
      <c r="M3" s="70"/>
      <c r="N3" s="70"/>
      <c r="O3" s="71">
        <f>индексы!K15</f>
        <v>1.03</v>
      </c>
      <c r="P3" s="70"/>
      <c r="Q3" s="70"/>
      <c r="R3" s="71">
        <f>индексы!L15</f>
        <v>1.03</v>
      </c>
    </row>
    <row r="4" spans="2:24" s="19" customFormat="1" ht="29.25" customHeight="1">
      <c r="B4" s="20" t="s">
        <v>10</v>
      </c>
      <c r="C4" s="21" t="s">
        <v>11</v>
      </c>
      <c r="D4" s="30" t="s">
        <v>198</v>
      </c>
      <c r="E4" s="31" t="s">
        <v>199</v>
      </c>
      <c r="F4" s="32" t="s">
        <v>36</v>
      </c>
      <c r="G4" s="30" t="s">
        <v>201</v>
      </c>
      <c r="H4" s="31" t="s">
        <v>202</v>
      </c>
      <c r="I4" s="32" t="s">
        <v>36</v>
      </c>
      <c r="J4" s="30" t="s">
        <v>204</v>
      </c>
      <c r="K4" s="31" t="s">
        <v>205</v>
      </c>
      <c r="L4" s="32" t="s">
        <v>36</v>
      </c>
      <c r="M4" s="30" t="s">
        <v>242</v>
      </c>
      <c r="N4" s="31" t="s">
        <v>243</v>
      </c>
      <c r="O4" s="32" t="s">
        <v>36</v>
      </c>
      <c r="P4" s="30" t="s">
        <v>263</v>
      </c>
      <c r="Q4" s="31" t="s">
        <v>264</v>
      </c>
      <c r="R4" s="32" t="s">
        <v>36</v>
      </c>
    </row>
    <row r="5" spans="2:24" ht="21" customHeight="1">
      <c r="B5" s="11" t="s">
        <v>301</v>
      </c>
      <c r="C5" s="6"/>
      <c r="D5" s="33"/>
      <c r="E5" s="34"/>
      <c r="F5" s="35">
        <f>E7/D7</f>
        <v>1.0140009824628606</v>
      </c>
      <c r="G5" s="33"/>
      <c r="H5" s="34"/>
      <c r="I5" s="35">
        <f t="shared" ref="I5" si="0">H7/G7</f>
        <v>1.0300008394778448</v>
      </c>
      <c r="J5" s="33"/>
      <c r="K5" s="34"/>
      <c r="L5" s="35">
        <f t="shared" ref="L5" si="1">K7/J7</f>
        <v>1.0300014602555787</v>
      </c>
      <c r="M5" s="33"/>
      <c r="N5" s="34"/>
      <c r="O5" s="35">
        <f t="shared" ref="O5" si="2">N7/M7</f>
        <v>1.030001302325888</v>
      </c>
      <c r="P5" s="33"/>
      <c r="Q5" s="34"/>
      <c r="R5" s="35">
        <f t="shared" ref="R5" si="3">Q7/P7</f>
        <v>1.0300013124073715</v>
      </c>
      <c r="U5" s="19"/>
      <c r="V5" s="19"/>
    </row>
    <row r="6" spans="2:24" ht="18" customHeight="1">
      <c r="B6" s="12" t="s">
        <v>61</v>
      </c>
      <c r="C6" s="22" t="s">
        <v>57</v>
      </c>
      <c r="D6" s="722">
        <f>индексы!E120</f>
        <v>2055.0632788193011</v>
      </c>
      <c r="E6" s="723">
        <f>индексы!F120</f>
        <v>1410.1267211806987</v>
      </c>
      <c r="F6" s="259">
        <f>индексы!G120</f>
        <v>3465.19</v>
      </c>
      <c r="G6" s="722">
        <f>индексы!H120</f>
        <v>2052.602082576931</v>
      </c>
      <c r="H6" s="723">
        <f>индексы!I120</f>
        <v>1408.4379174230689</v>
      </c>
      <c r="I6" s="259">
        <f>индексы!J120</f>
        <v>3461.04</v>
      </c>
      <c r="J6" s="722">
        <f>индексы!K120</f>
        <v>2050.14088633456</v>
      </c>
      <c r="K6" s="723">
        <f>индексы!L120</f>
        <v>1406.7491136654396</v>
      </c>
      <c r="L6" s="259">
        <f>индексы!M120</f>
        <v>3456.89</v>
      </c>
      <c r="M6" s="722">
        <f>индексы!N120</f>
        <v>2047.6796900921895</v>
      </c>
      <c r="N6" s="723">
        <f>индексы!O120</f>
        <v>1405.0603099078103</v>
      </c>
      <c r="O6" s="259">
        <f>индексы!P120</f>
        <v>3452.74</v>
      </c>
      <c r="P6" s="722">
        <f>индексы!Q120</f>
        <v>2045.218493849819</v>
      </c>
      <c r="Q6" s="723">
        <f>индексы!R120</f>
        <v>1403.3715061501807</v>
      </c>
      <c r="R6" s="259">
        <f>индексы!S120</f>
        <v>3448.59</v>
      </c>
      <c r="U6" s="19"/>
      <c r="V6" s="19"/>
    </row>
    <row r="7" spans="2:24" ht="16.5" customHeight="1">
      <c r="B7" s="12" t="s">
        <v>211</v>
      </c>
      <c r="C7" s="22" t="s">
        <v>19</v>
      </c>
      <c r="D7" s="36">
        <f>SUM(D8:D11)</f>
        <v>5638.8899999999994</v>
      </c>
      <c r="E7" s="37">
        <f>SUM(E8:E11)</f>
        <v>5717.84</v>
      </c>
      <c r="F7" s="38">
        <f>F12/F6*1000</f>
        <v>5671.0194823371876</v>
      </c>
      <c r="G7" s="36">
        <f>SUM(G8:G11)</f>
        <v>5717.84</v>
      </c>
      <c r="H7" s="37">
        <f>SUM(H8:H11)</f>
        <v>5889.38</v>
      </c>
      <c r="I7" s="38">
        <f>I12/I6*1000</f>
        <v>5787.6476434828837</v>
      </c>
      <c r="J7" s="36">
        <f>SUM(J8:J11)</f>
        <v>5889.38</v>
      </c>
      <c r="K7" s="37">
        <f>SUM(K8:K11)</f>
        <v>6066.07</v>
      </c>
      <c r="L7" s="38">
        <f>L12/L6*1000</f>
        <v>5961.2831186413223</v>
      </c>
      <c r="M7" s="36">
        <f>SUM(M8:M11)</f>
        <v>6066.07</v>
      </c>
      <c r="N7" s="37">
        <f>SUM(N8:N11)</f>
        <v>6248.0599999999995</v>
      </c>
      <c r="O7" s="38">
        <f>O12/O6*1000</f>
        <v>6140.1292886229494</v>
      </c>
      <c r="P7" s="36">
        <f>SUM(P8:P11)</f>
        <v>6248.0599999999995</v>
      </c>
      <c r="Q7" s="37">
        <f>SUM(Q8:Q11)</f>
        <v>6435.5100000000011</v>
      </c>
      <c r="R7" s="38">
        <f>R12/R6*1000</f>
        <v>6324.3412525118956</v>
      </c>
      <c r="U7" s="19"/>
      <c r="V7" s="19"/>
      <c r="W7" s="3"/>
      <c r="X7" s="3"/>
    </row>
    <row r="8" spans="2:24" ht="24" customHeight="1" outlineLevel="1">
      <c r="B8" s="14" t="s">
        <v>54</v>
      </c>
      <c r="C8" s="23" t="s">
        <v>19</v>
      </c>
      <c r="D8" s="59">
        <f>индексы!H26</f>
        <v>4642.07</v>
      </c>
      <c r="E8" s="40">
        <f>ROUND(D8*$F$2,2)</f>
        <v>4707.0600000000004</v>
      </c>
      <c r="F8" s="956">
        <f>SUMPRODUCT(D8:$E$8,$D$6:$E$6)/$F$6</f>
        <v>4668.5170737851413</v>
      </c>
      <c r="G8" s="39">
        <f>E8</f>
        <v>4707.0600000000004</v>
      </c>
      <c r="H8" s="40">
        <f>ROUND(G8*I$2,2)</f>
        <v>4848.2700000000004</v>
      </c>
      <c r="I8" s="41">
        <f>SUMPRODUCT($G8:H$8,$D$6:$E$6)/$F$6</f>
        <v>4764.5240912324944</v>
      </c>
      <c r="J8" s="39">
        <f>H8</f>
        <v>4848.2700000000004</v>
      </c>
      <c r="K8" s="40">
        <f>ROUND(J8*L$2,2)</f>
        <v>4993.72</v>
      </c>
      <c r="L8" s="41">
        <f>SUMPRODUCT($J8:K$8,$J$6:$K$6)/$L$6</f>
        <v>4907.4595196499276</v>
      </c>
      <c r="M8" s="39">
        <f t="shared" ref="M8:M11" si="4">K8</f>
        <v>4993.72</v>
      </c>
      <c r="N8" s="40">
        <f t="shared" ref="N8" si="5">ROUND(M8*O$2,2)</f>
        <v>5143.53</v>
      </c>
      <c r="O8" s="41">
        <f>SUMPRODUCT($M8:N$8,$M$6:$N$6)/$O$6</f>
        <v>5054.683780947099</v>
      </c>
      <c r="P8" s="39">
        <f t="shared" ref="P8:P11" si="6">N8</f>
        <v>5143.53</v>
      </c>
      <c r="Q8" s="40">
        <f t="shared" ref="Q8" si="7">ROUND(P8*R$2,2)</f>
        <v>5297.84</v>
      </c>
      <c r="R8" s="41">
        <f>SUMPRODUCT($P8:Q$8,$P$6:$Q$6)/$R$6</f>
        <v>5206.3250139372994</v>
      </c>
      <c r="S8" s="384">
        <f>E8/D8</f>
        <v>1.0140002197295606</v>
      </c>
      <c r="U8" s="19"/>
      <c r="V8" s="19"/>
      <c r="W8" s="3"/>
      <c r="X8" s="3"/>
    </row>
    <row r="9" spans="2:24" ht="26.25" customHeight="1" outlineLevel="1">
      <c r="B9" s="14" t="s">
        <v>55</v>
      </c>
      <c r="C9" s="23" t="s">
        <v>19</v>
      </c>
      <c r="D9" s="59">
        <f>индексы!H27</f>
        <v>106.13</v>
      </c>
      <c r="E9" s="40">
        <f>ROUND(D9*F$3,2)</f>
        <v>107.62</v>
      </c>
      <c r="F9" s="41">
        <f>SUMPRODUCT(D$9:$E9,$D$6:$E$6)/$F$6</f>
        <v>106.73634159008863</v>
      </c>
      <c r="G9" s="39">
        <f>E9</f>
        <v>107.62</v>
      </c>
      <c r="H9" s="40">
        <f>ROUND(G9*I$3,2)</f>
        <v>110.85</v>
      </c>
      <c r="I9" s="41">
        <f>SUMPRODUCT($G$9:H9,$D$6:$E$6)/$F$6</f>
        <v>108.93441834629952</v>
      </c>
      <c r="J9" s="39">
        <f t="shared" ref="J9:J11" si="8">H9</f>
        <v>110.85</v>
      </c>
      <c r="K9" s="40">
        <f>ROUND(J9*L$3,2)</f>
        <v>114.18</v>
      </c>
      <c r="L9" s="41">
        <f>SUMPRODUCT($J$9:K9,$J$6:$K$6)/$L$6</f>
        <v>112.20511241274842</v>
      </c>
      <c r="M9" s="39">
        <f t="shared" si="4"/>
        <v>114.18</v>
      </c>
      <c r="N9" s="40">
        <f t="shared" ref="N9:N11" si="9">ROUND(M9*O$3,2)</f>
        <v>117.61</v>
      </c>
      <c r="O9" s="41">
        <f>SUMPRODUCT($M$9:N9,$M$6:$N$6)/$O$6</f>
        <v>115.57580647919734</v>
      </c>
      <c r="P9" s="39">
        <f t="shared" si="6"/>
        <v>117.61</v>
      </c>
      <c r="Q9" s="40">
        <f t="shared" ref="Q9:Q11" si="10">ROUND(P9*R$3,2)</f>
        <v>121.14</v>
      </c>
      <c r="R9" s="41">
        <f>SUMPRODUCT($P$9:Q9,$P$6:$Q$6)/$R$6</f>
        <v>119.04650054564621</v>
      </c>
      <c r="S9" s="384">
        <f>E9/D9</f>
        <v>1.0140393856590975</v>
      </c>
      <c r="U9" s="19"/>
      <c r="V9" s="19"/>
      <c r="W9" s="3"/>
      <c r="X9" s="3"/>
    </row>
    <row r="10" spans="2:24" ht="30" customHeight="1" outlineLevel="1">
      <c r="B10" s="14" t="s">
        <v>62</v>
      </c>
      <c r="C10" s="23" t="s">
        <v>19</v>
      </c>
      <c r="D10" s="59">
        <f>индексы!H28</f>
        <v>776.37</v>
      </c>
      <c r="E10" s="40">
        <f>ROUND(D10*F$3,2)</f>
        <v>787.24</v>
      </c>
      <c r="F10" s="41">
        <f>SUMPRODUCT(D$10:$E10,$D$6:$E$6)/$F$6</f>
        <v>780.79344502299568</v>
      </c>
      <c r="G10" s="39">
        <f>E10</f>
        <v>787.24</v>
      </c>
      <c r="H10" s="40">
        <f t="shared" ref="H10:H11" si="11">ROUND(G10*I$3,2)</f>
        <v>810.86</v>
      </c>
      <c r="I10" s="41">
        <f>SUMPRODUCT($G$10:H10,$D$6:$E$6)/$F$6</f>
        <v>796.85193849523057</v>
      </c>
      <c r="J10" s="39">
        <f t="shared" si="8"/>
        <v>810.86</v>
      </c>
      <c r="K10" s="40">
        <f t="shared" ref="K10:K11" si="12">ROUND(J10*L$3,2)</f>
        <v>835.19</v>
      </c>
      <c r="L10" s="41">
        <f>SUMPRODUCT($J$10:K10,$J$6:$K$6)/$L$6</f>
        <v>820.76086636701768</v>
      </c>
      <c r="M10" s="39">
        <f t="shared" si="4"/>
        <v>835.19</v>
      </c>
      <c r="N10" s="40">
        <f t="shared" si="9"/>
        <v>860.25</v>
      </c>
      <c r="O10" s="41">
        <f>SUMPRODUCT($M$10:N10,$M$6:$N$6)/$O$6</f>
        <v>845.38793305209481</v>
      </c>
      <c r="P10" s="39">
        <f t="shared" si="6"/>
        <v>860.25</v>
      </c>
      <c r="Q10" s="40">
        <f t="shared" si="10"/>
        <v>886.06</v>
      </c>
      <c r="R10" s="41">
        <f>SUMPRODUCT($P$10:Q10,$P$6:$Q$6)/$R$6</f>
        <v>870.75313855046147</v>
      </c>
      <c r="S10" s="384">
        <f t="shared" ref="S10:S11" si="13">E10/D10</f>
        <v>1.0140010561974317</v>
      </c>
      <c r="T10" s="15"/>
      <c r="U10" s="19"/>
      <c r="V10" s="19"/>
      <c r="W10" s="3"/>
      <c r="X10" s="3"/>
    </row>
    <row r="11" spans="2:24" ht="27.75" customHeight="1" outlineLevel="1" thickBot="1">
      <c r="B11" s="269" t="s">
        <v>56</v>
      </c>
      <c r="C11" s="270" t="s">
        <v>19</v>
      </c>
      <c r="D11" s="271">
        <f>индексы!H30</f>
        <v>114.32</v>
      </c>
      <c r="E11" s="272">
        <f>ROUND(D11*$F$3,2)</f>
        <v>115.92</v>
      </c>
      <c r="F11" s="273">
        <f>SUMPRODUCT(D$11:$E11,$D$6:$E$6)/$F$6</f>
        <v>114.97110506318242</v>
      </c>
      <c r="G11" s="274">
        <f>E11</f>
        <v>115.92</v>
      </c>
      <c r="H11" s="40">
        <f t="shared" si="11"/>
        <v>119.4</v>
      </c>
      <c r="I11" s="275">
        <f>SUMPRODUCT($G$11:H11,$D$6:$E$6)/$F$6</f>
        <v>117.33615351242179</v>
      </c>
      <c r="J11" s="274">
        <f t="shared" si="8"/>
        <v>119.4</v>
      </c>
      <c r="K11" s="272">
        <f t="shared" si="12"/>
        <v>122.98</v>
      </c>
      <c r="L11" s="273">
        <f>SUMPRODUCT($J$11:K11,$J$6:$K$6)/$L$6</f>
        <v>120.85684757887067</v>
      </c>
      <c r="M11" s="274">
        <f t="shared" si="4"/>
        <v>122.98</v>
      </c>
      <c r="N11" s="272">
        <f t="shared" si="9"/>
        <v>126.67</v>
      </c>
      <c r="O11" s="273">
        <f>SUMPRODUCT($M$11:N11,$M$6:$N$6)/$O$6</f>
        <v>124.48161105196448</v>
      </c>
      <c r="P11" s="274">
        <f t="shared" si="6"/>
        <v>126.67</v>
      </c>
      <c r="Q11" s="272">
        <f t="shared" si="10"/>
        <v>130.47</v>
      </c>
      <c r="R11" s="273">
        <f>SUMPRODUCT($P$11:Q11,$P$6:$Q$6)/$R$6</f>
        <v>128.21637452505826</v>
      </c>
      <c r="S11" s="384">
        <f t="shared" si="13"/>
        <v>1.0139958012596222</v>
      </c>
      <c r="T11" s="15"/>
      <c r="U11" s="19"/>
      <c r="V11" s="19"/>
      <c r="W11" s="3"/>
      <c r="X11" s="3"/>
    </row>
    <row r="12" spans="2:24" ht="45" customHeight="1" thickBot="1">
      <c r="B12" s="276" t="s">
        <v>20</v>
      </c>
      <c r="C12" s="277" t="s">
        <v>21</v>
      </c>
      <c r="D12" s="278">
        <f>ROUND(D7*D6/1000,2)</f>
        <v>11588.28</v>
      </c>
      <c r="E12" s="279">
        <f>ROUND(E7*E6/1000,2)</f>
        <v>8062.88</v>
      </c>
      <c r="F12" s="268">
        <f>D12+E12</f>
        <v>19651.16</v>
      </c>
      <c r="G12" s="278">
        <f>ROUND(G7*G6/1000,2)</f>
        <v>11736.45</v>
      </c>
      <c r="H12" s="279">
        <f>ROUND(H7*H6/1000,2)</f>
        <v>8294.83</v>
      </c>
      <c r="I12" s="268">
        <f t="shared" ref="I12" si="14">G12+H12</f>
        <v>20031.28</v>
      </c>
      <c r="J12" s="278">
        <f>ROUND(J7*J6/1000,2)</f>
        <v>12074.06</v>
      </c>
      <c r="K12" s="279">
        <f>ROUND(K7*K6/1000,2)</f>
        <v>8533.44</v>
      </c>
      <c r="L12" s="268">
        <f t="shared" ref="L12" si="15">J12+K12</f>
        <v>20607.5</v>
      </c>
      <c r="M12" s="278">
        <f>ROUND(M7*M6/1000,2)</f>
        <v>12421.37</v>
      </c>
      <c r="N12" s="279">
        <f>ROUND(N7*N6/1000,2)</f>
        <v>8778.9</v>
      </c>
      <c r="O12" s="268">
        <f t="shared" ref="O12" si="16">M12+N12</f>
        <v>21200.27</v>
      </c>
      <c r="P12" s="278">
        <f>ROUND(P7*P6/1000,2)</f>
        <v>12778.65</v>
      </c>
      <c r="Q12" s="279">
        <f>ROUND(Q7*Q6/1000,2)</f>
        <v>9031.41</v>
      </c>
      <c r="R12" s="268">
        <f t="shared" ref="R12" si="17">P12+Q12</f>
        <v>21810.059999999998</v>
      </c>
      <c r="U12" s="19"/>
      <c r="V12" s="19"/>
      <c r="W12" s="3"/>
      <c r="X12" s="3"/>
    </row>
    <row r="13" spans="2:24" ht="31.5" hidden="1" customHeight="1">
      <c r="B13" s="730" t="s">
        <v>410</v>
      </c>
      <c r="C13" s="9"/>
      <c r="D13" s="724"/>
      <c r="E13" s="724"/>
      <c r="F13" s="43"/>
      <c r="G13" s="724"/>
      <c r="H13" s="724"/>
      <c r="I13" s="43"/>
      <c r="J13" s="724"/>
      <c r="K13" s="724"/>
      <c r="L13" s="43"/>
      <c r="M13" s="724"/>
      <c r="N13" s="724"/>
      <c r="O13" s="43"/>
      <c r="P13" s="724"/>
      <c r="Q13" s="724"/>
      <c r="R13" s="43"/>
      <c r="U13" s="19"/>
      <c r="V13" s="19"/>
      <c r="W13" s="3"/>
      <c r="X13" s="3"/>
    </row>
    <row r="14" spans="2:24" ht="29.25" hidden="1" customHeight="1" outlineLevel="1">
      <c r="B14" s="629" t="str">
        <f>B4</f>
        <v>Показатель</v>
      </c>
      <c r="C14" s="629" t="str">
        <f t="shared" ref="C14:O14" si="18">C4</f>
        <v>Ед.изм.</v>
      </c>
      <c r="D14" s="629" t="str">
        <f t="shared" si="18"/>
        <v>с 01.01.2019 по 30.06.2019</v>
      </c>
      <c r="E14" s="629" t="str">
        <f t="shared" si="18"/>
        <v>с 01.07.2019 по 31.12.2019</v>
      </c>
      <c r="F14" s="629" t="str">
        <f t="shared" si="18"/>
        <v xml:space="preserve">Всего </v>
      </c>
      <c r="G14" s="629" t="str">
        <f t="shared" si="18"/>
        <v>с 01.01.2020 по 30.06.2020</v>
      </c>
      <c r="H14" s="629" t="str">
        <f t="shared" si="18"/>
        <v>с 01.07.2020 по 31.12.2020</v>
      </c>
      <c r="I14" s="629" t="str">
        <f t="shared" si="18"/>
        <v xml:space="preserve">Всего </v>
      </c>
      <c r="J14" s="629" t="str">
        <f t="shared" si="18"/>
        <v>с 01.01.2021 по 30.06.2021</v>
      </c>
      <c r="K14" s="629" t="str">
        <f t="shared" si="18"/>
        <v>с 01.07.2021 по 31.12.2021</v>
      </c>
      <c r="L14" s="629" t="str">
        <f t="shared" si="18"/>
        <v xml:space="preserve">Всего </v>
      </c>
      <c r="M14" s="629" t="str">
        <f t="shared" si="18"/>
        <v>с 01.01.2022 по 30.06.2022</v>
      </c>
      <c r="N14" s="629" t="str">
        <f t="shared" si="18"/>
        <v>с 01.07.2022 по 31.12.2022</v>
      </c>
      <c r="O14" s="629" t="str">
        <f t="shared" si="18"/>
        <v xml:space="preserve">Всего </v>
      </c>
      <c r="P14" s="629" t="str">
        <f t="shared" ref="P14:R14" si="19">P4</f>
        <v>с 01.01.2023 по 30.06.2023</v>
      </c>
      <c r="Q14" s="629" t="str">
        <f t="shared" si="19"/>
        <v>с 01.07.2023 по 31.12.2023</v>
      </c>
      <c r="R14" s="629" t="str">
        <f t="shared" si="19"/>
        <v xml:space="preserve">Всего </v>
      </c>
    </row>
    <row r="15" spans="2:24" ht="23.25" hidden="1" customHeight="1" outlineLevel="1">
      <c r="B15" s="400" t="s">
        <v>437</v>
      </c>
      <c r="C15" s="399" t="s">
        <v>414</v>
      </c>
      <c r="D15" s="732" t="e">
        <f>индексы!E121</f>
        <v>#DIV/0!</v>
      </c>
      <c r="E15" s="732" t="e">
        <f>индексы!F121</f>
        <v>#DIV/0!</v>
      </c>
      <c r="F15" s="733">
        <f>индексы!G121</f>
        <v>0</v>
      </c>
      <c r="G15" s="732" t="e">
        <f>индексы!H121</f>
        <v>#DIV/0!</v>
      </c>
      <c r="H15" s="732" t="e">
        <f>индексы!I121</f>
        <v>#DIV/0!</v>
      </c>
      <c r="I15" s="733">
        <f>индексы!J121</f>
        <v>0</v>
      </c>
      <c r="J15" s="732" t="e">
        <f>индексы!K121</f>
        <v>#DIV/0!</v>
      </c>
      <c r="K15" s="732" t="e">
        <f>индексы!L121</f>
        <v>#DIV/0!</v>
      </c>
      <c r="L15" s="733">
        <f>индексы!M121</f>
        <v>0</v>
      </c>
      <c r="M15" s="732" t="e">
        <f>индексы!N121</f>
        <v>#DIV/0!</v>
      </c>
      <c r="N15" s="732" t="e">
        <f>индексы!O121</f>
        <v>#DIV/0!</v>
      </c>
      <c r="O15" s="733">
        <f>индексы!P121</f>
        <v>0</v>
      </c>
      <c r="P15" s="732" t="e">
        <f>индексы!Q121</f>
        <v>#DIV/0!</v>
      </c>
      <c r="Q15" s="732" t="e">
        <f>индексы!R121</f>
        <v>#DIV/0!</v>
      </c>
      <c r="R15" s="733">
        <f>индексы!S121</f>
        <v>0</v>
      </c>
    </row>
    <row r="16" spans="2:24" ht="23.25" hidden="1" customHeight="1" outlineLevel="1">
      <c r="B16" s="725" t="s">
        <v>438</v>
      </c>
      <c r="C16" s="726" t="s">
        <v>399</v>
      </c>
      <c r="D16" s="734">
        <f>F16</f>
        <v>0</v>
      </c>
      <c r="E16" s="735">
        <f>F16</f>
        <v>0</v>
      </c>
      <c r="F16" s="735">
        <f>индексы!E34</f>
        <v>0</v>
      </c>
      <c r="G16" s="734">
        <f>I16</f>
        <v>0</v>
      </c>
      <c r="H16" s="735">
        <f>I16</f>
        <v>0</v>
      </c>
      <c r="I16" s="735">
        <f>ROUND(F16*индексы!I17,2)</f>
        <v>0</v>
      </c>
      <c r="J16" s="734">
        <f t="shared" ref="J16" si="20">L16</f>
        <v>0</v>
      </c>
      <c r="K16" s="735">
        <f t="shared" ref="K16" si="21">L16</f>
        <v>0</v>
      </c>
      <c r="L16" s="735">
        <f>ROUND(I16*индексы!J17,2)</f>
        <v>0</v>
      </c>
      <c r="M16" s="734">
        <f t="shared" ref="M16" si="22">O16</f>
        <v>0</v>
      </c>
      <c r="N16" s="735">
        <f t="shared" ref="N16" si="23">O16</f>
        <v>0</v>
      </c>
      <c r="O16" s="735">
        <f>ROUND(L16*индексы!K17,2)</f>
        <v>0</v>
      </c>
      <c r="P16" s="734">
        <f t="shared" ref="P16" si="24">R16</f>
        <v>0</v>
      </c>
      <c r="Q16" s="735">
        <f t="shared" ref="Q16" si="25">R16</f>
        <v>0</v>
      </c>
      <c r="R16" s="735">
        <f>ROUND(O16*индексы!L17,2)</f>
        <v>0</v>
      </c>
    </row>
    <row r="17" spans="2:18" ht="23.25" hidden="1" customHeight="1" outlineLevel="1">
      <c r="B17" s="400" t="s">
        <v>26</v>
      </c>
      <c r="C17" s="399" t="s">
        <v>1</v>
      </c>
      <c r="D17" s="732" t="e">
        <f>ROUND(D15*D16/1000,2)</f>
        <v>#DIV/0!</v>
      </c>
      <c r="E17" s="732" t="e">
        <f>ROUND(E15*E16/1000,2)</f>
        <v>#DIV/0!</v>
      </c>
      <c r="F17" s="736" t="e">
        <f>D17+E17</f>
        <v>#DIV/0!</v>
      </c>
      <c r="G17" s="732" t="e">
        <f t="shared" ref="G17:H17" si="26">ROUND(G15*G16/1000,2)</f>
        <v>#DIV/0!</v>
      </c>
      <c r="H17" s="732" t="e">
        <f t="shared" si="26"/>
        <v>#DIV/0!</v>
      </c>
      <c r="I17" s="736" t="e">
        <f t="shared" ref="I17" si="27">G17+H17</f>
        <v>#DIV/0!</v>
      </c>
      <c r="J17" s="732" t="e">
        <f t="shared" ref="J17:K17" si="28">ROUND(J15*J16/1000,2)</f>
        <v>#DIV/0!</v>
      </c>
      <c r="K17" s="732" t="e">
        <f t="shared" si="28"/>
        <v>#DIV/0!</v>
      </c>
      <c r="L17" s="736" t="e">
        <f t="shared" ref="L17" si="29">J17+K17</f>
        <v>#DIV/0!</v>
      </c>
      <c r="M17" s="732" t="e">
        <f t="shared" ref="M17:N17" si="30">ROUND(M15*M16/1000,2)</f>
        <v>#DIV/0!</v>
      </c>
      <c r="N17" s="732" t="e">
        <f t="shared" si="30"/>
        <v>#DIV/0!</v>
      </c>
      <c r="O17" s="736" t="e">
        <f t="shared" ref="O17" si="31">M17+N17</f>
        <v>#DIV/0!</v>
      </c>
      <c r="P17" s="732" t="e">
        <f t="shared" ref="P17:Q17" si="32">ROUND(P15*P16/1000,2)</f>
        <v>#DIV/0!</v>
      </c>
      <c r="Q17" s="732" t="e">
        <f t="shared" si="32"/>
        <v>#DIV/0!</v>
      </c>
      <c r="R17" s="736" t="e">
        <f t="shared" ref="R17" si="33">P17+Q17</f>
        <v>#DIV/0!</v>
      </c>
    </row>
    <row r="18" spans="2:18" ht="23.25" hidden="1" customHeight="1" outlineLevel="1">
      <c r="B18" s="731" t="s">
        <v>426</v>
      </c>
      <c r="C18" s="727"/>
      <c r="D18" s="728"/>
      <c r="E18" s="728"/>
      <c r="F18" s="729"/>
      <c r="G18" s="728"/>
      <c r="H18" s="728"/>
      <c r="I18" s="729"/>
      <c r="J18" s="728"/>
      <c r="K18" s="728"/>
      <c r="L18" s="729"/>
      <c r="M18" s="728"/>
      <c r="N18" s="728"/>
      <c r="O18" s="729"/>
      <c r="P18" s="728"/>
      <c r="Q18" s="728"/>
      <c r="R18" s="729"/>
    </row>
    <row r="19" spans="2:18" ht="29.25" hidden="1" customHeight="1" outlineLevel="1">
      <c r="B19" s="629" t="str">
        <f>B14</f>
        <v>Показатель</v>
      </c>
      <c r="C19" s="629" t="str">
        <f t="shared" ref="C19:R19" si="34">C14</f>
        <v>Ед.изм.</v>
      </c>
      <c r="D19" s="629" t="str">
        <f t="shared" si="34"/>
        <v>с 01.01.2019 по 30.06.2019</v>
      </c>
      <c r="E19" s="629" t="str">
        <f t="shared" si="34"/>
        <v>с 01.07.2019 по 31.12.2019</v>
      </c>
      <c r="F19" s="629" t="str">
        <f t="shared" si="34"/>
        <v xml:space="preserve">Всего </v>
      </c>
      <c r="G19" s="629" t="str">
        <f t="shared" si="34"/>
        <v>с 01.01.2020 по 30.06.2020</v>
      </c>
      <c r="H19" s="629" t="str">
        <f t="shared" si="34"/>
        <v>с 01.07.2020 по 31.12.2020</v>
      </c>
      <c r="I19" s="629" t="str">
        <f t="shared" si="34"/>
        <v xml:space="preserve">Всего </v>
      </c>
      <c r="J19" s="629" t="str">
        <f t="shared" si="34"/>
        <v>с 01.01.2021 по 30.06.2021</v>
      </c>
      <c r="K19" s="629" t="str">
        <f t="shared" si="34"/>
        <v>с 01.07.2021 по 31.12.2021</v>
      </c>
      <c r="L19" s="629" t="str">
        <f t="shared" si="34"/>
        <v xml:space="preserve">Всего </v>
      </c>
      <c r="M19" s="629" t="str">
        <f t="shared" si="34"/>
        <v>с 01.01.2022 по 30.06.2022</v>
      </c>
      <c r="N19" s="629" t="str">
        <f t="shared" si="34"/>
        <v>с 01.07.2022 по 31.12.2022</v>
      </c>
      <c r="O19" s="629" t="str">
        <f t="shared" si="34"/>
        <v xml:space="preserve">Всего </v>
      </c>
      <c r="P19" s="629" t="str">
        <f t="shared" si="34"/>
        <v>с 01.01.2023 по 30.06.2023</v>
      </c>
      <c r="Q19" s="629" t="str">
        <f t="shared" si="34"/>
        <v>с 01.07.2023 по 31.12.2023</v>
      </c>
      <c r="R19" s="629" t="str">
        <f t="shared" si="34"/>
        <v xml:space="preserve">Всего </v>
      </c>
    </row>
    <row r="20" spans="2:18" ht="23.25" hidden="1" customHeight="1" outlineLevel="1">
      <c r="B20" s="400" t="s">
        <v>437</v>
      </c>
      <c r="C20" s="399" t="s">
        <v>414</v>
      </c>
      <c r="D20" s="732" t="e">
        <f>индексы!E122</f>
        <v>#DIV/0!</v>
      </c>
      <c r="E20" s="732" t="e">
        <f>индексы!F122</f>
        <v>#DIV/0!</v>
      </c>
      <c r="F20" s="733">
        <f>индексы!G122</f>
        <v>0</v>
      </c>
      <c r="G20" s="732" t="e">
        <f>индексы!H122</f>
        <v>#DIV/0!</v>
      </c>
      <c r="H20" s="732" t="e">
        <f>индексы!I122</f>
        <v>#DIV/0!</v>
      </c>
      <c r="I20" s="733">
        <f>индексы!J122</f>
        <v>0</v>
      </c>
      <c r="J20" s="732" t="e">
        <f>индексы!K122</f>
        <v>#DIV/0!</v>
      </c>
      <c r="K20" s="732" t="e">
        <f>индексы!L122</f>
        <v>#DIV/0!</v>
      </c>
      <c r="L20" s="733">
        <f>индексы!M122</f>
        <v>0</v>
      </c>
      <c r="M20" s="732" t="e">
        <f>индексы!N122</f>
        <v>#DIV/0!</v>
      </c>
      <c r="N20" s="732" t="e">
        <f>индексы!O122</f>
        <v>#DIV/0!</v>
      </c>
      <c r="O20" s="733">
        <f>индексы!P122</f>
        <v>0</v>
      </c>
      <c r="P20" s="732" t="e">
        <f>индексы!Q122</f>
        <v>#DIV/0!</v>
      </c>
      <c r="Q20" s="732" t="e">
        <f>индексы!R122</f>
        <v>#DIV/0!</v>
      </c>
      <c r="R20" s="733">
        <f>индексы!S122</f>
        <v>0</v>
      </c>
    </row>
    <row r="21" spans="2:18" ht="23.25" hidden="1" customHeight="1" outlineLevel="1">
      <c r="B21" s="725" t="s">
        <v>438</v>
      </c>
      <c r="C21" s="726" t="s">
        <v>399</v>
      </c>
      <c r="D21" s="734">
        <f>F21</f>
        <v>0</v>
      </c>
      <c r="E21" s="735">
        <f>F21</f>
        <v>0</v>
      </c>
      <c r="F21" s="735">
        <f>индексы!E35</f>
        <v>0</v>
      </c>
      <c r="G21" s="734">
        <f>I21</f>
        <v>0</v>
      </c>
      <c r="H21" s="735">
        <f>I21</f>
        <v>0</v>
      </c>
      <c r="I21" s="735">
        <f>ROUND(F21*индексы!I16,2)</f>
        <v>0</v>
      </c>
      <c r="J21" s="734">
        <f>L21</f>
        <v>0</v>
      </c>
      <c r="K21" s="735">
        <f>L21</f>
        <v>0</v>
      </c>
      <c r="L21" s="735">
        <f>ROUND(I21*индексы!J16,2)</f>
        <v>0</v>
      </c>
      <c r="M21" s="734">
        <f>O21</f>
        <v>0</v>
      </c>
      <c r="N21" s="735">
        <f>O21</f>
        <v>0</v>
      </c>
      <c r="O21" s="735">
        <f>ROUND(L21*индексы!K16,2)</f>
        <v>0</v>
      </c>
      <c r="P21" s="734">
        <f>R21</f>
        <v>0</v>
      </c>
      <c r="Q21" s="735">
        <f>R21</f>
        <v>0</v>
      </c>
      <c r="R21" s="735">
        <f>ROUND(O21*индексы!L16,2)</f>
        <v>0</v>
      </c>
    </row>
    <row r="22" spans="2:18" ht="23.25" hidden="1" customHeight="1" outlineLevel="1">
      <c r="B22" s="400" t="s">
        <v>26</v>
      </c>
      <c r="C22" s="399" t="s">
        <v>1</v>
      </c>
      <c r="D22" s="732" t="e">
        <f>ROUND(D20*D21/1000,2)</f>
        <v>#DIV/0!</v>
      </c>
      <c r="E22" s="732" t="e">
        <f>ROUND(E20*E21/1000,2)</f>
        <v>#DIV/0!</v>
      </c>
      <c r="F22" s="736" t="e">
        <f>D22+E22</f>
        <v>#DIV/0!</v>
      </c>
      <c r="G22" s="732" t="e">
        <f t="shared" ref="G22" si="35">ROUND(G20*G21/1000,2)</f>
        <v>#DIV/0!</v>
      </c>
      <c r="H22" s="732" t="e">
        <f t="shared" ref="H22" si="36">ROUND(H20*H21/1000,2)</f>
        <v>#DIV/0!</v>
      </c>
      <c r="I22" s="736" t="e">
        <f t="shared" ref="I22" si="37">G22+H22</f>
        <v>#DIV/0!</v>
      </c>
      <c r="J22" s="732" t="e">
        <f t="shared" ref="J22" si="38">ROUND(J20*J21/1000,2)</f>
        <v>#DIV/0!</v>
      </c>
      <c r="K22" s="732" t="e">
        <f t="shared" ref="K22" si="39">ROUND(K20*K21/1000,2)</f>
        <v>#DIV/0!</v>
      </c>
      <c r="L22" s="736" t="e">
        <f t="shared" ref="L22" si="40">J22+K22</f>
        <v>#DIV/0!</v>
      </c>
      <c r="M22" s="732" t="e">
        <f t="shared" ref="M22" si="41">ROUND(M20*M21/1000,2)</f>
        <v>#DIV/0!</v>
      </c>
      <c r="N22" s="732" t="e">
        <f t="shared" ref="N22" si="42">ROUND(N20*N21/1000,2)</f>
        <v>#DIV/0!</v>
      </c>
      <c r="O22" s="736" t="e">
        <f t="shared" ref="O22" si="43">M22+N22</f>
        <v>#DIV/0!</v>
      </c>
      <c r="P22" s="732" t="e">
        <f t="shared" ref="P22" si="44">ROUND(P20*P21/1000,2)</f>
        <v>#DIV/0!</v>
      </c>
      <c r="Q22" s="732" t="e">
        <f t="shared" ref="Q22" si="45">ROUND(Q20*Q21/1000,2)</f>
        <v>#DIV/0!</v>
      </c>
      <c r="R22" s="736" t="e">
        <f t="shared" ref="R22" si="46">P22+Q22</f>
        <v>#DIV/0!</v>
      </c>
    </row>
    <row r="23" spans="2:18" ht="23.25" hidden="1" customHeight="1" outlineLevel="1">
      <c r="B23" s="731" t="s">
        <v>427</v>
      </c>
      <c r="C23" s="727"/>
      <c r="D23" s="728"/>
      <c r="E23" s="728"/>
      <c r="F23" s="729"/>
      <c r="G23" s="728"/>
      <c r="H23" s="728"/>
      <c r="I23" s="729"/>
      <c r="J23" s="728"/>
      <c r="K23" s="728"/>
      <c r="L23" s="729"/>
      <c r="M23" s="728"/>
      <c r="N23" s="728"/>
      <c r="O23" s="729"/>
      <c r="P23" s="728"/>
      <c r="Q23" s="728"/>
      <c r="R23" s="729"/>
    </row>
    <row r="24" spans="2:18" ht="29.25" hidden="1" customHeight="1" outlineLevel="1">
      <c r="B24" s="629" t="str">
        <f>B14</f>
        <v>Показатель</v>
      </c>
      <c r="C24" s="629" t="str">
        <f t="shared" ref="C24:R24" si="47">C14</f>
        <v>Ед.изм.</v>
      </c>
      <c r="D24" s="629" t="str">
        <f t="shared" si="47"/>
        <v>с 01.01.2019 по 30.06.2019</v>
      </c>
      <c r="E24" s="629" t="str">
        <f t="shared" si="47"/>
        <v>с 01.07.2019 по 31.12.2019</v>
      </c>
      <c r="F24" s="629" t="str">
        <f t="shared" si="47"/>
        <v xml:space="preserve">Всего </v>
      </c>
      <c r="G24" s="629" t="str">
        <f t="shared" si="47"/>
        <v>с 01.01.2020 по 30.06.2020</v>
      </c>
      <c r="H24" s="629" t="str">
        <f t="shared" si="47"/>
        <v>с 01.07.2020 по 31.12.2020</v>
      </c>
      <c r="I24" s="629" t="str">
        <f t="shared" si="47"/>
        <v xml:space="preserve">Всего </v>
      </c>
      <c r="J24" s="629" t="str">
        <f t="shared" si="47"/>
        <v>с 01.01.2021 по 30.06.2021</v>
      </c>
      <c r="K24" s="629" t="str">
        <f t="shared" si="47"/>
        <v>с 01.07.2021 по 31.12.2021</v>
      </c>
      <c r="L24" s="629" t="str">
        <f t="shared" si="47"/>
        <v xml:space="preserve">Всего </v>
      </c>
      <c r="M24" s="629" t="str">
        <f t="shared" si="47"/>
        <v>с 01.01.2022 по 30.06.2022</v>
      </c>
      <c r="N24" s="629" t="str">
        <f t="shared" si="47"/>
        <v>с 01.07.2022 по 31.12.2022</v>
      </c>
      <c r="O24" s="629" t="str">
        <f t="shared" si="47"/>
        <v xml:space="preserve">Всего </v>
      </c>
      <c r="P24" s="629" t="str">
        <f t="shared" si="47"/>
        <v>с 01.01.2023 по 30.06.2023</v>
      </c>
      <c r="Q24" s="629" t="str">
        <f t="shared" si="47"/>
        <v>с 01.07.2023 по 31.12.2023</v>
      </c>
      <c r="R24" s="629" t="str">
        <f t="shared" si="47"/>
        <v xml:space="preserve">Всего </v>
      </c>
    </row>
    <row r="25" spans="2:18" ht="23.25" hidden="1" customHeight="1" outlineLevel="1">
      <c r="B25" s="400" t="s">
        <v>437</v>
      </c>
      <c r="C25" s="399" t="s">
        <v>414</v>
      </c>
      <c r="D25" s="732" t="e">
        <f>индексы!E123</f>
        <v>#DIV/0!</v>
      </c>
      <c r="E25" s="732" t="e">
        <f>индексы!F123</f>
        <v>#DIV/0!</v>
      </c>
      <c r="F25" s="733">
        <f>индексы!G123</f>
        <v>0</v>
      </c>
      <c r="G25" s="732" t="e">
        <f>индексы!H123</f>
        <v>#DIV/0!</v>
      </c>
      <c r="H25" s="732" t="e">
        <f>индексы!I123</f>
        <v>#DIV/0!</v>
      </c>
      <c r="I25" s="733">
        <f>индексы!J123</f>
        <v>0</v>
      </c>
      <c r="J25" s="732" t="e">
        <f>индексы!K123</f>
        <v>#DIV/0!</v>
      </c>
      <c r="K25" s="732" t="e">
        <f>индексы!L123</f>
        <v>#DIV/0!</v>
      </c>
      <c r="L25" s="733">
        <f>индексы!M123</f>
        <v>0</v>
      </c>
      <c r="M25" s="732" t="e">
        <f>индексы!N123</f>
        <v>#DIV/0!</v>
      </c>
      <c r="N25" s="732" t="e">
        <f>индексы!O123</f>
        <v>#DIV/0!</v>
      </c>
      <c r="O25" s="733">
        <f>индексы!P123</f>
        <v>0</v>
      </c>
      <c r="P25" s="732" t="e">
        <f>индексы!Q123</f>
        <v>#DIV/0!</v>
      </c>
      <c r="Q25" s="732" t="e">
        <f>индексы!R123</f>
        <v>#DIV/0!</v>
      </c>
      <c r="R25" s="733">
        <f>индексы!S123</f>
        <v>0</v>
      </c>
    </row>
    <row r="26" spans="2:18" ht="23.25" hidden="1" customHeight="1" outlineLevel="1">
      <c r="B26" s="725" t="s">
        <v>438</v>
      </c>
      <c r="C26" s="726" t="s">
        <v>399</v>
      </c>
      <c r="D26" s="734">
        <f>F26</f>
        <v>0</v>
      </c>
      <c r="E26" s="735">
        <f>F26</f>
        <v>0</v>
      </c>
      <c r="F26" s="735">
        <f>индексы!E36</f>
        <v>0</v>
      </c>
      <c r="G26" s="734">
        <f>I26</f>
        <v>0</v>
      </c>
      <c r="H26" s="735">
        <f>I26</f>
        <v>0</v>
      </c>
      <c r="I26" s="735">
        <f>ROUND(F26*индексы!I8,2)</f>
        <v>0</v>
      </c>
      <c r="J26" s="734">
        <f>L26</f>
        <v>0</v>
      </c>
      <c r="K26" s="735">
        <f>L26</f>
        <v>0</v>
      </c>
      <c r="L26" s="735">
        <f>ROUND(I26*индексы!J8,2)</f>
        <v>0</v>
      </c>
      <c r="M26" s="734">
        <f>O26</f>
        <v>0</v>
      </c>
      <c r="N26" s="735">
        <f>O26</f>
        <v>0</v>
      </c>
      <c r="O26" s="735">
        <f>ROUND(L26*индексы!K8,2)</f>
        <v>0</v>
      </c>
      <c r="P26" s="734">
        <f>R26</f>
        <v>0</v>
      </c>
      <c r="Q26" s="735">
        <f>R26</f>
        <v>0</v>
      </c>
      <c r="R26" s="735">
        <f>ROUND(O26*индексы!L8,2)</f>
        <v>0</v>
      </c>
    </row>
    <row r="27" spans="2:18" ht="23.25" hidden="1" customHeight="1" outlineLevel="1">
      <c r="B27" s="400" t="s">
        <v>26</v>
      </c>
      <c r="C27" s="399" t="s">
        <v>1</v>
      </c>
      <c r="D27" s="732" t="e">
        <f>ROUND(D25*D26/1000,2)</f>
        <v>#DIV/0!</v>
      </c>
      <c r="E27" s="732" t="e">
        <f>ROUND(E25*E26/1000,2)</f>
        <v>#DIV/0!</v>
      </c>
      <c r="F27" s="736" t="e">
        <f>D27+E27</f>
        <v>#DIV/0!</v>
      </c>
      <c r="G27" s="732" t="e">
        <f t="shared" ref="G27" si="48">ROUND(G25*G26/1000,2)</f>
        <v>#DIV/0!</v>
      </c>
      <c r="H27" s="732" t="e">
        <f t="shared" ref="H27" si="49">ROUND(H25*H26/1000,2)</f>
        <v>#DIV/0!</v>
      </c>
      <c r="I27" s="736" t="e">
        <f t="shared" ref="I27" si="50">G27+H27</f>
        <v>#DIV/0!</v>
      </c>
      <c r="J27" s="732" t="e">
        <f t="shared" ref="J27" si="51">ROUND(J25*J26/1000,2)</f>
        <v>#DIV/0!</v>
      </c>
      <c r="K27" s="732" t="e">
        <f t="shared" ref="K27" si="52">ROUND(K25*K26/1000,2)</f>
        <v>#DIV/0!</v>
      </c>
      <c r="L27" s="736" t="e">
        <f t="shared" ref="L27" si="53">J27+K27</f>
        <v>#DIV/0!</v>
      </c>
      <c r="M27" s="732" t="e">
        <f t="shared" ref="M27" si="54">ROUND(M25*M26/1000,2)</f>
        <v>#DIV/0!</v>
      </c>
      <c r="N27" s="732" t="e">
        <f t="shared" ref="N27" si="55">ROUND(N25*N26/1000,2)</f>
        <v>#DIV/0!</v>
      </c>
      <c r="O27" s="736" t="e">
        <f t="shared" ref="O27" si="56">M27+N27</f>
        <v>#DIV/0!</v>
      </c>
      <c r="P27" s="732" t="e">
        <f t="shared" ref="P27" si="57">ROUND(P25*P26/1000,2)</f>
        <v>#DIV/0!</v>
      </c>
      <c r="Q27" s="732" t="e">
        <f t="shared" ref="Q27" si="58">ROUND(Q25*Q26/1000,2)</f>
        <v>#DIV/0!</v>
      </c>
      <c r="R27" s="736" t="e">
        <f t="shared" ref="R27" si="59">P27+Q27</f>
        <v>#DIV/0!</v>
      </c>
    </row>
    <row r="28" spans="2:18" ht="23.25" hidden="1" customHeight="1" outlineLevel="1">
      <c r="B28" s="731" t="s">
        <v>428</v>
      </c>
      <c r="C28" s="727"/>
      <c r="D28" s="728"/>
      <c r="E28" s="728"/>
      <c r="F28" s="729"/>
      <c r="G28" s="728"/>
      <c r="H28" s="728"/>
      <c r="I28" s="729"/>
      <c r="J28" s="728"/>
      <c r="K28" s="728"/>
      <c r="L28" s="729"/>
      <c r="M28" s="728"/>
      <c r="N28" s="728"/>
      <c r="O28" s="729"/>
      <c r="P28" s="728"/>
      <c r="Q28" s="728"/>
      <c r="R28" s="729"/>
    </row>
    <row r="29" spans="2:18" ht="29.25" hidden="1" customHeight="1" outlineLevel="1">
      <c r="B29" s="629" t="str">
        <f>B19</f>
        <v>Показатель</v>
      </c>
      <c r="C29" s="629" t="str">
        <f t="shared" ref="C29:R29" si="60">C19</f>
        <v>Ед.изм.</v>
      </c>
      <c r="D29" s="629" t="str">
        <f t="shared" si="60"/>
        <v>с 01.01.2019 по 30.06.2019</v>
      </c>
      <c r="E29" s="629" t="str">
        <f t="shared" si="60"/>
        <v>с 01.07.2019 по 31.12.2019</v>
      </c>
      <c r="F29" s="629" t="str">
        <f t="shared" si="60"/>
        <v xml:space="preserve">Всего </v>
      </c>
      <c r="G29" s="629" t="str">
        <f t="shared" si="60"/>
        <v>с 01.01.2020 по 30.06.2020</v>
      </c>
      <c r="H29" s="629" t="str">
        <f t="shared" si="60"/>
        <v>с 01.07.2020 по 31.12.2020</v>
      </c>
      <c r="I29" s="629" t="str">
        <f t="shared" si="60"/>
        <v xml:space="preserve">Всего </v>
      </c>
      <c r="J29" s="629" t="str">
        <f t="shared" si="60"/>
        <v>с 01.01.2021 по 30.06.2021</v>
      </c>
      <c r="K29" s="629" t="str">
        <f t="shared" si="60"/>
        <v>с 01.07.2021 по 31.12.2021</v>
      </c>
      <c r="L29" s="629" t="str">
        <f t="shared" si="60"/>
        <v xml:space="preserve">Всего </v>
      </c>
      <c r="M29" s="629" t="str">
        <f t="shared" si="60"/>
        <v>с 01.01.2022 по 30.06.2022</v>
      </c>
      <c r="N29" s="629" t="str">
        <f t="shared" si="60"/>
        <v>с 01.07.2022 по 31.12.2022</v>
      </c>
      <c r="O29" s="629" t="str">
        <f t="shared" si="60"/>
        <v xml:space="preserve">Всего </v>
      </c>
      <c r="P29" s="629" t="str">
        <f t="shared" si="60"/>
        <v>с 01.01.2023 по 30.06.2023</v>
      </c>
      <c r="Q29" s="629" t="str">
        <f t="shared" si="60"/>
        <v>с 01.07.2023 по 31.12.2023</v>
      </c>
      <c r="R29" s="629" t="str">
        <f t="shared" si="60"/>
        <v xml:space="preserve">Всего </v>
      </c>
    </row>
    <row r="30" spans="2:18" ht="23.25" hidden="1" customHeight="1" outlineLevel="1">
      <c r="B30" s="400" t="s">
        <v>437</v>
      </c>
      <c r="C30" s="399" t="s">
        <v>57</v>
      </c>
      <c r="D30" s="732" t="e">
        <f>индексы!E124</f>
        <v>#DIV/0!</v>
      </c>
      <c r="E30" s="732" t="e">
        <f>индексы!F124</f>
        <v>#DIV/0!</v>
      </c>
      <c r="F30" s="733">
        <f>индексы!G124</f>
        <v>0</v>
      </c>
      <c r="G30" s="732" t="e">
        <f>индексы!H124</f>
        <v>#DIV/0!</v>
      </c>
      <c r="H30" s="732" t="e">
        <f>индексы!I124</f>
        <v>#DIV/0!</v>
      </c>
      <c r="I30" s="733">
        <f>индексы!J124</f>
        <v>0</v>
      </c>
      <c r="J30" s="732" t="e">
        <f>индексы!K124</f>
        <v>#DIV/0!</v>
      </c>
      <c r="K30" s="732" t="e">
        <f>индексы!L124</f>
        <v>#DIV/0!</v>
      </c>
      <c r="L30" s="733">
        <f>индексы!M124</f>
        <v>0</v>
      </c>
      <c r="M30" s="732" t="e">
        <f>индексы!N124</f>
        <v>#DIV/0!</v>
      </c>
      <c r="N30" s="732" t="e">
        <f>индексы!O124</f>
        <v>#DIV/0!</v>
      </c>
      <c r="O30" s="733">
        <f>индексы!P124</f>
        <v>0</v>
      </c>
      <c r="P30" s="732" t="e">
        <f>индексы!Q124</f>
        <v>#DIV/0!</v>
      </c>
      <c r="Q30" s="732" t="e">
        <f>индексы!R124</f>
        <v>#DIV/0!</v>
      </c>
      <c r="R30" s="733">
        <f>индексы!S124</f>
        <v>0</v>
      </c>
    </row>
    <row r="31" spans="2:18" ht="27.75" hidden="1" customHeight="1" outlineLevel="1">
      <c r="B31" s="725" t="s">
        <v>438</v>
      </c>
      <c r="C31" s="726" t="s">
        <v>402</v>
      </c>
      <c r="D31" s="734">
        <f>F31</f>
        <v>0</v>
      </c>
      <c r="E31" s="735">
        <f>F31</f>
        <v>0</v>
      </c>
      <c r="F31" s="735">
        <f>индексы!E37</f>
        <v>0</v>
      </c>
      <c r="G31" s="734">
        <f>I31</f>
        <v>0</v>
      </c>
      <c r="H31" s="735">
        <f>I31</f>
        <v>0</v>
      </c>
      <c r="I31" s="735">
        <f>ROUND(F31*индексы!I8,2)</f>
        <v>0</v>
      </c>
      <c r="J31" s="734">
        <f>L31</f>
        <v>0</v>
      </c>
      <c r="K31" s="735">
        <f>L31</f>
        <v>0</v>
      </c>
      <c r="L31" s="735">
        <f>ROUND(I31*индексы!J8,2)</f>
        <v>0</v>
      </c>
      <c r="M31" s="734">
        <f>O31</f>
        <v>0</v>
      </c>
      <c r="N31" s="735">
        <f>O31</f>
        <v>0</v>
      </c>
      <c r="O31" s="735">
        <f>ROUND(L31*индексы!K8,2)</f>
        <v>0</v>
      </c>
      <c r="P31" s="734">
        <f>R31</f>
        <v>0</v>
      </c>
      <c r="Q31" s="735">
        <f>R31</f>
        <v>0</v>
      </c>
      <c r="R31" s="735">
        <f>ROUND(O31*индексы!L8,2)</f>
        <v>0</v>
      </c>
    </row>
    <row r="32" spans="2:18" ht="23.25" hidden="1" customHeight="1" outlineLevel="1">
      <c r="B32" s="400" t="s">
        <v>26</v>
      </c>
      <c r="C32" s="399" t="s">
        <v>1</v>
      </c>
      <c r="D32" s="732" t="e">
        <f>ROUND(D30*D31/1000,2)</f>
        <v>#DIV/0!</v>
      </c>
      <c r="E32" s="732" t="e">
        <f>ROUND(E30*E31/1000,2)</f>
        <v>#DIV/0!</v>
      </c>
      <c r="F32" s="736" t="e">
        <f>D32+E32</f>
        <v>#DIV/0!</v>
      </c>
      <c r="G32" s="732" t="e">
        <f t="shared" ref="G32" si="61">ROUND(G30*G31/1000,2)</f>
        <v>#DIV/0!</v>
      </c>
      <c r="H32" s="732" t="e">
        <f t="shared" ref="H32" si="62">ROUND(H30*H31/1000,2)</f>
        <v>#DIV/0!</v>
      </c>
      <c r="I32" s="736" t="e">
        <f t="shared" ref="I32" si="63">G32+H32</f>
        <v>#DIV/0!</v>
      </c>
      <c r="J32" s="732" t="e">
        <f t="shared" ref="J32" si="64">ROUND(J30*J31/1000,2)</f>
        <v>#DIV/0!</v>
      </c>
      <c r="K32" s="732" t="e">
        <f t="shared" ref="K32" si="65">ROUND(K30*K31/1000,2)</f>
        <v>#DIV/0!</v>
      </c>
      <c r="L32" s="736" t="e">
        <f t="shared" ref="L32" si="66">J32+K32</f>
        <v>#DIV/0!</v>
      </c>
      <c r="M32" s="732" t="e">
        <f t="shared" ref="M32" si="67">ROUND(M30*M31/1000,2)</f>
        <v>#DIV/0!</v>
      </c>
      <c r="N32" s="732" t="e">
        <f t="shared" ref="N32" si="68">ROUND(N30*N31/1000,2)</f>
        <v>#DIV/0!</v>
      </c>
      <c r="O32" s="736" t="e">
        <f t="shared" ref="O32" si="69">M32+N32</f>
        <v>#DIV/0!</v>
      </c>
      <c r="P32" s="732" t="e">
        <f t="shared" ref="P32" si="70">ROUND(P30*P31/1000,2)</f>
        <v>#DIV/0!</v>
      </c>
      <c r="Q32" s="732" t="e">
        <f t="shared" ref="Q32" si="71">ROUND(Q30*Q31/1000,2)</f>
        <v>#DIV/0!</v>
      </c>
      <c r="R32" s="736" t="e">
        <f t="shared" ref="R32" si="72">P32+Q32</f>
        <v>#DIV/0!</v>
      </c>
    </row>
    <row r="33" spans="1:24" ht="29.25" hidden="1" customHeight="1">
      <c r="B33" s="8"/>
      <c r="C33" s="9"/>
      <c r="D33" s="778" t="e">
        <f>D12+D17+D22+D27+D32</f>
        <v>#DIV/0!</v>
      </c>
      <c r="E33" s="778" t="e">
        <f t="shared" ref="E33:R33" si="73">E12+E17+E22+E27+E32</f>
        <v>#DIV/0!</v>
      </c>
      <c r="F33" s="778" t="e">
        <f t="shared" si="73"/>
        <v>#DIV/0!</v>
      </c>
      <c r="G33" s="778" t="e">
        <f t="shared" si="73"/>
        <v>#DIV/0!</v>
      </c>
      <c r="H33" s="778" t="e">
        <f t="shared" si="73"/>
        <v>#DIV/0!</v>
      </c>
      <c r="I33" s="778" t="e">
        <f t="shared" si="73"/>
        <v>#DIV/0!</v>
      </c>
      <c r="J33" s="778" t="e">
        <f t="shared" si="73"/>
        <v>#DIV/0!</v>
      </c>
      <c r="K33" s="778" t="e">
        <f t="shared" si="73"/>
        <v>#DIV/0!</v>
      </c>
      <c r="L33" s="778" t="e">
        <f t="shared" si="73"/>
        <v>#DIV/0!</v>
      </c>
      <c r="M33" s="778" t="e">
        <f t="shared" si="73"/>
        <v>#DIV/0!</v>
      </c>
      <c r="N33" s="778" t="e">
        <f t="shared" si="73"/>
        <v>#DIV/0!</v>
      </c>
      <c r="O33" s="778" t="e">
        <f t="shared" si="73"/>
        <v>#DIV/0!</v>
      </c>
      <c r="P33" s="778" t="e">
        <f t="shared" si="73"/>
        <v>#DIV/0!</v>
      </c>
      <c r="Q33" s="778" t="e">
        <f t="shared" si="73"/>
        <v>#DIV/0!</v>
      </c>
      <c r="R33" s="778" t="e">
        <f t="shared" si="73"/>
        <v>#DIV/0!</v>
      </c>
      <c r="U33" s="19"/>
      <c r="V33" s="19"/>
      <c r="W33" s="3"/>
      <c r="X33" s="3"/>
    </row>
    <row r="34" spans="1:24" s="10" customFormat="1" ht="15.75" hidden="1" outlineLevel="1">
      <c r="B34" s="1734" t="s">
        <v>63</v>
      </c>
      <c r="C34" s="1734"/>
      <c r="D34" s="1734"/>
      <c r="E34" s="29"/>
      <c r="F34" s="29">
        <f>индексы!H12</f>
        <v>1.0589999999999999</v>
      </c>
      <c r="G34" s="29"/>
      <c r="H34" s="29"/>
      <c r="I34" s="29">
        <f>индексы!I12</f>
        <v>1.042</v>
      </c>
      <c r="J34" s="29"/>
      <c r="K34" s="29"/>
      <c r="L34" s="29">
        <f>индексы!J12</f>
        <v>1.04</v>
      </c>
      <c r="M34" s="29"/>
      <c r="N34" s="29"/>
      <c r="O34" s="29">
        <f>индексы!K12</f>
        <v>1.04</v>
      </c>
      <c r="P34" s="29"/>
      <c r="Q34" s="29"/>
      <c r="R34" s="29">
        <f>индексы!L12</f>
        <v>1.0389999999999999</v>
      </c>
      <c r="U34" s="367"/>
      <c r="V34" s="369"/>
      <c r="W34" s="367"/>
      <c r="X34" s="367"/>
    </row>
    <row r="35" spans="1:24" ht="13.5" hidden="1" outlineLevel="1" thickBot="1">
      <c r="A35" s="16"/>
      <c r="B35" s="16" t="s">
        <v>323</v>
      </c>
      <c r="C35" s="16"/>
      <c r="D35" s="44"/>
      <c r="E35" s="44"/>
      <c r="F35" s="35">
        <f>E39/D39</f>
        <v>1.0589999028088248</v>
      </c>
      <c r="G35" s="44"/>
      <c r="H35" s="44"/>
      <c r="I35" s="35">
        <f t="shared" ref="I35" si="74">H39/G39</f>
        <v>1.0420014592444049</v>
      </c>
      <c r="J35" s="44"/>
      <c r="K35" s="44"/>
      <c r="L35" s="35">
        <f t="shared" ref="L35" si="75">K39/J39</f>
        <v>1.0400001761540292</v>
      </c>
      <c r="M35" s="44"/>
      <c r="N35" s="44"/>
      <c r="O35" s="35">
        <f t="shared" ref="O35" si="76">N39/M39</f>
        <v>1.0399988143480821</v>
      </c>
      <c r="P35" s="44"/>
      <c r="Q35" s="44"/>
      <c r="R35" s="35">
        <f t="shared" ref="R35" si="77">Q39/P39</f>
        <v>1.0390019665883561</v>
      </c>
      <c r="U35" s="3"/>
      <c r="V35" s="368"/>
      <c r="W35" s="3"/>
      <c r="X35" s="3"/>
    </row>
    <row r="36" spans="1:24" ht="25.5" hidden="1" outlineLevel="1">
      <c r="B36" s="11" t="s">
        <v>10</v>
      </c>
      <c r="C36" s="24" t="s">
        <v>11</v>
      </c>
      <c r="D36" s="45" t="s">
        <v>198</v>
      </c>
      <c r="E36" s="46" t="s">
        <v>199</v>
      </c>
      <c r="F36" s="47" t="s">
        <v>36</v>
      </c>
      <c r="G36" s="45" t="s">
        <v>201</v>
      </c>
      <c r="H36" s="46" t="s">
        <v>202</v>
      </c>
      <c r="I36" s="47" t="s">
        <v>36</v>
      </c>
      <c r="J36" s="45" t="s">
        <v>204</v>
      </c>
      <c r="K36" s="46" t="s">
        <v>205</v>
      </c>
      <c r="L36" s="47" t="s">
        <v>36</v>
      </c>
      <c r="M36" s="45" t="s">
        <v>242</v>
      </c>
      <c r="N36" s="46" t="s">
        <v>243</v>
      </c>
      <c r="O36" s="47" t="s">
        <v>36</v>
      </c>
      <c r="P36" s="45" t="s">
        <v>263</v>
      </c>
      <c r="Q36" s="46" t="s">
        <v>264</v>
      </c>
      <c r="R36" s="47" t="s">
        <v>36</v>
      </c>
      <c r="U36" s="3"/>
      <c r="V36" s="368"/>
      <c r="W36" s="3"/>
      <c r="X36" s="3"/>
    </row>
    <row r="37" spans="1:24" ht="30.75" hidden="1" customHeight="1" outlineLevel="1">
      <c r="B37" s="11" t="s">
        <v>267</v>
      </c>
      <c r="C37" s="24"/>
      <c r="D37" s="738"/>
      <c r="E37" s="739"/>
      <c r="F37" s="740"/>
      <c r="G37" s="738"/>
      <c r="H37" s="739"/>
      <c r="I37" s="740"/>
      <c r="J37" s="738"/>
      <c r="K37" s="739"/>
      <c r="L37" s="740"/>
      <c r="M37" s="738"/>
      <c r="N37" s="739"/>
      <c r="O37" s="740"/>
      <c r="P37" s="738"/>
      <c r="Q37" s="739"/>
      <c r="R37" s="740"/>
      <c r="U37" s="3"/>
      <c r="V37" s="368"/>
      <c r="W37" s="3"/>
      <c r="X37" s="3"/>
    </row>
    <row r="38" spans="1:24" ht="18" hidden="1" customHeight="1" outlineLevel="1">
      <c r="B38" s="5" t="s">
        <v>64</v>
      </c>
      <c r="C38" s="6" t="s">
        <v>13</v>
      </c>
      <c r="D38" s="722" t="e">
        <f>индексы!E153</f>
        <v>#DIV/0!</v>
      </c>
      <c r="E38" s="13" t="e">
        <f>индексы!F153</f>
        <v>#DIV/0!</v>
      </c>
      <c r="F38" s="741">
        <f>индексы!G153</f>
        <v>0</v>
      </c>
      <c r="G38" s="722" t="e">
        <f>индексы!H153</f>
        <v>#DIV/0!</v>
      </c>
      <c r="H38" s="13" t="e">
        <f>индексы!I153</f>
        <v>#DIV/0!</v>
      </c>
      <c r="I38" s="741">
        <f>индексы!J153</f>
        <v>0</v>
      </c>
      <c r="J38" s="722" t="e">
        <f>индексы!K153</f>
        <v>#DIV/0!</v>
      </c>
      <c r="K38" s="13" t="e">
        <f>индексы!L153</f>
        <v>#DIV/0!</v>
      </c>
      <c r="L38" s="741">
        <f>индексы!M153</f>
        <v>0</v>
      </c>
      <c r="M38" s="722" t="e">
        <f>индексы!N153</f>
        <v>#DIV/0!</v>
      </c>
      <c r="N38" s="13" t="e">
        <f>индексы!O153</f>
        <v>#DIV/0!</v>
      </c>
      <c r="O38" s="741">
        <f>индексы!P153</f>
        <v>0</v>
      </c>
      <c r="P38" s="722" t="e">
        <f>индексы!Q153</f>
        <v>#DIV/0!</v>
      </c>
      <c r="Q38" s="13" t="e">
        <f>индексы!R153</f>
        <v>#DIV/0!</v>
      </c>
      <c r="R38" s="741">
        <f>индексы!S153</f>
        <v>0</v>
      </c>
      <c r="U38" s="3"/>
      <c r="V38" s="368"/>
      <c r="W38" s="3"/>
      <c r="X38" s="3"/>
    </row>
    <row r="39" spans="1:24" ht="16.5" hidden="1" customHeight="1" outlineLevel="1" thickBot="1">
      <c r="B39" s="260" t="str">
        <f>индексы!E60</f>
        <v>ГУП "ТЭК СПб"</v>
      </c>
      <c r="C39" s="261" t="s">
        <v>12</v>
      </c>
      <c r="D39" s="262">
        <f>индексы!E66</f>
        <v>2057.8000000000002</v>
      </c>
      <c r="E39" s="318">
        <f>ROUND(D39*$F$34,2)</f>
        <v>2179.21</v>
      </c>
      <c r="F39" s="263" t="e">
        <f>F40*1000/F38</f>
        <v>#DIV/0!</v>
      </c>
      <c r="G39" s="262">
        <f>E39</f>
        <v>2179.21</v>
      </c>
      <c r="H39" s="318">
        <f>ROUND(G39*$I$34,2)</f>
        <v>2270.7399999999998</v>
      </c>
      <c r="I39" s="263" t="e">
        <f t="shared" ref="I39" si="78">I40*1000/I38</f>
        <v>#DIV/0!</v>
      </c>
      <c r="J39" s="262">
        <f>H39</f>
        <v>2270.7399999999998</v>
      </c>
      <c r="K39" s="318">
        <f>ROUND(J39*$L$34,2)</f>
        <v>2361.5700000000002</v>
      </c>
      <c r="L39" s="263" t="e">
        <f t="shared" ref="L39" si="79">L40*1000/L38</f>
        <v>#DIV/0!</v>
      </c>
      <c r="M39" s="262">
        <f>K39</f>
        <v>2361.5700000000002</v>
      </c>
      <c r="N39" s="318">
        <f>ROUND(M39*$O$34,2)</f>
        <v>2456.0300000000002</v>
      </c>
      <c r="O39" s="263" t="e">
        <f t="shared" ref="O39:R39" si="80">O40*1000/O38</f>
        <v>#DIV/0!</v>
      </c>
      <c r="P39" s="262">
        <f>N39</f>
        <v>2456.0300000000002</v>
      </c>
      <c r="Q39" s="318">
        <f>ROUND(P39*$R$34,2)</f>
        <v>2551.8200000000002</v>
      </c>
      <c r="R39" s="263" t="e">
        <f t="shared" si="80"/>
        <v>#DIV/0!</v>
      </c>
      <c r="U39" s="3"/>
      <c r="V39" s="368"/>
      <c r="W39" s="3"/>
      <c r="X39" s="3"/>
    </row>
    <row r="40" spans="1:24" ht="26.25" hidden="1" customHeight="1" outlineLevel="1" thickBot="1">
      <c r="B40" s="264" t="s">
        <v>65</v>
      </c>
      <c r="C40" s="265" t="s">
        <v>21</v>
      </c>
      <c r="D40" s="744" t="e">
        <f>ROUND(D39*D38/1000,2)</f>
        <v>#DIV/0!</v>
      </c>
      <c r="E40" s="742" t="e">
        <f>ROUND(E39*E38/1000,2)</f>
        <v>#DIV/0!</v>
      </c>
      <c r="F40" s="745" t="e">
        <f>D40+E40</f>
        <v>#DIV/0!</v>
      </c>
      <c r="G40" s="320" t="e">
        <f>ROUND(G39*G38/1000,2)</f>
        <v>#DIV/0!</v>
      </c>
      <c r="H40" s="321" t="e">
        <f>ROUND(H39*H38/1000,2)</f>
        <v>#DIV/0!</v>
      </c>
      <c r="I40" s="322" t="e">
        <f>G40+H40</f>
        <v>#DIV/0!</v>
      </c>
      <c r="J40" s="320" t="e">
        <f>ROUND(J39*J38/1000,2)</f>
        <v>#DIV/0!</v>
      </c>
      <c r="K40" s="321" t="e">
        <f>ROUND(K39*K38/1000,2)</f>
        <v>#DIV/0!</v>
      </c>
      <c r="L40" s="322" t="e">
        <f>J40+K40</f>
        <v>#DIV/0!</v>
      </c>
      <c r="M40" s="320" t="e">
        <f t="shared" ref="M40:N40" si="81">ROUND(M39*M38/1000,2)</f>
        <v>#DIV/0!</v>
      </c>
      <c r="N40" s="321" t="e">
        <f t="shared" si="81"/>
        <v>#DIV/0!</v>
      </c>
      <c r="O40" s="322" t="e">
        <f t="shared" ref="O40" si="82">M40+N40</f>
        <v>#DIV/0!</v>
      </c>
      <c r="P40" s="320" t="e">
        <f t="shared" ref="P40:Q40" si="83">ROUND(P39*P38/1000,2)</f>
        <v>#DIV/0!</v>
      </c>
      <c r="Q40" s="321" t="e">
        <f t="shared" si="83"/>
        <v>#DIV/0!</v>
      </c>
      <c r="R40" s="322" t="e">
        <f t="shared" ref="R40" si="84">P40+Q40</f>
        <v>#DIV/0!</v>
      </c>
      <c r="U40" s="3"/>
      <c r="V40" s="368"/>
      <c r="W40" s="3"/>
      <c r="X40" s="3"/>
    </row>
    <row r="41" spans="1:24" ht="26.25" hidden="1" customHeight="1" outlineLevel="1">
      <c r="B41" s="5" t="s">
        <v>64</v>
      </c>
      <c r="C41" s="6" t="s">
        <v>13</v>
      </c>
      <c r="D41" s="750" t="e">
        <f>индексы!E154</f>
        <v>#DIV/0!</v>
      </c>
      <c r="E41" s="751" t="e">
        <f>индексы!F154</f>
        <v>#DIV/0!</v>
      </c>
      <c r="F41" s="752">
        <f>индексы!G154</f>
        <v>0</v>
      </c>
      <c r="G41" s="750" t="e">
        <f>индексы!H154</f>
        <v>#DIV/0!</v>
      </c>
      <c r="H41" s="751" t="e">
        <f>индексы!I154</f>
        <v>#DIV/0!</v>
      </c>
      <c r="I41" s="752">
        <f>индексы!J154</f>
        <v>0</v>
      </c>
      <c r="J41" s="750" t="e">
        <f>индексы!K154</f>
        <v>#DIV/0!</v>
      </c>
      <c r="K41" s="751" t="e">
        <f>индексы!L154</f>
        <v>#DIV/0!</v>
      </c>
      <c r="L41" s="752">
        <f>индексы!M154</f>
        <v>0</v>
      </c>
      <c r="M41" s="750" t="e">
        <f>индексы!N154</f>
        <v>#DIV/0!</v>
      </c>
      <c r="N41" s="751" t="e">
        <f>индексы!O154</f>
        <v>#DIV/0!</v>
      </c>
      <c r="O41" s="752">
        <f>индексы!P154</f>
        <v>0</v>
      </c>
      <c r="P41" s="750" t="e">
        <f>индексы!Q154</f>
        <v>#DIV/0!</v>
      </c>
      <c r="Q41" s="751" t="e">
        <f>индексы!R154</f>
        <v>#DIV/0!</v>
      </c>
      <c r="R41" s="752">
        <f>индексы!S154</f>
        <v>0</v>
      </c>
      <c r="U41" s="3"/>
      <c r="V41" s="368"/>
      <c r="W41" s="3"/>
      <c r="X41" s="3"/>
    </row>
    <row r="42" spans="1:24" ht="26.25" hidden="1" customHeight="1" outlineLevel="1" thickBot="1">
      <c r="B42" s="260" t="str">
        <f>индексы!F60</f>
        <v>ПАО "ТГК-1"</v>
      </c>
      <c r="C42" s="261" t="s">
        <v>12</v>
      </c>
      <c r="D42" s="753">
        <f>индексы!F66</f>
        <v>1457.29</v>
      </c>
      <c r="E42" s="754">
        <f>ROUND(D42*$F$34,2)</f>
        <v>1543.27</v>
      </c>
      <c r="F42" s="755" t="e">
        <f t="shared" ref="F42" si="85">F43*1000/F41</f>
        <v>#DIV/0!</v>
      </c>
      <c r="G42" s="743">
        <f>E42</f>
        <v>1543.27</v>
      </c>
      <c r="H42" s="318">
        <f>ROUND(G42*$I$34,2)</f>
        <v>1608.09</v>
      </c>
      <c r="I42" s="263" t="e">
        <f t="shared" ref="I42:I60" si="86">I43*1000/I41</f>
        <v>#DIV/0!</v>
      </c>
      <c r="J42" s="262">
        <f t="shared" ref="J42" si="87">H42</f>
        <v>1608.09</v>
      </c>
      <c r="K42" s="318">
        <f>ROUND(J42*$L$34,2)</f>
        <v>1672.41</v>
      </c>
      <c r="L42" s="263" t="e">
        <f t="shared" ref="L42:L60" si="88">L43*1000/L41</f>
        <v>#DIV/0!</v>
      </c>
      <c r="M42" s="262">
        <f t="shared" ref="M42" si="89">K42</f>
        <v>1672.41</v>
      </c>
      <c r="N42" s="318">
        <f>ROUND(M42*$O$34,2)</f>
        <v>1739.31</v>
      </c>
      <c r="O42" s="263" t="e">
        <f t="shared" ref="O42" si="90">O43*1000/O41</f>
        <v>#DIV/0!</v>
      </c>
      <c r="P42" s="262">
        <f t="shared" ref="P42" si="91">N42</f>
        <v>1739.31</v>
      </c>
      <c r="Q42" s="318">
        <f>ROUND(P42*$R$34,2)</f>
        <v>1807.14</v>
      </c>
      <c r="R42" s="263" t="e">
        <f t="shared" ref="R42" si="92">R43*1000/R41</f>
        <v>#DIV/0!</v>
      </c>
      <c r="U42" s="3"/>
      <c r="V42" s="368"/>
      <c r="W42" s="3"/>
      <c r="X42" s="3"/>
    </row>
    <row r="43" spans="1:24" ht="26.25" hidden="1" customHeight="1" outlineLevel="1" thickBot="1">
      <c r="B43" s="264" t="s">
        <v>65</v>
      </c>
      <c r="C43" s="265" t="s">
        <v>21</v>
      </c>
      <c r="D43" s="746" t="e">
        <f t="shared" ref="D43:E43" si="93">ROUND(D42*D41/1000,2)</f>
        <v>#DIV/0!</v>
      </c>
      <c r="E43" s="747" t="e">
        <f t="shared" si="93"/>
        <v>#DIV/0!</v>
      </c>
      <c r="F43" s="748" t="e">
        <f t="shared" ref="F43" si="94">D43+E43</f>
        <v>#DIV/0!</v>
      </c>
      <c r="G43" s="320" t="e">
        <f t="shared" ref="G43:H43" si="95">ROUND(G42*G41/1000,2)</f>
        <v>#DIV/0!</v>
      </c>
      <c r="H43" s="321" t="e">
        <f t="shared" si="95"/>
        <v>#DIV/0!</v>
      </c>
      <c r="I43" s="322" t="e">
        <f t="shared" ref="I43" si="96">G43+H43</f>
        <v>#DIV/0!</v>
      </c>
      <c r="J43" s="320" t="e">
        <f t="shared" ref="J43:K43" si="97">ROUND(J42*J41/1000,2)</f>
        <v>#DIV/0!</v>
      </c>
      <c r="K43" s="321" t="e">
        <f t="shared" si="97"/>
        <v>#DIV/0!</v>
      </c>
      <c r="L43" s="322" t="e">
        <f t="shared" ref="L43" si="98">J43+K43</f>
        <v>#DIV/0!</v>
      </c>
      <c r="M43" s="320" t="e">
        <f t="shared" ref="M43:N43" si="99">ROUND(M42*M41/1000,2)</f>
        <v>#DIV/0!</v>
      </c>
      <c r="N43" s="321" t="e">
        <f t="shared" si="99"/>
        <v>#DIV/0!</v>
      </c>
      <c r="O43" s="322" t="e">
        <f t="shared" ref="O43" si="100">M43+N43</f>
        <v>#DIV/0!</v>
      </c>
      <c r="P43" s="320" t="e">
        <f t="shared" ref="P43:Q43" si="101">ROUND(P42*P41/1000,2)</f>
        <v>#DIV/0!</v>
      </c>
      <c r="Q43" s="321" t="e">
        <f t="shared" si="101"/>
        <v>#DIV/0!</v>
      </c>
      <c r="R43" s="322" t="e">
        <f t="shared" ref="R43" si="102">P43+Q43</f>
        <v>#DIV/0!</v>
      </c>
      <c r="U43" s="3"/>
      <c r="V43" s="368"/>
      <c r="W43" s="3"/>
      <c r="X43" s="3"/>
    </row>
    <row r="44" spans="1:24" ht="26.25" hidden="1" customHeight="1" outlineLevel="1">
      <c r="B44" s="5" t="s">
        <v>64</v>
      </c>
      <c r="C44" s="6" t="s">
        <v>13</v>
      </c>
      <c r="D44" s="722" t="e">
        <f>индексы!E155</f>
        <v>#DIV/0!</v>
      </c>
      <c r="E44" s="751" t="e">
        <f>индексы!F155</f>
        <v>#DIV/0!</v>
      </c>
      <c r="F44" s="741">
        <f>индексы!G155</f>
        <v>0</v>
      </c>
      <c r="G44" s="722" t="e">
        <f>индексы!H155</f>
        <v>#DIV/0!</v>
      </c>
      <c r="H44" s="751" t="e">
        <f>индексы!I155</f>
        <v>#DIV/0!</v>
      </c>
      <c r="I44" s="741">
        <f>индексы!J155</f>
        <v>0</v>
      </c>
      <c r="J44" s="722" t="e">
        <f>индексы!K155</f>
        <v>#DIV/0!</v>
      </c>
      <c r="K44" s="751" t="e">
        <f>индексы!L155</f>
        <v>#DIV/0!</v>
      </c>
      <c r="L44" s="741">
        <f>индексы!M155</f>
        <v>0</v>
      </c>
      <c r="M44" s="722" t="e">
        <f>индексы!N155</f>
        <v>#DIV/0!</v>
      </c>
      <c r="N44" s="751" t="e">
        <f>индексы!O155</f>
        <v>#DIV/0!</v>
      </c>
      <c r="O44" s="741">
        <f>индексы!P155</f>
        <v>0</v>
      </c>
      <c r="P44" s="722" t="e">
        <f>индексы!Q155</f>
        <v>#DIV/0!</v>
      </c>
      <c r="Q44" s="751" t="e">
        <f>индексы!R155</f>
        <v>#DIV/0!</v>
      </c>
      <c r="R44" s="741">
        <f>индексы!S155</f>
        <v>0</v>
      </c>
      <c r="U44" s="3"/>
      <c r="V44" s="368"/>
      <c r="W44" s="3"/>
      <c r="X44" s="3"/>
    </row>
    <row r="45" spans="1:24" ht="26.25" hidden="1" customHeight="1" outlineLevel="1" thickBot="1">
      <c r="B45" s="260" t="str">
        <f>индексы!G60</f>
        <v>ООО "Петербургтеплоэнерго"</v>
      </c>
      <c r="C45" s="261" t="s">
        <v>12</v>
      </c>
      <c r="D45" s="262">
        <f>индексы!G66</f>
        <v>1732.88</v>
      </c>
      <c r="E45" s="318">
        <f>ROUND(D45*$F$34,2)</f>
        <v>1835.12</v>
      </c>
      <c r="F45" s="263" t="e">
        <f t="shared" ref="F45" si="103">F46*1000/F44</f>
        <v>#DIV/0!</v>
      </c>
      <c r="G45" s="262">
        <f>E45</f>
        <v>1835.12</v>
      </c>
      <c r="H45" s="318">
        <f>ROUND(G45*$I$34,2)</f>
        <v>1912.2</v>
      </c>
      <c r="I45" s="263" t="e">
        <f t="shared" si="86"/>
        <v>#DIV/0!</v>
      </c>
      <c r="J45" s="262">
        <f t="shared" ref="J45" si="104">H45</f>
        <v>1912.2</v>
      </c>
      <c r="K45" s="318">
        <f>ROUND(J45*$L$34,2)</f>
        <v>1988.69</v>
      </c>
      <c r="L45" s="263" t="e">
        <f t="shared" si="88"/>
        <v>#DIV/0!</v>
      </c>
      <c r="M45" s="262">
        <f t="shared" ref="M45" si="105">K45</f>
        <v>1988.69</v>
      </c>
      <c r="N45" s="318">
        <f>ROUND(M45*$O$34,2)</f>
        <v>2068.2399999999998</v>
      </c>
      <c r="O45" s="263" t="e">
        <f t="shared" ref="O45" si="106">O46*1000/O44</f>
        <v>#DIV/0!</v>
      </c>
      <c r="P45" s="262">
        <f t="shared" ref="P45" si="107">N45</f>
        <v>2068.2399999999998</v>
      </c>
      <c r="Q45" s="318">
        <f>ROUND(P45*$R$34,2)</f>
        <v>2148.9</v>
      </c>
      <c r="R45" s="263" t="e">
        <f t="shared" ref="R45" si="108">R46*1000/R44</f>
        <v>#DIV/0!</v>
      </c>
      <c r="U45" s="3"/>
      <c r="V45" s="368"/>
      <c r="W45" s="3"/>
      <c r="X45" s="3"/>
    </row>
    <row r="46" spans="1:24" ht="26.25" hidden="1" customHeight="1" outlineLevel="1" thickBot="1">
      <c r="B46" s="264" t="s">
        <v>65</v>
      </c>
      <c r="C46" s="265" t="s">
        <v>21</v>
      </c>
      <c r="D46" s="320" t="e">
        <f t="shared" ref="D46:E46" si="109">ROUND(D45*D44/1000,2)</f>
        <v>#DIV/0!</v>
      </c>
      <c r="E46" s="321" t="e">
        <f t="shared" si="109"/>
        <v>#DIV/0!</v>
      </c>
      <c r="F46" s="322" t="e">
        <f t="shared" ref="F46" si="110">D46+E46</f>
        <v>#DIV/0!</v>
      </c>
      <c r="G46" s="320" t="e">
        <f t="shared" ref="G46:H46" si="111">ROUND(G45*G44/1000,2)</f>
        <v>#DIV/0!</v>
      </c>
      <c r="H46" s="321" t="e">
        <f t="shared" si="111"/>
        <v>#DIV/0!</v>
      </c>
      <c r="I46" s="322" t="e">
        <f t="shared" ref="I46" si="112">G46+H46</f>
        <v>#DIV/0!</v>
      </c>
      <c r="J46" s="320" t="e">
        <f t="shared" ref="J46:K46" si="113">ROUND(J45*J44/1000,2)</f>
        <v>#DIV/0!</v>
      </c>
      <c r="K46" s="321" t="e">
        <f t="shared" si="113"/>
        <v>#DIV/0!</v>
      </c>
      <c r="L46" s="322" t="e">
        <f t="shared" ref="L46" si="114">J46+K46</f>
        <v>#DIV/0!</v>
      </c>
      <c r="M46" s="320" t="e">
        <f t="shared" ref="M46:N46" si="115">ROUND(M45*M44/1000,2)</f>
        <v>#DIV/0!</v>
      </c>
      <c r="N46" s="321" t="e">
        <f t="shared" si="115"/>
        <v>#DIV/0!</v>
      </c>
      <c r="O46" s="322" t="e">
        <f t="shared" ref="O46" si="116">M46+N46</f>
        <v>#DIV/0!</v>
      </c>
      <c r="P46" s="320" t="e">
        <f t="shared" ref="P46:Q46" si="117">ROUND(P45*P44/1000,2)</f>
        <v>#DIV/0!</v>
      </c>
      <c r="Q46" s="321" t="e">
        <f t="shared" si="117"/>
        <v>#DIV/0!</v>
      </c>
      <c r="R46" s="322" t="e">
        <f t="shared" ref="R46" si="118">P46+Q46</f>
        <v>#DIV/0!</v>
      </c>
      <c r="U46" s="3"/>
      <c r="V46" s="368"/>
      <c r="W46" s="3"/>
      <c r="X46" s="3"/>
    </row>
    <row r="47" spans="1:24" ht="26.25" hidden="1" customHeight="1" outlineLevel="1">
      <c r="B47" s="5" t="s">
        <v>64</v>
      </c>
      <c r="C47" s="6" t="s">
        <v>13</v>
      </c>
      <c r="D47" s="722" t="e">
        <f>индексы!E165</f>
        <v>#DIV/0!</v>
      </c>
      <c r="E47" s="751" t="e">
        <f>индексы!F165</f>
        <v>#DIV/0!</v>
      </c>
      <c r="F47" s="741">
        <f>индексы!G165</f>
        <v>0</v>
      </c>
      <c r="G47" s="722" t="e">
        <f>индексы!H165</f>
        <v>#DIV/0!</v>
      </c>
      <c r="H47" s="751" t="e">
        <f>индексы!I165</f>
        <v>#DIV/0!</v>
      </c>
      <c r="I47" s="741">
        <f>индексы!J165</f>
        <v>0</v>
      </c>
      <c r="J47" s="722" t="e">
        <f>индексы!K165</f>
        <v>#DIV/0!</v>
      </c>
      <c r="K47" s="751" t="e">
        <f>индексы!L165</f>
        <v>#DIV/0!</v>
      </c>
      <c r="L47" s="741">
        <f>индексы!M165</f>
        <v>0</v>
      </c>
      <c r="M47" s="722" t="e">
        <f>индексы!N165</f>
        <v>#DIV/0!</v>
      </c>
      <c r="N47" s="751" t="e">
        <f>индексы!O165</f>
        <v>#DIV/0!</v>
      </c>
      <c r="O47" s="741">
        <f>индексы!P165</f>
        <v>0</v>
      </c>
      <c r="P47" s="722" t="e">
        <f>индексы!Q165</f>
        <v>#DIV/0!</v>
      </c>
      <c r="Q47" s="751" t="e">
        <f>индексы!R165</f>
        <v>#DIV/0!</v>
      </c>
      <c r="R47" s="741">
        <f>индексы!S165</f>
        <v>0</v>
      </c>
      <c r="U47" s="3"/>
      <c r="V47" s="368"/>
      <c r="W47" s="3"/>
      <c r="X47" s="3"/>
    </row>
    <row r="48" spans="1:24" ht="26.25" hidden="1" customHeight="1" outlineLevel="1" thickBot="1">
      <c r="B48" s="260" t="str">
        <f>индексы!H60</f>
        <v>Иные</v>
      </c>
      <c r="C48" s="261" t="s">
        <v>12</v>
      </c>
      <c r="D48" s="262">
        <f>индексы!H66</f>
        <v>0</v>
      </c>
      <c r="E48" s="318">
        <f>ROUND(D48*$F$34,2)</f>
        <v>0</v>
      </c>
      <c r="F48" s="263" t="e">
        <f t="shared" ref="F48" si="119">F49*1000/F47</f>
        <v>#DIV/0!</v>
      </c>
      <c r="G48" s="262">
        <f>E48</f>
        <v>0</v>
      </c>
      <c r="H48" s="318">
        <f>ROUND(G48*$I$34,2)</f>
        <v>0</v>
      </c>
      <c r="I48" s="263" t="e">
        <f t="shared" si="86"/>
        <v>#DIV/0!</v>
      </c>
      <c r="J48" s="262">
        <f>H48</f>
        <v>0</v>
      </c>
      <c r="K48" s="318">
        <f>ROUND(J48*$L$34,2)</f>
        <v>0</v>
      </c>
      <c r="L48" s="263" t="e">
        <f t="shared" si="88"/>
        <v>#DIV/0!</v>
      </c>
      <c r="M48" s="262">
        <f>K48</f>
        <v>0</v>
      </c>
      <c r="N48" s="318">
        <f>ROUND(M48*$O$34,2)</f>
        <v>0</v>
      </c>
      <c r="O48" s="263" t="e">
        <f t="shared" ref="O48" si="120">O49*1000/O47</f>
        <v>#DIV/0!</v>
      </c>
      <c r="P48" s="262">
        <f>N48</f>
        <v>0</v>
      </c>
      <c r="Q48" s="318">
        <f>ROUND(P48*$R$34,2)</f>
        <v>0</v>
      </c>
      <c r="R48" s="263" t="e">
        <f t="shared" ref="R48" si="121">R49*1000/R47</f>
        <v>#DIV/0!</v>
      </c>
      <c r="U48" s="3"/>
      <c r="V48" s="368"/>
      <c r="W48" s="3"/>
      <c r="X48" s="3"/>
    </row>
    <row r="49" spans="2:24" ht="26.25" hidden="1" customHeight="1" outlineLevel="1" thickBot="1">
      <c r="B49" s="264" t="s">
        <v>65</v>
      </c>
      <c r="C49" s="265" t="s">
        <v>21</v>
      </c>
      <c r="D49" s="320" t="e">
        <f t="shared" ref="D49:E49" si="122">ROUND(D48*D47/1000,2)</f>
        <v>#DIV/0!</v>
      </c>
      <c r="E49" s="321" t="e">
        <f t="shared" si="122"/>
        <v>#DIV/0!</v>
      </c>
      <c r="F49" s="322" t="e">
        <f t="shared" ref="F49" si="123">D49+E49</f>
        <v>#DIV/0!</v>
      </c>
      <c r="G49" s="320" t="e">
        <f t="shared" ref="G49:H49" si="124">ROUND(G48*G47/1000,2)</f>
        <v>#DIV/0!</v>
      </c>
      <c r="H49" s="321" t="e">
        <f t="shared" si="124"/>
        <v>#DIV/0!</v>
      </c>
      <c r="I49" s="322" t="e">
        <f t="shared" ref="I49" si="125">G49+H49</f>
        <v>#DIV/0!</v>
      </c>
      <c r="J49" s="320" t="e">
        <f t="shared" ref="J49:K49" si="126">ROUND(J48*J47/1000,2)</f>
        <v>#DIV/0!</v>
      </c>
      <c r="K49" s="321" t="e">
        <f t="shared" si="126"/>
        <v>#DIV/0!</v>
      </c>
      <c r="L49" s="322" t="e">
        <f t="shared" ref="L49" si="127">J49+K49</f>
        <v>#DIV/0!</v>
      </c>
      <c r="M49" s="320" t="e">
        <f t="shared" ref="M49:N49" si="128">ROUND(M48*M47/1000,2)</f>
        <v>#DIV/0!</v>
      </c>
      <c r="N49" s="321" t="e">
        <f t="shared" si="128"/>
        <v>#DIV/0!</v>
      </c>
      <c r="O49" s="322" t="e">
        <f t="shared" ref="O49" si="129">M49+N49</f>
        <v>#DIV/0!</v>
      </c>
      <c r="P49" s="320" t="e">
        <f t="shared" ref="P49:Q49" si="130">ROUND(P48*P47/1000,2)</f>
        <v>#DIV/0!</v>
      </c>
      <c r="Q49" s="321" t="e">
        <f t="shared" si="130"/>
        <v>#DIV/0!</v>
      </c>
      <c r="R49" s="322" t="e">
        <f t="shared" ref="R49" si="131">P49+Q49</f>
        <v>#DIV/0!</v>
      </c>
      <c r="U49" s="3"/>
      <c r="V49" s="368"/>
      <c r="W49" s="3"/>
      <c r="X49" s="3"/>
    </row>
    <row r="50" spans="2:24" ht="26.25" hidden="1" customHeight="1" outlineLevel="1">
      <c r="B50" s="5" t="s">
        <v>64</v>
      </c>
      <c r="C50" s="6" t="s">
        <v>13</v>
      </c>
      <c r="D50" s="722" t="e">
        <f>индексы!E166</f>
        <v>#DIV/0!</v>
      </c>
      <c r="E50" s="751" t="e">
        <f>индексы!F166</f>
        <v>#DIV/0!</v>
      </c>
      <c r="F50" s="756">
        <f>индексы!G166</f>
        <v>0</v>
      </c>
      <c r="G50" s="722" t="e">
        <f>индексы!H166</f>
        <v>#DIV/0!</v>
      </c>
      <c r="H50" s="751" t="e">
        <f>индексы!I166</f>
        <v>#DIV/0!</v>
      </c>
      <c r="I50" s="756">
        <f>индексы!J166</f>
        <v>0</v>
      </c>
      <c r="J50" s="722" t="e">
        <f>индексы!K166</f>
        <v>#DIV/0!</v>
      </c>
      <c r="K50" s="751" t="e">
        <f>индексы!L166</f>
        <v>#DIV/0!</v>
      </c>
      <c r="L50" s="756">
        <f>индексы!M166</f>
        <v>0</v>
      </c>
      <c r="M50" s="722" t="e">
        <f>индексы!N166</f>
        <v>#DIV/0!</v>
      </c>
      <c r="N50" s="751" t="e">
        <f>индексы!O166</f>
        <v>#DIV/0!</v>
      </c>
      <c r="O50" s="756">
        <f>индексы!P166</f>
        <v>0</v>
      </c>
      <c r="P50" s="722" t="e">
        <f>индексы!Q166</f>
        <v>#DIV/0!</v>
      </c>
      <c r="Q50" s="751" t="e">
        <f>индексы!R166</f>
        <v>#DIV/0!</v>
      </c>
      <c r="R50" s="756">
        <f>индексы!S166</f>
        <v>0</v>
      </c>
      <c r="U50" s="3"/>
      <c r="V50" s="368"/>
      <c r="W50" s="3"/>
      <c r="X50" s="3"/>
    </row>
    <row r="51" spans="2:24" ht="26.25" hidden="1" customHeight="1" outlineLevel="1" thickBot="1">
      <c r="B51" s="260" t="str">
        <f>индексы!I60</f>
        <v>Иные</v>
      </c>
      <c r="C51" s="261" t="s">
        <v>12</v>
      </c>
      <c r="D51" s="262">
        <f>индексы!I66</f>
        <v>0</v>
      </c>
      <c r="E51" s="318">
        <f>ROUND(D51*$F$34,2)</f>
        <v>0</v>
      </c>
      <c r="F51" s="263" t="e">
        <f t="shared" ref="F51:F60" si="132">F52*1000/F50</f>
        <v>#DIV/0!</v>
      </c>
      <c r="G51" s="262">
        <f t="shared" ref="G51" si="133">E51</f>
        <v>0</v>
      </c>
      <c r="H51" s="318">
        <f>ROUND(G51*$I$34,2)</f>
        <v>0</v>
      </c>
      <c r="I51" s="263" t="e">
        <f t="shared" si="86"/>
        <v>#DIV/0!</v>
      </c>
      <c r="J51" s="262">
        <f t="shared" ref="J51" si="134">H51</f>
        <v>0</v>
      </c>
      <c r="K51" s="318">
        <f>ROUND(J51*$L$34,2)</f>
        <v>0</v>
      </c>
      <c r="L51" s="263" t="e">
        <f t="shared" si="88"/>
        <v>#DIV/0!</v>
      </c>
      <c r="M51" s="262">
        <f t="shared" ref="M51" si="135">K51</f>
        <v>0</v>
      </c>
      <c r="N51" s="318">
        <f>ROUND(M51*$O$34,2)</f>
        <v>0</v>
      </c>
      <c r="O51" s="263" t="e">
        <f t="shared" ref="O51:O60" si="136">O52*1000/O50</f>
        <v>#DIV/0!</v>
      </c>
      <c r="P51" s="262">
        <f t="shared" ref="P51" si="137">N51</f>
        <v>0</v>
      </c>
      <c r="Q51" s="318">
        <f>ROUND(P51*$R$34,2)</f>
        <v>0</v>
      </c>
      <c r="R51" s="263" t="e">
        <f t="shared" ref="R51:R60" si="138">R52*1000/R50</f>
        <v>#DIV/0!</v>
      </c>
      <c r="U51" s="3"/>
      <c r="V51" s="368"/>
      <c r="W51" s="3"/>
      <c r="X51" s="3"/>
    </row>
    <row r="52" spans="2:24" ht="26.25" hidden="1" customHeight="1" outlineLevel="1" thickBot="1">
      <c r="B52" s="264" t="s">
        <v>65</v>
      </c>
      <c r="C52" s="265" t="s">
        <v>21</v>
      </c>
      <c r="D52" s="320" t="e">
        <f t="shared" ref="D52:E52" si="139">ROUND(D51*D50/1000,2)</f>
        <v>#DIV/0!</v>
      </c>
      <c r="E52" s="321" t="e">
        <f t="shared" si="139"/>
        <v>#DIV/0!</v>
      </c>
      <c r="F52" s="322" t="e">
        <f t="shared" ref="F52" si="140">D52+E52</f>
        <v>#DIV/0!</v>
      </c>
      <c r="G52" s="320" t="e">
        <f t="shared" ref="G52:H52" si="141">ROUND(G51*G50/1000,2)</f>
        <v>#DIV/0!</v>
      </c>
      <c r="H52" s="321" t="e">
        <f t="shared" si="141"/>
        <v>#DIV/0!</v>
      </c>
      <c r="I52" s="322" t="e">
        <f t="shared" ref="I52" si="142">G52+H52</f>
        <v>#DIV/0!</v>
      </c>
      <c r="J52" s="320" t="e">
        <f t="shared" ref="J52:K52" si="143">ROUND(J51*J50/1000,2)</f>
        <v>#DIV/0!</v>
      </c>
      <c r="K52" s="321" t="e">
        <f t="shared" si="143"/>
        <v>#DIV/0!</v>
      </c>
      <c r="L52" s="322" t="e">
        <f t="shared" ref="L52" si="144">J52+K52</f>
        <v>#DIV/0!</v>
      </c>
      <c r="M52" s="320" t="e">
        <f t="shared" ref="M52:N52" si="145">ROUND(M51*M50/1000,2)</f>
        <v>#DIV/0!</v>
      </c>
      <c r="N52" s="321" t="e">
        <f t="shared" si="145"/>
        <v>#DIV/0!</v>
      </c>
      <c r="O52" s="322" t="e">
        <f t="shared" ref="O52" si="146">M52+N52</f>
        <v>#DIV/0!</v>
      </c>
      <c r="P52" s="320" t="e">
        <f t="shared" ref="P52:Q52" si="147">ROUND(P51*P50/1000,2)</f>
        <v>#DIV/0!</v>
      </c>
      <c r="Q52" s="321" t="e">
        <f t="shared" si="147"/>
        <v>#DIV/0!</v>
      </c>
      <c r="R52" s="322" t="e">
        <f t="shared" ref="R52" si="148">P52+Q52</f>
        <v>#DIV/0!</v>
      </c>
      <c r="U52" s="3"/>
      <c r="V52" s="368"/>
      <c r="W52" s="3"/>
      <c r="X52" s="3"/>
    </row>
    <row r="53" spans="2:24" ht="26.25" hidden="1" customHeight="1" outlineLevel="1">
      <c r="B53" s="5" t="s">
        <v>64</v>
      </c>
      <c r="C53" s="6" t="s">
        <v>13</v>
      </c>
      <c r="D53" s="722" t="e">
        <f>индексы!E158</f>
        <v>#DIV/0!</v>
      </c>
      <c r="E53" s="751" t="e">
        <f>индексы!F158</f>
        <v>#DIV/0!</v>
      </c>
      <c r="F53" s="756">
        <f>индексы!G158</f>
        <v>0</v>
      </c>
      <c r="G53" s="722" t="e">
        <f>индексы!H158</f>
        <v>#DIV/0!</v>
      </c>
      <c r="H53" s="751" t="e">
        <f>индексы!I158</f>
        <v>#DIV/0!</v>
      </c>
      <c r="I53" s="756">
        <f>индексы!J158</f>
        <v>0</v>
      </c>
      <c r="J53" s="722" t="e">
        <f>индексы!K158</f>
        <v>#DIV/0!</v>
      </c>
      <c r="K53" s="751" t="e">
        <f>индексы!L158</f>
        <v>#DIV/0!</v>
      </c>
      <c r="L53" s="756">
        <f>индексы!M158</f>
        <v>0</v>
      </c>
      <c r="M53" s="722" t="e">
        <f>индексы!N158</f>
        <v>#DIV/0!</v>
      </c>
      <c r="N53" s="751" t="e">
        <f>индексы!O158</f>
        <v>#DIV/0!</v>
      </c>
      <c r="O53" s="756">
        <f>индексы!P158</f>
        <v>0</v>
      </c>
      <c r="P53" s="722" t="e">
        <f>индексы!Q158</f>
        <v>#DIV/0!</v>
      </c>
      <c r="Q53" s="751" t="e">
        <f>индексы!R158</f>
        <v>#DIV/0!</v>
      </c>
      <c r="R53" s="756">
        <f>индексы!S158</f>
        <v>0</v>
      </c>
      <c r="U53" s="3"/>
      <c r="V53" s="368"/>
      <c r="W53" s="3"/>
      <c r="X53" s="3"/>
    </row>
    <row r="54" spans="2:24" ht="26.25" hidden="1" customHeight="1" outlineLevel="1" thickBot="1">
      <c r="B54" s="260" t="str">
        <f>индексы!J60</f>
        <v>Иные</v>
      </c>
      <c r="C54" s="261" t="s">
        <v>12</v>
      </c>
      <c r="D54" s="262">
        <f>индексы!J66</f>
        <v>0</v>
      </c>
      <c r="E54" s="318">
        <f>ROUND(D54*$F$34,2)</f>
        <v>0</v>
      </c>
      <c r="F54" s="263" t="e">
        <f t="shared" si="132"/>
        <v>#DIV/0!</v>
      </c>
      <c r="G54" s="262">
        <f>E54</f>
        <v>0</v>
      </c>
      <c r="H54" s="318">
        <f>ROUND(G54*$I$34,2)</f>
        <v>0</v>
      </c>
      <c r="I54" s="263" t="e">
        <f t="shared" si="86"/>
        <v>#DIV/0!</v>
      </c>
      <c r="J54" s="262">
        <f t="shared" ref="J54" si="149">H54</f>
        <v>0</v>
      </c>
      <c r="K54" s="318">
        <f>ROUND(J54*$L$34,2)</f>
        <v>0</v>
      </c>
      <c r="L54" s="263" t="e">
        <f t="shared" si="88"/>
        <v>#DIV/0!</v>
      </c>
      <c r="M54" s="262">
        <f t="shared" ref="M54" si="150">K54</f>
        <v>0</v>
      </c>
      <c r="N54" s="318">
        <f>ROUND(M54*$O$34,2)</f>
        <v>0</v>
      </c>
      <c r="O54" s="263" t="e">
        <f t="shared" si="136"/>
        <v>#DIV/0!</v>
      </c>
      <c r="P54" s="262">
        <f t="shared" ref="P54" si="151">N54</f>
        <v>0</v>
      </c>
      <c r="Q54" s="318">
        <f>ROUND(P54*$R$34,2)</f>
        <v>0</v>
      </c>
      <c r="R54" s="263" t="e">
        <f t="shared" si="138"/>
        <v>#DIV/0!</v>
      </c>
      <c r="U54" s="3"/>
      <c r="V54" s="368"/>
      <c r="W54" s="3"/>
      <c r="X54" s="3"/>
    </row>
    <row r="55" spans="2:24" ht="26.25" hidden="1" customHeight="1" outlineLevel="1" thickBot="1">
      <c r="B55" s="264" t="s">
        <v>65</v>
      </c>
      <c r="C55" s="265" t="s">
        <v>21</v>
      </c>
      <c r="D55" s="320" t="e">
        <f t="shared" ref="D55:E55" si="152">ROUND(D54*D53/1000,2)</f>
        <v>#DIV/0!</v>
      </c>
      <c r="E55" s="321" t="e">
        <f t="shared" si="152"/>
        <v>#DIV/0!</v>
      </c>
      <c r="F55" s="322" t="e">
        <f t="shared" ref="F55" si="153">D55+E55</f>
        <v>#DIV/0!</v>
      </c>
      <c r="G55" s="320" t="e">
        <f t="shared" ref="G55:H55" si="154">ROUND(G54*G53/1000,2)</f>
        <v>#DIV/0!</v>
      </c>
      <c r="H55" s="321" t="e">
        <f t="shared" si="154"/>
        <v>#DIV/0!</v>
      </c>
      <c r="I55" s="322" t="e">
        <f t="shared" ref="I55" si="155">G55+H55</f>
        <v>#DIV/0!</v>
      </c>
      <c r="J55" s="320" t="e">
        <f t="shared" ref="J55:K55" si="156">ROUND(J54*J53/1000,2)</f>
        <v>#DIV/0!</v>
      </c>
      <c r="K55" s="321" t="e">
        <f t="shared" si="156"/>
        <v>#DIV/0!</v>
      </c>
      <c r="L55" s="322" t="e">
        <f t="shared" ref="L55" si="157">J55+K55</f>
        <v>#DIV/0!</v>
      </c>
      <c r="M55" s="320" t="e">
        <f t="shared" ref="M55:N55" si="158">ROUND(M54*M53/1000,2)</f>
        <v>#DIV/0!</v>
      </c>
      <c r="N55" s="321" t="e">
        <f t="shared" si="158"/>
        <v>#DIV/0!</v>
      </c>
      <c r="O55" s="322" t="e">
        <f t="shared" ref="O55" si="159">M55+N55</f>
        <v>#DIV/0!</v>
      </c>
      <c r="P55" s="320" t="e">
        <f t="shared" ref="P55:Q55" si="160">ROUND(P54*P53/1000,2)</f>
        <v>#DIV/0!</v>
      </c>
      <c r="Q55" s="321" t="e">
        <f t="shared" si="160"/>
        <v>#DIV/0!</v>
      </c>
      <c r="R55" s="322" t="e">
        <f t="shared" ref="R55" si="161">P55+Q55</f>
        <v>#DIV/0!</v>
      </c>
      <c r="U55" s="3"/>
      <c r="V55" s="368"/>
      <c r="W55" s="3"/>
      <c r="X55" s="3"/>
    </row>
    <row r="56" spans="2:24" ht="26.25" hidden="1" customHeight="1" outlineLevel="1">
      <c r="B56" s="5" t="s">
        <v>64</v>
      </c>
      <c r="C56" s="6" t="s">
        <v>13</v>
      </c>
      <c r="D56" s="722" t="e">
        <f>индексы!E168</f>
        <v>#DIV/0!</v>
      </c>
      <c r="E56" s="751" t="e">
        <f>индексы!F168</f>
        <v>#DIV/0!</v>
      </c>
      <c r="F56" s="756">
        <f>индексы!G168</f>
        <v>0</v>
      </c>
      <c r="G56" s="722" t="e">
        <f>индексы!H168</f>
        <v>#DIV/0!</v>
      </c>
      <c r="H56" s="751" t="e">
        <f>индексы!I168</f>
        <v>#DIV/0!</v>
      </c>
      <c r="I56" s="756">
        <f>индексы!J168</f>
        <v>0</v>
      </c>
      <c r="J56" s="722" t="e">
        <f>индексы!K168</f>
        <v>#DIV/0!</v>
      </c>
      <c r="K56" s="751" t="e">
        <f>индексы!L168</f>
        <v>#DIV/0!</v>
      </c>
      <c r="L56" s="756">
        <f>индексы!M168</f>
        <v>0</v>
      </c>
      <c r="M56" s="722" t="e">
        <f>индексы!N168</f>
        <v>#DIV/0!</v>
      </c>
      <c r="N56" s="751" t="e">
        <f>индексы!O168</f>
        <v>#DIV/0!</v>
      </c>
      <c r="O56" s="756">
        <f>индексы!P168</f>
        <v>0</v>
      </c>
      <c r="P56" s="722" t="e">
        <f>индексы!Q168</f>
        <v>#DIV/0!</v>
      </c>
      <c r="Q56" s="751" t="e">
        <f>индексы!R168</f>
        <v>#DIV/0!</v>
      </c>
      <c r="R56" s="756">
        <f>индексы!S168</f>
        <v>0</v>
      </c>
      <c r="U56" s="3"/>
      <c r="V56" s="368"/>
      <c r="W56" s="3"/>
      <c r="X56" s="3"/>
    </row>
    <row r="57" spans="2:24" ht="26.25" hidden="1" customHeight="1" outlineLevel="1" thickBot="1">
      <c r="B57" s="260" t="str">
        <f>индексы!K60</f>
        <v>Иные</v>
      </c>
      <c r="C57" s="261" t="s">
        <v>12</v>
      </c>
      <c r="D57" s="262">
        <f>индексы!K66</f>
        <v>0</v>
      </c>
      <c r="E57" s="318">
        <f>ROUND(D57*$F$34,2)</f>
        <v>0</v>
      </c>
      <c r="F57" s="263" t="e">
        <f t="shared" si="132"/>
        <v>#DIV/0!</v>
      </c>
      <c r="G57" s="262">
        <f t="shared" ref="G57" si="162">E57</f>
        <v>0</v>
      </c>
      <c r="H57" s="318">
        <f>ROUND(G57*$I$34,2)</f>
        <v>0</v>
      </c>
      <c r="I57" s="263" t="e">
        <f t="shared" si="86"/>
        <v>#DIV/0!</v>
      </c>
      <c r="J57" s="262">
        <f t="shared" ref="J57" si="163">H57</f>
        <v>0</v>
      </c>
      <c r="K57" s="318">
        <f t="shared" ref="K57" si="164">ROUND(J57*$L$34,2)</f>
        <v>0</v>
      </c>
      <c r="L57" s="263" t="e">
        <f t="shared" si="88"/>
        <v>#DIV/0!</v>
      </c>
      <c r="M57" s="262">
        <f t="shared" ref="M57" si="165">K57</f>
        <v>0</v>
      </c>
      <c r="N57" s="318">
        <f t="shared" ref="N57" si="166">ROUND(M57*$O$34,2)</f>
        <v>0</v>
      </c>
      <c r="O57" s="263" t="e">
        <f t="shared" si="136"/>
        <v>#DIV/0!</v>
      </c>
      <c r="P57" s="262">
        <f t="shared" ref="P57" si="167">N57</f>
        <v>0</v>
      </c>
      <c r="Q57" s="318">
        <f t="shared" ref="Q57" si="168">ROUND(P57*$R$34,2)</f>
        <v>0</v>
      </c>
      <c r="R57" s="263" t="e">
        <f t="shared" si="138"/>
        <v>#DIV/0!</v>
      </c>
      <c r="U57" s="3"/>
      <c r="V57" s="368"/>
      <c r="W57" s="3"/>
      <c r="X57" s="3"/>
    </row>
    <row r="58" spans="2:24" ht="26.25" hidden="1" customHeight="1" outlineLevel="1" thickBot="1">
      <c r="B58" s="264" t="s">
        <v>65</v>
      </c>
      <c r="C58" s="265" t="s">
        <v>21</v>
      </c>
      <c r="D58" s="320" t="e">
        <f t="shared" ref="D58:E58" si="169">ROUND(D57*D56/1000,2)</f>
        <v>#DIV/0!</v>
      </c>
      <c r="E58" s="321" t="e">
        <f t="shared" si="169"/>
        <v>#DIV/0!</v>
      </c>
      <c r="F58" s="322" t="e">
        <f t="shared" ref="F58" si="170">D58+E58</f>
        <v>#DIV/0!</v>
      </c>
      <c r="G58" s="320" t="e">
        <f t="shared" ref="G58:H58" si="171">ROUND(G57*G56/1000,2)</f>
        <v>#DIV/0!</v>
      </c>
      <c r="H58" s="321" t="e">
        <f t="shared" si="171"/>
        <v>#DIV/0!</v>
      </c>
      <c r="I58" s="322" t="e">
        <f t="shared" ref="I58" si="172">G58+H58</f>
        <v>#DIV/0!</v>
      </c>
      <c r="J58" s="320" t="e">
        <f t="shared" ref="J58:K58" si="173">ROUND(J57*J56/1000,2)</f>
        <v>#DIV/0!</v>
      </c>
      <c r="K58" s="321" t="e">
        <f t="shared" si="173"/>
        <v>#DIV/0!</v>
      </c>
      <c r="L58" s="322" t="e">
        <f t="shared" ref="L58" si="174">J58+K58</f>
        <v>#DIV/0!</v>
      </c>
      <c r="M58" s="320" t="e">
        <f t="shared" ref="M58:N58" si="175">ROUND(M57*M56/1000,2)</f>
        <v>#DIV/0!</v>
      </c>
      <c r="N58" s="321" t="e">
        <f t="shared" si="175"/>
        <v>#DIV/0!</v>
      </c>
      <c r="O58" s="322" t="e">
        <f t="shared" ref="O58" si="176">M58+N58</f>
        <v>#DIV/0!</v>
      </c>
      <c r="P58" s="320" t="e">
        <f t="shared" ref="P58:Q58" si="177">ROUND(P57*P56/1000,2)</f>
        <v>#DIV/0!</v>
      </c>
      <c r="Q58" s="321" t="e">
        <f t="shared" si="177"/>
        <v>#DIV/0!</v>
      </c>
      <c r="R58" s="322" t="e">
        <f t="shared" ref="R58" si="178">P58+Q58</f>
        <v>#DIV/0!</v>
      </c>
      <c r="U58" s="3"/>
      <c r="V58" s="368"/>
      <c r="W58" s="3"/>
      <c r="X58" s="3"/>
    </row>
    <row r="59" spans="2:24" ht="26.25" hidden="1" customHeight="1" outlineLevel="1">
      <c r="B59" s="5" t="s">
        <v>64</v>
      </c>
      <c r="C59" s="6" t="s">
        <v>13</v>
      </c>
      <c r="D59" s="722" t="e">
        <f>индексы!E169</f>
        <v>#DIV/0!</v>
      </c>
      <c r="E59" s="751" t="e">
        <f>индексы!F169</f>
        <v>#DIV/0!</v>
      </c>
      <c r="F59" s="756">
        <f>индексы!G169</f>
        <v>0</v>
      </c>
      <c r="G59" s="722" t="e">
        <f>индексы!H169</f>
        <v>#DIV/0!</v>
      </c>
      <c r="H59" s="751" t="e">
        <f>индексы!I169</f>
        <v>#DIV/0!</v>
      </c>
      <c r="I59" s="756">
        <f>индексы!J169</f>
        <v>0</v>
      </c>
      <c r="J59" s="722" t="e">
        <f>индексы!K169</f>
        <v>#DIV/0!</v>
      </c>
      <c r="K59" s="751" t="e">
        <f>индексы!L169</f>
        <v>#DIV/0!</v>
      </c>
      <c r="L59" s="756">
        <f>индексы!M169</f>
        <v>0</v>
      </c>
      <c r="M59" s="722" t="e">
        <f>индексы!N169</f>
        <v>#DIV/0!</v>
      </c>
      <c r="N59" s="751" t="e">
        <f>индексы!O169</f>
        <v>#DIV/0!</v>
      </c>
      <c r="O59" s="756">
        <f>индексы!P169</f>
        <v>0</v>
      </c>
      <c r="P59" s="722" t="e">
        <f>индексы!Q169</f>
        <v>#DIV/0!</v>
      </c>
      <c r="Q59" s="751" t="e">
        <f>индексы!R169</f>
        <v>#DIV/0!</v>
      </c>
      <c r="R59" s="756">
        <f>индексы!S169</f>
        <v>0</v>
      </c>
      <c r="U59" s="3"/>
      <c r="V59" s="368"/>
      <c r="W59" s="3"/>
      <c r="X59" s="3"/>
    </row>
    <row r="60" spans="2:24" ht="26.25" hidden="1" customHeight="1" outlineLevel="1" thickBot="1">
      <c r="B60" s="260" t="str">
        <f>индексы!L60</f>
        <v>Иные</v>
      </c>
      <c r="C60" s="261" t="s">
        <v>12</v>
      </c>
      <c r="D60" s="262">
        <f>индексы!L66</f>
        <v>0</v>
      </c>
      <c r="E60" s="318">
        <f>ROUND(D60*$F$34,2)</f>
        <v>0</v>
      </c>
      <c r="F60" s="263" t="e">
        <f t="shared" si="132"/>
        <v>#DIV/0!</v>
      </c>
      <c r="G60" s="262">
        <f t="shared" ref="G60" si="179">E60</f>
        <v>0</v>
      </c>
      <c r="H60" s="318">
        <f t="shared" ref="H60" si="180">ROUND(G60*$I$34,2)</f>
        <v>0</v>
      </c>
      <c r="I60" s="263" t="e">
        <f t="shared" si="86"/>
        <v>#DIV/0!</v>
      </c>
      <c r="J60" s="262">
        <f t="shared" ref="J60" si="181">H60</f>
        <v>0</v>
      </c>
      <c r="K60" s="318">
        <f t="shared" ref="K60" si="182">ROUND(J60*$L$34,2)</f>
        <v>0</v>
      </c>
      <c r="L60" s="263" t="e">
        <f t="shared" si="88"/>
        <v>#DIV/0!</v>
      </c>
      <c r="M60" s="262">
        <f t="shared" ref="M60" si="183">K60</f>
        <v>0</v>
      </c>
      <c r="N60" s="318">
        <f t="shared" ref="N60" si="184">ROUND(M60*$O$34,2)</f>
        <v>0</v>
      </c>
      <c r="O60" s="263" t="e">
        <f t="shared" si="136"/>
        <v>#DIV/0!</v>
      </c>
      <c r="P60" s="262">
        <f t="shared" ref="P60" si="185">N60</f>
        <v>0</v>
      </c>
      <c r="Q60" s="318">
        <f t="shared" ref="Q60" si="186">ROUND(P60*$R$34,2)</f>
        <v>0</v>
      </c>
      <c r="R60" s="263" t="e">
        <f t="shared" si="138"/>
        <v>#DIV/0!</v>
      </c>
      <c r="U60" s="3"/>
      <c r="V60" s="368"/>
      <c r="W60" s="3"/>
      <c r="X60" s="3"/>
    </row>
    <row r="61" spans="2:24" ht="26.25" hidden="1" customHeight="1" outlineLevel="1" thickBot="1">
      <c r="B61" s="264" t="s">
        <v>65</v>
      </c>
      <c r="C61" s="265" t="s">
        <v>21</v>
      </c>
      <c r="D61" s="320" t="e">
        <f t="shared" ref="D61:E61" si="187">ROUND(D60*D59/1000,2)</f>
        <v>#DIV/0!</v>
      </c>
      <c r="E61" s="321" t="e">
        <f t="shared" si="187"/>
        <v>#DIV/0!</v>
      </c>
      <c r="F61" s="322" t="e">
        <f t="shared" ref="F61" si="188">D61+E61</f>
        <v>#DIV/0!</v>
      </c>
      <c r="G61" s="320" t="e">
        <f t="shared" ref="G61:H61" si="189">ROUND(G60*G59/1000,2)</f>
        <v>#DIV/0!</v>
      </c>
      <c r="H61" s="321" t="e">
        <f t="shared" si="189"/>
        <v>#DIV/0!</v>
      </c>
      <c r="I61" s="322" t="e">
        <f t="shared" ref="I61" si="190">G61+H61</f>
        <v>#DIV/0!</v>
      </c>
      <c r="J61" s="320" t="e">
        <f t="shared" ref="J61:K61" si="191">ROUND(J60*J59/1000,2)</f>
        <v>#DIV/0!</v>
      </c>
      <c r="K61" s="321" t="e">
        <f t="shared" si="191"/>
        <v>#DIV/0!</v>
      </c>
      <c r="L61" s="322" t="e">
        <f t="shared" ref="L61" si="192">J61+K61</f>
        <v>#DIV/0!</v>
      </c>
      <c r="M61" s="320" t="e">
        <f t="shared" ref="M61:N61" si="193">ROUND(M60*M59/1000,2)</f>
        <v>#DIV/0!</v>
      </c>
      <c r="N61" s="321" t="e">
        <f t="shared" si="193"/>
        <v>#DIV/0!</v>
      </c>
      <c r="O61" s="322" t="e">
        <f t="shared" ref="O61" si="194">M61+N61</f>
        <v>#DIV/0!</v>
      </c>
      <c r="P61" s="320" t="e">
        <f t="shared" ref="P61:Q61" si="195">ROUND(P60*P59/1000,2)</f>
        <v>#DIV/0!</v>
      </c>
      <c r="Q61" s="321" t="e">
        <f t="shared" si="195"/>
        <v>#DIV/0!</v>
      </c>
      <c r="R61" s="322" t="e">
        <f t="shared" ref="R61" si="196">P61+Q61</f>
        <v>#DIV/0!</v>
      </c>
      <c r="U61" s="3"/>
      <c r="V61" s="368"/>
      <c r="W61" s="3"/>
      <c r="X61" s="3"/>
    </row>
    <row r="62" spans="2:24" ht="30.75" hidden="1" customHeight="1" outlineLevel="1">
      <c r="B62" s="11" t="s">
        <v>270</v>
      </c>
      <c r="C62" s="24"/>
      <c r="D62" s="738"/>
      <c r="E62" s="739"/>
      <c r="F62" s="740"/>
      <c r="G62" s="738"/>
      <c r="H62" s="739"/>
      <c r="I62" s="740"/>
      <c r="J62" s="738"/>
      <c r="K62" s="739"/>
      <c r="L62" s="740"/>
      <c r="M62" s="738"/>
      <c r="N62" s="739"/>
      <c r="O62" s="740"/>
      <c r="P62" s="738"/>
      <c r="Q62" s="739"/>
      <c r="R62" s="740"/>
      <c r="U62" s="3"/>
      <c r="V62" s="368"/>
      <c r="W62" s="3"/>
      <c r="X62" s="3"/>
    </row>
    <row r="63" spans="2:24" ht="18" hidden="1" customHeight="1" outlineLevel="1">
      <c r="B63" s="5" t="s">
        <v>64</v>
      </c>
      <c r="C63" s="6" t="s">
        <v>13</v>
      </c>
      <c r="D63" s="722" t="e">
        <f>индексы!E162</f>
        <v>#DIV/0!</v>
      </c>
      <c r="E63" s="13" t="e">
        <f>индексы!F162</f>
        <v>#DIV/0!</v>
      </c>
      <c r="F63" s="741">
        <f>индексы!G162</f>
        <v>0</v>
      </c>
      <c r="G63" s="722" t="e">
        <f>индексы!H162</f>
        <v>#DIV/0!</v>
      </c>
      <c r="H63" s="13" t="e">
        <f>индексы!I162</f>
        <v>#DIV/0!</v>
      </c>
      <c r="I63" s="741">
        <f>индексы!J162</f>
        <v>0</v>
      </c>
      <c r="J63" s="722" t="e">
        <f>индексы!K162</f>
        <v>#DIV/0!</v>
      </c>
      <c r="K63" s="13" t="e">
        <f>индексы!L162</f>
        <v>#DIV/0!</v>
      </c>
      <c r="L63" s="741">
        <f>индексы!M162</f>
        <v>0</v>
      </c>
      <c r="M63" s="722" t="e">
        <f>индексы!N162</f>
        <v>#DIV/0!</v>
      </c>
      <c r="N63" s="13" t="e">
        <f>индексы!O162</f>
        <v>#DIV/0!</v>
      </c>
      <c r="O63" s="741">
        <f>индексы!P162</f>
        <v>0</v>
      </c>
      <c r="P63" s="722" t="e">
        <f>индексы!Q162</f>
        <v>#DIV/0!</v>
      </c>
      <c r="Q63" s="13" t="e">
        <f>индексы!R162</f>
        <v>#DIV/0!</v>
      </c>
      <c r="R63" s="741">
        <f>индексы!S162</f>
        <v>0</v>
      </c>
      <c r="U63" s="3"/>
      <c r="V63" s="368"/>
      <c r="W63" s="3"/>
      <c r="X63" s="3"/>
    </row>
    <row r="64" spans="2:24" ht="16.5" hidden="1" customHeight="1" outlineLevel="1" thickBot="1">
      <c r="B64" s="260" t="str">
        <f>индексы!E60</f>
        <v>ГУП "ТЭК СПб"</v>
      </c>
      <c r="C64" s="261" t="s">
        <v>12</v>
      </c>
      <c r="D64" s="262">
        <f>индексы!E67</f>
        <v>2057.8000000000002</v>
      </c>
      <c r="E64" s="318">
        <f>ROUND(D64*$F$34,2)</f>
        <v>2179.21</v>
      </c>
      <c r="F64" s="263" t="e">
        <f>F65*1000/F63</f>
        <v>#DIV/0!</v>
      </c>
      <c r="G64" s="262">
        <f>E64</f>
        <v>2179.21</v>
      </c>
      <c r="H64" s="318">
        <f>ROUND(G64*$I$34,2)</f>
        <v>2270.7399999999998</v>
      </c>
      <c r="I64" s="263" t="e">
        <f t="shared" ref="I64" si="197">I65*1000/I63</f>
        <v>#DIV/0!</v>
      </c>
      <c r="J64" s="262">
        <f>H64</f>
        <v>2270.7399999999998</v>
      </c>
      <c r="K64" s="318">
        <f>ROUND(J64*$L$34,2)</f>
        <v>2361.5700000000002</v>
      </c>
      <c r="L64" s="263" t="e">
        <f t="shared" ref="L64" si="198">L65*1000/L63</f>
        <v>#DIV/0!</v>
      </c>
      <c r="M64" s="262">
        <f>K64</f>
        <v>2361.5700000000002</v>
      </c>
      <c r="N64" s="318">
        <f>ROUND(M64*$O$34,2)</f>
        <v>2456.0300000000002</v>
      </c>
      <c r="O64" s="263" t="e">
        <f t="shared" ref="O64" si="199">O65*1000/O63</f>
        <v>#DIV/0!</v>
      </c>
      <c r="P64" s="262">
        <f>N64</f>
        <v>2456.0300000000002</v>
      </c>
      <c r="Q64" s="318">
        <f>ROUND(P64*$R$34,2)</f>
        <v>2551.8200000000002</v>
      </c>
      <c r="R64" s="263" t="e">
        <f t="shared" ref="R64" si="200">R65*1000/R63</f>
        <v>#DIV/0!</v>
      </c>
      <c r="U64" s="3"/>
      <c r="V64" s="368"/>
      <c r="W64" s="3"/>
      <c r="X64" s="3"/>
    </row>
    <row r="65" spans="2:24" ht="26.25" hidden="1" customHeight="1" outlineLevel="1" thickBot="1">
      <c r="B65" s="264" t="s">
        <v>65</v>
      </c>
      <c r="C65" s="265" t="s">
        <v>21</v>
      </c>
      <c r="D65" s="320" t="e">
        <f>ROUND(D64*D63/1000,2)</f>
        <v>#DIV/0!</v>
      </c>
      <c r="E65" s="321" t="e">
        <f>ROUND(E64*E63/1000,2)</f>
        <v>#DIV/0!</v>
      </c>
      <c r="F65" s="322" t="e">
        <f>D65+E65</f>
        <v>#DIV/0!</v>
      </c>
      <c r="G65" s="320" t="e">
        <f>ROUND(G64*G63/1000,2)</f>
        <v>#DIV/0!</v>
      </c>
      <c r="H65" s="321" t="e">
        <f>ROUND(H64*H63/1000,2)</f>
        <v>#DIV/0!</v>
      </c>
      <c r="I65" s="322" t="e">
        <f>G65+H65</f>
        <v>#DIV/0!</v>
      </c>
      <c r="J65" s="320" t="e">
        <f>ROUND(J64*J63/1000,2)</f>
        <v>#DIV/0!</v>
      </c>
      <c r="K65" s="321" t="e">
        <f>ROUND(K64*K63/1000,2)</f>
        <v>#DIV/0!</v>
      </c>
      <c r="L65" s="322" t="e">
        <f>J65+K65</f>
        <v>#DIV/0!</v>
      </c>
      <c r="M65" s="320" t="e">
        <f t="shared" ref="M65:N65" si="201">ROUND(M64*M63/1000,2)</f>
        <v>#DIV/0!</v>
      </c>
      <c r="N65" s="321" t="e">
        <f t="shared" si="201"/>
        <v>#DIV/0!</v>
      </c>
      <c r="O65" s="322" t="e">
        <f t="shared" ref="O65" si="202">M65+N65</f>
        <v>#DIV/0!</v>
      </c>
      <c r="P65" s="320" t="e">
        <f t="shared" ref="P65:Q65" si="203">ROUND(P64*P63/1000,2)</f>
        <v>#DIV/0!</v>
      </c>
      <c r="Q65" s="321" t="e">
        <f t="shared" si="203"/>
        <v>#DIV/0!</v>
      </c>
      <c r="R65" s="322" t="e">
        <f t="shared" ref="R65" si="204">P65+Q65</f>
        <v>#DIV/0!</v>
      </c>
      <c r="U65" s="3"/>
      <c r="V65" s="368"/>
      <c r="W65" s="3"/>
      <c r="X65" s="3"/>
    </row>
    <row r="66" spans="2:24" ht="26.25" hidden="1" customHeight="1" outlineLevel="1">
      <c r="B66" s="5" t="s">
        <v>64</v>
      </c>
      <c r="C66" s="6" t="s">
        <v>13</v>
      </c>
      <c r="D66" s="722" t="e">
        <f>индексы!E163</f>
        <v>#DIV/0!</v>
      </c>
      <c r="E66" s="751" t="e">
        <f>индексы!F163</f>
        <v>#DIV/0!</v>
      </c>
      <c r="F66" s="741">
        <f>индексы!G163</f>
        <v>0</v>
      </c>
      <c r="G66" s="722" t="e">
        <f>индексы!H163</f>
        <v>#DIV/0!</v>
      </c>
      <c r="H66" s="751" t="e">
        <f>индексы!I163</f>
        <v>#DIV/0!</v>
      </c>
      <c r="I66" s="741">
        <f>индексы!J163</f>
        <v>0</v>
      </c>
      <c r="J66" s="722" t="e">
        <f>индексы!K163</f>
        <v>#DIV/0!</v>
      </c>
      <c r="K66" s="751" t="e">
        <f>индексы!L163</f>
        <v>#DIV/0!</v>
      </c>
      <c r="L66" s="741">
        <f>индексы!M163</f>
        <v>0</v>
      </c>
      <c r="M66" s="722" t="e">
        <f>индексы!N163</f>
        <v>#DIV/0!</v>
      </c>
      <c r="N66" s="751" t="e">
        <f>индексы!O163</f>
        <v>#DIV/0!</v>
      </c>
      <c r="O66" s="741">
        <f>индексы!P163</f>
        <v>0</v>
      </c>
      <c r="P66" s="722" t="e">
        <f>индексы!Q163</f>
        <v>#DIV/0!</v>
      </c>
      <c r="Q66" s="751" t="e">
        <f>индексы!R163</f>
        <v>#DIV/0!</v>
      </c>
      <c r="R66" s="741">
        <f>индексы!S163</f>
        <v>0</v>
      </c>
      <c r="U66" s="3"/>
      <c r="V66" s="368"/>
      <c r="W66" s="3"/>
      <c r="X66" s="3"/>
    </row>
    <row r="67" spans="2:24" ht="26.25" hidden="1" customHeight="1" outlineLevel="1" thickBot="1">
      <c r="B67" s="260" t="str">
        <f>индексы!F60</f>
        <v>ПАО "ТГК-1"</v>
      </c>
      <c r="C67" s="261" t="s">
        <v>12</v>
      </c>
      <c r="D67" s="262">
        <f>индексы!F67</f>
        <v>0</v>
      </c>
      <c r="E67" s="318">
        <f>ROUND(D67*$F$34,2)</f>
        <v>0</v>
      </c>
      <c r="F67" s="263" t="e">
        <f t="shared" ref="F67" si="205">F68*1000/F66</f>
        <v>#DIV/0!</v>
      </c>
      <c r="G67" s="262">
        <f>E67</f>
        <v>0</v>
      </c>
      <c r="H67" s="318">
        <f>ROUND(G67*$I$34,2)</f>
        <v>0</v>
      </c>
      <c r="I67" s="263" t="e">
        <f t="shared" ref="I67:I85" si="206">I68*1000/I66</f>
        <v>#DIV/0!</v>
      </c>
      <c r="J67" s="262">
        <f t="shared" ref="J67" si="207">H67</f>
        <v>0</v>
      </c>
      <c r="K67" s="318">
        <f>ROUND(J67*$L$34,2)</f>
        <v>0</v>
      </c>
      <c r="L67" s="263" t="e">
        <f t="shared" ref="L67:L85" si="208">L68*1000/L66</f>
        <v>#DIV/0!</v>
      </c>
      <c r="M67" s="262">
        <f t="shared" ref="M67" si="209">K67</f>
        <v>0</v>
      </c>
      <c r="N67" s="318">
        <f>ROUND(M67*$O$34,2)</f>
        <v>0</v>
      </c>
      <c r="O67" s="263" t="e">
        <f t="shared" ref="O67" si="210">O68*1000/O66</f>
        <v>#DIV/0!</v>
      </c>
      <c r="P67" s="262">
        <f t="shared" ref="P67" si="211">N67</f>
        <v>0</v>
      </c>
      <c r="Q67" s="318">
        <f>ROUND(P67*$R$34,2)</f>
        <v>0</v>
      </c>
      <c r="R67" s="263" t="e">
        <f t="shared" ref="R67" si="212">R68*1000/R66</f>
        <v>#DIV/0!</v>
      </c>
      <c r="U67" s="3"/>
      <c r="V67" s="368"/>
      <c r="W67" s="3"/>
      <c r="X67" s="3"/>
    </row>
    <row r="68" spans="2:24" ht="26.25" hidden="1" customHeight="1" outlineLevel="1" thickBot="1">
      <c r="B68" s="264" t="s">
        <v>65</v>
      </c>
      <c r="C68" s="265" t="s">
        <v>21</v>
      </c>
      <c r="D68" s="320" t="e">
        <f t="shared" ref="D68:E68" si="213">ROUND(D67*D66/1000,2)</f>
        <v>#DIV/0!</v>
      </c>
      <c r="E68" s="321" t="e">
        <f t="shared" si="213"/>
        <v>#DIV/0!</v>
      </c>
      <c r="F68" s="322" t="e">
        <f t="shared" ref="F68" si="214">D68+E68</f>
        <v>#DIV/0!</v>
      </c>
      <c r="G68" s="320" t="e">
        <f t="shared" ref="G68:H68" si="215">ROUND(G67*G66/1000,2)</f>
        <v>#DIV/0!</v>
      </c>
      <c r="H68" s="321" t="e">
        <f t="shared" si="215"/>
        <v>#DIV/0!</v>
      </c>
      <c r="I68" s="322" t="e">
        <f t="shared" ref="I68" si="216">G68+H68</f>
        <v>#DIV/0!</v>
      </c>
      <c r="J68" s="320" t="e">
        <f t="shared" ref="J68:K68" si="217">ROUND(J67*J66/1000,2)</f>
        <v>#DIV/0!</v>
      </c>
      <c r="K68" s="321" t="e">
        <f t="shared" si="217"/>
        <v>#DIV/0!</v>
      </c>
      <c r="L68" s="322" t="e">
        <f t="shared" ref="L68" si="218">J68+K68</f>
        <v>#DIV/0!</v>
      </c>
      <c r="M68" s="320" t="e">
        <f t="shared" ref="M68:N68" si="219">ROUND(M67*M66/1000,2)</f>
        <v>#DIV/0!</v>
      </c>
      <c r="N68" s="321" t="e">
        <f t="shared" si="219"/>
        <v>#DIV/0!</v>
      </c>
      <c r="O68" s="322" t="e">
        <f t="shared" ref="O68" si="220">M68+N68</f>
        <v>#DIV/0!</v>
      </c>
      <c r="P68" s="320" t="e">
        <f t="shared" ref="P68:Q68" si="221">ROUND(P67*P66/1000,2)</f>
        <v>#DIV/0!</v>
      </c>
      <c r="Q68" s="321" t="e">
        <f t="shared" si="221"/>
        <v>#DIV/0!</v>
      </c>
      <c r="R68" s="322" t="e">
        <f t="shared" ref="R68" si="222">P68+Q68</f>
        <v>#DIV/0!</v>
      </c>
      <c r="U68" s="3"/>
      <c r="V68" s="368"/>
      <c r="W68" s="3"/>
      <c r="X68" s="3"/>
    </row>
    <row r="69" spans="2:24" ht="26.25" hidden="1" customHeight="1" outlineLevel="1">
      <c r="B69" s="5" t="s">
        <v>64</v>
      </c>
      <c r="C69" s="6" t="s">
        <v>13</v>
      </c>
      <c r="D69" s="722" t="e">
        <f>индексы!E164</f>
        <v>#DIV/0!</v>
      </c>
      <c r="E69" s="751" t="e">
        <f>индексы!F164</f>
        <v>#DIV/0!</v>
      </c>
      <c r="F69" s="741">
        <f>индексы!G164</f>
        <v>0</v>
      </c>
      <c r="G69" s="722" t="e">
        <f>индексы!H164</f>
        <v>#DIV/0!</v>
      </c>
      <c r="H69" s="751" t="e">
        <f>индексы!I164</f>
        <v>#DIV/0!</v>
      </c>
      <c r="I69" s="741">
        <f>индексы!J164</f>
        <v>0</v>
      </c>
      <c r="J69" s="722" t="e">
        <f>индексы!K164</f>
        <v>#DIV/0!</v>
      </c>
      <c r="K69" s="751" t="e">
        <f>индексы!L164</f>
        <v>#DIV/0!</v>
      </c>
      <c r="L69" s="741">
        <f>индексы!M164</f>
        <v>0</v>
      </c>
      <c r="M69" s="722" t="e">
        <f>индексы!N164</f>
        <v>#DIV/0!</v>
      </c>
      <c r="N69" s="751" t="e">
        <f>индексы!O164</f>
        <v>#DIV/0!</v>
      </c>
      <c r="O69" s="741">
        <f>индексы!P164</f>
        <v>0</v>
      </c>
      <c r="P69" s="722" t="e">
        <f>индексы!Q164</f>
        <v>#DIV/0!</v>
      </c>
      <c r="Q69" s="751" t="e">
        <f>индексы!R164</f>
        <v>#DIV/0!</v>
      </c>
      <c r="R69" s="741">
        <f>индексы!S164</f>
        <v>0</v>
      </c>
      <c r="U69" s="3"/>
      <c r="V69" s="368"/>
      <c r="W69" s="3"/>
      <c r="X69" s="3"/>
    </row>
    <row r="70" spans="2:24" ht="26.25" hidden="1" customHeight="1" outlineLevel="1" thickBot="1">
      <c r="B70" s="260" t="str">
        <f>индексы!G60</f>
        <v>ООО "Петербургтеплоэнерго"</v>
      </c>
      <c r="C70" s="261" t="s">
        <v>12</v>
      </c>
      <c r="D70" s="262">
        <f>индексы!G67</f>
        <v>1732.88</v>
      </c>
      <c r="E70" s="318">
        <f>ROUND(D70*$F$34,2)</f>
        <v>1835.12</v>
      </c>
      <c r="F70" s="263" t="e">
        <f t="shared" ref="F70" si="223">F71*1000/F69</f>
        <v>#DIV/0!</v>
      </c>
      <c r="G70" s="262">
        <f>E70</f>
        <v>1835.12</v>
      </c>
      <c r="H70" s="318">
        <f>ROUND(G70*$I$34,2)</f>
        <v>1912.2</v>
      </c>
      <c r="I70" s="263" t="e">
        <f t="shared" si="206"/>
        <v>#DIV/0!</v>
      </c>
      <c r="J70" s="262">
        <f t="shared" ref="J70" si="224">H70</f>
        <v>1912.2</v>
      </c>
      <c r="K70" s="318">
        <f>ROUND(J70*$L$34,2)</f>
        <v>1988.69</v>
      </c>
      <c r="L70" s="263" t="e">
        <f t="shared" si="208"/>
        <v>#DIV/0!</v>
      </c>
      <c r="M70" s="262">
        <f t="shared" ref="M70" si="225">K70</f>
        <v>1988.69</v>
      </c>
      <c r="N70" s="318">
        <f>ROUND(M70*$O$34,2)</f>
        <v>2068.2399999999998</v>
      </c>
      <c r="O70" s="263" t="e">
        <f t="shared" ref="O70" si="226">O71*1000/O69</f>
        <v>#DIV/0!</v>
      </c>
      <c r="P70" s="262">
        <f t="shared" ref="P70" si="227">N70</f>
        <v>2068.2399999999998</v>
      </c>
      <c r="Q70" s="318">
        <f>ROUND(P70*$R$34,2)</f>
        <v>2148.9</v>
      </c>
      <c r="R70" s="263" t="e">
        <f t="shared" ref="R70" si="228">R71*1000/R69</f>
        <v>#DIV/0!</v>
      </c>
      <c r="U70" s="3"/>
      <c r="V70" s="368"/>
      <c r="W70" s="3"/>
      <c r="X70" s="3"/>
    </row>
    <row r="71" spans="2:24" ht="26.25" hidden="1" customHeight="1" outlineLevel="1" thickBot="1">
      <c r="B71" s="264" t="s">
        <v>65</v>
      </c>
      <c r="C71" s="265" t="s">
        <v>21</v>
      </c>
      <c r="D71" s="320" t="e">
        <f t="shared" ref="D71:E71" si="229">ROUND(D70*D69/1000,2)</f>
        <v>#DIV/0!</v>
      </c>
      <c r="E71" s="321" t="e">
        <f t="shared" si="229"/>
        <v>#DIV/0!</v>
      </c>
      <c r="F71" s="322" t="e">
        <f t="shared" ref="F71" si="230">D71+E71</f>
        <v>#DIV/0!</v>
      </c>
      <c r="G71" s="320" t="e">
        <f t="shared" ref="G71:H71" si="231">ROUND(G70*G69/1000,2)</f>
        <v>#DIV/0!</v>
      </c>
      <c r="H71" s="321" t="e">
        <f t="shared" si="231"/>
        <v>#DIV/0!</v>
      </c>
      <c r="I71" s="322" t="e">
        <f t="shared" ref="I71" si="232">G71+H71</f>
        <v>#DIV/0!</v>
      </c>
      <c r="J71" s="320" t="e">
        <f t="shared" ref="J71:K71" si="233">ROUND(J70*J69/1000,2)</f>
        <v>#DIV/0!</v>
      </c>
      <c r="K71" s="321" t="e">
        <f t="shared" si="233"/>
        <v>#DIV/0!</v>
      </c>
      <c r="L71" s="322" t="e">
        <f t="shared" ref="L71" si="234">J71+K71</f>
        <v>#DIV/0!</v>
      </c>
      <c r="M71" s="320" t="e">
        <f t="shared" ref="M71:N71" si="235">ROUND(M70*M69/1000,2)</f>
        <v>#DIV/0!</v>
      </c>
      <c r="N71" s="321" t="e">
        <f t="shared" si="235"/>
        <v>#DIV/0!</v>
      </c>
      <c r="O71" s="322" t="e">
        <f t="shared" ref="O71" si="236">M71+N71</f>
        <v>#DIV/0!</v>
      </c>
      <c r="P71" s="320" t="e">
        <f t="shared" ref="P71:Q71" si="237">ROUND(P70*P69/1000,2)</f>
        <v>#DIV/0!</v>
      </c>
      <c r="Q71" s="321" t="e">
        <f t="shared" si="237"/>
        <v>#DIV/0!</v>
      </c>
      <c r="R71" s="322" t="e">
        <f t="shared" ref="R71" si="238">P71+Q71</f>
        <v>#DIV/0!</v>
      </c>
      <c r="U71" s="3"/>
      <c r="V71" s="368"/>
      <c r="W71" s="3"/>
      <c r="X71" s="3"/>
    </row>
    <row r="72" spans="2:24" ht="26.25" hidden="1" customHeight="1" outlineLevel="1">
      <c r="B72" s="5" t="s">
        <v>64</v>
      </c>
      <c r="C72" s="6" t="s">
        <v>13</v>
      </c>
      <c r="D72" s="722" t="e">
        <f>индексы!E165</f>
        <v>#DIV/0!</v>
      </c>
      <c r="E72" s="751" t="e">
        <f>индексы!F165</f>
        <v>#DIV/0!</v>
      </c>
      <c r="F72" s="741">
        <f>индексы!G165</f>
        <v>0</v>
      </c>
      <c r="G72" s="722" t="e">
        <f>индексы!H165</f>
        <v>#DIV/0!</v>
      </c>
      <c r="H72" s="751" t="e">
        <f>индексы!I165</f>
        <v>#DIV/0!</v>
      </c>
      <c r="I72" s="741">
        <f>индексы!J165</f>
        <v>0</v>
      </c>
      <c r="J72" s="722" t="e">
        <f>индексы!K165</f>
        <v>#DIV/0!</v>
      </c>
      <c r="K72" s="751" t="e">
        <f>индексы!L165</f>
        <v>#DIV/0!</v>
      </c>
      <c r="L72" s="741">
        <f>индексы!M165</f>
        <v>0</v>
      </c>
      <c r="M72" s="722" t="e">
        <f>индексы!N165</f>
        <v>#DIV/0!</v>
      </c>
      <c r="N72" s="751" t="e">
        <f>индексы!O165</f>
        <v>#DIV/0!</v>
      </c>
      <c r="O72" s="741">
        <f>индексы!P165</f>
        <v>0</v>
      </c>
      <c r="P72" s="722" t="e">
        <f>индексы!Q165</f>
        <v>#DIV/0!</v>
      </c>
      <c r="Q72" s="751" t="e">
        <f>индексы!R165</f>
        <v>#DIV/0!</v>
      </c>
      <c r="R72" s="741">
        <f>индексы!S165</f>
        <v>0</v>
      </c>
      <c r="U72" s="3"/>
      <c r="V72" s="368"/>
      <c r="W72" s="3"/>
      <c r="X72" s="3"/>
    </row>
    <row r="73" spans="2:24" ht="26.25" hidden="1" customHeight="1" outlineLevel="1" thickBot="1">
      <c r="B73" s="260" t="str">
        <f>индексы!H60</f>
        <v>Иные</v>
      </c>
      <c r="C73" s="261" t="s">
        <v>12</v>
      </c>
      <c r="D73" s="262">
        <f>индексы!H67</f>
        <v>0</v>
      </c>
      <c r="E73" s="318">
        <f>ROUND(D73*$F$34,2)</f>
        <v>0</v>
      </c>
      <c r="F73" s="263" t="e">
        <f t="shared" ref="F73" si="239">F74*1000/F72</f>
        <v>#DIV/0!</v>
      </c>
      <c r="G73" s="262">
        <f>E73</f>
        <v>0</v>
      </c>
      <c r="H73" s="318">
        <f>ROUND(G73*$I$34,2)</f>
        <v>0</v>
      </c>
      <c r="I73" s="263" t="e">
        <f t="shared" si="206"/>
        <v>#DIV/0!</v>
      </c>
      <c r="J73" s="262">
        <f>H73</f>
        <v>0</v>
      </c>
      <c r="K73" s="318">
        <f>ROUND(J73*$L$34,2)</f>
        <v>0</v>
      </c>
      <c r="L73" s="263" t="e">
        <f t="shared" si="208"/>
        <v>#DIV/0!</v>
      </c>
      <c r="M73" s="262">
        <f>K73</f>
        <v>0</v>
      </c>
      <c r="N73" s="318">
        <f>ROUND(M73*$O$34,2)</f>
        <v>0</v>
      </c>
      <c r="O73" s="263" t="e">
        <f t="shared" ref="O73" si="240">O74*1000/O72</f>
        <v>#DIV/0!</v>
      </c>
      <c r="P73" s="262">
        <f>N73</f>
        <v>0</v>
      </c>
      <c r="Q73" s="318">
        <f>ROUND(P73*$R$34,2)</f>
        <v>0</v>
      </c>
      <c r="R73" s="263" t="e">
        <f t="shared" ref="R73" si="241">R74*1000/R72</f>
        <v>#DIV/0!</v>
      </c>
      <c r="U73" s="3"/>
      <c r="V73" s="368"/>
      <c r="W73" s="3"/>
      <c r="X73" s="3"/>
    </row>
    <row r="74" spans="2:24" ht="26.25" hidden="1" customHeight="1" outlineLevel="1" thickBot="1">
      <c r="B74" s="264" t="s">
        <v>65</v>
      </c>
      <c r="C74" s="265" t="s">
        <v>21</v>
      </c>
      <c r="D74" s="320" t="e">
        <f t="shared" ref="D74:E74" si="242">ROUND(D73*D72/1000,2)</f>
        <v>#DIV/0!</v>
      </c>
      <c r="E74" s="321" t="e">
        <f t="shared" si="242"/>
        <v>#DIV/0!</v>
      </c>
      <c r="F74" s="322" t="e">
        <f t="shared" ref="F74" si="243">D74+E74</f>
        <v>#DIV/0!</v>
      </c>
      <c r="G74" s="320" t="e">
        <f t="shared" ref="G74:H74" si="244">ROUND(G73*G72/1000,2)</f>
        <v>#DIV/0!</v>
      </c>
      <c r="H74" s="321" t="e">
        <f t="shared" si="244"/>
        <v>#DIV/0!</v>
      </c>
      <c r="I74" s="322" t="e">
        <f t="shared" ref="I74" si="245">G74+H74</f>
        <v>#DIV/0!</v>
      </c>
      <c r="J74" s="320" t="e">
        <f t="shared" ref="J74:K74" si="246">ROUND(J73*J72/1000,2)</f>
        <v>#DIV/0!</v>
      </c>
      <c r="K74" s="321" t="e">
        <f t="shared" si="246"/>
        <v>#DIV/0!</v>
      </c>
      <c r="L74" s="322" t="e">
        <f t="shared" ref="L74" si="247">J74+K74</f>
        <v>#DIV/0!</v>
      </c>
      <c r="M74" s="320" t="e">
        <f t="shared" ref="M74:N74" si="248">ROUND(M73*M72/1000,2)</f>
        <v>#DIV/0!</v>
      </c>
      <c r="N74" s="321" t="e">
        <f t="shared" si="248"/>
        <v>#DIV/0!</v>
      </c>
      <c r="O74" s="322" t="e">
        <f t="shared" ref="O74" si="249">M74+N74</f>
        <v>#DIV/0!</v>
      </c>
      <c r="P74" s="320" t="e">
        <f t="shared" ref="P74:Q74" si="250">ROUND(P73*P72/1000,2)</f>
        <v>#DIV/0!</v>
      </c>
      <c r="Q74" s="321" t="e">
        <f t="shared" si="250"/>
        <v>#DIV/0!</v>
      </c>
      <c r="R74" s="322" t="e">
        <f t="shared" ref="R74" si="251">P74+Q74</f>
        <v>#DIV/0!</v>
      </c>
      <c r="U74" s="3"/>
      <c r="V74" s="368"/>
      <c r="W74" s="3"/>
      <c r="X74" s="3"/>
    </row>
    <row r="75" spans="2:24" ht="26.25" hidden="1" customHeight="1" outlineLevel="1">
      <c r="B75" s="5" t="s">
        <v>64</v>
      </c>
      <c r="C75" s="6" t="s">
        <v>13</v>
      </c>
      <c r="D75" s="722" t="e">
        <f>индексы!E166</f>
        <v>#DIV/0!</v>
      </c>
      <c r="E75" s="751" t="e">
        <f>индексы!F166</f>
        <v>#DIV/0!</v>
      </c>
      <c r="F75" s="741">
        <f>индексы!G166</f>
        <v>0</v>
      </c>
      <c r="G75" s="722" t="e">
        <f>индексы!H166</f>
        <v>#DIV/0!</v>
      </c>
      <c r="H75" s="751" t="e">
        <f>индексы!I166</f>
        <v>#DIV/0!</v>
      </c>
      <c r="I75" s="741">
        <f>индексы!J166</f>
        <v>0</v>
      </c>
      <c r="J75" s="722" t="e">
        <f>индексы!K166</f>
        <v>#DIV/0!</v>
      </c>
      <c r="K75" s="751" t="e">
        <f>индексы!L166</f>
        <v>#DIV/0!</v>
      </c>
      <c r="L75" s="741">
        <f>индексы!M166</f>
        <v>0</v>
      </c>
      <c r="M75" s="722" t="e">
        <f>индексы!N166</f>
        <v>#DIV/0!</v>
      </c>
      <c r="N75" s="751" t="e">
        <f>индексы!O166</f>
        <v>#DIV/0!</v>
      </c>
      <c r="O75" s="741">
        <f>индексы!P166</f>
        <v>0</v>
      </c>
      <c r="P75" s="722" t="e">
        <f>индексы!Q166</f>
        <v>#DIV/0!</v>
      </c>
      <c r="Q75" s="751" t="e">
        <f>индексы!R166</f>
        <v>#DIV/0!</v>
      </c>
      <c r="R75" s="741">
        <f>индексы!S166</f>
        <v>0</v>
      </c>
      <c r="U75" s="3"/>
      <c r="V75" s="368"/>
      <c r="W75" s="3"/>
      <c r="X75" s="3"/>
    </row>
    <row r="76" spans="2:24" ht="26.25" hidden="1" customHeight="1" outlineLevel="1" thickBot="1">
      <c r="B76" s="260" t="str">
        <f>индексы!I60</f>
        <v>Иные</v>
      </c>
      <c r="C76" s="261" t="s">
        <v>12</v>
      </c>
      <c r="D76" s="262">
        <f>индексы!I67</f>
        <v>0</v>
      </c>
      <c r="E76" s="318">
        <f>ROUND(D76*$F$34,2)</f>
        <v>0</v>
      </c>
      <c r="F76" s="263" t="e">
        <f t="shared" ref="F76:F85" si="252">F77*1000/F75</f>
        <v>#DIV/0!</v>
      </c>
      <c r="G76" s="262">
        <f t="shared" ref="G76" si="253">E76</f>
        <v>0</v>
      </c>
      <c r="H76" s="318">
        <f>ROUND(G76*$I$34,2)</f>
        <v>0</v>
      </c>
      <c r="I76" s="263" t="e">
        <f t="shared" si="206"/>
        <v>#DIV/0!</v>
      </c>
      <c r="J76" s="262">
        <f t="shared" ref="J76" si="254">H76</f>
        <v>0</v>
      </c>
      <c r="K76" s="318">
        <f>ROUND(J76*$L$34,2)</f>
        <v>0</v>
      </c>
      <c r="L76" s="263" t="e">
        <f t="shared" si="208"/>
        <v>#DIV/0!</v>
      </c>
      <c r="M76" s="262">
        <f t="shared" ref="M76" si="255">K76</f>
        <v>0</v>
      </c>
      <c r="N76" s="318">
        <f>ROUND(M76*$O$34,2)</f>
        <v>0</v>
      </c>
      <c r="O76" s="263" t="e">
        <f t="shared" ref="O76:O85" si="256">O77*1000/O75</f>
        <v>#DIV/0!</v>
      </c>
      <c r="P76" s="262">
        <f t="shared" ref="P76" si="257">N76</f>
        <v>0</v>
      </c>
      <c r="Q76" s="318">
        <f>ROUND(P76*$R$34,2)</f>
        <v>0</v>
      </c>
      <c r="R76" s="263" t="e">
        <f t="shared" ref="R76:R85" si="258">R77*1000/R75</f>
        <v>#DIV/0!</v>
      </c>
      <c r="U76" s="3"/>
      <c r="V76" s="368"/>
      <c r="W76" s="3"/>
      <c r="X76" s="3"/>
    </row>
    <row r="77" spans="2:24" ht="26.25" hidden="1" customHeight="1" outlineLevel="1" thickBot="1">
      <c r="B77" s="264" t="s">
        <v>65</v>
      </c>
      <c r="C77" s="265" t="s">
        <v>21</v>
      </c>
      <c r="D77" s="320" t="e">
        <f t="shared" ref="D77:E77" si="259">ROUND(D76*D75/1000,2)</f>
        <v>#DIV/0!</v>
      </c>
      <c r="E77" s="321" t="e">
        <f t="shared" si="259"/>
        <v>#DIV/0!</v>
      </c>
      <c r="F77" s="322" t="e">
        <f t="shared" ref="F77" si="260">D77+E77</f>
        <v>#DIV/0!</v>
      </c>
      <c r="G77" s="320" t="e">
        <f t="shared" ref="G77:H77" si="261">ROUND(G76*G75/1000,2)</f>
        <v>#DIV/0!</v>
      </c>
      <c r="H77" s="321" t="e">
        <f t="shared" si="261"/>
        <v>#DIV/0!</v>
      </c>
      <c r="I77" s="322" t="e">
        <f t="shared" ref="I77" si="262">G77+H77</f>
        <v>#DIV/0!</v>
      </c>
      <c r="J77" s="320" t="e">
        <f t="shared" ref="J77:K77" si="263">ROUND(J76*J75/1000,2)</f>
        <v>#DIV/0!</v>
      </c>
      <c r="K77" s="321" t="e">
        <f t="shared" si="263"/>
        <v>#DIV/0!</v>
      </c>
      <c r="L77" s="322" t="e">
        <f t="shared" ref="L77" si="264">J77+K77</f>
        <v>#DIV/0!</v>
      </c>
      <c r="M77" s="320" t="e">
        <f t="shared" ref="M77:N77" si="265">ROUND(M76*M75/1000,2)</f>
        <v>#DIV/0!</v>
      </c>
      <c r="N77" s="321" t="e">
        <f t="shared" si="265"/>
        <v>#DIV/0!</v>
      </c>
      <c r="O77" s="322" t="e">
        <f t="shared" ref="O77" si="266">M77+N77</f>
        <v>#DIV/0!</v>
      </c>
      <c r="P77" s="320" t="e">
        <f t="shared" ref="P77:Q77" si="267">ROUND(P76*P75/1000,2)</f>
        <v>#DIV/0!</v>
      </c>
      <c r="Q77" s="321" t="e">
        <f t="shared" si="267"/>
        <v>#DIV/0!</v>
      </c>
      <c r="R77" s="322" t="e">
        <f t="shared" ref="R77" si="268">P77+Q77</f>
        <v>#DIV/0!</v>
      </c>
      <c r="U77" s="3"/>
      <c r="V77" s="368"/>
      <c r="W77" s="3"/>
      <c r="X77" s="3"/>
    </row>
    <row r="78" spans="2:24" ht="26.25" hidden="1" customHeight="1" outlineLevel="1">
      <c r="B78" s="5" t="s">
        <v>64</v>
      </c>
      <c r="C78" s="6" t="s">
        <v>13</v>
      </c>
      <c r="D78" s="722" t="e">
        <f>индексы!E167</f>
        <v>#DIV/0!</v>
      </c>
      <c r="E78" s="751" t="e">
        <f>индексы!F167</f>
        <v>#DIV/0!</v>
      </c>
      <c r="F78" s="741">
        <f>индексы!G167</f>
        <v>0</v>
      </c>
      <c r="G78" s="722" t="e">
        <f>индексы!H167</f>
        <v>#DIV/0!</v>
      </c>
      <c r="H78" s="751" t="e">
        <f>индексы!I167</f>
        <v>#DIV/0!</v>
      </c>
      <c r="I78" s="741">
        <f>индексы!J167</f>
        <v>0</v>
      </c>
      <c r="J78" s="722" t="e">
        <f>индексы!K167</f>
        <v>#DIV/0!</v>
      </c>
      <c r="K78" s="751" t="e">
        <f>индексы!L167</f>
        <v>#DIV/0!</v>
      </c>
      <c r="L78" s="741">
        <f>индексы!M167</f>
        <v>0</v>
      </c>
      <c r="M78" s="722" t="e">
        <f>индексы!N167</f>
        <v>#DIV/0!</v>
      </c>
      <c r="N78" s="751" t="e">
        <f>индексы!O167</f>
        <v>#DIV/0!</v>
      </c>
      <c r="O78" s="741">
        <f>индексы!P167</f>
        <v>0</v>
      </c>
      <c r="P78" s="722" t="e">
        <f>индексы!Q167</f>
        <v>#DIV/0!</v>
      </c>
      <c r="Q78" s="751" t="e">
        <f>индексы!R167</f>
        <v>#DIV/0!</v>
      </c>
      <c r="R78" s="741">
        <f>индексы!S167</f>
        <v>0</v>
      </c>
      <c r="U78" s="3"/>
      <c r="V78" s="368"/>
      <c r="W78" s="3"/>
      <c r="X78" s="3"/>
    </row>
    <row r="79" spans="2:24" ht="26.25" hidden="1" customHeight="1" outlineLevel="1" thickBot="1">
      <c r="B79" s="260" t="str">
        <f>индексы!J60</f>
        <v>Иные</v>
      </c>
      <c r="C79" s="261" t="s">
        <v>12</v>
      </c>
      <c r="D79" s="262">
        <f>индексы!J67</f>
        <v>0</v>
      </c>
      <c r="E79" s="318">
        <f>ROUND(D79*$F$34,2)</f>
        <v>0</v>
      </c>
      <c r="F79" s="263" t="e">
        <f t="shared" si="252"/>
        <v>#DIV/0!</v>
      </c>
      <c r="G79" s="262">
        <f>E79</f>
        <v>0</v>
      </c>
      <c r="H79" s="318">
        <f>ROUND(G79*$I$34,2)</f>
        <v>0</v>
      </c>
      <c r="I79" s="263" t="e">
        <f t="shared" si="206"/>
        <v>#DIV/0!</v>
      </c>
      <c r="J79" s="262">
        <f t="shared" ref="J79" si="269">H79</f>
        <v>0</v>
      </c>
      <c r="K79" s="318">
        <f>ROUND(J79*$L$34,2)</f>
        <v>0</v>
      </c>
      <c r="L79" s="263" t="e">
        <f t="shared" si="208"/>
        <v>#DIV/0!</v>
      </c>
      <c r="M79" s="262">
        <f t="shared" ref="M79" si="270">K79</f>
        <v>0</v>
      </c>
      <c r="N79" s="318">
        <f>ROUND(M79*$O$34,2)</f>
        <v>0</v>
      </c>
      <c r="O79" s="263" t="e">
        <f t="shared" si="256"/>
        <v>#DIV/0!</v>
      </c>
      <c r="P79" s="262">
        <f t="shared" ref="P79" si="271">N79</f>
        <v>0</v>
      </c>
      <c r="Q79" s="318">
        <f>ROUND(P79*$R$34,2)</f>
        <v>0</v>
      </c>
      <c r="R79" s="263" t="e">
        <f t="shared" si="258"/>
        <v>#DIV/0!</v>
      </c>
      <c r="U79" s="3"/>
      <c r="V79" s="368"/>
      <c r="W79" s="3"/>
      <c r="X79" s="3"/>
    </row>
    <row r="80" spans="2:24" ht="26.25" hidden="1" customHeight="1" outlineLevel="1" thickBot="1">
      <c r="B80" s="264" t="s">
        <v>65</v>
      </c>
      <c r="C80" s="265" t="s">
        <v>21</v>
      </c>
      <c r="D80" s="320" t="e">
        <f t="shared" ref="D80:E80" si="272">ROUND(D79*D78/1000,2)</f>
        <v>#DIV/0!</v>
      </c>
      <c r="E80" s="321" t="e">
        <f t="shared" si="272"/>
        <v>#DIV/0!</v>
      </c>
      <c r="F80" s="322" t="e">
        <f t="shared" ref="F80" si="273">D80+E80</f>
        <v>#DIV/0!</v>
      </c>
      <c r="G80" s="320" t="e">
        <f t="shared" ref="G80:H80" si="274">ROUND(G79*G78/1000,2)</f>
        <v>#DIV/0!</v>
      </c>
      <c r="H80" s="321" t="e">
        <f t="shared" si="274"/>
        <v>#DIV/0!</v>
      </c>
      <c r="I80" s="322" t="e">
        <f t="shared" ref="I80" si="275">G80+H80</f>
        <v>#DIV/0!</v>
      </c>
      <c r="J80" s="320" t="e">
        <f t="shared" ref="J80:K80" si="276">ROUND(J79*J78/1000,2)</f>
        <v>#DIV/0!</v>
      </c>
      <c r="K80" s="321" t="e">
        <f t="shared" si="276"/>
        <v>#DIV/0!</v>
      </c>
      <c r="L80" s="322" t="e">
        <f t="shared" ref="L80" si="277">J80+K80</f>
        <v>#DIV/0!</v>
      </c>
      <c r="M80" s="320" t="e">
        <f t="shared" ref="M80:N80" si="278">ROUND(M79*M78/1000,2)</f>
        <v>#DIV/0!</v>
      </c>
      <c r="N80" s="321" t="e">
        <f t="shared" si="278"/>
        <v>#DIV/0!</v>
      </c>
      <c r="O80" s="322" t="e">
        <f t="shared" ref="O80" si="279">M80+N80</f>
        <v>#DIV/0!</v>
      </c>
      <c r="P80" s="320" t="e">
        <f t="shared" ref="P80:Q80" si="280">ROUND(P79*P78/1000,2)</f>
        <v>#DIV/0!</v>
      </c>
      <c r="Q80" s="321" t="e">
        <f t="shared" si="280"/>
        <v>#DIV/0!</v>
      </c>
      <c r="R80" s="322" t="e">
        <f t="shared" ref="R80" si="281">P80+Q80</f>
        <v>#DIV/0!</v>
      </c>
      <c r="U80" s="3"/>
      <c r="V80" s="368"/>
      <c r="W80" s="3"/>
      <c r="X80" s="3"/>
    </row>
    <row r="81" spans="2:27" ht="26.25" hidden="1" customHeight="1" outlineLevel="1">
      <c r="B81" s="5" t="s">
        <v>64</v>
      </c>
      <c r="C81" s="6" t="s">
        <v>13</v>
      </c>
      <c r="D81" s="722" t="e">
        <f>индексы!E168</f>
        <v>#DIV/0!</v>
      </c>
      <c r="E81" s="751" t="e">
        <f>индексы!F168</f>
        <v>#DIV/0!</v>
      </c>
      <c r="F81" s="741">
        <f>индексы!G168</f>
        <v>0</v>
      </c>
      <c r="G81" s="722" t="e">
        <f>индексы!H168</f>
        <v>#DIV/0!</v>
      </c>
      <c r="H81" s="751" t="e">
        <f>индексы!I168</f>
        <v>#DIV/0!</v>
      </c>
      <c r="I81" s="741">
        <f>индексы!J168</f>
        <v>0</v>
      </c>
      <c r="J81" s="722" t="e">
        <f>индексы!K168</f>
        <v>#DIV/0!</v>
      </c>
      <c r="K81" s="751" t="e">
        <f>индексы!L168</f>
        <v>#DIV/0!</v>
      </c>
      <c r="L81" s="741">
        <f>индексы!M168</f>
        <v>0</v>
      </c>
      <c r="M81" s="722" t="e">
        <f>индексы!N168</f>
        <v>#DIV/0!</v>
      </c>
      <c r="N81" s="751" t="e">
        <f>индексы!O168</f>
        <v>#DIV/0!</v>
      </c>
      <c r="O81" s="741">
        <f>индексы!P168</f>
        <v>0</v>
      </c>
      <c r="P81" s="722" t="e">
        <f>индексы!Q168</f>
        <v>#DIV/0!</v>
      </c>
      <c r="Q81" s="751" t="e">
        <f>индексы!R168</f>
        <v>#DIV/0!</v>
      </c>
      <c r="R81" s="741">
        <f>индексы!S168</f>
        <v>0</v>
      </c>
      <c r="U81" s="3"/>
      <c r="V81" s="368"/>
      <c r="W81" s="3"/>
      <c r="X81" s="3"/>
    </row>
    <row r="82" spans="2:27" ht="26.25" hidden="1" customHeight="1" outlineLevel="1" thickBot="1">
      <c r="B82" s="260" t="str">
        <f>индексы!K60</f>
        <v>Иные</v>
      </c>
      <c r="C82" s="261" t="s">
        <v>12</v>
      </c>
      <c r="D82" s="262">
        <f>индексы!K67</f>
        <v>0</v>
      </c>
      <c r="E82" s="318">
        <f>ROUND(D82*$F$34,2)</f>
        <v>0</v>
      </c>
      <c r="F82" s="263" t="e">
        <f t="shared" si="252"/>
        <v>#DIV/0!</v>
      </c>
      <c r="G82" s="262">
        <f t="shared" ref="G82" si="282">E82</f>
        <v>0</v>
      </c>
      <c r="H82" s="318">
        <f>ROUND(G82*$I$34,2)</f>
        <v>0</v>
      </c>
      <c r="I82" s="263" t="e">
        <f t="shared" si="206"/>
        <v>#DIV/0!</v>
      </c>
      <c r="J82" s="262">
        <f t="shared" ref="J82" si="283">H82</f>
        <v>0</v>
      </c>
      <c r="K82" s="318">
        <f t="shared" ref="K82" si="284">ROUND(J82*$L$34,2)</f>
        <v>0</v>
      </c>
      <c r="L82" s="263" t="e">
        <f t="shared" si="208"/>
        <v>#DIV/0!</v>
      </c>
      <c r="M82" s="262">
        <f t="shared" ref="M82" si="285">K82</f>
        <v>0</v>
      </c>
      <c r="N82" s="318">
        <f t="shared" ref="N82" si="286">ROUND(M82*$O$34,2)</f>
        <v>0</v>
      </c>
      <c r="O82" s="263" t="e">
        <f t="shared" si="256"/>
        <v>#DIV/0!</v>
      </c>
      <c r="P82" s="262">
        <f t="shared" ref="P82" si="287">N82</f>
        <v>0</v>
      </c>
      <c r="Q82" s="318">
        <f t="shared" ref="Q82" si="288">ROUND(P82*$R$34,2)</f>
        <v>0</v>
      </c>
      <c r="R82" s="263" t="e">
        <f t="shared" si="258"/>
        <v>#DIV/0!</v>
      </c>
      <c r="U82" s="3"/>
      <c r="V82" s="368"/>
      <c r="W82" s="3"/>
      <c r="X82" s="3"/>
    </row>
    <row r="83" spans="2:27" ht="26.25" hidden="1" customHeight="1" outlineLevel="1" thickBot="1">
      <c r="B83" s="264" t="s">
        <v>65</v>
      </c>
      <c r="C83" s="265" t="s">
        <v>21</v>
      </c>
      <c r="D83" s="320" t="e">
        <f t="shared" ref="D83:E83" si="289">ROUND(D82*D81/1000,2)</f>
        <v>#DIV/0!</v>
      </c>
      <c r="E83" s="321" t="e">
        <f t="shared" si="289"/>
        <v>#DIV/0!</v>
      </c>
      <c r="F83" s="322" t="e">
        <f t="shared" ref="F83" si="290">D83+E83</f>
        <v>#DIV/0!</v>
      </c>
      <c r="G83" s="320" t="e">
        <f t="shared" ref="G83:H83" si="291">ROUND(G82*G81/1000,2)</f>
        <v>#DIV/0!</v>
      </c>
      <c r="H83" s="321" t="e">
        <f t="shared" si="291"/>
        <v>#DIV/0!</v>
      </c>
      <c r="I83" s="322" t="e">
        <f t="shared" ref="I83" si="292">G83+H83</f>
        <v>#DIV/0!</v>
      </c>
      <c r="J83" s="320" t="e">
        <f t="shared" ref="J83:K83" si="293">ROUND(J82*J81/1000,2)</f>
        <v>#DIV/0!</v>
      </c>
      <c r="K83" s="321" t="e">
        <f t="shared" si="293"/>
        <v>#DIV/0!</v>
      </c>
      <c r="L83" s="322" t="e">
        <f t="shared" ref="L83" si="294">J83+K83</f>
        <v>#DIV/0!</v>
      </c>
      <c r="M83" s="320" t="e">
        <f t="shared" ref="M83:N83" si="295">ROUND(M82*M81/1000,2)</f>
        <v>#DIV/0!</v>
      </c>
      <c r="N83" s="321" t="e">
        <f t="shared" si="295"/>
        <v>#DIV/0!</v>
      </c>
      <c r="O83" s="322" t="e">
        <f t="shared" ref="O83" si="296">M83+N83</f>
        <v>#DIV/0!</v>
      </c>
      <c r="P83" s="320" t="e">
        <f t="shared" ref="P83:Q83" si="297">ROUND(P82*P81/1000,2)</f>
        <v>#DIV/0!</v>
      </c>
      <c r="Q83" s="321" t="e">
        <f t="shared" si="297"/>
        <v>#DIV/0!</v>
      </c>
      <c r="R83" s="322" t="e">
        <f t="shared" ref="R83" si="298">P83+Q83</f>
        <v>#DIV/0!</v>
      </c>
      <c r="U83" s="3"/>
      <c r="V83" s="368"/>
      <c r="W83" s="3"/>
      <c r="X83" s="3"/>
    </row>
    <row r="84" spans="2:27" ht="26.25" hidden="1" customHeight="1" outlineLevel="1">
      <c r="B84" s="5" t="s">
        <v>64</v>
      </c>
      <c r="C84" s="6" t="s">
        <v>13</v>
      </c>
      <c r="D84" s="722" t="e">
        <f>индексы!E169</f>
        <v>#DIV/0!</v>
      </c>
      <c r="E84" s="751" t="e">
        <f>индексы!F169</f>
        <v>#DIV/0!</v>
      </c>
      <c r="F84" s="741">
        <f>индексы!G169</f>
        <v>0</v>
      </c>
      <c r="G84" s="722" t="e">
        <f>индексы!H169</f>
        <v>#DIV/0!</v>
      </c>
      <c r="H84" s="751" t="e">
        <f>индексы!I169</f>
        <v>#DIV/0!</v>
      </c>
      <c r="I84" s="741">
        <f>индексы!J169</f>
        <v>0</v>
      </c>
      <c r="J84" s="722" t="e">
        <f>индексы!K169</f>
        <v>#DIV/0!</v>
      </c>
      <c r="K84" s="751" t="e">
        <f>индексы!L169</f>
        <v>#DIV/0!</v>
      </c>
      <c r="L84" s="741">
        <f>индексы!M169</f>
        <v>0</v>
      </c>
      <c r="M84" s="722" t="e">
        <f>индексы!N169</f>
        <v>#DIV/0!</v>
      </c>
      <c r="N84" s="751" t="e">
        <f>индексы!O169</f>
        <v>#DIV/0!</v>
      </c>
      <c r="O84" s="741">
        <f>индексы!P169</f>
        <v>0</v>
      </c>
      <c r="P84" s="722" t="e">
        <f>индексы!Q169</f>
        <v>#DIV/0!</v>
      </c>
      <c r="Q84" s="751" t="e">
        <f>индексы!R169</f>
        <v>#DIV/0!</v>
      </c>
      <c r="R84" s="741">
        <f>индексы!S169</f>
        <v>0</v>
      </c>
      <c r="U84" s="3"/>
      <c r="V84" s="368"/>
      <c r="W84" s="3"/>
      <c r="X84" s="3"/>
    </row>
    <row r="85" spans="2:27" ht="26.25" hidden="1" customHeight="1" outlineLevel="1" thickBot="1">
      <c r="B85" s="260" t="str">
        <f>индексы!L60</f>
        <v>Иные</v>
      </c>
      <c r="C85" s="261" t="s">
        <v>12</v>
      </c>
      <c r="D85" s="262">
        <f>индексы!L67</f>
        <v>0</v>
      </c>
      <c r="E85" s="318">
        <f>ROUND(D85*$F$34,2)</f>
        <v>0</v>
      </c>
      <c r="F85" s="263" t="e">
        <f t="shared" si="252"/>
        <v>#DIV/0!</v>
      </c>
      <c r="G85" s="262">
        <f t="shared" ref="G85" si="299">E85</f>
        <v>0</v>
      </c>
      <c r="H85" s="318">
        <f t="shared" ref="H85" si="300">ROUND(G85*$I$34,2)</f>
        <v>0</v>
      </c>
      <c r="I85" s="263" t="e">
        <f t="shared" si="206"/>
        <v>#DIV/0!</v>
      </c>
      <c r="J85" s="262">
        <f t="shared" ref="J85" si="301">H85</f>
        <v>0</v>
      </c>
      <c r="K85" s="318">
        <f t="shared" ref="K85" si="302">ROUND(J85*$L$34,2)</f>
        <v>0</v>
      </c>
      <c r="L85" s="263" t="e">
        <f t="shared" si="208"/>
        <v>#DIV/0!</v>
      </c>
      <c r="M85" s="262">
        <f t="shared" ref="M85" si="303">K85</f>
        <v>0</v>
      </c>
      <c r="N85" s="318">
        <f t="shared" ref="N85" si="304">ROUND(M85*$O$34,2)</f>
        <v>0</v>
      </c>
      <c r="O85" s="263" t="e">
        <f t="shared" si="256"/>
        <v>#DIV/0!</v>
      </c>
      <c r="P85" s="262">
        <f t="shared" ref="P85" si="305">N85</f>
        <v>0</v>
      </c>
      <c r="Q85" s="318">
        <f t="shared" ref="Q85" si="306">ROUND(P85*$R$34,2)</f>
        <v>0</v>
      </c>
      <c r="R85" s="263" t="e">
        <f t="shared" si="258"/>
        <v>#DIV/0!</v>
      </c>
      <c r="U85" s="3"/>
      <c r="V85" s="368"/>
      <c r="W85" s="3"/>
      <c r="X85" s="3"/>
    </row>
    <row r="86" spans="2:27" ht="26.25" hidden="1" customHeight="1" outlineLevel="1" thickBot="1">
      <c r="B86" s="264" t="s">
        <v>65</v>
      </c>
      <c r="C86" s="265" t="s">
        <v>21</v>
      </c>
      <c r="D86" s="320" t="e">
        <f t="shared" ref="D86:E86" si="307">ROUND(D85*D84/1000,2)</f>
        <v>#DIV/0!</v>
      </c>
      <c r="E86" s="321" t="e">
        <f t="shared" si="307"/>
        <v>#DIV/0!</v>
      </c>
      <c r="F86" s="322" t="e">
        <f t="shared" ref="F86" si="308">D86+E86</f>
        <v>#DIV/0!</v>
      </c>
      <c r="G86" s="320" t="e">
        <f t="shared" ref="G86:H86" si="309">ROUND(G85*G84/1000,2)</f>
        <v>#DIV/0!</v>
      </c>
      <c r="H86" s="321" t="e">
        <f t="shared" si="309"/>
        <v>#DIV/0!</v>
      </c>
      <c r="I86" s="322" t="e">
        <f t="shared" ref="I86" si="310">G86+H86</f>
        <v>#DIV/0!</v>
      </c>
      <c r="J86" s="320" t="e">
        <f t="shared" ref="J86:K86" si="311">ROUND(J85*J84/1000,2)</f>
        <v>#DIV/0!</v>
      </c>
      <c r="K86" s="321" t="e">
        <f t="shared" si="311"/>
        <v>#DIV/0!</v>
      </c>
      <c r="L86" s="322" t="e">
        <f t="shared" ref="L86" si="312">J86+K86</f>
        <v>#DIV/0!</v>
      </c>
      <c r="M86" s="320" t="e">
        <f t="shared" ref="M86:N86" si="313">ROUND(M85*M84/1000,2)</f>
        <v>#DIV/0!</v>
      </c>
      <c r="N86" s="321" t="e">
        <f t="shared" si="313"/>
        <v>#DIV/0!</v>
      </c>
      <c r="O86" s="322" t="e">
        <f t="shared" ref="O86" si="314">M86+N86</f>
        <v>#DIV/0!</v>
      </c>
      <c r="P86" s="320" t="e">
        <f t="shared" ref="P86:Q86" si="315">ROUND(P85*P84/1000,2)</f>
        <v>#DIV/0!</v>
      </c>
      <c r="Q86" s="321" t="e">
        <f t="shared" si="315"/>
        <v>#DIV/0!</v>
      </c>
      <c r="R86" s="322" t="e">
        <f t="shared" ref="R86" si="316">P86+Q86</f>
        <v>#DIV/0!</v>
      </c>
      <c r="U86" s="3"/>
      <c r="V86" s="368"/>
      <c r="W86" s="3"/>
      <c r="X86" s="3"/>
    </row>
    <row r="87" spans="2:27" ht="26.25" hidden="1" customHeight="1" outlineLevel="1">
      <c r="B87" s="385"/>
      <c r="C87" s="386"/>
      <c r="D87" s="757" t="e">
        <f>D40+D43+D46+D49+D52+D55+D58+D61+D65+D68+D71+D74+D77+D80+D83+D86</f>
        <v>#DIV/0!</v>
      </c>
      <c r="E87" s="757" t="e">
        <f t="shared" ref="E87:R87" si="317">E40+E43+E46+E49+E52+E55+E58+E61+E65+E68+E71+E74+E77+E80+E83+E86</f>
        <v>#DIV/0!</v>
      </c>
      <c r="F87" s="757" t="e">
        <f t="shared" si="317"/>
        <v>#DIV/0!</v>
      </c>
      <c r="G87" s="757" t="e">
        <f t="shared" si="317"/>
        <v>#DIV/0!</v>
      </c>
      <c r="H87" s="757" t="e">
        <f t="shared" si="317"/>
        <v>#DIV/0!</v>
      </c>
      <c r="I87" s="757" t="e">
        <f t="shared" si="317"/>
        <v>#DIV/0!</v>
      </c>
      <c r="J87" s="757" t="e">
        <f t="shared" si="317"/>
        <v>#DIV/0!</v>
      </c>
      <c r="K87" s="757" t="e">
        <f t="shared" si="317"/>
        <v>#DIV/0!</v>
      </c>
      <c r="L87" s="757" t="e">
        <f t="shared" si="317"/>
        <v>#DIV/0!</v>
      </c>
      <c r="M87" s="757" t="e">
        <f t="shared" si="317"/>
        <v>#DIV/0!</v>
      </c>
      <c r="N87" s="757" t="e">
        <f t="shared" si="317"/>
        <v>#DIV/0!</v>
      </c>
      <c r="O87" s="757" t="e">
        <f t="shared" si="317"/>
        <v>#DIV/0!</v>
      </c>
      <c r="P87" s="757" t="e">
        <f t="shared" si="317"/>
        <v>#DIV/0!</v>
      </c>
      <c r="Q87" s="757" t="e">
        <f t="shared" si="317"/>
        <v>#DIV/0!</v>
      </c>
      <c r="R87" s="757" t="e">
        <f t="shared" si="317"/>
        <v>#DIV/0!</v>
      </c>
      <c r="U87" s="3"/>
      <c r="V87" s="368"/>
      <c r="W87" s="3"/>
      <c r="X87" s="3"/>
    </row>
    <row r="88" spans="2:27" ht="26.25" customHeight="1" outlineLevel="1">
      <c r="B88" s="385"/>
      <c r="C88" s="386"/>
      <c r="D88" s="757"/>
      <c r="E88" s="757"/>
      <c r="F88" s="757"/>
      <c r="G88" s="757"/>
      <c r="H88" s="757"/>
      <c r="I88" s="757"/>
      <c r="J88" s="757"/>
      <c r="K88" s="757"/>
      <c r="L88" s="757"/>
      <c r="M88" s="757"/>
      <c r="N88" s="757"/>
      <c r="O88" s="757"/>
      <c r="P88" s="757"/>
      <c r="Q88" s="757"/>
      <c r="R88" s="757"/>
      <c r="U88" s="3"/>
      <c r="V88" s="368"/>
      <c r="W88" s="3"/>
      <c r="X88" s="3"/>
    </row>
    <row r="89" spans="2:27" s="10" customFormat="1" ht="19.5" customHeight="1">
      <c r="B89" s="1734" t="s">
        <v>27</v>
      </c>
      <c r="C89" s="1734"/>
      <c r="D89" s="1734"/>
      <c r="E89" s="29"/>
      <c r="F89" s="364">
        <f>индексы!H9</f>
        <v>1.0589999999999999</v>
      </c>
      <c r="G89" s="364"/>
      <c r="H89" s="364"/>
      <c r="I89" s="364">
        <f>индексы!I9</f>
        <v>1.042</v>
      </c>
      <c r="J89" s="364"/>
      <c r="K89" s="364"/>
      <c r="L89" s="364">
        <f>индексы!J9</f>
        <v>1.04</v>
      </c>
      <c r="M89" s="364"/>
      <c r="N89" s="364"/>
      <c r="O89" s="364">
        <f>индексы!K9</f>
        <v>1.04</v>
      </c>
      <c r="P89" s="364"/>
      <c r="Q89" s="364"/>
      <c r="R89" s="364">
        <f>индексы!L9</f>
        <v>1.0389999999999999</v>
      </c>
      <c r="U89" s="367"/>
      <c r="V89" s="369"/>
      <c r="W89" s="367"/>
      <c r="X89" s="367"/>
    </row>
    <row r="90" spans="2:27" s="4" customFormat="1" ht="35.25" customHeight="1" thickBot="1">
      <c r="B90" s="16" t="s">
        <v>500</v>
      </c>
      <c r="C90" s="16"/>
      <c r="D90" s="44"/>
      <c r="E90" s="44"/>
      <c r="F90" s="35">
        <f>E93/D93</f>
        <v>1.1069746484759537</v>
      </c>
      <c r="G90" s="44"/>
      <c r="H90" s="44"/>
      <c r="I90" s="35">
        <f>H93/G93</f>
        <v>1</v>
      </c>
      <c r="J90" s="44"/>
      <c r="K90" s="44"/>
      <c r="L90" s="35">
        <f>K93/J93</f>
        <v>1</v>
      </c>
      <c r="M90" s="44"/>
      <c r="N90" s="44"/>
      <c r="O90" s="35">
        <f>N93/M93</f>
        <v>1</v>
      </c>
      <c r="P90" s="44"/>
      <c r="Q90" s="44"/>
      <c r="R90" s="35">
        <f>Q93/P93</f>
        <v>1</v>
      </c>
      <c r="U90" s="7"/>
      <c r="V90" s="370"/>
      <c r="W90" s="7"/>
      <c r="X90" s="7"/>
    </row>
    <row r="91" spans="2:27" ht="36.75" customHeight="1">
      <c r="B91" s="11" t="str">
        <f>B4</f>
        <v>Показатель</v>
      </c>
      <c r="C91" s="24" t="str">
        <f>C4</f>
        <v>Ед.изм.</v>
      </c>
      <c r="D91" s="45" t="s">
        <v>198</v>
      </c>
      <c r="E91" s="46" t="s">
        <v>199</v>
      </c>
      <c r="F91" s="47" t="s">
        <v>36</v>
      </c>
      <c r="G91" s="45" t="s">
        <v>201</v>
      </c>
      <c r="H91" s="46" t="s">
        <v>202</v>
      </c>
      <c r="I91" s="47" t="s">
        <v>36</v>
      </c>
      <c r="J91" s="45" t="s">
        <v>204</v>
      </c>
      <c r="K91" s="46" t="s">
        <v>205</v>
      </c>
      <c r="L91" s="47" t="s">
        <v>36</v>
      </c>
      <c r="M91" s="45" t="s">
        <v>242</v>
      </c>
      <c r="N91" s="46" t="s">
        <v>243</v>
      </c>
      <c r="O91" s="47" t="s">
        <v>36</v>
      </c>
      <c r="P91" s="45" t="s">
        <v>263</v>
      </c>
      <c r="Q91" s="46" t="s">
        <v>264</v>
      </c>
      <c r="R91" s="47" t="s">
        <v>36</v>
      </c>
      <c r="S91" s="4"/>
      <c r="T91" s="4"/>
      <c r="U91" s="4"/>
      <c r="V91" s="371"/>
      <c r="W91" s="4"/>
      <c r="X91" s="4"/>
      <c r="Y91" s="4"/>
      <c r="Z91" s="4"/>
      <c r="AA91" s="4"/>
    </row>
    <row r="92" spans="2:27" ht="24.75" customHeight="1">
      <c r="B92" s="5" t="s">
        <v>24</v>
      </c>
      <c r="C92" s="6" t="s">
        <v>22</v>
      </c>
      <c r="D92" s="722">
        <f>индексы!E129</f>
        <v>221.77453851433191</v>
      </c>
      <c r="E92" s="13">
        <f>индексы!F129</f>
        <v>152.17546148566808</v>
      </c>
      <c r="F92" s="741">
        <f>индексы!G129</f>
        <v>373.95</v>
      </c>
      <c r="G92" s="722">
        <f>индексы!H129</f>
        <v>221.77453851433191</v>
      </c>
      <c r="H92" s="13">
        <f>индексы!I129</f>
        <v>152.17546148566808</v>
      </c>
      <c r="I92" s="741">
        <f>индексы!J129</f>
        <v>373.95</v>
      </c>
      <c r="J92" s="722">
        <f>индексы!K129</f>
        <v>221.77453851433191</v>
      </c>
      <c r="K92" s="13">
        <f>индексы!L129</f>
        <v>152.17546148566808</v>
      </c>
      <c r="L92" s="741">
        <f>индексы!M129</f>
        <v>373.95</v>
      </c>
      <c r="M92" s="722">
        <f>индексы!N129</f>
        <v>221.77453851433191</v>
      </c>
      <c r="N92" s="13">
        <f>индексы!O129</f>
        <v>152.17546148566808</v>
      </c>
      <c r="O92" s="741">
        <f>индексы!P129</f>
        <v>373.95</v>
      </c>
      <c r="P92" s="722">
        <f>индексы!Q129</f>
        <v>221.77453851433191</v>
      </c>
      <c r="Q92" s="13">
        <f>индексы!R129</f>
        <v>152.17546148566808</v>
      </c>
      <c r="R92" s="741">
        <f>индексы!S129</f>
        <v>373.95</v>
      </c>
      <c r="S92" s="4"/>
      <c r="T92" s="4"/>
      <c r="U92" s="4"/>
      <c r="V92" s="371"/>
      <c r="W92" s="4"/>
      <c r="X92" s="4"/>
      <c r="Y92" s="4"/>
      <c r="Z92" s="4"/>
      <c r="AA92" s="4"/>
    </row>
    <row r="93" spans="2:27" ht="24.75" customHeight="1" thickBot="1">
      <c r="B93" s="260" t="s">
        <v>25</v>
      </c>
      <c r="C93" s="261" t="s">
        <v>23</v>
      </c>
      <c r="D93" s="418">
        <v>6.12547</v>
      </c>
      <c r="E93" s="419">
        <v>6.7807399999999998</v>
      </c>
      <c r="F93" s="420">
        <f>ROUND(F94/F92,4)</f>
        <v>6.3921000000000001</v>
      </c>
      <c r="G93" s="421">
        <f>I93</f>
        <v>6.6605999999999996</v>
      </c>
      <c r="H93" s="419">
        <f>I93</f>
        <v>6.6605999999999996</v>
      </c>
      <c r="I93" s="1251">
        <f>ROUND(F93*I89,4)</f>
        <v>6.6605999999999996</v>
      </c>
      <c r="J93" s="421">
        <f>L93</f>
        <v>6.9269999999999996</v>
      </c>
      <c r="K93" s="419">
        <f>L93</f>
        <v>6.9269999999999996</v>
      </c>
      <c r="L93" s="758">
        <f>ROUND(I93*L89,4)</f>
        <v>6.9269999999999996</v>
      </c>
      <c r="M93" s="421">
        <f t="shared" ref="M93" si="318">O93</f>
        <v>7.2041000000000004</v>
      </c>
      <c r="N93" s="419">
        <f t="shared" ref="N93" si="319">O93</f>
        <v>7.2041000000000004</v>
      </c>
      <c r="O93" s="758">
        <f>ROUND(L93*O89,4)</f>
        <v>7.2041000000000004</v>
      </c>
      <c r="P93" s="421">
        <f t="shared" ref="P93" si="320">R93</f>
        <v>7.4851000000000001</v>
      </c>
      <c r="Q93" s="419">
        <f t="shared" ref="Q93" si="321">R93</f>
        <v>7.4851000000000001</v>
      </c>
      <c r="R93" s="758">
        <f>ROUND(O93*R89,4)</f>
        <v>7.4851000000000001</v>
      </c>
      <c r="S93" s="4"/>
      <c r="T93" s="4"/>
      <c r="U93" s="4"/>
      <c r="V93" s="4"/>
      <c r="W93" s="4"/>
      <c r="X93" s="4"/>
      <c r="Y93" s="4"/>
      <c r="Z93" s="4"/>
      <c r="AA93" s="4"/>
    </row>
    <row r="94" spans="2:27" ht="24.75" customHeight="1" thickBot="1">
      <c r="B94" s="264" t="s">
        <v>26</v>
      </c>
      <c r="C94" s="265" t="s">
        <v>21</v>
      </c>
      <c r="D94" s="266">
        <f>ROUND(D92*D93,2)</f>
        <v>1358.47</v>
      </c>
      <c r="E94" s="267">
        <f>ROUND(E92*E93,2)</f>
        <v>1031.8599999999999</v>
      </c>
      <c r="F94" s="268">
        <f>D94+E94</f>
        <v>2390.33</v>
      </c>
      <c r="G94" s="266">
        <f>ROUND(G92*G93,2)</f>
        <v>1477.15</v>
      </c>
      <c r="H94" s="267">
        <f>ROUND(H92*H93,2)</f>
        <v>1013.58</v>
      </c>
      <c r="I94" s="268">
        <f t="shared" ref="I94" si="322">G94+H94</f>
        <v>2490.73</v>
      </c>
      <c r="J94" s="266">
        <f>ROUND(J92*J93,2)</f>
        <v>1536.23</v>
      </c>
      <c r="K94" s="267">
        <f>ROUND(K92*K93,2)</f>
        <v>1054.1199999999999</v>
      </c>
      <c r="L94" s="268">
        <f t="shared" ref="L94" si="323">J94+K94</f>
        <v>2590.35</v>
      </c>
      <c r="M94" s="266">
        <f>ROUND(M92*M93,2)</f>
        <v>1597.69</v>
      </c>
      <c r="N94" s="267">
        <f>ROUND(N92*N93,2)</f>
        <v>1096.29</v>
      </c>
      <c r="O94" s="268">
        <f t="shared" ref="O94" si="324">M94+N94</f>
        <v>2693.98</v>
      </c>
      <c r="P94" s="266">
        <f>ROUND(P92*P93,2)</f>
        <v>1660</v>
      </c>
      <c r="Q94" s="267">
        <f>ROUND(Q92*Q93,2)</f>
        <v>1139.05</v>
      </c>
      <c r="R94" s="268">
        <f t="shared" ref="R94" si="325">P94+Q94</f>
        <v>2799.05</v>
      </c>
      <c r="S94" s="4"/>
      <c r="T94" s="4"/>
      <c r="U94" s="4"/>
      <c r="V94" s="4"/>
      <c r="W94" s="4"/>
      <c r="X94" s="4"/>
      <c r="Y94" s="4"/>
      <c r="Z94" s="4"/>
      <c r="AA94" s="4"/>
    </row>
    <row r="95" spans="2:27" ht="24.75" customHeight="1">
      <c r="B95" s="387" t="s">
        <v>226</v>
      </c>
      <c r="C95" s="388"/>
      <c r="D95" s="388"/>
      <c r="E95" s="388"/>
      <c r="F95" s="388"/>
      <c r="G95" s="42"/>
      <c r="H95" s="42"/>
      <c r="I95" s="43"/>
      <c r="J95" s="42"/>
      <c r="K95" s="42"/>
      <c r="L95" s="43"/>
      <c r="M95" s="42"/>
      <c r="N95" s="42"/>
      <c r="O95" s="43"/>
      <c r="P95" s="42"/>
      <c r="Q95" s="42"/>
      <c r="R95" s="43"/>
      <c r="S95" s="4"/>
      <c r="T95" s="4"/>
      <c r="U95" s="4"/>
      <c r="V95" s="4"/>
      <c r="W95" s="4"/>
      <c r="X95" s="4"/>
      <c r="Y95" s="4"/>
      <c r="Z95" s="4"/>
      <c r="AA95" s="4"/>
    </row>
    <row r="96" spans="2:27" ht="24.75" customHeight="1">
      <c r="B96" s="389" t="s">
        <v>24</v>
      </c>
      <c r="C96" s="390" t="s">
        <v>22</v>
      </c>
      <c r="D96" s="391"/>
      <c r="E96" s="391"/>
      <c r="F96" s="391">
        <v>404.68</v>
      </c>
      <c r="G96" s="42"/>
      <c r="H96" s="42"/>
      <c r="I96" s="43"/>
      <c r="J96" s="42"/>
      <c r="K96" s="42"/>
      <c r="L96" s="43"/>
      <c r="M96" s="42"/>
      <c r="N96" s="42"/>
      <c r="O96" s="43"/>
      <c r="P96" s="42"/>
      <c r="Q96" s="42"/>
      <c r="R96" s="43"/>
      <c r="S96" s="4"/>
      <c r="T96" s="4"/>
      <c r="U96" s="4"/>
      <c r="V96" s="4"/>
      <c r="W96" s="4"/>
      <c r="X96" s="4"/>
      <c r="Y96" s="4"/>
      <c r="Z96" s="4"/>
      <c r="AA96" s="4"/>
    </row>
    <row r="97" spans="2:27" ht="24.75" customHeight="1">
      <c r="B97" s="389" t="s">
        <v>25</v>
      </c>
      <c r="C97" s="390" t="s">
        <v>23</v>
      </c>
      <c r="D97" s="392"/>
      <c r="E97" s="392"/>
      <c r="F97" s="392">
        <f>F98/F96</f>
        <v>6.421271127804685</v>
      </c>
      <c r="G97" s="401"/>
      <c r="H97" s="42"/>
      <c r="I97" s="43"/>
      <c r="J97" s="42"/>
      <c r="K97" s="42"/>
      <c r="L97" s="43"/>
      <c r="M97" s="42"/>
      <c r="N97" s="42"/>
      <c r="O97" s="43"/>
      <c r="P97" s="42"/>
      <c r="Q97" s="42"/>
      <c r="R97" s="43"/>
      <c r="S97" s="4"/>
      <c r="T97" s="4"/>
      <c r="U97" s="4"/>
      <c r="V97" s="4"/>
      <c r="W97" s="4"/>
      <c r="X97" s="4"/>
      <c r="Y97" s="4"/>
      <c r="Z97" s="4"/>
      <c r="AA97" s="4"/>
    </row>
    <row r="98" spans="2:27" ht="24.75" customHeight="1">
      <c r="B98" s="389" t="s">
        <v>26</v>
      </c>
      <c r="C98" s="390" t="s">
        <v>21</v>
      </c>
      <c r="D98" s="393"/>
      <c r="E98" s="393"/>
      <c r="F98" s="394">
        <v>2598.56</v>
      </c>
      <c r="G98" s="42"/>
      <c r="H98" s="42"/>
      <c r="I98" s="43"/>
      <c r="J98" s="42"/>
      <c r="K98" s="42"/>
      <c r="L98" s="43"/>
      <c r="M98" s="42"/>
      <c r="N98" s="42"/>
      <c r="O98" s="43"/>
      <c r="P98" s="42"/>
      <c r="Q98" s="42"/>
      <c r="R98" s="43"/>
      <c r="S98" s="4"/>
      <c r="T98" s="4"/>
      <c r="U98" s="4"/>
      <c r="V98" s="4"/>
      <c r="W98" s="4"/>
      <c r="X98" s="4"/>
      <c r="Y98" s="4"/>
      <c r="Z98" s="4"/>
      <c r="AA98" s="4"/>
    </row>
    <row r="99" spans="2:27" s="4" customFormat="1">
      <c r="C99" s="7"/>
      <c r="D99" s="48"/>
      <c r="E99" s="49"/>
      <c r="F99" s="50"/>
      <c r="G99" s="48"/>
      <c r="H99" s="49"/>
      <c r="I99" s="50"/>
      <c r="J99" s="48"/>
      <c r="K99" s="49"/>
      <c r="L99" s="50"/>
      <c r="M99" s="48"/>
      <c r="N99" s="49"/>
      <c r="O99" s="50"/>
      <c r="P99" s="48"/>
      <c r="Q99" s="49"/>
      <c r="R99" s="50"/>
    </row>
    <row r="100" spans="2:27" s="10" customFormat="1" ht="19.5" customHeight="1">
      <c r="B100" s="365" t="s">
        <v>2</v>
      </c>
      <c r="C100" s="366"/>
      <c r="D100" s="365"/>
      <c r="E100" s="29"/>
      <c r="F100" s="364">
        <f>индексы!H10</f>
        <v>1.08</v>
      </c>
      <c r="G100" s="364"/>
      <c r="H100" s="364"/>
      <c r="I100" s="364">
        <f>индексы!I10</f>
        <v>1.08</v>
      </c>
      <c r="J100" s="364"/>
      <c r="K100" s="364"/>
      <c r="L100" s="364">
        <f>индексы!J10</f>
        <v>1.04</v>
      </c>
      <c r="M100" s="364"/>
      <c r="N100" s="364"/>
      <c r="O100" s="364">
        <f>индексы!K10</f>
        <v>1.04</v>
      </c>
      <c r="P100" s="364"/>
      <c r="Q100" s="364"/>
      <c r="R100" s="364">
        <f>индексы!L10</f>
        <v>1.04</v>
      </c>
    </row>
    <row r="101" spans="2:27" s="4" customFormat="1" ht="17.25" customHeight="1" thickBot="1">
      <c r="B101" s="16"/>
      <c r="C101" s="16"/>
      <c r="D101" s="44"/>
      <c r="E101" s="44"/>
      <c r="F101" s="44">
        <f>индексы!H11</f>
        <v>1.07</v>
      </c>
      <c r="G101" s="44"/>
      <c r="H101" s="44"/>
      <c r="I101" s="44">
        <f>индексы!I11</f>
        <v>1.07</v>
      </c>
      <c r="J101" s="44"/>
      <c r="K101" s="44"/>
      <c r="L101" s="44">
        <f>индексы!J11</f>
        <v>1.04</v>
      </c>
      <c r="M101" s="44"/>
      <c r="N101" s="44"/>
      <c r="O101" s="44">
        <f>индексы!K11</f>
        <v>1.04</v>
      </c>
      <c r="P101" s="44"/>
      <c r="Q101" s="44"/>
      <c r="R101" s="44">
        <f>индексы!L11</f>
        <v>1.04</v>
      </c>
    </row>
    <row r="102" spans="2:27" ht="26.25" customHeight="1">
      <c r="B102" s="11" t="str">
        <f>B91</f>
        <v>Показатель</v>
      </c>
      <c r="C102" s="24" t="str">
        <f>C91</f>
        <v>Ед.изм.</v>
      </c>
      <c r="D102" s="45" t="s">
        <v>198</v>
      </c>
      <c r="E102" s="46" t="s">
        <v>199</v>
      </c>
      <c r="F102" s="47" t="s">
        <v>36</v>
      </c>
      <c r="G102" s="45" t="s">
        <v>201</v>
      </c>
      <c r="H102" s="46" t="s">
        <v>202</v>
      </c>
      <c r="I102" s="47" t="s">
        <v>36</v>
      </c>
      <c r="J102" s="45" t="s">
        <v>204</v>
      </c>
      <c r="K102" s="46" t="s">
        <v>205</v>
      </c>
      <c r="L102" s="47" t="s">
        <v>36</v>
      </c>
      <c r="M102" s="45" t="s">
        <v>242</v>
      </c>
      <c r="N102" s="46" t="s">
        <v>243</v>
      </c>
      <c r="O102" s="47" t="s">
        <v>36</v>
      </c>
      <c r="P102" s="45" t="s">
        <v>263</v>
      </c>
      <c r="Q102" s="46" t="s">
        <v>264</v>
      </c>
      <c r="R102" s="47" t="s">
        <v>36</v>
      </c>
    </row>
    <row r="103" spans="2:27" ht="26.25" customHeight="1">
      <c r="B103" s="11" t="s">
        <v>225</v>
      </c>
      <c r="C103" s="24"/>
      <c r="D103" s="51"/>
      <c r="E103" s="52"/>
      <c r="F103" s="35">
        <f>E105/D105</f>
        <v>1.0800116380564446</v>
      </c>
      <c r="G103" s="51"/>
      <c r="H103" s="52"/>
      <c r="I103" s="35">
        <f t="shared" ref="I103" si="326">H105/G105</f>
        <v>1.0800107758620692</v>
      </c>
      <c r="J103" s="51"/>
      <c r="K103" s="52"/>
      <c r="L103" s="35">
        <f t="shared" ref="L103" si="327">K105/J105</f>
        <v>1.0399102020453976</v>
      </c>
      <c r="M103" s="51"/>
      <c r="N103" s="52"/>
      <c r="O103" s="35">
        <f t="shared" ref="O103" si="328">N105/M105</f>
        <v>1.0400575677620534</v>
      </c>
      <c r="P103" s="51"/>
      <c r="Q103" s="52"/>
      <c r="R103" s="35">
        <f t="shared" ref="R103" si="329">Q105/P105</f>
        <v>1.0398985239852399</v>
      </c>
    </row>
    <row r="104" spans="2:27" s="18" customFormat="1" ht="17.25" customHeight="1">
      <c r="B104" s="5" t="s">
        <v>28</v>
      </c>
      <c r="C104" s="6" t="s">
        <v>29</v>
      </c>
      <c r="D104" s="767">
        <f>индексы!E135</f>
        <v>284.66848341232225</v>
      </c>
      <c r="E104" s="25">
        <f>индексы!F135</f>
        <v>195.33151658767775</v>
      </c>
      <c r="F104" s="768">
        <f>индексы!G135</f>
        <v>480</v>
      </c>
      <c r="G104" s="767">
        <f>D104</f>
        <v>284.66848341232225</v>
      </c>
      <c r="H104" s="25">
        <f>E104</f>
        <v>195.33151658767775</v>
      </c>
      <c r="I104" s="768">
        <f>F104</f>
        <v>480</v>
      </c>
      <c r="J104" s="767">
        <f>D104</f>
        <v>284.66848341232225</v>
      </c>
      <c r="K104" s="25">
        <f>E104</f>
        <v>195.33151658767775</v>
      </c>
      <c r="L104" s="768">
        <f>F104</f>
        <v>480</v>
      </c>
      <c r="M104" s="767">
        <f>D104</f>
        <v>284.66848341232225</v>
      </c>
      <c r="N104" s="25">
        <f>E104</f>
        <v>195.33151658767775</v>
      </c>
      <c r="O104" s="768">
        <f>F104</f>
        <v>480</v>
      </c>
      <c r="P104" s="767">
        <f>D104</f>
        <v>284.66848341232225</v>
      </c>
      <c r="Q104" s="25">
        <f>E104</f>
        <v>195.33151658767775</v>
      </c>
      <c r="R104" s="768">
        <f>F104</f>
        <v>480</v>
      </c>
    </row>
    <row r="105" spans="2:27" s="18" customFormat="1" ht="17.25" customHeight="1" thickBot="1">
      <c r="B105" s="260" t="s">
        <v>209</v>
      </c>
      <c r="C105" s="261" t="s">
        <v>19</v>
      </c>
      <c r="D105" s="271">
        <f>индексы!E52</f>
        <v>34.369999999999997</v>
      </c>
      <c r="E105" s="395">
        <f>ROUND(D105*F100,2)</f>
        <v>37.119999999999997</v>
      </c>
      <c r="F105" s="396">
        <f>F106*1000/F104</f>
        <v>35.479166666666664</v>
      </c>
      <c r="G105" s="271">
        <f>E105</f>
        <v>37.119999999999997</v>
      </c>
      <c r="H105" s="395">
        <f>ROUND(G105*I100,2)</f>
        <v>40.090000000000003</v>
      </c>
      <c r="I105" s="396">
        <f>I106*1000/I104</f>
        <v>38.333333333333336</v>
      </c>
      <c r="J105" s="271">
        <f t="shared" ref="J105" si="330">H105</f>
        <v>40.090000000000003</v>
      </c>
      <c r="K105" s="395">
        <f t="shared" ref="K105" si="331">ROUND(J105*L100,2)</f>
        <v>41.69</v>
      </c>
      <c r="L105" s="396">
        <f t="shared" ref="L105" si="332">L106*1000/L104</f>
        <v>40.729166666666664</v>
      </c>
      <c r="M105" s="271">
        <f t="shared" ref="M105" si="333">K105</f>
        <v>41.69</v>
      </c>
      <c r="N105" s="395">
        <f t="shared" ref="N105" si="334">ROUND(M105*O100,2)</f>
        <v>43.36</v>
      </c>
      <c r="O105" s="396">
        <f t="shared" ref="O105" si="335">O106*1000/O104</f>
        <v>42.375</v>
      </c>
      <c r="P105" s="271">
        <f t="shared" ref="P105" si="336">N105</f>
        <v>43.36</v>
      </c>
      <c r="Q105" s="395">
        <f>ROUND(P105*R100,2)</f>
        <v>45.09</v>
      </c>
      <c r="R105" s="396">
        <f t="shared" ref="R105" si="337">R106*1000/R104</f>
        <v>44.0625</v>
      </c>
    </row>
    <row r="106" spans="2:27" s="18" customFormat="1" ht="17.25" customHeight="1" thickBot="1">
      <c r="B106" s="264" t="s">
        <v>30</v>
      </c>
      <c r="C106" s="265" t="s">
        <v>21</v>
      </c>
      <c r="D106" s="286">
        <f>ROUND(D105*D104/1000,2)</f>
        <v>9.7799999999999994</v>
      </c>
      <c r="E106" s="287">
        <f>ROUND(E105*E104/1000,2)</f>
        <v>7.25</v>
      </c>
      <c r="F106" s="288">
        <f>D106+E106</f>
        <v>17.03</v>
      </c>
      <c r="G106" s="286">
        <f>ROUND(G105*G104/1000,2)</f>
        <v>10.57</v>
      </c>
      <c r="H106" s="287">
        <f>ROUND(H105*H104/1000,2)</f>
        <v>7.83</v>
      </c>
      <c r="I106" s="288">
        <f t="shared" ref="I106" si="338">G106+H106</f>
        <v>18.399999999999999</v>
      </c>
      <c r="J106" s="286">
        <f>ROUND(J105*J104/1000,2)</f>
        <v>11.41</v>
      </c>
      <c r="K106" s="287">
        <f>ROUND(K105*K104/1000,2)</f>
        <v>8.14</v>
      </c>
      <c r="L106" s="288">
        <f t="shared" ref="L106" si="339">J106+K106</f>
        <v>19.55</v>
      </c>
      <c r="M106" s="286">
        <f>ROUND(M105*M104/1000,2)</f>
        <v>11.87</v>
      </c>
      <c r="N106" s="287">
        <f>ROUND(N105*N104/1000,2)</f>
        <v>8.4700000000000006</v>
      </c>
      <c r="O106" s="288">
        <f t="shared" ref="O106" si="340">M106+N106</f>
        <v>20.34</v>
      </c>
      <c r="P106" s="286">
        <f>ROUND(P105*P104/1000,2)</f>
        <v>12.34</v>
      </c>
      <c r="Q106" s="287">
        <f>ROUND(Q105*Q104/1000,2)</f>
        <v>8.81</v>
      </c>
      <c r="R106" s="288">
        <f t="shared" ref="R106" si="341">P106+Q106</f>
        <v>21.15</v>
      </c>
    </row>
    <row r="107" spans="2:27" ht="25.5">
      <c r="B107" s="281" t="s">
        <v>213</v>
      </c>
      <c r="C107" s="282"/>
      <c r="D107" s="283"/>
      <c r="E107" s="284"/>
      <c r="F107" s="285">
        <f>E109/D109</f>
        <v>1.079940417080437</v>
      </c>
      <c r="G107" s="283"/>
      <c r="H107" s="284"/>
      <c r="I107" s="285">
        <f t="shared" ref="I107" si="342">H109/G109</f>
        <v>1.0799999999999998</v>
      </c>
      <c r="J107" s="283"/>
      <c r="K107" s="284"/>
      <c r="L107" s="285">
        <f t="shared" ref="L107" si="343">K109/J109</f>
        <v>1.0400170285227757</v>
      </c>
      <c r="M107" s="283"/>
      <c r="N107" s="284"/>
      <c r="O107" s="285">
        <f t="shared" ref="O107" si="344">N109/M109</f>
        <v>1.0399099467867376</v>
      </c>
      <c r="P107" s="283"/>
      <c r="Q107" s="284"/>
      <c r="R107" s="285">
        <f t="shared" ref="R107" si="345">Q109/P109</f>
        <v>1.0399527652037002</v>
      </c>
    </row>
    <row r="108" spans="2:27" s="18" customFormat="1" ht="19.5" customHeight="1">
      <c r="B108" s="5" t="s">
        <v>31</v>
      </c>
      <c r="C108" s="6" t="s">
        <v>29</v>
      </c>
      <c r="D108" s="767">
        <f>индексы!E141</f>
        <v>201.64017407373404</v>
      </c>
      <c r="E108" s="25">
        <f>индексы!F141</f>
        <v>138.35982592626596</v>
      </c>
      <c r="F108" s="768">
        <f>индексы!G141</f>
        <v>340</v>
      </c>
      <c r="G108" s="767">
        <f>индексы!H141</f>
        <v>201.64017407373404</v>
      </c>
      <c r="H108" s="25">
        <f>индексы!I141</f>
        <v>138.35982592626596</v>
      </c>
      <c r="I108" s="768">
        <f>индексы!J141</f>
        <v>340</v>
      </c>
      <c r="J108" s="767">
        <f>индексы!K141</f>
        <v>201.64017407373404</v>
      </c>
      <c r="K108" s="25">
        <f>индексы!L141</f>
        <v>138.35982592626596</v>
      </c>
      <c r="L108" s="768">
        <f>индексы!M141</f>
        <v>340</v>
      </c>
      <c r="M108" s="767">
        <f>индексы!N141</f>
        <v>201.64017407373404</v>
      </c>
      <c r="N108" s="25">
        <f>индексы!O141</f>
        <v>138.35982592626596</v>
      </c>
      <c r="O108" s="768">
        <f>индексы!P141</f>
        <v>340</v>
      </c>
      <c r="P108" s="767">
        <f>индексы!Q141</f>
        <v>201.64017407373404</v>
      </c>
      <c r="Q108" s="25">
        <f>индексы!R141</f>
        <v>138.35982592626596</v>
      </c>
      <c r="R108" s="768">
        <f>индексы!S141</f>
        <v>340</v>
      </c>
    </row>
    <row r="109" spans="2:27" s="18" customFormat="1" ht="19.5" customHeight="1" thickBot="1">
      <c r="B109" s="260" t="s">
        <v>210</v>
      </c>
      <c r="C109" s="261" t="s">
        <v>19</v>
      </c>
      <c r="D109" s="262">
        <f>индексы!E55</f>
        <v>40.28</v>
      </c>
      <c r="E109" s="318">
        <f>ROUND(D109*F100,2)</f>
        <v>43.5</v>
      </c>
      <c r="F109" s="280">
        <f>F110*1000/F108</f>
        <v>41.588235294117645</v>
      </c>
      <c r="G109" s="262">
        <f>E109</f>
        <v>43.5</v>
      </c>
      <c r="H109" s="318">
        <f>ROUND(G109*I100,2)</f>
        <v>46.98</v>
      </c>
      <c r="I109" s="280">
        <f>I110*1000/I108</f>
        <v>44.911764705882355</v>
      </c>
      <c r="J109" s="262">
        <f t="shared" ref="J109" si="346">H109</f>
        <v>46.98</v>
      </c>
      <c r="K109" s="318">
        <f t="shared" ref="K109" si="347">ROUND(J109*L100,2)</f>
        <v>48.86</v>
      </c>
      <c r="L109" s="280">
        <f t="shared" ref="L109" si="348">L110*1000/L108</f>
        <v>47.735294117647058</v>
      </c>
      <c r="M109" s="262">
        <f t="shared" ref="M109" si="349">K109</f>
        <v>48.86</v>
      </c>
      <c r="N109" s="318">
        <f t="shared" ref="N109" si="350">ROUND(M109*O100,2)</f>
        <v>50.81</v>
      </c>
      <c r="O109" s="280">
        <f t="shared" ref="O109" si="351">O110*1000/O108</f>
        <v>49.647058823529413</v>
      </c>
      <c r="P109" s="262">
        <f t="shared" ref="P109" si="352">N109</f>
        <v>50.81</v>
      </c>
      <c r="Q109" s="318">
        <f t="shared" ref="Q109" si="353">ROUND(P109*R100,2)</f>
        <v>52.84</v>
      </c>
      <c r="R109" s="280">
        <f t="shared" ref="R109" si="354">R110*1000/R108</f>
        <v>51.647058823529413</v>
      </c>
    </row>
    <row r="110" spans="2:27" s="18" customFormat="1" ht="19.5" customHeight="1" thickBot="1">
      <c r="B110" s="264" t="s">
        <v>32</v>
      </c>
      <c r="C110" s="265" t="s">
        <v>21</v>
      </c>
      <c r="D110" s="286">
        <f>ROUND(D109*D108/1000,2)</f>
        <v>8.1199999999999992</v>
      </c>
      <c r="E110" s="287">
        <f>ROUND(E109*E108/1000,2)</f>
        <v>6.02</v>
      </c>
      <c r="F110" s="288">
        <f>D110+E110</f>
        <v>14.139999999999999</v>
      </c>
      <c r="G110" s="286">
        <f>ROUND(G109*G108/1000,2)</f>
        <v>8.77</v>
      </c>
      <c r="H110" s="287">
        <f>ROUND(H109*H108/1000,2)</f>
        <v>6.5</v>
      </c>
      <c r="I110" s="288">
        <f t="shared" ref="I110" si="355">G110+H110</f>
        <v>15.27</v>
      </c>
      <c r="J110" s="286">
        <f>ROUND(J109*J108/1000,2)</f>
        <v>9.4700000000000006</v>
      </c>
      <c r="K110" s="287">
        <f>ROUND(K109*K108/1000,2)</f>
        <v>6.76</v>
      </c>
      <c r="L110" s="288">
        <f t="shared" ref="L110" si="356">J110+K110</f>
        <v>16.23</v>
      </c>
      <c r="M110" s="286">
        <f>ROUND(M109*M108/1000,2)</f>
        <v>9.85</v>
      </c>
      <c r="N110" s="287">
        <f>ROUND(N109*N108/1000,2)</f>
        <v>7.03</v>
      </c>
      <c r="O110" s="288">
        <f t="shared" ref="O110" si="357">M110+N110</f>
        <v>16.88</v>
      </c>
      <c r="P110" s="286">
        <f>ROUND(P109*P108/1000,2)</f>
        <v>10.25</v>
      </c>
      <c r="Q110" s="287">
        <f>ROUND(Q109*Q108/1000,2)</f>
        <v>7.31</v>
      </c>
      <c r="R110" s="288">
        <f t="shared" ref="R110" si="358">P110+Q110</f>
        <v>17.559999999999999</v>
      </c>
    </row>
    <row r="111" spans="2:27" ht="42" customHeight="1" outlineLevel="1">
      <c r="B111" s="1094" t="s">
        <v>212</v>
      </c>
      <c r="C111" s="1095"/>
      <c r="D111" s="1096"/>
      <c r="E111" s="1097"/>
      <c r="F111" s="1098">
        <f>E113/D113</f>
        <v>1.0800116380564446</v>
      </c>
      <c r="G111" s="1096"/>
      <c r="H111" s="1097"/>
      <c r="I111" s="1098">
        <f t="shared" ref="I111" si="359">H113/G113</f>
        <v>1.0800107758620692</v>
      </c>
      <c r="J111" s="1096"/>
      <c r="K111" s="1097"/>
      <c r="L111" s="1098">
        <f t="shared" ref="L111" si="360">K113/J113</f>
        <v>1.0399102020453976</v>
      </c>
      <c r="M111" s="1096"/>
      <c r="N111" s="1097"/>
      <c r="O111" s="1098">
        <f t="shared" ref="O111" si="361">N113/M113</f>
        <v>1.0400575677620534</v>
      </c>
      <c r="P111" s="1096"/>
      <c r="Q111" s="1097"/>
      <c r="R111" s="1098">
        <f t="shared" ref="R111" si="362">Q113/P113</f>
        <v>1.0398985239852399</v>
      </c>
    </row>
    <row r="112" spans="2:27" s="18" customFormat="1" ht="19.5" customHeight="1" outlineLevel="1">
      <c r="B112" s="1099" t="s">
        <v>28</v>
      </c>
      <c r="C112" s="1100" t="s">
        <v>29</v>
      </c>
      <c r="D112" s="767">
        <f>индексы!E136</f>
        <v>60425.632863531217</v>
      </c>
      <c r="E112" s="25">
        <f>индексы!F136</f>
        <v>41462.367136468783</v>
      </c>
      <c r="F112" s="1101">
        <f>индексы!G136</f>
        <v>101888</v>
      </c>
      <c r="G112" s="767">
        <f>индексы!H136</f>
        <v>60425.632863531217</v>
      </c>
      <c r="H112" s="25">
        <f>индексы!I136</f>
        <v>41462.367136468783</v>
      </c>
      <c r="I112" s="1101">
        <f>индексы!J136</f>
        <v>101888</v>
      </c>
      <c r="J112" s="767">
        <f>индексы!K136</f>
        <v>60425.632863531217</v>
      </c>
      <c r="K112" s="25">
        <f>индексы!L136</f>
        <v>41462.367136468783</v>
      </c>
      <c r="L112" s="1101">
        <f>индексы!M136</f>
        <v>101888</v>
      </c>
      <c r="M112" s="767">
        <f>индексы!N136</f>
        <v>60425.632863531217</v>
      </c>
      <c r="N112" s="25">
        <f>индексы!O136</f>
        <v>41462.367136468783</v>
      </c>
      <c r="O112" s="1101">
        <f>индексы!P136</f>
        <v>101888</v>
      </c>
      <c r="P112" s="767">
        <f>индексы!Q136</f>
        <v>60425.632863531217</v>
      </c>
      <c r="Q112" s="25">
        <f>индексы!R136</f>
        <v>41462.367136468783</v>
      </c>
      <c r="R112" s="1102">
        <f>индексы!S136</f>
        <v>101888</v>
      </c>
    </row>
    <row r="113" spans="2:18" s="18" customFormat="1" ht="19.5" customHeight="1" outlineLevel="1">
      <c r="B113" s="1099" t="s">
        <v>209</v>
      </c>
      <c r="C113" s="1100" t="s">
        <v>19</v>
      </c>
      <c r="D113" s="769">
        <f>D105</f>
        <v>34.369999999999997</v>
      </c>
      <c r="E113" s="749">
        <f>E105</f>
        <v>37.119999999999997</v>
      </c>
      <c r="F113" s="280">
        <f>F114*1000/F112</f>
        <v>35.4890664258794</v>
      </c>
      <c r="G113" s="769">
        <f t="shared" ref="G113:H113" si="363">G105</f>
        <v>37.119999999999997</v>
      </c>
      <c r="H113" s="749">
        <f t="shared" si="363"/>
        <v>40.090000000000003</v>
      </c>
      <c r="I113" s="280">
        <f t="shared" ref="I113" si="364">I114*1000/I112</f>
        <v>38.328654993718594</v>
      </c>
      <c r="J113" s="769">
        <f t="shared" ref="J113:K113" si="365">J105</f>
        <v>40.090000000000003</v>
      </c>
      <c r="K113" s="749">
        <f t="shared" si="365"/>
        <v>41.69</v>
      </c>
      <c r="L113" s="280">
        <f t="shared" ref="L113" si="366">L114*1000/L112</f>
        <v>40.741107883165824</v>
      </c>
      <c r="M113" s="769">
        <f t="shared" ref="M113:N113" si="367">M105</f>
        <v>41.69</v>
      </c>
      <c r="N113" s="749">
        <f t="shared" si="367"/>
        <v>43.36</v>
      </c>
      <c r="O113" s="280">
        <f t="shared" ref="O113" si="368">O114*1000/O112</f>
        <v>42.369562657035175</v>
      </c>
      <c r="P113" s="769">
        <f t="shared" ref="P113:Q113" si="369">P105</f>
        <v>43.36</v>
      </c>
      <c r="Q113" s="749">
        <f t="shared" si="369"/>
        <v>45.09</v>
      </c>
      <c r="R113" s="280">
        <f t="shared" ref="R113" si="370">R114*1000/R112</f>
        <v>44.064070351758794</v>
      </c>
    </row>
    <row r="114" spans="2:18" s="18" customFormat="1" ht="19.5" customHeight="1" outlineLevel="1" thickBot="1">
      <c r="B114" s="1103" t="s">
        <v>30</v>
      </c>
      <c r="C114" s="1104" t="s">
        <v>21</v>
      </c>
      <c r="D114" s="53">
        <f>ROUND(D113*D112/1000,2)</f>
        <v>2076.83</v>
      </c>
      <c r="E114" s="54">
        <f>ROUND(E113*E112/1000,2)</f>
        <v>1539.08</v>
      </c>
      <c r="F114" s="55">
        <f>D114+E114</f>
        <v>3615.91</v>
      </c>
      <c r="G114" s="53">
        <f t="shared" ref="G114:H114" si="371">ROUND(G113*G112/1000,2)</f>
        <v>2243</v>
      </c>
      <c r="H114" s="54">
        <f t="shared" si="371"/>
        <v>1662.23</v>
      </c>
      <c r="I114" s="55">
        <f t="shared" ref="I114" si="372">G114+H114</f>
        <v>3905.23</v>
      </c>
      <c r="J114" s="53">
        <f t="shared" ref="J114:K114" si="373">ROUND(J113*J112/1000,2)</f>
        <v>2422.46</v>
      </c>
      <c r="K114" s="54">
        <f t="shared" si="373"/>
        <v>1728.57</v>
      </c>
      <c r="L114" s="55">
        <f t="shared" ref="L114" si="374">J114+K114</f>
        <v>4151.03</v>
      </c>
      <c r="M114" s="53">
        <f t="shared" ref="M114:N114" si="375">ROUND(M113*M112/1000,2)</f>
        <v>2519.14</v>
      </c>
      <c r="N114" s="54">
        <f t="shared" si="375"/>
        <v>1797.81</v>
      </c>
      <c r="O114" s="55">
        <f t="shared" ref="O114" si="376">M114+N114</f>
        <v>4316.95</v>
      </c>
      <c r="P114" s="53">
        <f>ROUND(P113*P112/1000,2)</f>
        <v>2620.06</v>
      </c>
      <c r="Q114" s="54">
        <f t="shared" ref="Q114" si="377">ROUND(Q113*Q112/1000,2)</f>
        <v>1869.54</v>
      </c>
      <c r="R114" s="55">
        <f t="shared" ref="R114" si="378">P114+Q114</f>
        <v>4489.6000000000004</v>
      </c>
    </row>
    <row r="115" spans="2:18" s="18" customFormat="1" ht="19.5" customHeight="1" outlineLevel="1">
      <c r="B115" s="385"/>
      <c r="C115" s="386"/>
      <c r="D115" s="1092"/>
      <c r="E115" s="1092"/>
      <c r="F115" s="1093"/>
      <c r="G115" s="1092"/>
      <c r="H115" s="1092"/>
      <c r="I115" s="1093"/>
      <c r="J115" s="1092"/>
      <c r="K115" s="1092"/>
      <c r="L115" s="1093"/>
      <c r="M115" s="1092"/>
      <c r="N115" s="1092"/>
      <c r="O115" s="1093"/>
      <c r="P115" s="1092"/>
      <c r="Q115" s="1092"/>
      <c r="R115" s="1093"/>
    </row>
    <row r="116" spans="2:18" s="18" customFormat="1" ht="19.5" customHeight="1" outlineLevel="1">
      <c r="B116" s="1105" t="s">
        <v>405</v>
      </c>
      <c r="C116" s="386"/>
      <c r="D116" s="1092"/>
      <c r="E116" s="1092"/>
      <c r="F116" s="1093"/>
      <c r="G116" s="1092"/>
      <c r="H116" s="1092"/>
      <c r="I116" s="1093"/>
      <c r="J116" s="1092"/>
      <c r="K116" s="1092"/>
      <c r="L116" s="1093"/>
      <c r="M116" s="1092"/>
      <c r="N116" s="1092"/>
      <c r="O116" s="1093"/>
      <c r="P116" s="1092"/>
      <c r="Q116" s="1092"/>
      <c r="R116" s="1093"/>
    </row>
    <row r="117" spans="2:18" s="18" customFormat="1" ht="19.5" customHeight="1" outlineLevel="1">
      <c r="B117" s="1099" t="s">
        <v>28</v>
      </c>
      <c r="C117" s="1100" t="s">
        <v>29</v>
      </c>
      <c r="D117" s="767">
        <f>ROUND(индексы!E82/индексы!G82*'переменные на 5 лет'!F117,2)</f>
        <v>56935.48</v>
      </c>
      <c r="E117" s="25">
        <f>F117-D117</f>
        <v>39067.519999999997</v>
      </c>
      <c r="F117" s="1101">
        <v>96003</v>
      </c>
      <c r="G117" s="767">
        <f>D117</f>
        <v>56935.48</v>
      </c>
      <c r="H117" s="25">
        <f>I117-G117</f>
        <v>39067.519999999997</v>
      </c>
      <c r="I117" s="1101">
        <v>96003</v>
      </c>
      <c r="J117" s="767">
        <f>G117</f>
        <v>56935.48</v>
      </c>
      <c r="K117" s="25">
        <f>L117-J117</f>
        <v>39067.519999999997</v>
      </c>
      <c r="L117" s="1101">
        <v>96003</v>
      </c>
      <c r="M117" s="767">
        <f>J117</f>
        <v>56935.48</v>
      </c>
      <c r="N117" s="25">
        <f>O117-M117</f>
        <v>39067.519999999997</v>
      </c>
      <c r="O117" s="1101">
        <v>96003</v>
      </c>
      <c r="P117" s="767">
        <f>M117</f>
        <v>56935.48</v>
      </c>
      <c r="Q117" s="25">
        <f>R117-P117</f>
        <v>39067.519999999997</v>
      </c>
      <c r="R117" s="1101">
        <v>96003</v>
      </c>
    </row>
    <row r="118" spans="2:18" s="18" customFormat="1" ht="19.5" customHeight="1" outlineLevel="1">
      <c r="B118" s="1099" t="s">
        <v>209</v>
      </c>
      <c r="C118" s="1100" t="s">
        <v>19</v>
      </c>
      <c r="D118" s="769">
        <f>D113</f>
        <v>34.369999999999997</v>
      </c>
      <c r="E118" s="749">
        <f>E113</f>
        <v>37.119999999999997</v>
      </c>
      <c r="F118" s="280">
        <f>F119*1000/F117</f>
        <v>35.489099298980243</v>
      </c>
      <c r="G118" s="769">
        <f>G113</f>
        <v>37.119999999999997</v>
      </c>
      <c r="H118" s="749">
        <f>H113</f>
        <v>40.090000000000003</v>
      </c>
      <c r="I118" s="280">
        <f>I119*1000/I117</f>
        <v>38.328698061518914</v>
      </c>
      <c r="J118" s="769">
        <f>J113</f>
        <v>40.090000000000003</v>
      </c>
      <c r="K118" s="749">
        <f>K113</f>
        <v>41.69</v>
      </c>
      <c r="L118" s="280">
        <f>L119*1000/L117</f>
        <v>40.741018509838234</v>
      </c>
      <c r="M118" s="769">
        <f>M113</f>
        <v>41.69</v>
      </c>
      <c r="N118" s="749">
        <f>N113</f>
        <v>43.36</v>
      </c>
      <c r="O118" s="280">
        <f>O119*1000/O117</f>
        <v>42.369613449579695</v>
      </c>
      <c r="P118" s="769">
        <f>P113</f>
        <v>43.36</v>
      </c>
      <c r="Q118" s="749">
        <f>Q113</f>
        <v>45.09</v>
      </c>
      <c r="R118" s="280">
        <f>R119*1000/R117</f>
        <v>44.063935502015553</v>
      </c>
    </row>
    <row r="119" spans="2:18" s="18" customFormat="1" ht="19.5" customHeight="1" outlineLevel="1" thickBot="1">
      <c r="B119" s="1103" t="s">
        <v>30</v>
      </c>
      <c r="C119" s="1104" t="s">
        <v>21</v>
      </c>
      <c r="D119" s="53">
        <f>ROUND(D118*D117/1000,2)</f>
        <v>1956.87</v>
      </c>
      <c r="E119" s="54">
        <f>ROUND(E118*E117/1000,2)</f>
        <v>1450.19</v>
      </c>
      <c r="F119" s="55">
        <f>D119+E119</f>
        <v>3407.06</v>
      </c>
      <c r="G119" s="53">
        <f>ROUND(G118*G117/1000,2)</f>
        <v>2113.4499999999998</v>
      </c>
      <c r="H119" s="54">
        <f>ROUND(H118*H117/1000,2)</f>
        <v>1566.22</v>
      </c>
      <c r="I119" s="55">
        <f>G119+H119</f>
        <v>3679.67</v>
      </c>
      <c r="J119" s="53">
        <f>ROUND(J118*J117/1000,2)</f>
        <v>2282.54</v>
      </c>
      <c r="K119" s="54">
        <f>ROUND(K118*K117/1000,2)</f>
        <v>1628.72</v>
      </c>
      <c r="L119" s="55">
        <f>J119+K119</f>
        <v>3911.26</v>
      </c>
      <c r="M119" s="53">
        <f>ROUND(M118*M117/1000,2)</f>
        <v>2373.64</v>
      </c>
      <c r="N119" s="54">
        <f>ROUND(N118*N117/1000,2)</f>
        <v>1693.97</v>
      </c>
      <c r="O119" s="55">
        <f>M119+N119</f>
        <v>4067.6099999999997</v>
      </c>
      <c r="P119" s="53">
        <f>ROUND(P118*P117/1000,2)</f>
        <v>2468.7199999999998</v>
      </c>
      <c r="Q119" s="54">
        <f>ROUND(Q118*Q117/1000,2)</f>
        <v>1761.55</v>
      </c>
      <c r="R119" s="55">
        <f>P119+Q119</f>
        <v>4230.2699999999995</v>
      </c>
    </row>
    <row r="120" spans="2:18" s="18" customFormat="1" ht="19.5" customHeight="1" outlineLevel="1">
      <c r="B120" s="1099" t="s">
        <v>209</v>
      </c>
      <c r="C120" s="1100" t="s">
        <v>19</v>
      </c>
      <c r="D120" s="769">
        <v>24.91</v>
      </c>
      <c r="E120" s="749">
        <v>27.29</v>
      </c>
      <c r="F120" s="280">
        <f>F121/F112*1000</f>
        <v>24.383735081658291</v>
      </c>
      <c r="G120" s="769">
        <f>E120</f>
        <v>27.29</v>
      </c>
      <c r="H120" s="749">
        <f>ROUND(G120*I101,2)</f>
        <v>29.2</v>
      </c>
      <c r="I120" s="280">
        <f>I121/I112*1000</f>
        <v>26.446097675879397</v>
      </c>
      <c r="J120" s="769">
        <f>H120</f>
        <v>29.2</v>
      </c>
      <c r="K120" s="749">
        <f>ROUND(J120*L101,2)</f>
        <v>30.37</v>
      </c>
      <c r="L120" s="280">
        <f>L121/L112*1000</f>
        <v>27.962076005025125</v>
      </c>
      <c r="M120" s="769">
        <f>K120</f>
        <v>30.37</v>
      </c>
      <c r="N120" s="749">
        <f>ROUND(M120*O101,2)</f>
        <v>31.58</v>
      </c>
      <c r="O120" s="280">
        <f>O121/O112*1000</f>
        <v>29.079773869346734</v>
      </c>
      <c r="P120" s="769">
        <f>N120</f>
        <v>31.58</v>
      </c>
      <c r="Q120" s="749">
        <f>ROUND(P120*R101,2)</f>
        <v>32.840000000000003</v>
      </c>
      <c r="R120" s="280">
        <f>R121/R112*1000</f>
        <v>30.239086055276381</v>
      </c>
    </row>
    <row r="121" spans="2:18" s="18" customFormat="1" ht="19.5" customHeight="1" outlineLevel="1" thickBot="1">
      <c r="B121" s="1103" t="s">
        <v>30</v>
      </c>
      <c r="C121" s="1104" t="s">
        <v>21</v>
      </c>
      <c r="D121" s="53">
        <f>ROUND(D120*D117/1000,2)</f>
        <v>1418.26</v>
      </c>
      <c r="E121" s="53">
        <f>ROUND(E120*E117/1000,2)</f>
        <v>1066.1500000000001</v>
      </c>
      <c r="F121" s="55">
        <f>D121+E121</f>
        <v>2484.41</v>
      </c>
      <c r="G121" s="53">
        <f>ROUND(G120*G117/1000,2)</f>
        <v>1553.77</v>
      </c>
      <c r="H121" s="53">
        <f>ROUND(H120*H117/1000,2)</f>
        <v>1140.77</v>
      </c>
      <c r="I121" s="55">
        <f>G121+H121</f>
        <v>2694.54</v>
      </c>
      <c r="J121" s="53">
        <f>ROUND(J120*J117/1000,2)</f>
        <v>1662.52</v>
      </c>
      <c r="K121" s="53">
        <f>ROUND(K120*K117/1000,2)</f>
        <v>1186.48</v>
      </c>
      <c r="L121" s="55">
        <f>J121+K121</f>
        <v>2849</v>
      </c>
      <c r="M121" s="53">
        <f>ROUND(M120*M117/1000,2)</f>
        <v>1729.13</v>
      </c>
      <c r="N121" s="53">
        <f>ROUND(N120*N117/1000,2)</f>
        <v>1233.75</v>
      </c>
      <c r="O121" s="55">
        <f>M121+N121</f>
        <v>2962.88</v>
      </c>
      <c r="P121" s="53">
        <f>ROUND(P120*P117/1000,2)</f>
        <v>1798.02</v>
      </c>
      <c r="Q121" s="53">
        <f>ROUND(Q120*Q117/1000,2)</f>
        <v>1282.98</v>
      </c>
      <c r="R121" s="55">
        <f>P121+Q121</f>
        <v>3081</v>
      </c>
    </row>
    <row r="122" spans="2:18" s="18" customFormat="1" ht="19.5" customHeight="1" outlineLevel="1" thickBot="1">
      <c r="B122" s="1103" t="s">
        <v>501</v>
      </c>
      <c r="C122" s="1104" t="s">
        <v>21</v>
      </c>
      <c r="D122" s="53">
        <f>D119-D121</f>
        <v>538.6099999999999</v>
      </c>
      <c r="E122" s="53">
        <f t="shared" ref="E122" si="379">E119-E121</f>
        <v>384.03999999999996</v>
      </c>
      <c r="F122" s="53">
        <f>F119-F121</f>
        <v>922.65000000000009</v>
      </c>
      <c r="G122" s="53">
        <f>G119-G121</f>
        <v>559.67999999999984</v>
      </c>
      <c r="H122" s="53">
        <f t="shared" ref="H122" si="380">H119-H121</f>
        <v>425.45000000000005</v>
      </c>
      <c r="I122" s="53">
        <f t="shared" ref="I122" si="381">I119-I121</f>
        <v>985.13000000000011</v>
      </c>
      <c r="J122" s="53">
        <f>J119-J121</f>
        <v>620.02</v>
      </c>
      <c r="K122" s="53">
        <f t="shared" ref="K122" si="382">K119-K121</f>
        <v>442.24</v>
      </c>
      <c r="L122" s="53">
        <f t="shared" ref="L122" si="383">L119-L121</f>
        <v>1062.2600000000002</v>
      </c>
      <c r="M122" s="53">
        <f>M119-M121</f>
        <v>644.50999999999976</v>
      </c>
      <c r="N122" s="53">
        <f t="shared" ref="N122" si="384">N119-N121</f>
        <v>460.22</v>
      </c>
      <c r="O122" s="53">
        <f t="shared" ref="O122" si="385">O119-O121</f>
        <v>1104.7299999999996</v>
      </c>
      <c r="P122" s="53">
        <f>P119-P121</f>
        <v>670.69999999999982</v>
      </c>
      <c r="Q122" s="53">
        <f t="shared" ref="Q122" si="386">Q119-Q121</f>
        <v>478.56999999999994</v>
      </c>
      <c r="R122" s="53">
        <f t="shared" ref="R122" si="387">R119-R121</f>
        <v>1149.2699999999995</v>
      </c>
    </row>
    <row r="123" spans="2:18" s="18" customFormat="1" ht="19.5" customHeight="1" outlineLevel="1">
      <c r="B123" s="385"/>
      <c r="C123" s="386"/>
      <c r="D123" s="1092"/>
      <c r="E123" s="1092"/>
      <c r="F123" s="1092"/>
      <c r="G123" s="1092"/>
      <c r="H123" s="1092"/>
      <c r="I123" s="1093"/>
      <c r="J123" s="1092"/>
      <c r="K123" s="1092"/>
      <c r="L123" s="1093"/>
      <c r="M123" s="1092"/>
      <c r="N123" s="1092"/>
      <c r="O123" s="1093"/>
      <c r="P123" s="1092"/>
      <c r="Q123" s="1092"/>
      <c r="R123" s="1093"/>
    </row>
    <row r="124" spans="2:18" s="18" customFormat="1" ht="19.5" customHeight="1" outlineLevel="1">
      <c r="B124" s="385" t="s">
        <v>502</v>
      </c>
      <c r="C124" s="386"/>
      <c r="D124" s="1092"/>
      <c r="E124" s="1092"/>
      <c r="F124" s="1092"/>
      <c r="G124" s="1092"/>
      <c r="H124" s="1092"/>
      <c r="I124" s="1093"/>
      <c r="J124" s="1092"/>
      <c r="K124" s="1092"/>
      <c r="L124" s="1093"/>
      <c r="M124" s="1092"/>
      <c r="N124" s="1092"/>
      <c r="O124" s="1093"/>
      <c r="P124" s="1092"/>
      <c r="Q124" s="1092"/>
      <c r="R124" s="1093"/>
    </row>
    <row r="125" spans="2:18" s="18" customFormat="1" ht="19.5" customHeight="1" outlineLevel="1">
      <c r="B125" s="1099" t="s">
        <v>28</v>
      </c>
      <c r="C125" s="1100" t="s">
        <v>29</v>
      </c>
      <c r="D125" s="767">
        <f>ROUND(индексы!E82/индексы!G82*'переменные на 5 лет'!F125,2)</f>
        <v>3490.15</v>
      </c>
      <c r="E125" s="25">
        <f>F125-D125</f>
        <v>2394.85</v>
      </c>
      <c r="F125" s="1101">
        <v>5885</v>
      </c>
      <c r="G125" s="767">
        <f>D125</f>
        <v>3490.15</v>
      </c>
      <c r="H125" s="25">
        <f>I125-G125</f>
        <v>2394.85</v>
      </c>
      <c r="I125" s="1101">
        <v>5885</v>
      </c>
      <c r="J125" s="767">
        <f>G125</f>
        <v>3490.15</v>
      </c>
      <c r="K125" s="25">
        <f>L125-J125</f>
        <v>2394.85</v>
      </c>
      <c r="L125" s="1101">
        <v>5885</v>
      </c>
      <c r="M125" s="767">
        <f>J125</f>
        <v>3490.15</v>
      </c>
      <c r="N125" s="25">
        <f>O125-M125</f>
        <v>2394.85</v>
      </c>
      <c r="O125" s="1101">
        <v>5885</v>
      </c>
      <c r="P125" s="767">
        <f>M125</f>
        <v>3490.15</v>
      </c>
      <c r="Q125" s="25">
        <f>R125-P125</f>
        <v>2394.85</v>
      </c>
      <c r="R125" s="1101">
        <v>5885</v>
      </c>
    </row>
    <row r="126" spans="2:18" s="18" customFormat="1" ht="19.5" customHeight="1" outlineLevel="1">
      <c r="B126" s="1099" t="s">
        <v>209</v>
      </c>
      <c r="C126" s="1100" t="s">
        <v>19</v>
      </c>
      <c r="D126" s="769">
        <f>D113</f>
        <v>34.369999999999997</v>
      </c>
      <c r="E126" s="749">
        <f>E113</f>
        <v>37.119999999999997</v>
      </c>
      <c r="F126" s="280">
        <f>F127*1000/F125</f>
        <v>35.490229396771454</v>
      </c>
      <c r="G126" s="769">
        <f>G113</f>
        <v>37.119999999999997</v>
      </c>
      <c r="H126" s="749">
        <f>H113</f>
        <v>40.090000000000003</v>
      </c>
      <c r="I126" s="280">
        <f>I127*1000/I125</f>
        <v>38.327952421410366</v>
      </c>
      <c r="J126" s="769">
        <f>J113</f>
        <v>40.090000000000003</v>
      </c>
      <c r="K126" s="749">
        <f>K113</f>
        <v>41.69</v>
      </c>
      <c r="L126" s="280">
        <f>L127*1000/L125</f>
        <v>40.740866610025492</v>
      </c>
      <c r="M126" s="769">
        <f>M113</f>
        <v>41.69</v>
      </c>
      <c r="N126" s="749">
        <f>N113</f>
        <v>43.36</v>
      </c>
      <c r="O126" s="280">
        <f>O127*1000/O125</f>
        <v>42.368734069668648</v>
      </c>
      <c r="P126" s="769">
        <f>P113</f>
        <v>43.36</v>
      </c>
      <c r="Q126" s="749">
        <f>Q113</f>
        <v>45.09</v>
      </c>
      <c r="R126" s="280">
        <f>R127*1000/R125</f>
        <v>44.062871707731517</v>
      </c>
    </row>
    <row r="127" spans="2:18" s="18" customFormat="1" ht="19.5" customHeight="1" outlineLevel="1" thickBot="1">
      <c r="B127" s="1103" t="s">
        <v>30</v>
      </c>
      <c r="C127" s="1104" t="s">
        <v>21</v>
      </c>
      <c r="D127" s="53">
        <f>ROUND(D126*D125/1000,2)</f>
        <v>119.96</v>
      </c>
      <c r="E127" s="54">
        <f>ROUND(E126*E125/1000,2)</f>
        <v>88.9</v>
      </c>
      <c r="F127" s="55">
        <f>D127+E127</f>
        <v>208.86</v>
      </c>
      <c r="G127" s="53">
        <f>ROUND(G126*G125/1000,2)</f>
        <v>129.55000000000001</v>
      </c>
      <c r="H127" s="54">
        <f>ROUND(H126*H125/1000,2)</f>
        <v>96.01</v>
      </c>
      <c r="I127" s="55">
        <f>G127+H127</f>
        <v>225.56</v>
      </c>
      <c r="J127" s="53">
        <f>ROUND(J126*J125/1000,2)</f>
        <v>139.91999999999999</v>
      </c>
      <c r="K127" s="54">
        <f>ROUND(K126*K125/1000,2)</f>
        <v>99.84</v>
      </c>
      <c r="L127" s="55">
        <f>J127+K127</f>
        <v>239.76</v>
      </c>
      <c r="M127" s="53">
        <f>ROUND(M126*M125/1000,2)</f>
        <v>145.5</v>
      </c>
      <c r="N127" s="54">
        <f>ROUND(N126*N125/1000,2)</f>
        <v>103.84</v>
      </c>
      <c r="O127" s="55">
        <f>M127+N127</f>
        <v>249.34</v>
      </c>
      <c r="P127" s="53">
        <f>ROUND(P126*P125/1000,2)</f>
        <v>151.33000000000001</v>
      </c>
      <c r="Q127" s="54">
        <f>ROUND(Q126*Q125/1000,2)</f>
        <v>107.98</v>
      </c>
      <c r="R127" s="55">
        <f>P127+Q127</f>
        <v>259.31</v>
      </c>
    </row>
    <row r="128" spans="2:18" s="18" customFormat="1" ht="52.5" hidden="1" customHeight="1" outlineLevel="1">
      <c r="B128" s="281" t="s">
        <v>440</v>
      </c>
      <c r="C128" s="282"/>
      <c r="D128" s="283"/>
      <c r="E128" s="284"/>
      <c r="F128" s="285">
        <f>E130/D130</f>
        <v>1.0800116380564446</v>
      </c>
      <c r="G128" s="283"/>
      <c r="H128" s="284"/>
      <c r="I128" s="285">
        <f t="shared" ref="I128" si="388">H130/G130</f>
        <v>1.0800107758620692</v>
      </c>
      <c r="J128" s="283"/>
      <c r="K128" s="284"/>
      <c r="L128" s="285">
        <f t="shared" ref="L128" si="389">K130/J130</f>
        <v>1.0399102020453976</v>
      </c>
      <c r="M128" s="283"/>
      <c r="N128" s="284"/>
      <c r="O128" s="285">
        <f t="shared" ref="O128" si="390">N130/M130</f>
        <v>1.0400575677620534</v>
      </c>
      <c r="P128" s="283"/>
      <c r="Q128" s="284"/>
      <c r="R128" s="285">
        <f t="shared" ref="R128" si="391">Q130/P130</f>
        <v>1.0398985239852399</v>
      </c>
    </row>
    <row r="129" spans="2:27" s="18" customFormat="1" ht="19.5" hidden="1" customHeight="1" outlineLevel="1">
      <c r="B129" s="5" t="s">
        <v>28</v>
      </c>
      <c r="C129" s="6" t="s">
        <v>29</v>
      </c>
      <c r="D129" s="767" t="e">
        <f>индексы!E137</f>
        <v>#DIV/0!</v>
      </c>
      <c r="E129" s="25" t="e">
        <f>индексы!F137</f>
        <v>#DIV/0!</v>
      </c>
      <c r="F129" s="768">
        <f>индексы!G137</f>
        <v>0</v>
      </c>
      <c r="G129" s="767" t="e">
        <f>индексы!H137</f>
        <v>#DIV/0!</v>
      </c>
      <c r="H129" s="25" t="e">
        <f>индексы!I137</f>
        <v>#DIV/0!</v>
      </c>
      <c r="I129" s="768">
        <f>индексы!J137</f>
        <v>0</v>
      </c>
      <c r="J129" s="767" t="e">
        <f>индексы!K137</f>
        <v>#DIV/0!</v>
      </c>
      <c r="K129" s="25" t="e">
        <f>индексы!L137</f>
        <v>#DIV/0!</v>
      </c>
      <c r="L129" s="768">
        <f>индексы!M137</f>
        <v>0</v>
      </c>
      <c r="M129" s="767" t="e">
        <f>индексы!N137</f>
        <v>#DIV/0!</v>
      </c>
      <c r="N129" s="25" t="e">
        <f>индексы!O137</f>
        <v>#DIV/0!</v>
      </c>
      <c r="O129" s="768">
        <f>индексы!P137</f>
        <v>0</v>
      </c>
      <c r="P129" s="767" t="e">
        <f>индексы!Q137</f>
        <v>#DIV/0!</v>
      </c>
      <c r="Q129" s="25" t="e">
        <f>индексы!R137</f>
        <v>#DIV/0!</v>
      </c>
      <c r="R129" s="768">
        <f>индексы!S137</f>
        <v>0</v>
      </c>
    </row>
    <row r="130" spans="2:27" s="18" customFormat="1" ht="19.5" hidden="1" customHeight="1" outlineLevel="1">
      <c r="B130" s="5" t="s">
        <v>209</v>
      </c>
      <c r="C130" s="6" t="s">
        <v>19</v>
      </c>
      <c r="D130" s="262">
        <f>D105</f>
        <v>34.369999999999997</v>
      </c>
      <c r="E130" s="318">
        <f>E105</f>
        <v>37.119999999999997</v>
      </c>
      <c r="F130" s="280" t="e">
        <f>F131*1000/F129</f>
        <v>#DIV/0!</v>
      </c>
      <c r="G130" s="262">
        <f>G105</f>
        <v>37.119999999999997</v>
      </c>
      <c r="H130" s="318">
        <f>H105</f>
        <v>40.090000000000003</v>
      </c>
      <c r="I130" s="280" t="e">
        <f t="shared" ref="I130" si="392">I131*1000/I129</f>
        <v>#DIV/0!</v>
      </c>
      <c r="J130" s="262">
        <f>J105</f>
        <v>40.090000000000003</v>
      </c>
      <c r="K130" s="318">
        <f>K105</f>
        <v>41.69</v>
      </c>
      <c r="L130" s="280" t="e">
        <f t="shared" ref="L130" si="393">L131*1000/L129</f>
        <v>#DIV/0!</v>
      </c>
      <c r="M130" s="262">
        <f>M105</f>
        <v>41.69</v>
      </c>
      <c r="N130" s="318">
        <f>N105</f>
        <v>43.36</v>
      </c>
      <c r="O130" s="280" t="e">
        <f t="shared" ref="O130" si="394">O131*1000/O129</f>
        <v>#DIV/0!</v>
      </c>
      <c r="P130" s="262">
        <f>P105</f>
        <v>43.36</v>
      </c>
      <c r="Q130" s="318">
        <f>Q105</f>
        <v>45.09</v>
      </c>
      <c r="R130" s="280" t="e">
        <f t="shared" ref="R130" si="395">R131*1000/R129</f>
        <v>#DIV/0!</v>
      </c>
    </row>
    <row r="131" spans="2:27" s="18" customFormat="1" ht="19.5" hidden="1" customHeight="1" outlineLevel="1" thickBot="1">
      <c r="B131" s="5" t="s">
        <v>30</v>
      </c>
      <c r="C131" s="6" t="s">
        <v>21</v>
      </c>
      <c r="D131" s="53" t="e">
        <f>ROUND(D130*D129/1000,2)</f>
        <v>#DIV/0!</v>
      </c>
      <c r="E131" s="54" t="e">
        <f>ROUND(E130*E129/1000,2)</f>
        <v>#DIV/0!</v>
      </c>
      <c r="F131" s="55" t="e">
        <f>D131+E131</f>
        <v>#DIV/0!</v>
      </c>
      <c r="G131" s="53" t="e">
        <f t="shared" ref="G131" si="396">ROUND(G130*G129/1000,2)</f>
        <v>#DIV/0!</v>
      </c>
      <c r="H131" s="54" t="e">
        <f t="shared" ref="H131" si="397">ROUND(H130*H129/1000,2)</f>
        <v>#DIV/0!</v>
      </c>
      <c r="I131" s="55" t="e">
        <f t="shared" ref="I131" si="398">G131+H131</f>
        <v>#DIV/0!</v>
      </c>
      <c r="J131" s="53" t="e">
        <f t="shared" ref="J131" si="399">ROUND(J130*J129/1000,2)</f>
        <v>#DIV/0!</v>
      </c>
      <c r="K131" s="54" t="e">
        <f t="shared" ref="K131" si="400">ROUND(K130*K129/1000,2)</f>
        <v>#DIV/0!</v>
      </c>
      <c r="L131" s="55" t="e">
        <f t="shared" ref="L131" si="401">J131+K131</f>
        <v>#DIV/0!</v>
      </c>
      <c r="M131" s="53" t="e">
        <f t="shared" ref="M131" si="402">ROUND(M130*M129/1000,2)</f>
        <v>#DIV/0!</v>
      </c>
      <c r="N131" s="54" t="e">
        <f t="shared" ref="N131" si="403">ROUND(N130*N129/1000,2)</f>
        <v>#DIV/0!</v>
      </c>
      <c r="O131" s="55" t="e">
        <f t="shared" ref="O131" si="404">M131+N131</f>
        <v>#DIV/0!</v>
      </c>
      <c r="P131" s="53" t="e">
        <f>ROUND(P130*P129/1000,2)</f>
        <v>#DIV/0!</v>
      </c>
      <c r="Q131" s="54" t="e">
        <f>ROUND(Q130*Q129/1000,2)</f>
        <v>#DIV/0!</v>
      </c>
      <c r="R131" s="55" t="e">
        <f>P131+Q131</f>
        <v>#DIV/0!</v>
      </c>
    </row>
    <row r="132" spans="2:27" ht="27.75" hidden="1" customHeight="1">
      <c r="B132" s="17"/>
      <c r="C132" s="17"/>
      <c r="D132" s="770" t="e">
        <f t="shared" ref="D132:R132" si="405">D106+D114+D131</f>
        <v>#DIV/0!</v>
      </c>
      <c r="E132" s="770" t="e">
        <f t="shared" si="405"/>
        <v>#DIV/0!</v>
      </c>
      <c r="F132" s="770" t="e">
        <f t="shared" si="405"/>
        <v>#DIV/0!</v>
      </c>
      <c r="G132" s="770" t="e">
        <f t="shared" si="405"/>
        <v>#DIV/0!</v>
      </c>
      <c r="H132" s="770" t="e">
        <f t="shared" si="405"/>
        <v>#DIV/0!</v>
      </c>
      <c r="I132" s="770" t="e">
        <f t="shared" si="405"/>
        <v>#DIV/0!</v>
      </c>
      <c r="J132" s="770" t="e">
        <f t="shared" si="405"/>
        <v>#DIV/0!</v>
      </c>
      <c r="K132" s="770" t="e">
        <f t="shared" si="405"/>
        <v>#DIV/0!</v>
      </c>
      <c r="L132" s="770" t="e">
        <f t="shared" si="405"/>
        <v>#DIV/0!</v>
      </c>
      <c r="M132" s="770" t="e">
        <f t="shared" si="405"/>
        <v>#DIV/0!</v>
      </c>
      <c r="N132" s="770" t="e">
        <f t="shared" si="405"/>
        <v>#DIV/0!</v>
      </c>
      <c r="O132" s="770" t="e">
        <f t="shared" si="405"/>
        <v>#DIV/0!</v>
      </c>
      <c r="P132" s="770" t="e">
        <f t="shared" si="405"/>
        <v>#DIV/0!</v>
      </c>
      <c r="Q132" s="770" t="e">
        <f t="shared" si="405"/>
        <v>#DIV/0!</v>
      </c>
      <c r="R132" s="770" t="e">
        <f t="shared" si="405"/>
        <v>#DIV/0!</v>
      </c>
    </row>
    <row r="133" spans="2:27" s="10" customFormat="1" ht="19.5" hidden="1" customHeight="1" outlineLevel="1">
      <c r="B133" s="1734" t="s">
        <v>90</v>
      </c>
      <c r="C133" s="1734"/>
      <c r="D133" s="1734"/>
      <c r="E133" s="29"/>
      <c r="F133" s="29">
        <f>индексы!H12</f>
        <v>1.0589999999999999</v>
      </c>
      <c r="G133" s="29"/>
      <c r="H133" s="29"/>
      <c r="I133" s="29">
        <f>индексы!I12</f>
        <v>1.042</v>
      </c>
      <c r="J133" s="29"/>
      <c r="K133" s="29"/>
      <c r="L133" s="29">
        <f>индексы!J12</f>
        <v>1.04</v>
      </c>
      <c r="M133" s="29"/>
      <c r="N133" s="29"/>
      <c r="O133" s="29">
        <f>индексы!K12</f>
        <v>1.04</v>
      </c>
      <c r="P133" s="29"/>
      <c r="Q133" s="29"/>
      <c r="R133" s="29">
        <f>индексы!L12</f>
        <v>1.0389999999999999</v>
      </c>
    </row>
    <row r="134" spans="2:27" s="4" customFormat="1" ht="35.25" hidden="1" customHeight="1" outlineLevel="1" thickBot="1">
      <c r="B134" s="16" t="s">
        <v>267</v>
      </c>
      <c r="C134" s="16"/>
      <c r="D134" s="44"/>
      <c r="E134" s="44"/>
      <c r="F134" s="35">
        <f>E137/D137</f>
        <v>1.059076923076923</v>
      </c>
      <c r="G134" s="44"/>
      <c r="H134" s="44"/>
      <c r="I134" s="35">
        <f t="shared" ref="I134" si="406">H137/G137</f>
        <v>1.0421266705403833</v>
      </c>
      <c r="J134" s="44"/>
      <c r="K134" s="44"/>
      <c r="L134" s="35">
        <f t="shared" ref="L134" si="407">K137/J137</f>
        <v>1.0398661834402008</v>
      </c>
      <c r="M134" s="44"/>
      <c r="N134" s="44"/>
      <c r="O134" s="35">
        <f t="shared" ref="O134" si="408">N137/M137</f>
        <v>1.039946380697051</v>
      </c>
      <c r="P134" s="44"/>
      <c r="Q134" s="44"/>
      <c r="R134" s="35">
        <f t="shared" ref="R134" si="409">Q137/P137</f>
        <v>1.0389275586491362</v>
      </c>
    </row>
    <row r="135" spans="2:27" ht="36.75" hidden="1" customHeight="1" outlineLevel="1">
      <c r="B135" s="11" t="str">
        <f>B94</f>
        <v>Затраты</v>
      </c>
      <c r="C135" s="24" t="str">
        <f t="shared" ref="C135:R135" si="410">C102</f>
        <v>Ед.изм.</v>
      </c>
      <c r="D135" s="759" t="str">
        <f t="shared" si="410"/>
        <v>с 01.01.2019 по 30.06.2019</v>
      </c>
      <c r="E135" s="46" t="str">
        <f t="shared" si="410"/>
        <v>с 01.07.2019 по 31.12.2019</v>
      </c>
      <c r="F135" s="760" t="str">
        <f t="shared" si="410"/>
        <v xml:space="preserve">Всего </v>
      </c>
      <c r="G135" s="759" t="str">
        <f t="shared" si="410"/>
        <v>с 01.01.2020 по 30.06.2020</v>
      </c>
      <c r="H135" s="46" t="str">
        <f t="shared" si="410"/>
        <v>с 01.07.2020 по 31.12.2020</v>
      </c>
      <c r="I135" s="760" t="str">
        <f t="shared" si="410"/>
        <v xml:space="preserve">Всего </v>
      </c>
      <c r="J135" s="759" t="str">
        <f t="shared" si="410"/>
        <v>с 01.01.2021 по 30.06.2021</v>
      </c>
      <c r="K135" s="46" t="str">
        <f t="shared" si="410"/>
        <v>с 01.07.2021 по 31.12.2021</v>
      </c>
      <c r="L135" s="760" t="str">
        <f t="shared" si="410"/>
        <v xml:space="preserve">Всего </v>
      </c>
      <c r="M135" s="759" t="str">
        <f t="shared" si="410"/>
        <v>с 01.01.2022 по 30.06.2022</v>
      </c>
      <c r="N135" s="46" t="str">
        <f t="shared" si="410"/>
        <v>с 01.07.2022 по 31.12.2022</v>
      </c>
      <c r="O135" s="760" t="str">
        <f t="shared" si="410"/>
        <v xml:space="preserve">Всего </v>
      </c>
      <c r="P135" s="759" t="str">
        <f t="shared" si="410"/>
        <v>с 01.01.2023 по 30.06.2023</v>
      </c>
      <c r="Q135" s="46" t="str">
        <f t="shared" si="410"/>
        <v>с 01.07.2023 по 31.12.2023</v>
      </c>
      <c r="R135" s="760" t="str">
        <f t="shared" si="410"/>
        <v xml:space="preserve">Всего </v>
      </c>
      <c r="S135" s="4"/>
      <c r="T135" s="4"/>
      <c r="U135" s="4"/>
      <c r="V135" s="4"/>
      <c r="W135" s="4"/>
      <c r="X135" s="4"/>
      <c r="Y135" s="4"/>
      <c r="Z135" s="4"/>
      <c r="AA135" s="4"/>
    </row>
    <row r="136" spans="2:27" ht="24.75" hidden="1" customHeight="1" outlineLevel="1">
      <c r="B136" s="5" t="s">
        <v>75</v>
      </c>
      <c r="C136" s="6" t="s">
        <v>29</v>
      </c>
      <c r="D136" s="722" t="e">
        <f>индексы!E175</f>
        <v>#DIV/0!</v>
      </c>
      <c r="E136" s="13" t="e">
        <f>индексы!F175</f>
        <v>#DIV/0!</v>
      </c>
      <c r="F136" s="741">
        <f>индексы!G175</f>
        <v>0</v>
      </c>
      <c r="G136" s="722" t="e">
        <f>индексы!H175</f>
        <v>#DIV/0!</v>
      </c>
      <c r="H136" s="13" t="e">
        <f>индексы!I175</f>
        <v>#DIV/0!</v>
      </c>
      <c r="I136" s="741">
        <f>индексы!J175</f>
        <v>0</v>
      </c>
      <c r="J136" s="722" t="e">
        <f>индексы!K175</f>
        <v>#DIV/0!</v>
      </c>
      <c r="K136" s="13" t="e">
        <f>индексы!L175</f>
        <v>#DIV/0!</v>
      </c>
      <c r="L136" s="741">
        <f>индексы!M175</f>
        <v>0</v>
      </c>
      <c r="M136" s="722" t="e">
        <f>индексы!N175</f>
        <v>#DIV/0!</v>
      </c>
      <c r="N136" s="13" t="e">
        <f>индексы!O175</f>
        <v>#DIV/0!</v>
      </c>
      <c r="O136" s="741">
        <f>индексы!P175</f>
        <v>0</v>
      </c>
      <c r="P136" s="722" t="e">
        <f>индексы!Q175</f>
        <v>#DIV/0!</v>
      </c>
      <c r="Q136" s="13" t="e">
        <f>индексы!R175</f>
        <v>#DIV/0!</v>
      </c>
      <c r="R136" s="741">
        <f>индексы!S175</f>
        <v>0</v>
      </c>
      <c r="S136" s="4"/>
      <c r="T136" s="4"/>
      <c r="U136" s="4"/>
      <c r="V136" s="4"/>
      <c r="W136" s="4"/>
      <c r="X136" s="4"/>
      <c r="Y136" s="4"/>
      <c r="Z136" s="4"/>
      <c r="AA136" s="4"/>
    </row>
    <row r="137" spans="2:27" ht="24.75" hidden="1" customHeight="1" outlineLevel="1" thickBot="1">
      <c r="B137" s="260" t="str">
        <f>индексы!C175</f>
        <v>ГУП "ТЭК СПб"</v>
      </c>
      <c r="C137" s="261" t="s">
        <v>19</v>
      </c>
      <c r="D137" s="262">
        <f>индексы!E70</f>
        <v>32.5</v>
      </c>
      <c r="E137" s="319">
        <f>ROUND(D137*$F$133,2)</f>
        <v>34.42</v>
      </c>
      <c r="F137" s="263" t="e">
        <f>F138/F136*1000</f>
        <v>#DIV/0!</v>
      </c>
      <c r="G137" s="262">
        <f>E137</f>
        <v>34.42</v>
      </c>
      <c r="H137" s="319">
        <f>ROUND(G137*$I$133,2)</f>
        <v>35.869999999999997</v>
      </c>
      <c r="I137" s="263" t="e">
        <f t="shared" ref="I137" si="411">I138/I136*1000</f>
        <v>#DIV/0!</v>
      </c>
      <c r="J137" s="262">
        <f t="shared" ref="J137" si="412">H137</f>
        <v>35.869999999999997</v>
      </c>
      <c r="K137" s="319">
        <f>ROUND(J137*$L$133,2)</f>
        <v>37.299999999999997</v>
      </c>
      <c r="L137" s="263" t="e">
        <f t="shared" ref="L137:R137" si="413">L138/L136*1000</f>
        <v>#DIV/0!</v>
      </c>
      <c r="M137" s="262">
        <f t="shared" ref="M137" si="414">K137</f>
        <v>37.299999999999997</v>
      </c>
      <c r="N137" s="319">
        <f>ROUND(M137*$O$133,2)</f>
        <v>38.79</v>
      </c>
      <c r="O137" s="263" t="e">
        <f t="shared" si="413"/>
        <v>#DIV/0!</v>
      </c>
      <c r="P137" s="262">
        <f t="shared" ref="P137" si="415">N137</f>
        <v>38.79</v>
      </c>
      <c r="Q137" s="319">
        <f>ROUND(P137*$R$133,2)</f>
        <v>40.299999999999997</v>
      </c>
      <c r="R137" s="263" t="e">
        <f t="shared" si="413"/>
        <v>#DIV/0!</v>
      </c>
      <c r="S137" s="4"/>
      <c r="T137" s="4"/>
      <c r="U137" s="4"/>
      <c r="V137" s="4"/>
      <c r="W137" s="4"/>
      <c r="X137" s="4"/>
      <c r="Y137" s="4"/>
      <c r="Z137" s="4"/>
      <c r="AA137" s="4"/>
    </row>
    <row r="138" spans="2:27" ht="24.75" hidden="1" customHeight="1" outlineLevel="1" thickBot="1">
      <c r="B138" s="264" t="s">
        <v>26</v>
      </c>
      <c r="C138" s="265" t="s">
        <v>21</v>
      </c>
      <c r="D138" s="320" t="e">
        <f>ROUND(D136*D137/1000,2)</f>
        <v>#DIV/0!</v>
      </c>
      <c r="E138" s="321" t="e">
        <f>ROUND(E136*E137/1000,2)</f>
        <v>#DIV/0!</v>
      </c>
      <c r="F138" s="322" t="e">
        <f>D138+E138</f>
        <v>#DIV/0!</v>
      </c>
      <c r="G138" s="320" t="e">
        <f t="shared" ref="G138:H138" si="416">ROUND(G136*G137/1000,2)</f>
        <v>#DIV/0!</v>
      </c>
      <c r="H138" s="321" t="e">
        <f t="shared" si="416"/>
        <v>#DIV/0!</v>
      </c>
      <c r="I138" s="322" t="e">
        <f t="shared" ref="I138" si="417">G138+H138</f>
        <v>#DIV/0!</v>
      </c>
      <c r="J138" s="320" t="e">
        <f t="shared" ref="J138:K138" si="418">ROUND(J136*J137/1000,2)</f>
        <v>#DIV/0!</v>
      </c>
      <c r="K138" s="321" t="e">
        <f t="shared" si="418"/>
        <v>#DIV/0!</v>
      </c>
      <c r="L138" s="322" t="e">
        <f t="shared" ref="L138" si="419">J138+K138</f>
        <v>#DIV/0!</v>
      </c>
      <c r="M138" s="320" t="e">
        <f t="shared" ref="M138:N138" si="420">ROUND(M136*M137/1000,2)</f>
        <v>#DIV/0!</v>
      </c>
      <c r="N138" s="321" t="e">
        <f t="shared" si="420"/>
        <v>#DIV/0!</v>
      </c>
      <c r="O138" s="322" t="e">
        <f t="shared" ref="O138" si="421">M138+N138</f>
        <v>#DIV/0!</v>
      </c>
      <c r="P138" s="320" t="e">
        <f t="shared" ref="P138" si="422">ROUND(P136*P137/1000,2)</f>
        <v>#DIV/0!</v>
      </c>
      <c r="Q138" s="321" t="e">
        <f>ROUND(Q136*Q137/1000,2)</f>
        <v>#DIV/0!</v>
      </c>
      <c r="R138" s="322" t="e">
        <f t="shared" ref="R138" si="423">P138+Q138</f>
        <v>#DIV/0!</v>
      </c>
      <c r="S138" s="4"/>
      <c r="T138" s="4"/>
      <c r="U138" s="4"/>
      <c r="V138" s="4"/>
      <c r="W138" s="4"/>
      <c r="X138" s="4"/>
      <c r="Y138" s="4"/>
      <c r="Z138" s="4"/>
      <c r="AA138" s="4"/>
    </row>
    <row r="139" spans="2:27" s="4" customFormat="1" ht="25.5" hidden="1" customHeight="1" outlineLevel="1">
      <c r="B139" s="5" t="s">
        <v>75</v>
      </c>
      <c r="C139" s="6" t="s">
        <v>29</v>
      </c>
      <c r="D139" s="722" t="e">
        <f>индексы!E176</f>
        <v>#DIV/0!</v>
      </c>
      <c r="E139" s="751" t="e">
        <f>индексы!F176</f>
        <v>#DIV/0!</v>
      </c>
      <c r="F139" s="741">
        <f>индексы!G176</f>
        <v>0</v>
      </c>
      <c r="G139" s="722" t="e">
        <f>индексы!H176</f>
        <v>#DIV/0!</v>
      </c>
      <c r="H139" s="751" t="e">
        <f>индексы!I176</f>
        <v>#DIV/0!</v>
      </c>
      <c r="I139" s="741">
        <f>индексы!J176</f>
        <v>0</v>
      </c>
      <c r="J139" s="722" t="e">
        <f>индексы!K176</f>
        <v>#DIV/0!</v>
      </c>
      <c r="K139" s="751" t="e">
        <f>индексы!L176</f>
        <v>#DIV/0!</v>
      </c>
      <c r="L139" s="741">
        <f>индексы!M176</f>
        <v>0</v>
      </c>
      <c r="M139" s="722" t="e">
        <f>индексы!N176</f>
        <v>#DIV/0!</v>
      </c>
      <c r="N139" s="751" t="e">
        <f>индексы!O176</f>
        <v>#DIV/0!</v>
      </c>
      <c r="O139" s="741">
        <f>индексы!P176</f>
        <v>0</v>
      </c>
      <c r="P139" s="722" t="e">
        <f>индексы!Q176</f>
        <v>#DIV/0!</v>
      </c>
      <c r="Q139" s="751" t="e">
        <f>индексы!R176</f>
        <v>#DIV/0!</v>
      </c>
      <c r="R139" s="741">
        <f>индексы!S176</f>
        <v>0</v>
      </c>
    </row>
    <row r="140" spans="2:27" ht="19.5" hidden="1" customHeight="1" outlineLevel="1" thickBot="1">
      <c r="B140" s="260" t="str">
        <f>индексы!C176</f>
        <v>ПАО "ТГК-1"</v>
      </c>
      <c r="C140" s="261" t="s">
        <v>19</v>
      </c>
      <c r="D140" s="262">
        <f>индексы!F70</f>
        <v>38.57</v>
      </c>
      <c r="E140" s="319">
        <f>ROUND(D140*$F$133,2)</f>
        <v>40.85</v>
      </c>
      <c r="F140" s="263" t="e">
        <f t="shared" ref="F140" si="424">F141/F139*1000</f>
        <v>#DIV/0!</v>
      </c>
      <c r="G140" s="262">
        <f>E140</f>
        <v>40.85</v>
      </c>
      <c r="H140" s="319">
        <f>ROUND(G140*$I$133,2)</f>
        <v>42.57</v>
      </c>
      <c r="I140" s="263" t="e">
        <f t="shared" ref="I140" si="425">I141/I139*1000</f>
        <v>#DIV/0!</v>
      </c>
      <c r="J140" s="262">
        <f>H140</f>
        <v>42.57</v>
      </c>
      <c r="K140" s="319">
        <f>ROUND(J140*$L$133,2)</f>
        <v>44.27</v>
      </c>
      <c r="L140" s="263" t="e">
        <f t="shared" ref="L140" si="426">L141/L139*1000</f>
        <v>#DIV/0!</v>
      </c>
      <c r="M140" s="262">
        <f>K140</f>
        <v>44.27</v>
      </c>
      <c r="N140" s="319">
        <f>ROUND(M140*$O$133,2)</f>
        <v>46.04</v>
      </c>
      <c r="O140" s="263" t="e">
        <f t="shared" ref="O140" si="427">O141/O139*1000</f>
        <v>#DIV/0!</v>
      </c>
      <c r="P140" s="262">
        <f>N140</f>
        <v>46.04</v>
      </c>
      <c r="Q140" s="319">
        <f>ROUND(P140*$R$133,2)</f>
        <v>47.84</v>
      </c>
      <c r="R140" s="263" t="e">
        <f t="shared" ref="R140" si="428">R141/R139*1000</f>
        <v>#DIV/0!</v>
      </c>
    </row>
    <row r="141" spans="2:27" ht="25.5" hidden="1" customHeight="1" outlineLevel="1" thickBot="1">
      <c r="B141" s="264" t="s">
        <v>26</v>
      </c>
      <c r="C141" s="265" t="s">
        <v>21</v>
      </c>
      <c r="D141" s="320" t="e">
        <f t="shared" ref="D141:E141" si="429">ROUND(D139*D140/1000,2)</f>
        <v>#DIV/0!</v>
      </c>
      <c r="E141" s="321" t="e">
        <f t="shared" si="429"/>
        <v>#DIV/0!</v>
      </c>
      <c r="F141" s="322" t="e">
        <f t="shared" ref="F141" si="430">D141+E141</f>
        <v>#DIV/0!</v>
      </c>
      <c r="G141" s="320" t="e">
        <f t="shared" ref="G141:H141" si="431">ROUND(G139*G140/1000,2)</f>
        <v>#DIV/0!</v>
      </c>
      <c r="H141" s="321" t="e">
        <f t="shared" si="431"/>
        <v>#DIV/0!</v>
      </c>
      <c r="I141" s="322" t="e">
        <f t="shared" ref="I141" si="432">G141+H141</f>
        <v>#DIV/0!</v>
      </c>
      <c r="J141" s="320" t="e">
        <f t="shared" ref="J141:K141" si="433">ROUND(J139*J140/1000,2)</f>
        <v>#DIV/0!</v>
      </c>
      <c r="K141" s="321" t="e">
        <f t="shared" si="433"/>
        <v>#DIV/0!</v>
      </c>
      <c r="L141" s="322" t="e">
        <f t="shared" ref="L141" si="434">J141+K141</f>
        <v>#DIV/0!</v>
      </c>
      <c r="M141" s="320" t="e">
        <f t="shared" ref="M141:N141" si="435">ROUND(M139*M140/1000,2)</f>
        <v>#DIV/0!</v>
      </c>
      <c r="N141" s="321" t="e">
        <f t="shared" si="435"/>
        <v>#DIV/0!</v>
      </c>
      <c r="O141" s="322" t="e">
        <f t="shared" ref="O141" si="436">M141+N141</f>
        <v>#DIV/0!</v>
      </c>
      <c r="P141" s="320" t="e">
        <f t="shared" ref="P141:Q141" si="437">ROUND(P139*P140/1000,2)</f>
        <v>#DIV/0!</v>
      </c>
      <c r="Q141" s="321" t="e">
        <f t="shared" si="437"/>
        <v>#DIV/0!</v>
      </c>
      <c r="R141" s="322" t="e">
        <f t="shared" ref="R141" si="438">P141+Q141</f>
        <v>#DIV/0!</v>
      </c>
    </row>
    <row r="142" spans="2:27" ht="25.5" hidden="1" customHeight="1" outlineLevel="1">
      <c r="B142" s="5" t="s">
        <v>75</v>
      </c>
      <c r="C142" s="6" t="s">
        <v>29</v>
      </c>
      <c r="D142" s="722" t="e">
        <f>индексы!E177</f>
        <v>#DIV/0!</v>
      </c>
      <c r="E142" s="751" t="e">
        <f>индексы!F177</f>
        <v>#DIV/0!</v>
      </c>
      <c r="F142" s="756">
        <f>индексы!G177</f>
        <v>0</v>
      </c>
      <c r="G142" s="722" t="e">
        <f>индексы!H177</f>
        <v>#DIV/0!</v>
      </c>
      <c r="H142" s="751" t="e">
        <f>индексы!I177</f>
        <v>#DIV/0!</v>
      </c>
      <c r="I142" s="756">
        <f>индексы!J177</f>
        <v>0</v>
      </c>
      <c r="J142" s="722" t="e">
        <f>индексы!K177</f>
        <v>#DIV/0!</v>
      </c>
      <c r="K142" s="751" t="e">
        <f>индексы!L177</f>
        <v>#DIV/0!</v>
      </c>
      <c r="L142" s="756">
        <f>индексы!M177</f>
        <v>0</v>
      </c>
      <c r="M142" s="722" t="e">
        <f>индексы!N177</f>
        <v>#DIV/0!</v>
      </c>
      <c r="N142" s="751" t="e">
        <f>индексы!O177</f>
        <v>#DIV/0!</v>
      </c>
      <c r="O142" s="756">
        <f>индексы!P177</f>
        <v>0</v>
      </c>
      <c r="P142" s="722" t="e">
        <f>индексы!Q177</f>
        <v>#DIV/0!</v>
      </c>
      <c r="Q142" s="751" t="e">
        <f>индексы!R177</f>
        <v>#DIV/0!</v>
      </c>
      <c r="R142" s="756">
        <f>индексы!S177</f>
        <v>0</v>
      </c>
    </row>
    <row r="143" spans="2:27" ht="25.5" hidden="1" customHeight="1" outlineLevel="1" thickBot="1">
      <c r="B143" s="260" t="str">
        <f>индексы!C177</f>
        <v>ООО "Петербургтеплоэнерго"</v>
      </c>
      <c r="C143" s="261" t="s">
        <v>19</v>
      </c>
      <c r="D143" s="262">
        <f>индексы!G70</f>
        <v>41.46</v>
      </c>
      <c r="E143" s="319">
        <f t="shared" ref="E143" si="439">ROUND(D143*$F$133,2)</f>
        <v>43.91</v>
      </c>
      <c r="F143" s="263" t="e">
        <f t="shared" ref="F143" si="440">F144/F142*1000</f>
        <v>#DIV/0!</v>
      </c>
      <c r="G143" s="262">
        <f>E143</f>
        <v>43.91</v>
      </c>
      <c r="H143" s="319">
        <f>ROUND(G143*$I$133,2)</f>
        <v>45.75</v>
      </c>
      <c r="I143" s="263" t="e">
        <f t="shared" ref="I143" si="441">I144/I142*1000</f>
        <v>#DIV/0!</v>
      </c>
      <c r="J143" s="262">
        <f>H143</f>
        <v>45.75</v>
      </c>
      <c r="K143" s="319">
        <f>ROUND(J143*$L$133,2)</f>
        <v>47.58</v>
      </c>
      <c r="L143" s="263" t="e">
        <f t="shared" ref="L143" si="442">L144/L142*1000</f>
        <v>#DIV/0!</v>
      </c>
      <c r="M143" s="262">
        <f>K143</f>
        <v>47.58</v>
      </c>
      <c r="N143" s="319">
        <f>ROUND(M143*$O$133,2)</f>
        <v>49.48</v>
      </c>
      <c r="O143" s="263" t="e">
        <f t="shared" ref="O143" si="443">O144/O142*1000</f>
        <v>#DIV/0!</v>
      </c>
      <c r="P143" s="262">
        <f>N143</f>
        <v>49.48</v>
      </c>
      <c r="Q143" s="319">
        <f>ROUND(P143*$R$133,2)</f>
        <v>51.41</v>
      </c>
      <c r="R143" s="263" t="e">
        <f t="shared" ref="R143" si="444">R144/R142*1000</f>
        <v>#DIV/0!</v>
      </c>
    </row>
    <row r="144" spans="2:27" ht="24" hidden="1" customHeight="1" outlineLevel="1" thickBot="1">
      <c r="B144" s="264" t="s">
        <v>26</v>
      </c>
      <c r="C144" s="265" t="s">
        <v>21</v>
      </c>
      <c r="D144" s="320" t="e">
        <f t="shared" ref="D144" si="445">ROUND(D142*D143/1000,2)</f>
        <v>#DIV/0!</v>
      </c>
      <c r="E144" s="321" t="e">
        <f t="shared" ref="E144" si="446">ROUND(E142*E143/1000,2)</f>
        <v>#DIV/0!</v>
      </c>
      <c r="F144" s="322" t="e">
        <f t="shared" ref="F144" si="447">D144+E144</f>
        <v>#DIV/0!</v>
      </c>
      <c r="G144" s="320" t="e">
        <f t="shared" ref="G144:H144" si="448">ROUND(G142*G143/1000,2)</f>
        <v>#DIV/0!</v>
      </c>
      <c r="H144" s="321" t="e">
        <f t="shared" si="448"/>
        <v>#DIV/0!</v>
      </c>
      <c r="I144" s="322" t="e">
        <f t="shared" ref="I144" si="449">G144+H144</f>
        <v>#DIV/0!</v>
      </c>
      <c r="J144" s="320" t="e">
        <f t="shared" ref="J144:K144" si="450">ROUND(J142*J143/1000,2)</f>
        <v>#DIV/0!</v>
      </c>
      <c r="K144" s="321" t="e">
        <f t="shared" si="450"/>
        <v>#DIV/0!</v>
      </c>
      <c r="L144" s="322" t="e">
        <f t="shared" ref="L144" si="451">J144+K144</f>
        <v>#DIV/0!</v>
      </c>
      <c r="M144" s="320" t="e">
        <f t="shared" ref="M144:N144" si="452">ROUND(M142*M143/1000,2)</f>
        <v>#DIV/0!</v>
      </c>
      <c r="N144" s="321" t="e">
        <f t="shared" si="452"/>
        <v>#DIV/0!</v>
      </c>
      <c r="O144" s="322" t="e">
        <f t="shared" ref="O144" si="453">M144+N144</f>
        <v>#DIV/0!</v>
      </c>
      <c r="P144" s="320" t="e">
        <f t="shared" ref="P144:Q144" si="454">ROUND(P142*P143/1000,2)</f>
        <v>#DIV/0!</v>
      </c>
      <c r="Q144" s="321" t="e">
        <f t="shared" si="454"/>
        <v>#DIV/0!</v>
      </c>
      <c r="R144" s="322" t="e">
        <f t="shared" ref="R144" si="455">P144+Q144</f>
        <v>#DIV/0!</v>
      </c>
    </row>
    <row r="145" spans="2:18" ht="28.5" hidden="1" customHeight="1" outlineLevel="1">
      <c r="B145" s="5" t="s">
        <v>75</v>
      </c>
      <c r="C145" s="6" t="s">
        <v>29</v>
      </c>
      <c r="D145" s="722" t="e">
        <f>индексы!E178</f>
        <v>#DIV/0!</v>
      </c>
      <c r="E145" s="751" t="e">
        <f>индексы!F178</f>
        <v>#DIV/0!</v>
      </c>
      <c r="F145" s="756">
        <f>индексы!G178</f>
        <v>0</v>
      </c>
      <c r="G145" s="722" t="e">
        <f>индексы!H178</f>
        <v>#DIV/0!</v>
      </c>
      <c r="H145" s="751" t="e">
        <f>индексы!I178</f>
        <v>#DIV/0!</v>
      </c>
      <c r="I145" s="756">
        <f>индексы!J178</f>
        <v>0</v>
      </c>
      <c r="J145" s="722" t="e">
        <f>индексы!K178</f>
        <v>#DIV/0!</v>
      </c>
      <c r="K145" s="751" t="e">
        <f>индексы!L178</f>
        <v>#DIV/0!</v>
      </c>
      <c r="L145" s="756">
        <f>индексы!M178</f>
        <v>0</v>
      </c>
      <c r="M145" s="722" t="e">
        <f>индексы!N178</f>
        <v>#DIV/0!</v>
      </c>
      <c r="N145" s="751" t="e">
        <f>индексы!O178</f>
        <v>#DIV/0!</v>
      </c>
      <c r="O145" s="756">
        <f>индексы!P178</f>
        <v>0</v>
      </c>
      <c r="P145" s="722" t="e">
        <f>индексы!Q178</f>
        <v>#DIV/0!</v>
      </c>
      <c r="Q145" s="751" t="e">
        <f>индексы!R178</f>
        <v>#DIV/0!</v>
      </c>
      <c r="R145" s="756">
        <f>индексы!S178</f>
        <v>0</v>
      </c>
    </row>
    <row r="146" spans="2:18" ht="27.75" hidden="1" customHeight="1" outlineLevel="1" thickBot="1">
      <c r="B146" s="260" t="str">
        <f>индексы!C178</f>
        <v>Иные</v>
      </c>
      <c r="C146" s="261" t="s">
        <v>19</v>
      </c>
      <c r="D146" s="262">
        <f>индексы!H70</f>
        <v>0</v>
      </c>
      <c r="E146" s="319">
        <f>ROUND(D146*$F$133,2)</f>
        <v>0</v>
      </c>
      <c r="F146" s="263" t="e">
        <f t="shared" ref="F146" si="456">F147/F145*1000</f>
        <v>#DIV/0!</v>
      </c>
      <c r="G146" s="262">
        <f>E146</f>
        <v>0</v>
      </c>
      <c r="H146" s="319">
        <f>ROUND(G146*$I$133,2)</f>
        <v>0</v>
      </c>
      <c r="I146" s="263" t="e">
        <f t="shared" ref="I146" si="457">I147/I145*1000</f>
        <v>#DIV/0!</v>
      </c>
      <c r="J146" s="262">
        <f>H146</f>
        <v>0</v>
      </c>
      <c r="K146" s="319">
        <f>ROUND(J146*$L$133,2)</f>
        <v>0</v>
      </c>
      <c r="L146" s="263" t="e">
        <f t="shared" ref="L146" si="458">L147/L145*1000</f>
        <v>#DIV/0!</v>
      </c>
      <c r="M146" s="262">
        <f>K146</f>
        <v>0</v>
      </c>
      <c r="N146" s="319">
        <f>ROUND(M146*$O$133,2)</f>
        <v>0</v>
      </c>
      <c r="O146" s="263" t="e">
        <f t="shared" ref="O146" si="459">O147/O145*1000</f>
        <v>#DIV/0!</v>
      </c>
      <c r="P146" s="262">
        <f>N146</f>
        <v>0</v>
      </c>
      <c r="Q146" s="319">
        <f>ROUND(P146*$R$133,2)</f>
        <v>0</v>
      </c>
      <c r="R146" s="263" t="e">
        <f t="shared" ref="R146" si="460">R147/R145*1000</f>
        <v>#DIV/0!</v>
      </c>
    </row>
    <row r="147" spans="2:18" ht="28.5" hidden="1" customHeight="1" outlineLevel="1" thickBot="1">
      <c r="B147" s="264" t="s">
        <v>26</v>
      </c>
      <c r="C147" s="265" t="s">
        <v>21</v>
      </c>
      <c r="D147" s="320" t="e">
        <f t="shared" ref="D147" si="461">ROUND(D145*D146/1000,2)</f>
        <v>#DIV/0!</v>
      </c>
      <c r="E147" s="321" t="e">
        <f t="shared" ref="E147" si="462">ROUND(E145*E146/1000,2)</f>
        <v>#DIV/0!</v>
      </c>
      <c r="F147" s="322" t="e">
        <f t="shared" ref="F147" si="463">D147+E147</f>
        <v>#DIV/0!</v>
      </c>
      <c r="G147" s="320" t="e">
        <f t="shared" ref="G147:H147" si="464">ROUND(G145*G146/1000,2)</f>
        <v>#DIV/0!</v>
      </c>
      <c r="H147" s="321" t="e">
        <f t="shared" si="464"/>
        <v>#DIV/0!</v>
      </c>
      <c r="I147" s="322" t="e">
        <f t="shared" ref="I147" si="465">G147+H147</f>
        <v>#DIV/0!</v>
      </c>
      <c r="J147" s="320" t="e">
        <f t="shared" ref="J147:K147" si="466">ROUND(J145*J146/1000,2)</f>
        <v>#DIV/0!</v>
      </c>
      <c r="K147" s="321" t="e">
        <f t="shared" si="466"/>
        <v>#DIV/0!</v>
      </c>
      <c r="L147" s="322" t="e">
        <f t="shared" ref="L147" si="467">J147+K147</f>
        <v>#DIV/0!</v>
      </c>
      <c r="M147" s="320" t="e">
        <f t="shared" ref="M147:N147" si="468">ROUND(M145*M146/1000,2)</f>
        <v>#DIV/0!</v>
      </c>
      <c r="N147" s="321" t="e">
        <f t="shared" si="468"/>
        <v>#DIV/0!</v>
      </c>
      <c r="O147" s="322" t="e">
        <f t="shared" ref="O147" si="469">M147+N147</f>
        <v>#DIV/0!</v>
      </c>
      <c r="P147" s="320" t="e">
        <f t="shared" ref="P147:Q147" si="470">ROUND(P145*P146/1000,2)</f>
        <v>#DIV/0!</v>
      </c>
      <c r="Q147" s="321" t="e">
        <f t="shared" si="470"/>
        <v>#DIV/0!</v>
      </c>
      <c r="R147" s="322" t="e">
        <f t="shared" ref="R147" si="471">P147+Q147</f>
        <v>#DIV/0!</v>
      </c>
    </row>
    <row r="148" spans="2:18" ht="27" hidden="1" customHeight="1" outlineLevel="1">
      <c r="B148" s="5" t="s">
        <v>75</v>
      </c>
      <c r="C148" s="6" t="s">
        <v>29</v>
      </c>
      <c r="D148" s="722" t="e">
        <f>индексы!E179</f>
        <v>#DIV/0!</v>
      </c>
      <c r="E148" s="751" t="e">
        <f>индексы!F179</f>
        <v>#DIV/0!</v>
      </c>
      <c r="F148" s="756">
        <f>индексы!G179</f>
        <v>0</v>
      </c>
      <c r="G148" s="722" t="e">
        <f>индексы!H179</f>
        <v>#DIV/0!</v>
      </c>
      <c r="H148" s="751" t="e">
        <f>индексы!I179</f>
        <v>#DIV/0!</v>
      </c>
      <c r="I148" s="756">
        <f>индексы!J179</f>
        <v>0</v>
      </c>
      <c r="J148" s="722" t="e">
        <f>индексы!K179</f>
        <v>#DIV/0!</v>
      </c>
      <c r="K148" s="751" t="e">
        <f>индексы!L179</f>
        <v>#DIV/0!</v>
      </c>
      <c r="L148" s="756">
        <f>индексы!M179</f>
        <v>0</v>
      </c>
      <c r="M148" s="722" t="e">
        <f>индексы!N179</f>
        <v>#DIV/0!</v>
      </c>
      <c r="N148" s="751" t="e">
        <f>индексы!O179</f>
        <v>#DIV/0!</v>
      </c>
      <c r="O148" s="756">
        <f>индексы!P179</f>
        <v>0</v>
      </c>
      <c r="P148" s="722" t="e">
        <f>индексы!Q179</f>
        <v>#DIV/0!</v>
      </c>
      <c r="Q148" s="751" t="e">
        <f>индексы!R179</f>
        <v>#DIV/0!</v>
      </c>
      <c r="R148" s="756">
        <f>индексы!S179</f>
        <v>0</v>
      </c>
    </row>
    <row r="149" spans="2:18" ht="23.25" hidden="1" customHeight="1" outlineLevel="1" thickBot="1">
      <c r="B149" s="260" t="str">
        <f>индексы!C179</f>
        <v>Иные</v>
      </c>
      <c r="C149" s="261" t="s">
        <v>19</v>
      </c>
      <c r="D149" s="262">
        <f>индексы!I70</f>
        <v>0</v>
      </c>
      <c r="E149" s="319">
        <f>ROUND(D149*$F$133,2)</f>
        <v>0</v>
      </c>
      <c r="F149" s="263" t="e">
        <f t="shared" ref="F149" si="472">F150/F148*1000</f>
        <v>#DIV/0!</v>
      </c>
      <c r="G149" s="262">
        <f>E149</f>
        <v>0</v>
      </c>
      <c r="H149" s="319">
        <f>ROUND(G149*$I$133,2)</f>
        <v>0</v>
      </c>
      <c r="I149" s="263" t="e">
        <f t="shared" ref="I149" si="473">I150/I148*1000</f>
        <v>#DIV/0!</v>
      </c>
      <c r="J149" s="262">
        <f>H149</f>
        <v>0</v>
      </c>
      <c r="K149" s="319">
        <f>ROUND(J149*$L$133,2)</f>
        <v>0</v>
      </c>
      <c r="L149" s="263" t="e">
        <f t="shared" ref="L149" si="474">L150/L148*1000</f>
        <v>#DIV/0!</v>
      </c>
      <c r="M149" s="262">
        <f>K149</f>
        <v>0</v>
      </c>
      <c r="N149" s="319">
        <f>ROUND(M149*$O$133,2)</f>
        <v>0</v>
      </c>
      <c r="O149" s="263" t="e">
        <f t="shared" ref="O149" si="475">O150/O148*1000</f>
        <v>#DIV/0!</v>
      </c>
      <c r="P149" s="262">
        <f>N149</f>
        <v>0</v>
      </c>
      <c r="Q149" s="319">
        <f>ROUND(P149*$R$133,2)</f>
        <v>0</v>
      </c>
      <c r="R149" s="263" t="e">
        <f t="shared" ref="R149" si="476">R150/R148*1000</f>
        <v>#DIV/0!</v>
      </c>
    </row>
    <row r="150" spans="2:18" ht="23.25" hidden="1" customHeight="1" outlineLevel="1" thickBot="1">
      <c r="B150" s="264" t="s">
        <v>26</v>
      </c>
      <c r="C150" s="265" t="s">
        <v>21</v>
      </c>
      <c r="D150" s="320" t="e">
        <f t="shared" ref="D150" si="477">ROUND(D148*D149/1000,2)</f>
        <v>#DIV/0!</v>
      </c>
      <c r="E150" s="321" t="e">
        <f t="shared" ref="E150" si="478">ROUND(E148*E149/1000,2)</f>
        <v>#DIV/0!</v>
      </c>
      <c r="F150" s="322" t="e">
        <f t="shared" ref="F150" si="479">D150+E150</f>
        <v>#DIV/0!</v>
      </c>
      <c r="G150" s="320" t="e">
        <f t="shared" ref="G150:H150" si="480">ROUND(G148*G149/1000,2)</f>
        <v>#DIV/0!</v>
      </c>
      <c r="H150" s="321" t="e">
        <f t="shared" si="480"/>
        <v>#DIV/0!</v>
      </c>
      <c r="I150" s="322" t="e">
        <f t="shared" ref="I150" si="481">G150+H150</f>
        <v>#DIV/0!</v>
      </c>
      <c r="J150" s="320" t="e">
        <f t="shared" ref="J150:K150" si="482">ROUND(J148*J149/1000,2)</f>
        <v>#DIV/0!</v>
      </c>
      <c r="K150" s="321" t="e">
        <f t="shared" si="482"/>
        <v>#DIV/0!</v>
      </c>
      <c r="L150" s="322" t="e">
        <f t="shared" ref="L150" si="483">J150+K150</f>
        <v>#DIV/0!</v>
      </c>
      <c r="M150" s="320" t="e">
        <f t="shared" ref="M150:N150" si="484">ROUND(M148*M149/1000,2)</f>
        <v>#DIV/0!</v>
      </c>
      <c r="N150" s="321" t="e">
        <f t="shared" si="484"/>
        <v>#DIV/0!</v>
      </c>
      <c r="O150" s="322" t="e">
        <f t="shared" ref="O150" si="485">M150+N150</f>
        <v>#DIV/0!</v>
      </c>
      <c r="P150" s="320" t="e">
        <f t="shared" ref="P150:Q150" si="486">ROUND(P148*P149/1000,2)</f>
        <v>#DIV/0!</v>
      </c>
      <c r="Q150" s="321" t="e">
        <f t="shared" si="486"/>
        <v>#DIV/0!</v>
      </c>
      <c r="R150" s="322" t="e">
        <f t="shared" ref="R150" si="487">P150+Q150</f>
        <v>#DIV/0!</v>
      </c>
    </row>
    <row r="151" spans="2:18" ht="24.75" hidden="1" customHeight="1" outlineLevel="1">
      <c r="B151" s="5" t="s">
        <v>75</v>
      </c>
      <c r="C151" s="6" t="s">
        <v>29</v>
      </c>
      <c r="D151" s="722" t="e">
        <f>индексы!E180</f>
        <v>#DIV/0!</v>
      </c>
      <c r="E151" s="751" t="e">
        <f>индексы!F180</f>
        <v>#DIV/0!</v>
      </c>
      <c r="F151" s="756">
        <f>индексы!G180</f>
        <v>0</v>
      </c>
      <c r="G151" s="722" t="e">
        <f>индексы!H180</f>
        <v>#DIV/0!</v>
      </c>
      <c r="H151" s="751" t="e">
        <f>индексы!I180</f>
        <v>#DIV/0!</v>
      </c>
      <c r="I151" s="756">
        <f>индексы!J180</f>
        <v>0</v>
      </c>
      <c r="J151" s="722" t="e">
        <f>индексы!K180</f>
        <v>#DIV/0!</v>
      </c>
      <c r="K151" s="751" t="e">
        <f>индексы!L180</f>
        <v>#DIV/0!</v>
      </c>
      <c r="L151" s="756">
        <f>индексы!M180</f>
        <v>0</v>
      </c>
      <c r="M151" s="722" t="e">
        <f>индексы!N180</f>
        <v>#DIV/0!</v>
      </c>
      <c r="N151" s="751" t="e">
        <f>индексы!O180</f>
        <v>#DIV/0!</v>
      </c>
      <c r="O151" s="756">
        <f>индексы!P180</f>
        <v>0</v>
      </c>
      <c r="P151" s="722" t="e">
        <f>индексы!Q180</f>
        <v>#DIV/0!</v>
      </c>
      <c r="Q151" s="751" t="e">
        <f>индексы!R180</f>
        <v>#DIV/0!</v>
      </c>
      <c r="R151" s="756">
        <f>индексы!S180</f>
        <v>0</v>
      </c>
    </row>
    <row r="152" spans="2:18" ht="25.5" hidden="1" customHeight="1" outlineLevel="1" thickBot="1">
      <c r="B152" s="260" t="str">
        <f>индексы!C180</f>
        <v>Иные</v>
      </c>
      <c r="C152" s="261" t="s">
        <v>19</v>
      </c>
      <c r="D152" s="262">
        <f>индексы!J70</f>
        <v>0</v>
      </c>
      <c r="E152" s="319">
        <f t="shared" ref="E152" si="488">ROUND(D152*$F$133,2)</f>
        <v>0</v>
      </c>
      <c r="F152" s="263" t="e">
        <f t="shared" ref="F152" si="489">F153/F151*1000</f>
        <v>#DIV/0!</v>
      </c>
      <c r="G152" s="262">
        <f>E152</f>
        <v>0</v>
      </c>
      <c r="H152" s="319">
        <f>ROUND(G152*$I$133,2)</f>
        <v>0</v>
      </c>
      <c r="I152" s="263" t="e">
        <f t="shared" ref="I152" si="490">I153/I151*1000</f>
        <v>#DIV/0!</v>
      </c>
      <c r="J152" s="262">
        <f>H152</f>
        <v>0</v>
      </c>
      <c r="K152" s="319">
        <f>ROUND(J152*$L$133,2)</f>
        <v>0</v>
      </c>
      <c r="L152" s="263" t="e">
        <f t="shared" ref="L152" si="491">L153/L151*1000</f>
        <v>#DIV/0!</v>
      </c>
      <c r="M152" s="262">
        <f>K152</f>
        <v>0</v>
      </c>
      <c r="N152" s="319">
        <f>ROUND(M152*$O$133,2)</f>
        <v>0</v>
      </c>
      <c r="O152" s="263" t="e">
        <f t="shared" ref="O152" si="492">O153/O151*1000</f>
        <v>#DIV/0!</v>
      </c>
      <c r="P152" s="262">
        <f>N152</f>
        <v>0</v>
      </c>
      <c r="Q152" s="319">
        <f>ROUND(P152*$R$133,2)</f>
        <v>0</v>
      </c>
      <c r="R152" s="263" t="e">
        <f t="shared" ref="R152" si="493">R153/R151*1000</f>
        <v>#DIV/0!</v>
      </c>
    </row>
    <row r="153" spans="2:18" ht="22.5" hidden="1" customHeight="1" outlineLevel="1" thickBot="1">
      <c r="B153" s="264" t="s">
        <v>26</v>
      </c>
      <c r="C153" s="265" t="s">
        <v>21</v>
      </c>
      <c r="D153" s="320" t="e">
        <f t="shared" ref="D153" si="494">ROUND(D151*D152/1000,2)</f>
        <v>#DIV/0!</v>
      </c>
      <c r="E153" s="321" t="e">
        <f t="shared" ref="E153" si="495">ROUND(E151*E152/1000,2)</f>
        <v>#DIV/0!</v>
      </c>
      <c r="F153" s="322" t="e">
        <f t="shared" ref="F153" si="496">D153+E153</f>
        <v>#DIV/0!</v>
      </c>
      <c r="G153" s="320" t="e">
        <f t="shared" ref="G153:H153" si="497">ROUND(G151*G152/1000,2)</f>
        <v>#DIV/0!</v>
      </c>
      <c r="H153" s="321" t="e">
        <f t="shared" si="497"/>
        <v>#DIV/0!</v>
      </c>
      <c r="I153" s="322" t="e">
        <f t="shared" ref="I153" si="498">G153+H153</f>
        <v>#DIV/0!</v>
      </c>
      <c r="J153" s="320" t="e">
        <f t="shared" ref="J153:K153" si="499">ROUND(J151*J152/1000,2)</f>
        <v>#DIV/0!</v>
      </c>
      <c r="K153" s="321" t="e">
        <f t="shared" si="499"/>
        <v>#DIV/0!</v>
      </c>
      <c r="L153" s="322" t="e">
        <f t="shared" ref="L153" si="500">J153+K153</f>
        <v>#DIV/0!</v>
      </c>
      <c r="M153" s="320" t="e">
        <f t="shared" ref="M153:N153" si="501">ROUND(M151*M152/1000,2)</f>
        <v>#DIV/0!</v>
      </c>
      <c r="N153" s="321" t="e">
        <f t="shared" si="501"/>
        <v>#DIV/0!</v>
      </c>
      <c r="O153" s="322" t="e">
        <f t="shared" ref="O153" si="502">M153+N153</f>
        <v>#DIV/0!</v>
      </c>
      <c r="P153" s="320" t="e">
        <f t="shared" ref="P153:Q153" si="503">ROUND(P151*P152/1000,2)</f>
        <v>#DIV/0!</v>
      </c>
      <c r="Q153" s="321" t="e">
        <f t="shared" si="503"/>
        <v>#DIV/0!</v>
      </c>
      <c r="R153" s="322" t="e">
        <f t="shared" ref="R153" si="504">P153+Q153</f>
        <v>#DIV/0!</v>
      </c>
    </row>
    <row r="154" spans="2:18" ht="24" hidden="1" customHeight="1" outlineLevel="1">
      <c r="B154" s="5" t="s">
        <v>75</v>
      </c>
      <c r="C154" s="6" t="s">
        <v>29</v>
      </c>
      <c r="D154" s="722" t="e">
        <f>индексы!E181</f>
        <v>#DIV/0!</v>
      </c>
      <c r="E154" s="751" t="e">
        <f>индексы!F181</f>
        <v>#DIV/0!</v>
      </c>
      <c r="F154" s="756">
        <f>индексы!G181</f>
        <v>0</v>
      </c>
      <c r="G154" s="722" t="e">
        <f>индексы!H181</f>
        <v>#DIV/0!</v>
      </c>
      <c r="H154" s="751" t="e">
        <f>индексы!I181</f>
        <v>#DIV/0!</v>
      </c>
      <c r="I154" s="756">
        <f>индексы!J181</f>
        <v>0</v>
      </c>
      <c r="J154" s="722" t="e">
        <f>индексы!K181</f>
        <v>#DIV/0!</v>
      </c>
      <c r="K154" s="751" t="e">
        <f>индексы!L181</f>
        <v>#DIV/0!</v>
      </c>
      <c r="L154" s="756">
        <f>индексы!M181</f>
        <v>0</v>
      </c>
      <c r="M154" s="722" t="e">
        <f>индексы!N181</f>
        <v>#DIV/0!</v>
      </c>
      <c r="N154" s="751" t="e">
        <f>индексы!O181</f>
        <v>#DIV/0!</v>
      </c>
      <c r="O154" s="756">
        <f>индексы!P181</f>
        <v>0</v>
      </c>
      <c r="P154" s="722" t="e">
        <f>индексы!Q181</f>
        <v>#DIV/0!</v>
      </c>
      <c r="Q154" s="751" t="e">
        <f>индексы!R181</f>
        <v>#DIV/0!</v>
      </c>
      <c r="R154" s="756">
        <f>индексы!S181</f>
        <v>0</v>
      </c>
    </row>
    <row r="155" spans="2:18" ht="30.75" hidden="1" customHeight="1" outlineLevel="1" thickBot="1">
      <c r="B155" s="260" t="str">
        <f>индексы!C181</f>
        <v>Иные</v>
      </c>
      <c r="C155" s="261" t="s">
        <v>19</v>
      </c>
      <c r="D155" s="262">
        <f>индексы!K70</f>
        <v>0</v>
      </c>
      <c r="E155" s="319">
        <f t="shared" ref="E155" si="505">ROUND(D155*$F$133,2)</f>
        <v>0</v>
      </c>
      <c r="F155" s="263" t="e">
        <f t="shared" ref="F155" si="506">F156/F154*1000</f>
        <v>#DIV/0!</v>
      </c>
      <c r="G155" s="262">
        <f>E155</f>
        <v>0</v>
      </c>
      <c r="H155" s="319">
        <f>ROUND(G155*$I$133,2)</f>
        <v>0</v>
      </c>
      <c r="I155" s="263" t="e">
        <f t="shared" ref="I155" si="507">I156/I154*1000</f>
        <v>#DIV/0!</v>
      </c>
      <c r="J155" s="262">
        <f>H155</f>
        <v>0</v>
      </c>
      <c r="K155" s="319">
        <f>ROUND(J155*$L$133,2)</f>
        <v>0</v>
      </c>
      <c r="L155" s="263" t="e">
        <f t="shared" ref="L155" si="508">L156/L154*1000</f>
        <v>#DIV/0!</v>
      </c>
      <c r="M155" s="262">
        <f>K155</f>
        <v>0</v>
      </c>
      <c r="N155" s="319">
        <f>ROUND(M155*$O$133,2)</f>
        <v>0</v>
      </c>
      <c r="O155" s="263" t="e">
        <f t="shared" ref="O155" si="509">O156/O154*1000</f>
        <v>#DIV/0!</v>
      </c>
      <c r="P155" s="262">
        <f>N155</f>
        <v>0</v>
      </c>
      <c r="Q155" s="319">
        <f>ROUND(P155*$R$133,2)</f>
        <v>0</v>
      </c>
      <c r="R155" s="263" t="e">
        <f t="shared" ref="R155" si="510">R156/R154*1000</f>
        <v>#DIV/0!</v>
      </c>
    </row>
    <row r="156" spans="2:18" ht="28.5" hidden="1" customHeight="1" outlineLevel="1" thickBot="1">
      <c r="B156" s="264" t="s">
        <v>26</v>
      </c>
      <c r="C156" s="265" t="s">
        <v>21</v>
      </c>
      <c r="D156" s="320" t="e">
        <f t="shared" ref="D156" si="511">ROUND(D154*D155/1000,2)</f>
        <v>#DIV/0!</v>
      </c>
      <c r="E156" s="321" t="e">
        <f t="shared" ref="E156" si="512">ROUND(E154*E155/1000,2)</f>
        <v>#DIV/0!</v>
      </c>
      <c r="F156" s="322" t="e">
        <f t="shared" ref="F156" si="513">D156+E156</f>
        <v>#DIV/0!</v>
      </c>
      <c r="G156" s="320" t="e">
        <f t="shared" ref="G156:H156" si="514">ROUND(G154*G155/1000,2)</f>
        <v>#DIV/0!</v>
      </c>
      <c r="H156" s="321" t="e">
        <f t="shared" si="514"/>
        <v>#DIV/0!</v>
      </c>
      <c r="I156" s="322" t="e">
        <f t="shared" ref="I156" si="515">G156+H156</f>
        <v>#DIV/0!</v>
      </c>
      <c r="J156" s="320" t="e">
        <f t="shared" ref="J156:K156" si="516">ROUND(J154*J155/1000,2)</f>
        <v>#DIV/0!</v>
      </c>
      <c r="K156" s="321" t="e">
        <f t="shared" si="516"/>
        <v>#DIV/0!</v>
      </c>
      <c r="L156" s="322" t="e">
        <f t="shared" ref="L156" si="517">J156+K156</f>
        <v>#DIV/0!</v>
      </c>
      <c r="M156" s="320" t="e">
        <f t="shared" ref="M156:N156" si="518">ROUND(M154*M155/1000,2)</f>
        <v>#DIV/0!</v>
      </c>
      <c r="N156" s="321" t="e">
        <f t="shared" si="518"/>
        <v>#DIV/0!</v>
      </c>
      <c r="O156" s="322" t="e">
        <f t="shared" ref="O156" si="519">M156+N156</f>
        <v>#DIV/0!</v>
      </c>
      <c r="P156" s="320" t="e">
        <f t="shared" ref="P156:Q156" si="520">ROUND(P154*P155/1000,2)</f>
        <v>#DIV/0!</v>
      </c>
      <c r="Q156" s="321" t="e">
        <f t="shared" si="520"/>
        <v>#DIV/0!</v>
      </c>
      <c r="R156" s="322" t="e">
        <f t="shared" ref="R156" si="521">P156+Q156</f>
        <v>#DIV/0!</v>
      </c>
    </row>
    <row r="157" spans="2:18" ht="24.75" hidden="1" customHeight="1" outlineLevel="1">
      <c r="B157" s="5" t="s">
        <v>75</v>
      </c>
      <c r="C157" s="6" t="s">
        <v>29</v>
      </c>
      <c r="D157" s="722" t="e">
        <f>индексы!E182</f>
        <v>#DIV/0!</v>
      </c>
      <c r="E157" s="751" t="e">
        <f>индексы!F182</f>
        <v>#DIV/0!</v>
      </c>
      <c r="F157" s="756">
        <f>индексы!G182</f>
        <v>0</v>
      </c>
      <c r="G157" s="722" t="e">
        <f>индексы!H182</f>
        <v>#DIV/0!</v>
      </c>
      <c r="H157" s="751" t="e">
        <f>индексы!I182</f>
        <v>#DIV/0!</v>
      </c>
      <c r="I157" s="756">
        <f>индексы!J182</f>
        <v>0</v>
      </c>
      <c r="J157" s="722" t="e">
        <f>индексы!K182</f>
        <v>#DIV/0!</v>
      </c>
      <c r="K157" s="751" t="e">
        <f>индексы!L182</f>
        <v>#DIV/0!</v>
      </c>
      <c r="L157" s="756">
        <f>индексы!M182</f>
        <v>0</v>
      </c>
      <c r="M157" s="722" t="e">
        <f>индексы!N182</f>
        <v>#DIV/0!</v>
      </c>
      <c r="N157" s="751" t="e">
        <f>индексы!O182</f>
        <v>#DIV/0!</v>
      </c>
      <c r="O157" s="756">
        <f>индексы!P182</f>
        <v>0</v>
      </c>
      <c r="P157" s="722" t="e">
        <f>индексы!Q182</f>
        <v>#DIV/0!</v>
      </c>
      <c r="Q157" s="751" t="e">
        <f>индексы!R182</f>
        <v>#DIV/0!</v>
      </c>
      <c r="R157" s="756">
        <f>индексы!S182</f>
        <v>0</v>
      </c>
    </row>
    <row r="158" spans="2:18" ht="28.5" hidden="1" customHeight="1" outlineLevel="1" thickBot="1">
      <c r="B158" s="260" t="str">
        <f>индексы!C182</f>
        <v>Иные</v>
      </c>
      <c r="C158" s="261" t="s">
        <v>19</v>
      </c>
      <c r="D158" s="262">
        <f>индексы!L70</f>
        <v>0</v>
      </c>
      <c r="E158" s="319">
        <f t="shared" ref="E158" si="522">ROUND(D158*$F$133,2)</f>
        <v>0</v>
      </c>
      <c r="F158" s="263" t="e">
        <f t="shared" ref="F158" si="523">F159/F157*1000</f>
        <v>#DIV/0!</v>
      </c>
      <c r="G158" s="262">
        <f>E158</f>
        <v>0</v>
      </c>
      <c r="H158" s="319">
        <f>ROUND(G158*$I$133,2)</f>
        <v>0</v>
      </c>
      <c r="I158" s="263" t="e">
        <f t="shared" ref="I158" si="524">I159/I157*1000</f>
        <v>#DIV/0!</v>
      </c>
      <c r="J158" s="262">
        <f>H158</f>
        <v>0</v>
      </c>
      <c r="K158" s="319">
        <f>ROUND(J158*$L$133,2)</f>
        <v>0</v>
      </c>
      <c r="L158" s="263" t="e">
        <f t="shared" ref="L158" si="525">L159/L157*1000</f>
        <v>#DIV/0!</v>
      </c>
      <c r="M158" s="262">
        <f>K158</f>
        <v>0</v>
      </c>
      <c r="N158" s="319">
        <f>ROUND(M158*$O$133,2)</f>
        <v>0</v>
      </c>
      <c r="O158" s="263" t="e">
        <f t="shared" ref="O158" si="526">O159/O157*1000</f>
        <v>#DIV/0!</v>
      </c>
      <c r="P158" s="262">
        <f>N158</f>
        <v>0</v>
      </c>
      <c r="Q158" s="319">
        <f>ROUND(P158*$R$133,2)</f>
        <v>0</v>
      </c>
      <c r="R158" s="263" t="e">
        <f t="shared" ref="R158" si="527">R159/R157*1000</f>
        <v>#DIV/0!</v>
      </c>
    </row>
    <row r="159" spans="2:18" ht="24" hidden="1" customHeight="1" outlineLevel="1" thickBot="1">
      <c r="B159" s="264" t="s">
        <v>26</v>
      </c>
      <c r="C159" s="265" t="s">
        <v>21</v>
      </c>
      <c r="D159" s="320" t="e">
        <f t="shared" ref="D159" si="528">ROUND(D157*D158/1000,2)</f>
        <v>#DIV/0!</v>
      </c>
      <c r="E159" s="321" t="e">
        <f t="shared" ref="E159" si="529">ROUND(E157*E158/1000,2)</f>
        <v>#DIV/0!</v>
      </c>
      <c r="F159" s="322" t="e">
        <f t="shared" ref="F159" si="530">D159+E159</f>
        <v>#DIV/0!</v>
      </c>
      <c r="G159" s="320" t="e">
        <f t="shared" ref="G159:H159" si="531">ROUND(G157*G158/1000,2)</f>
        <v>#DIV/0!</v>
      </c>
      <c r="H159" s="321" t="e">
        <f t="shared" si="531"/>
        <v>#DIV/0!</v>
      </c>
      <c r="I159" s="322" t="e">
        <f t="shared" ref="I159" si="532">G159+H159</f>
        <v>#DIV/0!</v>
      </c>
      <c r="J159" s="320" t="e">
        <f t="shared" ref="J159:K159" si="533">ROUND(J157*J158/1000,2)</f>
        <v>#DIV/0!</v>
      </c>
      <c r="K159" s="321" t="e">
        <f t="shared" si="533"/>
        <v>#DIV/0!</v>
      </c>
      <c r="L159" s="322" t="e">
        <f t="shared" ref="L159" si="534">J159+K159</f>
        <v>#DIV/0!</v>
      </c>
      <c r="M159" s="320" t="e">
        <f t="shared" ref="M159:N159" si="535">ROUND(M157*M158/1000,2)</f>
        <v>#DIV/0!</v>
      </c>
      <c r="N159" s="321" t="e">
        <f t="shared" si="535"/>
        <v>#DIV/0!</v>
      </c>
      <c r="O159" s="322" t="e">
        <f t="shared" ref="O159" si="536">M159+N159</f>
        <v>#DIV/0!</v>
      </c>
      <c r="P159" s="320" t="e">
        <f t="shared" ref="P159:Q159" si="537">ROUND(P157*P158/1000,2)</f>
        <v>#DIV/0!</v>
      </c>
      <c r="Q159" s="321" t="e">
        <f t="shared" si="537"/>
        <v>#DIV/0!</v>
      </c>
      <c r="R159" s="322" t="e">
        <f t="shared" ref="R159" si="538">P159+Q159</f>
        <v>#DIV/0!</v>
      </c>
    </row>
    <row r="160" spans="2:18" ht="23.25" hidden="1" customHeight="1">
      <c r="D160" s="779" t="e">
        <f>D138+D141+D144+D147+D150+D153+D156+D159</f>
        <v>#DIV/0!</v>
      </c>
      <c r="E160" s="779" t="e">
        <f t="shared" ref="E160:R160" si="539">E138+E141+E144+E147+E150+E153+E156+E159</f>
        <v>#DIV/0!</v>
      </c>
      <c r="F160" s="779" t="e">
        <f t="shared" si="539"/>
        <v>#DIV/0!</v>
      </c>
      <c r="G160" s="779" t="e">
        <f t="shared" si="539"/>
        <v>#DIV/0!</v>
      </c>
      <c r="H160" s="779" t="e">
        <f t="shared" si="539"/>
        <v>#DIV/0!</v>
      </c>
      <c r="I160" s="779" t="e">
        <f t="shared" si="539"/>
        <v>#DIV/0!</v>
      </c>
      <c r="J160" s="779" t="e">
        <f t="shared" si="539"/>
        <v>#DIV/0!</v>
      </c>
      <c r="K160" s="779" t="e">
        <f t="shared" si="539"/>
        <v>#DIV/0!</v>
      </c>
      <c r="L160" s="779" t="e">
        <f t="shared" si="539"/>
        <v>#DIV/0!</v>
      </c>
      <c r="M160" s="779" t="e">
        <f t="shared" si="539"/>
        <v>#DIV/0!</v>
      </c>
      <c r="N160" s="779" t="e">
        <f t="shared" si="539"/>
        <v>#DIV/0!</v>
      </c>
      <c r="O160" s="779" t="e">
        <f t="shared" si="539"/>
        <v>#DIV/0!</v>
      </c>
      <c r="P160" s="779" t="e">
        <f t="shared" si="539"/>
        <v>#DIV/0!</v>
      </c>
      <c r="Q160" s="779" t="e">
        <f t="shared" si="539"/>
        <v>#DIV/0!</v>
      </c>
      <c r="R160" s="779" t="e">
        <f t="shared" si="539"/>
        <v>#DIV/0!</v>
      </c>
    </row>
    <row r="161" spans="1:24" s="10" customFormat="1" ht="19.5" hidden="1" customHeight="1" outlineLevel="1" thickBot="1">
      <c r="B161" s="1734" t="s">
        <v>441</v>
      </c>
      <c r="C161" s="1734"/>
      <c r="D161" s="1734"/>
      <c r="E161" s="1734"/>
      <c r="F161" s="1734"/>
      <c r="G161" s="1734"/>
      <c r="H161" s="29"/>
      <c r="I161" s="364"/>
      <c r="J161" s="364"/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</row>
    <row r="162" spans="1:24" s="4" customFormat="1" ht="21.75" hidden="1" customHeight="1" outlineLevel="1" thickBot="1">
      <c r="A162" s="762"/>
      <c r="B162" s="762"/>
      <c r="C162" s="762"/>
      <c r="D162" s="762"/>
      <c r="E162" s="762"/>
      <c r="F162" s="763">
        <f>E165/D165</f>
        <v>1.0590029578506284</v>
      </c>
      <c r="G162" s="762"/>
      <c r="H162" s="762"/>
      <c r="I162" s="763">
        <f>H165/G165</f>
        <v>1.0420121614151465</v>
      </c>
      <c r="J162" s="762"/>
      <c r="K162" s="762"/>
      <c r="L162" s="763">
        <f>K165/J165</f>
        <v>1.0400111685048166</v>
      </c>
      <c r="M162" s="762"/>
      <c r="N162" s="762"/>
      <c r="O162" s="763">
        <f>N165/M165</f>
        <v>1.040002147766323</v>
      </c>
      <c r="P162" s="762"/>
      <c r="Q162" s="762"/>
      <c r="R162" s="763">
        <f>Q165/P165</f>
        <v>1.0390056275491766</v>
      </c>
      <c r="S162" s="762"/>
      <c r="T162" s="762"/>
      <c r="U162" s="762"/>
      <c r="V162" s="762"/>
    </row>
    <row r="163" spans="1:24" ht="36.75" hidden="1" customHeight="1" outlineLevel="1">
      <c r="B163" s="11"/>
      <c r="C163" s="24" t="str">
        <f>C135</f>
        <v>Ед.изм.</v>
      </c>
      <c r="D163" s="771" t="str">
        <f>D135</f>
        <v>с 01.01.2019 по 30.06.2019</v>
      </c>
      <c r="E163" s="773" t="str">
        <f t="shared" ref="E163:R163" si="540">E135</f>
        <v>с 01.07.2019 по 31.12.2019</v>
      </c>
      <c r="F163" s="772" t="str">
        <f t="shared" si="540"/>
        <v xml:space="preserve">Всего </v>
      </c>
      <c r="G163" s="771" t="str">
        <f t="shared" si="540"/>
        <v>с 01.01.2020 по 30.06.2020</v>
      </c>
      <c r="H163" s="773" t="str">
        <f t="shared" si="540"/>
        <v>с 01.07.2020 по 31.12.2020</v>
      </c>
      <c r="I163" s="772" t="str">
        <f t="shared" si="540"/>
        <v xml:space="preserve">Всего </v>
      </c>
      <c r="J163" s="771" t="str">
        <f t="shared" si="540"/>
        <v>с 01.01.2021 по 30.06.2021</v>
      </c>
      <c r="K163" s="773" t="str">
        <f t="shared" si="540"/>
        <v>с 01.07.2021 по 31.12.2021</v>
      </c>
      <c r="L163" s="772" t="str">
        <f t="shared" si="540"/>
        <v xml:space="preserve">Всего </v>
      </c>
      <c r="M163" s="771" t="str">
        <f t="shared" si="540"/>
        <v>с 01.01.2022 по 30.06.2022</v>
      </c>
      <c r="N163" s="773" t="str">
        <f t="shared" si="540"/>
        <v>с 01.07.2022 по 31.12.2022</v>
      </c>
      <c r="O163" s="772" t="str">
        <f t="shared" si="540"/>
        <v xml:space="preserve">Всего </v>
      </c>
      <c r="P163" s="771" t="str">
        <f t="shared" si="540"/>
        <v>с 01.01.2023 по 30.06.2023</v>
      </c>
      <c r="Q163" s="773" t="str">
        <f t="shared" si="540"/>
        <v>с 01.07.2023 по 31.12.2023</v>
      </c>
      <c r="R163" s="774" t="str">
        <f t="shared" si="540"/>
        <v xml:space="preserve">Всего </v>
      </c>
      <c r="S163" s="762"/>
      <c r="T163" s="762"/>
      <c r="U163" s="762"/>
      <c r="V163" s="762"/>
      <c r="W163" s="4"/>
      <c r="X163" s="4"/>
    </row>
    <row r="164" spans="1:24" ht="51" hidden="1" outlineLevel="1">
      <c r="B164" s="5" t="str">
        <f>индексы!C146</f>
        <v>Полезный отпуск тепловой энергии, передаваемой по сетям ТСО и ГУП "ТЭК СПб" (с учетом компенсации потерь)</v>
      </c>
      <c r="C164" s="6" t="s">
        <v>13</v>
      </c>
      <c r="D164" s="722">
        <f>индексы!E146</f>
        <v>0</v>
      </c>
      <c r="E164" s="13">
        <f>индексы!F146</f>
        <v>0</v>
      </c>
      <c r="F164" s="741">
        <f>индексы!G146</f>
        <v>0</v>
      </c>
      <c r="G164" s="722">
        <f>индексы!H146</f>
        <v>0</v>
      </c>
      <c r="H164" s="13">
        <f>индексы!I146</f>
        <v>0</v>
      </c>
      <c r="I164" s="741">
        <f>индексы!J146</f>
        <v>0</v>
      </c>
      <c r="J164" s="722">
        <f>индексы!K146</f>
        <v>0</v>
      </c>
      <c r="K164" s="13">
        <f>индексы!L146</f>
        <v>0</v>
      </c>
      <c r="L164" s="741">
        <f>индексы!M146</f>
        <v>0</v>
      </c>
      <c r="M164" s="722">
        <f>индексы!N146</f>
        <v>0</v>
      </c>
      <c r="N164" s="13">
        <f>индексы!O146</f>
        <v>0</v>
      </c>
      <c r="O164" s="741">
        <f>индексы!P146</f>
        <v>0</v>
      </c>
      <c r="P164" s="722">
        <f>индексы!Q146</f>
        <v>0</v>
      </c>
      <c r="Q164" s="13">
        <f>индексы!R146</f>
        <v>0</v>
      </c>
      <c r="R164" s="775">
        <f>индексы!S146</f>
        <v>0</v>
      </c>
      <c r="S164" s="762"/>
      <c r="T164" s="762"/>
      <c r="U164" s="762"/>
      <c r="V164" s="762"/>
      <c r="W164" s="4"/>
      <c r="X164" s="4"/>
    </row>
    <row r="165" spans="1:24" ht="24.75" hidden="1" customHeight="1" outlineLevel="1" thickBot="1">
      <c r="B165" s="260" t="s">
        <v>442</v>
      </c>
      <c r="C165" s="261" t="s">
        <v>12</v>
      </c>
      <c r="D165" s="776">
        <f>индексы!E68</f>
        <v>324.56</v>
      </c>
      <c r="E165" s="777">
        <f>ROUND(D165*индексы!H12,2)</f>
        <v>343.71</v>
      </c>
      <c r="F165" s="764" t="e">
        <f>F166/F164*1000</f>
        <v>#DIV/0!</v>
      </c>
      <c r="G165" s="776">
        <f>E165</f>
        <v>343.71</v>
      </c>
      <c r="H165" s="777">
        <f>ROUND(G165*индексы!I12,2)</f>
        <v>358.15</v>
      </c>
      <c r="I165" s="764" t="e">
        <f>I166/I164*1000</f>
        <v>#DIV/0!</v>
      </c>
      <c r="J165" s="776">
        <f>H165</f>
        <v>358.15</v>
      </c>
      <c r="K165" s="777">
        <f>ROUND(J165*индексы!J12,2)</f>
        <v>372.48</v>
      </c>
      <c r="L165" s="764" t="e">
        <f>L166/L164*1000</f>
        <v>#DIV/0!</v>
      </c>
      <c r="M165" s="776">
        <f>K165</f>
        <v>372.48</v>
      </c>
      <c r="N165" s="777">
        <f>ROUND(M165*индексы!K12,2)</f>
        <v>387.38</v>
      </c>
      <c r="O165" s="764" t="e">
        <f>O166/O164*1000</f>
        <v>#DIV/0!</v>
      </c>
      <c r="P165" s="776">
        <f>N165</f>
        <v>387.38</v>
      </c>
      <c r="Q165" s="777">
        <f>ROUND(P165*индексы!L12,2)</f>
        <v>402.49</v>
      </c>
      <c r="R165" s="764" t="e">
        <f>R166/R164*1000</f>
        <v>#DIV/0!</v>
      </c>
      <c r="S165" s="762"/>
      <c r="T165" s="762"/>
      <c r="U165" s="762"/>
      <c r="V165" s="762"/>
      <c r="W165" s="4"/>
      <c r="X165" s="4"/>
    </row>
    <row r="166" spans="1:24" ht="24.75" hidden="1" customHeight="1" outlineLevel="1" thickBot="1">
      <c r="B166" s="264" t="s">
        <v>443</v>
      </c>
      <c r="C166" s="265" t="s">
        <v>21</v>
      </c>
      <c r="D166" s="266">
        <f>ROUND(D164*D165/1000,2)</f>
        <v>0</v>
      </c>
      <c r="E166" s="267">
        <f>ROUND(E164*E165/1000,2)</f>
        <v>0</v>
      </c>
      <c r="F166" s="268">
        <f>D166+E166</f>
        <v>0</v>
      </c>
      <c r="G166" s="765">
        <f>ROUND(G164*G165/1000,2)</f>
        <v>0</v>
      </c>
      <c r="H166" s="766">
        <f>ROUND(H164*H165/1000,2)</f>
        <v>0</v>
      </c>
      <c r="I166" s="268">
        <f>G166+H166</f>
        <v>0</v>
      </c>
      <c r="J166" s="765">
        <f>ROUND(J164*J165/1000,2)</f>
        <v>0</v>
      </c>
      <c r="K166" s="766">
        <f>ROUND(K164*K165/1000,2)</f>
        <v>0</v>
      </c>
      <c r="L166" s="268">
        <f>J166+K166</f>
        <v>0</v>
      </c>
      <c r="M166" s="765">
        <f>ROUND(M164*M165/1000,2)</f>
        <v>0</v>
      </c>
      <c r="N166" s="766">
        <f>ROUND(N164*N165/1000,2)</f>
        <v>0</v>
      </c>
      <c r="O166" s="268">
        <f>M166+N166</f>
        <v>0</v>
      </c>
      <c r="P166" s="765">
        <f>ROUND(P164*P165/1000,2)</f>
        <v>0</v>
      </c>
      <c r="Q166" s="766">
        <f>ROUND(Q164*Q165/1000,2)</f>
        <v>0</v>
      </c>
      <c r="R166" s="268">
        <f>P166+Q166</f>
        <v>0</v>
      </c>
      <c r="S166" s="762"/>
      <c r="T166" s="762"/>
      <c r="U166" s="762"/>
      <c r="V166" s="762"/>
      <c r="W166" s="4"/>
      <c r="X166" s="4"/>
    </row>
    <row r="167" spans="1:24" hidden="1">
      <c r="S167" s="762"/>
      <c r="T167" s="762"/>
      <c r="U167" s="762"/>
      <c r="V167" s="762"/>
    </row>
    <row r="168" spans="1:24" hidden="1"/>
    <row r="169" spans="1:24" hidden="1"/>
    <row r="170" spans="1:24" hidden="1"/>
    <row r="171" spans="1:24" hidden="1"/>
    <row r="172" spans="1:24" hidden="1"/>
    <row r="173" spans="1:24" hidden="1"/>
    <row r="174" spans="1:24" hidden="1"/>
    <row r="175" spans="1:24" hidden="1"/>
    <row r="176" spans="1:24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spans="6:18" hidden="1"/>
    <row r="194" spans="6:18" hidden="1"/>
    <row r="195" spans="6:18" hidden="1"/>
    <row r="196" spans="6:18" hidden="1"/>
    <row r="197" spans="6:18" hidden="1"/>
    <row r="198" spans="6:18" hidden="1"/>
    <row r="199" spans="6:18" hidden="1"/>
    <row r="200" spans="6:18" hidden="1"/>
    <row r="201" spans="6:18" hidden="1"/>
    <row r="202" spans="6:18" hidden="1"/>
    <row r="203" spans="6:18" hidden="1"/>
    <row r="204" spans="6:18" hidden="1"/>
    <row r="205" spans="6:18" hidden="1"/>
    <row r="206" spans="6:18" hidden="1"/>
    <row r="208" spans="6:18">
      <c r="F208" s="1106">
        <f>F119+F127</f>
        <v>3615.92</v>
      </c>
      <c r="I208" s="1106">
        <f>I119+I127</f>
        <v>3905.23</v>
      </c>
      <c r="L208" s="1106">
        <f>L119+L127</f>
        <v>4151.0200000000004</v>
      </c>
      <c r="O208" s="1106">
        <f>O119+O127</f>
        <v>4316.95</v>
      </c>
      <c r="R208" s="1106">
        <f>R119+R127</f>
        <v>4489.58</v>
      </c>
    </row>
    <row r="209" spans="6:18">
      <c r="F209" s="1106">
        <f>F114-F208</f>
        <v>-1.0000000000218279E-2</v>
      </c>
      <c r="I209" s="1106">
        <f>I114-I208</f>
        <v>0</v>
      </c>
      <c r="L209" s="1106">
        <f>L114-L208</f>
        <v>9.999999999308784E-3</v>
      </c>
      <c r="O209" s="1106">
        <f>O114-O208</f>
        <v>0</v>
      </c>
      <c r="R209" s="1106">
        <f>R114-R208</f>
        <v>2.0000000000436557E-2</v>
      </c>
    </row>
    <row r="214" spans="6:18">
      <c r="H214" s="1257">
        <f>25.5*1.07</f>
        <v>27.285</v>
      </c>
    </row>
  </sheetData>
  <mergeCells count="5">
    <mergeCell ref="B161:G161"/>
    <mergeCell ref="B133:D133"/>
    <mergeCell ref="B89:D89"/>
    <mergeCell ref="B2:D2"/>
    <mergeCell ref="B34:D34"/>
  </mergeCells>
  <pageMargins left="0.70866141732283472" right="0.70866141732283472" top="0.74803149606299213" bottom="0.74803149606299213" header="0.31496062992125984" footer="0.31496062992125984"/>
  <pageSetup paperSize="9" scale="34" fitToHeight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"/>
  <sheetViews>
    <sheetView view="pageBreakPreview" zoomScale="6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K22" sqref="K22"/>
    </sheetView>
  </sheetViews>
  <sheetFormatPr defaultRowHeight="15.75"/>
  <cols>
    <col min="1" max="1" width="3.5" customWidth="1"/>
    <col min="2" max="2" width="7.625" customWidth="1"/>
    <col min="3" max="3" width="62.625" customWidth="1"/>
    <col min="4" max="5" width="16.125" customWidth="1"/>
    <col min="6" max="6" width="17.375" customWidth="1"/>
    <col min="7" max="11" width="14.75" customWidth="1"/>
    <col min="12" max="12" width="39.625" customWidth="1"/>
    <col min="13" max="13" width="9" style="345"/>
  </cols>
  <sheetData>
    <row r="1" spans="1:13">
      <c r="A1" s="409"/>
      <c r="B1" s="409"/>
      <c r="C1" s="409"/>
      <c r="D1" s="409"/>
      <c r="E1" s="409"/>
      <c r="F1" s="409"/>
      <c r="G1" s="409"/>
      <c r="H1" s="409"/>
      <c r="I1" s="409"/>
      <c r="J1" s="409"/>
      <c r="K1" s="409"/>
    </row>
    <row r="2" spans="1:13" ht="18.75">
      <c r="A2" s="409"/>
      <c r="B2" s="408" t="s">
        <v>516</v>
      </c>
      <c r="C2" s="409"/>
      <c r="D2" s="409"/>
      <c r="E2" s="409"/>
      <c r="F2" s="409"/>
      <c r="G2" s="409"/>
      <c r="H2" s="409"/>
      <c r="I2" s="409"/>
      <c r="J2" s="409"/>
      <c r="K2" s="409"/>
    </row>
    <row r="3" spans="1:13" ht="16.5" thickBot="1">
      <c r="A3" s="409"/>
      <c r="B3" s="409"/>
      <c r="C3" s="409"/>
      <c r="D3" s="409"/>
      <c r="E3" s="409"/>
      <c r="F3" s="409"/>
      <c r="G3" s="409"/>
      <c r="H3" s="409"/>
      <c r="I3" s="409"/>
      <c r="J3" s="409"/>
      <c r="K3" s="409"/>
    </row>
    <row r="4" spans="1:13" ht="16.5" thickBot="1">
      <c r="A4" s="409"/>
      <c r="B4" s="1744" t="s">
        <v>83</v>
      </c>
      <c r="C4" s="1744" t="s">
        <v>10</v>
      </c>
      <c r="D4" s="1745" t="s">
        <v>231</v>
      </c>
      <c r="E4" s="1744" t="s">
        <v>232</v>
      </c>
      <c r="F4" s="1740" t="s">
        <v>461</v>
      </c>
      <c r="G4" s="1737" t="s">
        <v>233</v>
      </c>
      <c r="H4" s="1738"/>
      <c r="I4" s="1738"/>
      <c r="J4" s="1738"/>
      <c r="K4" s="1739"/>
      <c r="L4" s="1742" t="s">
        <v>462</v>
      </c>
    </row>
    <row r="5" spans="1:13" ht="31.5">
      <c r="A5" s="409"/>
      <c r="B5" s="1744"/>
      <c r="C5" s="1744"/>
      <c r="D5" s="1746"/>
      <c r="E5" s="1744"/>
      <c r="F5" s="1741"/>
      <c r="G5" s="894" t="s">
        <v>463</v>
      </c>
      <c r="H5" s="894" t="s">
        <v>464</v>
      </c>
      <c r="I5" s="894" t="s">
        <v>465</v>
      </c>
      <c r="J5" s="894" t="s">
        <v>466</v>
      </c>
      <c r="K5" s="894" t="s">
        <v>467</v>
      </c>
      <c r="L5" s="1743"/>
    </row>
    <row r="6" spans="1:13" hidden="1">
      <c r="A6" s="409"/>
      <c r="B6" s="858">
        <v>1</v>
      </c>
      <c r="C6" s="859" t="s">
        <v>265</v>
      </c>
      <c r="D6" s="860"/>
      <c r="E6" s="861"/>
      <c r="F6" s="861"/>
      <c r="G6" s="895">
        <f>SUM(G7,G9:G12)</f>
        <v>0</v>
      </c>
      <c r="H6" s="896">
        <f>SUM(H7,H9:H12)</f>
        <v>0</v>
      </c>
      <c r="I6" s="896">
        <f>SUM(I7,I9:I12)</f>
        <v>0</v>
      </c>
      <c r="J6" s="897"/>
      <c r="K6" s="897"/>
      <c r="L6" s="883"/>
    </row>
    <row r="7" spans="1:13" hidden="1">
      <c r="A7" s="409"/>
      <c r="B7" s="858"/>
      <c r="C7" s="862" t="str">
        <f>'[190]Кальк_ДИ_2019-2023'!B110</f>
        <v>Недополученный доход / расходы прошлых периодов</v>
      </c>
      <c r="D7" s="863"/>
      <c r="E7" s="864"/>
      <c r="F7" s="864">
        <f>D7-E7</f>
        <v>0</v>
      </c>
      <c r="G7" s="898"/>
      <c r="H7" s="899"/>
      <c r="I7" s="899"/>
      <c r="J7" s="897"/>
      <c r="K7" s="897"/>
      <c r="L7" s="883"/>
    </row>
    <row r="8" spans="1:13" hidden="1">
      <c r="A8" s="409"/>
      <c r="B8" s="858"/>
      <c r="C8" s="862" t="s">
        <v>468</v>
      </c>
      <c r="D8" s="865"/>
      <c r="E8" s="866"/>
      <c r="F8" s="867"/>
      <c r="G8" s="900"/>
      <c r="H8" s="901"/>
      <c r="I8" s="902"/>
      <c r="J8" s="897"/>
      <c r="K8" s="897"/>
      <c r="L8" s="883"/>
    </row>
    <row r="9" spans="1:13" ht="47.25" hidden="1">
      <c r="A9" s="409"/>
      <c r="B9" s="858"/>
      <c r="C9" s="858" t="s">
        <v>245</v>
      </c>
      <c r="D9" s="863"/>
      <c r="E9" s="864"/>
      <c r="F9" s="864">
        <f>D9-E9</f>
        <v>0</v>
      </c>
      <c r="G9" s="903"/>
      <c r="H9" s="904"/>
      <c r="I9" s="904"/>
      <c r="J9" s="897"/>
      <c r="K9" s="897"/>
      <c r="L9" s="944"/>
    </row>
    <row r="10" spans="1:13" ht="94.5" hidden="1">
      <c r="A10" s="409"/>
      <c r="B10" s="858"/>
      <c r="C10" s="858" t="s">
        <v>246</v>
      </c>
      <c r="D10" s="863"/>
      <c r="E10" s="864"/>
      <c r="F10" s="864"/>
      <c r="G10" s="903"/>
      <c r="H10" s="904"/>
      <c r="I10" s="904"/>
      <c r="J10" s="897"/>
      <c r="K10" s="897"/>
      <c r="L10" s="883"/>
    </row>
    <row r="11" spans="1:13" ht="31.5" hidden="1">
      <c r="A11" s="409"/>
      <c r="B11" s="845"/>
      <c r="C11" s="845" t="s">
        <v>247</v>
      </c>
      <c r="D11" s="915"/>
      <c r="E11" s="916"/>
      <c r="F11" s="916"/>
      <c r="G11" s="903"/>
      <c r="H11" s="904"/>
      <c r="I11" s="904"/>
      <c r="J11" s="897"/>
      <c r="K11" s="897"/>
      <c r="L11" s="883"/>
    </row>
    <row r="12" spans="1:13" ht="110.25" hidden="1">
      <c r="A12" s="409"/>
      <c r="B12" s="858"/>
      <c r="C12" s="858" t="s">
        <v>248</v>
      </c>
      <c r="D12" s="863"/>
      <c r="E12" s="864"/>
      <c r="F12" s="864"/>
      <c r="G12" s="903"/>
      <c r="H12" s="904"/>
      <c r="I12" s="904"/>
      <c r="J12" s="897"/>
      <c r="K12" s="897"/>
      <c r="L12" s="883"/>
    </row>
    <row r="13" spans="1:13" ht="31.5">
      <c r="A13" s="409"/>
      <c r="B13" s="858">
        <v>2</v>
      </c>
      <c r="C13" s="859" t="s">
        <v>469</v>
      </c>
      <c r="D13" s="860"/>
      <c r="E13" s="861"/>
      <c r="F13" s="861"/>
      <c r="G13" s="905"/>
      <c r="H13" s="896">
        <f>SUM(H15:H18)</f>
        <v>0</v>
      </c>
      <c r="I13" s="896">
        <f>SUM(I15:I18)</f>
        <v>0</v>
      </c>
      <c r="J13" s="896">
        <f>SUM(J15:J18)</f>
        <v>0</v>
      </c>
      <c r="K13" s="897"/>
      <c r="L13" s="891" t="s">
        <v>470</v>
      </c>
    </row>
    <row r="14" spans="1:13" s="871" customFormat="1">
      <c r="A14" s="868"/>
      <c r="B14" s="869"/>
      <c r="C14" s="862" t="s">
        <v>468</v>
      </c>
      <c r="D14" s="865"/>
      <c r="E14" s="866"/>
      <c r="F14" s="867"/>
      <c r="G14" s="906"/>
      <c r="H14" s="902"/>
      <c r="I14" s="902"/>
      <c r="J14" s="902"/>
      <c r="K14" s="897"/>
      <c r="L14" s="892"/>
      <c r="M14" s="870"/>
    </row>
    <row r="15" spans="1:13" s="871" customFormat="1" ht="47.25">
      <c r="A15" s="868"/>
      <c r="B15" s="869"/>
      <c r="C15" s="858" t="s">
        <v>245</v>
      </c>
      <c r="D15" s="863">
        <v>27665.407811040001</v>
      </c>
      <c r="E15" s="864">
        <v>27651.726999999999</v>
      </c>
      <c r="F15" s="864">
        <f>D15-E15</f>
        <v>13.680811040001572</v>
      </c>
      <c r="G15" s="907"/>
      <c r="H15" s="904"/>
      <c r="I15" s="904"/>
      <c r="J15" s="904"/>
      <c r="K15" s="897"/>
      <c r="L15" s="944" t="s">
        <v>518</v>
      </c>
      <c r="M15" s="870"/>
    </row>
    <row r="16" spans="1:13" s="871" customFormat="1" ht="94.5">
      <c r="A16" s="868"/>
      <c r="B16" s="869"/>
      <c r="C16" s="858" t="s">
        <v>246</v>
      </c>
      <c r="D16" s="863"/>
      <c r="E16" s="864"/>
      <c r="F16" s="864"/>
      <c r="G16" s="907"/>
      <c r="H16" s="904"/>
      <c r="I16" s="904"/>
      <c r="J16" s="904"/>
      <c r="K16" s="897"/>
      <c r="L16" s="892"/>
      <c r="M16" s="870"/>
    </row>
    <row r="17" spans="1:13" s="871" customFormat="1" ht="31.5">
      <c r="A17" s="868"/>
      <c r="B17" s="917"/>
      <c r="C17" s="845" t="s">
        <v>247</v>
      </c>
      <c r="D17" s="915"/>
      <c r="E17" s="916"/>
      <c r="F17" s="916"/>
      <c r="G17" s="907"/>
      <c r="H17" s="904"/>
      <c r="I17" s="904"/>
      <c r="J17" s="904"/>
      <c r="K17" s="897"/>
      <c r="L17" s="892"/>
      <c r="M17" s="870"/>
    </row>
    <row r="18" spans="1:13" s="871" customFormat="1" ht="110.25">
      <c r="A18" s="868"/>
      <c r="B18" s="869"/>
      <c r="C18" s="858" t="s">
        <v>248</v>
      </c>
      <c r="D18" s="863"/>
      <c r="E18" s="864"/>
      <c r="F18" s="864"/>
      <c r="G18" s="907"/>
      <c r="H18" s="904"/>
      <c r="I18" s="904"/>
      <c r="J18" s="904"/>
      <c r="K18" s="897"/>
      <c r="L18" s="892"/>
      <c r="M18" s="870"/>
    </row>
    <row r="19" spans="1:13" ht="31.5">
      <c r="A19" s="409"/>
      <c r="B19" s="858">
        <v>3</v>
      </c>
      <c r="C19" s="859" t="s">
        <v>471</v>
      </c>
      <c r="D19" s="860"/>
      <c r="E19" s="861"/>
      <c r="F19" s="861"/>
      <c r="G19" s="905"/>
      <c r="H19" s="908"/>
      <c r="I19" s="896">
        <f>SUM(I21:I24)</f>
        <v>0</v>
      </c>
      <c r="J19" s="896">
        <f>SUM(J21:J24)</f>
        <v>0</v>
      </c>
      <c r="K19" s="896">
        <f>SUM(K21:K24)</f>
        <v>-159.78</v>
      </c>
      <c r="L19" s="891" t="s">
        <v>470</v>
      </c>
    </row>
    <row r="20" spans="1:13">
      <c r="A20" s="409"/>
      <c r="B20" s="858"/>
      <c r="C20" s="862" t="s">
        <v>468</v>
      </c>
      <c r="D20" s="865"/>
      <c r="E20" s="866"/>
      <c r="F20" s="867"/>
      <c r="G20" s="906"/>
      <c r="H20" s="902"/>
      <c r="I20" s="902"/>
      <c r="J20" s="902"/>
      <c r="K20" s="902"/>
      <c r="L20" s="883"/>
    </row>
    <row r="21" spans="1:13" ht="47.25">
      <c r="A21" s="409"/>
      <c r="B21" s="858"/>
      <c r="C21" s="858" t="s">
        <v>245</v>
      </c>
      <c r="D21" s="863">
        <v>28756.591360740396</v>
      </c>
      <c r="E21" s="864">
        <v>28894.902999999998</v>
      </c>
      <c r="F21" s="864">
        <f>D21-E21</f>
        <v>-138.31163925960209</v>
      </c>
      <c r="G21" s="907"/>
      <c r="H21" s="909"/>
      <c r="I21" s="910"/>
      <c r="J21" s="910"/>
      <c r="K21" s="910">
        <f>ROUND(F21*индексы!G8*индексы!H8*индексы!I8*индексы!J8,2)</f>
        <v>-159.78</v>
      </c>
      <c r="L21" s="944" t="s">
        <v>517</v>
      </c>
    </row>
    <row r="22" spans="1:13" ht="94.5">
      <c r="A22" s="409"/>
      <c r="B22" s="858"/>
      <c r="C22" s="858" t="s">
        <v>246</v>
      </c>
      <c r="D22" s="863"/>
      <c r="E22" s="864"/>
      <c r="F22" s="864"/>
      <c r="G22" s="907"/>
      <c r="H22" s="909"/>
      <c r="I22" s="910"/>
      <c r="J22" s="910"/>
      <c r="K22" s="910"/>
      <c r="L22" s="883"/>
    </row>
    <row r="23" spans="1:13" ht="31.5">
      <c r="A23" s="409"/>
      <c r="B23" s="845"/>
      <c r="C23" s="845" t="s">
        <v>247</v>
      </c>
      <c r="D23" s="915"/>
      <c r="E23" s="916"/>
      <c r="F23" s="916"/>
      <c r="G23" s="907"/>
      <c r="H23" s="909"/>
      <c r="I23" s="910"/>
      <c r="J23" s="910"/>
      <c r="K23" s="910"/>
      <c r="L23" s="883"/>
    </row>
    <row r="24" spans="1:13" ht="111" thickBot="1">
      <c r="A24" s="409"/>
      <c r="B24" s="858"/>
      <c r="C24" s="858" t="s">
        <v>248</v>
      </c>
      <c r="D24" s="863"/>
      <c r="E24" s="864"/>
      <c r="F24" s="864"/>
      <c r="G24" s="907"/>
      <c r="H24" s="909"/>
      <c r="I24" s="910"/>
      <c r="J24" s="910"/>
      <c r="K24" s="910"/>
      <c r="L24" s="883"/>
    </row>
    <row r="25" spans="1:13" s="877" customFormat="1" ht="19.5" thickBot="1">
      <c r="A25" s="872"/>
      <c r="B25" s="1735" t="s">
        <v>472</v>
      </c>
      <c r="C25" s="1736"/>
      <c r="D25" s="873"/>
      <c r="E25" s="874"/>
      <c r="F25" s="874"/>
      <c r="G25" s="911">
        <f>SUM(G26,G27)</f>
        <v>0</v>
      </c>
      <c r="H25" s="875">
        <f t="shared" ref="H25" si="0">SUM(H26,H27)</f>
        <v>0</v>
      </c>
      <c r="I25" s="875">
        <f t="shared" ref="I25" si="1">SUM(I26,I27)</f>
        <v>0</v>
      </c>
      <c r="J25" s="875">
        <f>SUM(J26,J27)</f>
        <v>0</v>
      </c>
      <c r="K25" s="875">
        <f t="shared" ref="K25" si="2">SUM(K26,K27)</f>
        <v>-159.78</v>
      </c>
      <c r="L25" s="893"/>
      <c r="M25" s="876"/>
    </row>
    <row r="26" spans="1:13">
      <c r="A26" s="409"/>
      <c r="B26" s="878"/>
      <c r="C26" s="879" t="s">
        <v>473</v>
      </c>
      <c r="D26" s="880"/>
      <c r="E26" s="881"/>
      <c r="F26" s="881"/>
      <c r="G26" s="912">
        <f>G7</f>
        <v>0</v>
      </c>
      <c r="H26" s="882">
        <f>H7</f>
        <v>0</v>
      </c>
      <c r="I26" s="882">
        <f>I7</f>
        <v>0</v>
      </c>
      <c r="J26" s="882">
        <f>J7</f>
        <v>0</v>
      </c>
      <c r="K26" s="882">
        <f>K7</f>
        <v>0</v>
      </c>
      <c r="L26" s="883"/>
    </row>
    <row r="27" spans="1:13">
      <c r="B27" s="884"/>
      <c r="C27" s="885" t="s">
        <v>468</v>
      </c>
      <c r="D27" s="886"/>
      <c r="E27" s="887"/>
      <c r="F27" s="887"/>
      <c r="G27" s="913">
        <f>SUM(G28:G31)</f>
        <v>0</v>
      </c>
      <c r="H27" s="888">
        <f>SUM(H28:H31)</f>
        <v>0</v>
      </c>
      <c r="I27" s="888">
        <f>SUM(I28:I31)</f>
        <v>0</v>
      </c>
      <c r="J27" s="888">
        <f>SUM(J28:J31)</f>
        <v>0</v>
      </c>
      <c r="K27" s="888">
        <f>SUM(K28:K31)</f>
        <v>-159.78</v>
      </c>
      <c r="L27" s="883"/>
    </row>
    <row r="28" spans="1:13" ht="47.25">
      <c r="B28" s="884"/>
      <c r="C28" s="845" t="s">
        <v>245</v>
      </c>
      <c r="D28" s="886"/>
      <c r="E28" s="887"/>
      <c r="F28" s="887"/>
      <c r="G28" s="914">
        <f>SUM(G9,G15,G21)</f>
        <v>0</v>
      </c>
      <c r="H28" s="889">
        <f>SUM(H9,H15,H21)</f>
        <v>0</v>
      </c>
      <c r="I28" s="889">
        <f>SUM(I9,I15,I21)</f>
        <v>0</v>
      </c>
      <c r="J28" s="889">
        <f>SUM(J9,J15,J21)</f>
        <v>0</v>
      </c>
      <c r="K28" s="889">
        <f>SUM(K9,K15,K21)</f>
        <v>-159.78</v>
      </c>
      <c r="L28" s="883"/>
    </row>
    <row r="29" spans="1:13" ht="94.5">
      <c r="B29" s="884"/>
      <c r="C29" s="845" t="s">
        <v>246</v>
      </c>
      <c r="D29" s="886"/>
      <c r="E29" s="887"/>
      <c r="F29" s="887"/>
      <c r="G29" s="914">
        <f t="shared" ref="G29:K31" si="3">SUM(G10,G16,G22)</f>
        <v>0</v>
      </c>
      <c r="H29" s="889">
        <f t="shared" si="3"/>
        <v>0</v>
      </c>
      <c r="I29" s="889">
        <f t="shared" si="3"/>
        <v>0</v>
      </c>
      <c r="J29" s="889">
        <f t="shared" si="3"/>
        <v>0</v>
      </c>
      <c r="K29" s="889">
        <f t="shared" si="3"/>
        <v>0</v>
      </c>
      <c r="L29" s="883"/>
    </row>
    <row r="30" spans="1:13" ht="31.5">
      <c r="B30" s="884"/>
      <c r="C30" s="845" t="s">
        <v>247</v>
      </c>
      <c r="D30" s="886"/>
      <c r="E30" s="887"/>
      <c r="F30" s="887"/>
      <c r="G30" s="914">
        <f t="shared" si="3"/>
        <v>0</v>
      </c>
      <c r="H30" s="889">
        <f t="shared" si="3"/>
        <v>0</v>
      </c>
      <c r="I30" s="889">
        <f t="shared" si="3"/>
        <v>0</v>
      </c>
      <c r="J30" s="889">
        <f t="shared" si="3"/>
        <v>0</v>
      </c>
      <c r="K30" s="889">
        <f t="shared" si="3"/>
        <v>0</v>
      </c>
      <c r="L30" s="883"/>
    </row>
    <row r="31" spans="1:13" ht="110.25">
      <c r="B31" s="884"/>
      <c r="C31" s="845" t="s">
        <v>248</v>
      </c>
      <c r="D31" s="886"/>
      <c r="E31" s="887"/>
      <c r="F31" s="887"/>
      <c r="G31" s="914">
        <f t="shared" si="3"/>
        <v>0</v>
      </c>
      <c r="H31" s="889">
        <f t="shared" si="3"/>
        <v>0</v>
      </c>
      <c r="I31" s="889">
        <f t="shared" si="3"/>
        <v>0</v>
      </c>
      <c r="J31" s="889">
        <f t="shared" si="3"/>
        <v>0</v>
      </c>
      <c r="K31" s="889">
        <f t="shared" si="3"/>
        <v>0</v>
      </c>
      <c r="L31" s="890"/>
    </row>
  </sheetData>
  <mergeCells count="8">
    <mergeCell ref="B25:C25"/>
    <mergeCell ref="G4:K4"/>
    <mergeCell ref="F4:F5"/>
    <mergeCell ref="L4:L5"/>
    <mergeCell ref="B4:B5"/>
    <mergeCell ref="C4:C5"/>
    <mergeCell ref="D4:D5"/>
    <mergeCell ref="E4:E5"/>
  </mergeCells>
  <pageMargins left="0.70866141732283472" right="0.70866141732283472" top="0.74803149606299213" bottom="0.74803149606299213" header="0.31496062992125984" footer="0.31496062992125984"/>
  <pageSetup paperSize="9" scale="46" orientation="landscape" blackAndWhite="1" r:id="rId1"/>
  <rowBreaks count="1" manualBreakCount="1">
    <brk id="30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0"/>
  <sheetViews>
    <sheetView topLeftCell="A35" workbookViewId="0">
      <selection activeCell="I66" sqref="I66"/>
    </sheetView>
  </sheetViews>
  <sheetFormatPr defaultRowHeight="15.75"/>
  <sheetData>
    <row r="1" spans="1:1">
      <c r="A1" t="s">
        <v>325</v>
      </c>
    </row>
    <row r="2" spans="1:1">
      <c r="A2" t="s">
        <v>326</v>
      </c>
    </row>
    <row r="3" spans="1:1">
      <c r="A3" t="s">
        <v>327</v>
      </c>
    </row>
    <row r="4" spans="1:1">
      <c r="A4" t="s">
        <v>328</v>
      </c>
    </row>
    <row r="5" spans="1:1">
      <c r="A5" t="s">
        <v>329</v>
      </c>
    </row>
    <row r="6" spans="1:1">
      <c r="A6" t="s">
        <v>330</v>
      </c>
    </row>
    <row r="7" spans="1:1">
      <c r="A7" t="s">
        <v>331</v>
      </c>
    </row>
    <row r="8" spans="1:1">
      <c r="A8" t="s">
        <v>332</v>
      </c>
    </row>
    <row r="9" spans="1:1">
      <c r="A9" t="s">
        <v>333</v>
      </c>
    </row>
    <row r="10" spans="1:1">
      <c r="A10" t="s">
        <v>334</v>
      </c>
    </row>
    <row r="11" spans="1:1">
      <c r="A11" t="s">
        <v>335</v>
      </c>
    </row>
    <row r="12" spans="1:1">
      <c r="A12" t="s">
        <v>336</v>
      </c>
    </row>
    <row r="13" spans="1:1">
      <c r="A13" t="s">
        <v>337</v>
      </c>
    </row>
    <row r="14" spans="1:1">
      <c r="A14" t="s">
        <v>338</v>
      </c>
    </row>
    <row r="15" spans="1:1">
      <c r="A15" t="s">
        <v>339</v>
      </c>
    </row>
    <row r="16" spans="1:1">
      <c r="A16" t="s">
        <v>340</v>
      </c>
    </row>
    <row r="17" spans="1:1">
      <c r="A17" t="s">
        <v>341</v>
      </c>
    </row>
    <row r="18" spans="1:1">
      <c r="A18" t="s">
        <v>342</v>
      </c>
    </row>
    <row r="19" spans="1:1">
      <c r="A19" t="s">
        <v>343</v>
      </c>
    </row>
    <row r="20" spans="1:1">
      <c r="A20" t="s">
        <v>344</v>
      </c>
    </row>
    <row r="21" spans="1:1">
      <c r="A21" t="s">
        <v>345</v>
      </c>
    </row>
    <row r="22" spans="1:1">
      <c r="A22" t="s">
        <v>346</v>
      </c>
    </row>
    <row r="23" spans="1:1">
      <c r="A23" t="s">
        <v>347</v>
      </c>
    </row>
    <row r="24" spans="1:1">
      <c r="A24" t="s">
        <v>348</v>
      </c>
    </row>
    <row r="25" spans="1:1">
      <c r="A25" t="s">
        <v>349</v>
      </c>
    </row>
    <row r="26" spans="1:1">
      <c r="A26" t="s">
        <v>350</v>
      </c>
    </row>
    <row r="28" spans="1:1">
      <c r="A28" t="s">
        <v>350</v>
      </c>
    </row>
    <row r="29" spans="1:1">
      <c r="A29" t="s">
        <v>351</v>
      </c>
    </row>
    <row r="30" spans="1:1">
      <c r="A30" t="s">
        <v>352</v>
      </c>
    </row>
    <row r="31" spans="1:1">
      <c r="A31" t="s">
        <v>353</v>
      </c>
    </row>
    <row r="32" spans="1:1">
      <c r="A32" t="s">
        <v>354</v>
      </c>
    </row>
    <row r="33" spans="1:1">
      <c r="A33" t="s">
        <v>355</v>
      </c>
    </row>
    <row r="34" spans="1:1">
      <c r="A34" t="s">
        <v>356</v>
      </c>
    </row>
    <row r="35" spans="1:1">
      <c r="A35" t="s">
        <v>357</v>
      </c>
    </row>
    <row r="36" spans="1:1">
      <c r="A36" t="s">
        <v>358</v>
      </c>
    </row>
    <row r="37" spans="1:1">
      <c r="A37" t="s">
        <v>359</v>
      </c>
    </row>
    <row r="38" spans="1:1">
      <c r="A38" t="s">
        <v>360</v>
      </c>
    </row>
    <row r="39" spans="1:1">
      <c r="A39" t="s">
        <v>361</v>
      </c>
    </row>
    <row r="40" spans="1:1">
      <c r="A40" t="s">
        <v>362</v>
      </c>
    </row>
    <row r="41" spans="1:1">
      <c r="A41" t="s">
        <v>363</v>
      </c>
    </row>
    <row r="42" spans="1:1">
      <c r="A42" t="s">
        <v>364</v>
      </c>
    </row>
    <row r="43" spans="1:1">
      <c r="A43" t="s">
        <v>365</v>
      </c>
    </row>
    <row r="44" spans="1:1">
      <c r="A44" t="s">
        <v>366</v>
      </c>
    </row>
    <row r="45" spans="1:1">
      <c r="A45" t="s">
        <v>367</v>
      </c>
    </row>
    <row r="46" spans="1:1">
      <c r="A46" t="s">
        <v>343</v>
      </c>
    </row>
    <row r="47" spans="1:1">
      <c r="A47" t="s">
        <v>368</v>
      </c>
    </row>
    <row r="48" spans="1:1">
      <c r="A48" t="s">
        <v>369</v>
      </c>
    </row>
    <row r="49" spans="1:1">
      <c r="A49" t="s">
        <v>342</v>
      </c>
    </row>
    <row r="50" spans="1:1">
      <c r="A50" t="s">
        <v>370</v>
      </c>
    </row>
    <row r="51" spans="1:1">
      <c r="A51" t="s">
        <v>371</v>
      </c>
    </row>
    <row r="52" spans="1:1">
      <c r="A52" t="s">
        <v>372</v>
      </c>
    </row>
    <row r="53" spans="1:1">
      <c r="A53" t="s">
        <v>373</v>
      </c>
    </row>
    <row r="54" spans="1:1">
      <c r="A54" t="s">
        <v>374</v>
      </c>
    </row>
    <row r="55" spans="1:1">
      <c r="A55" t="s">
        <v>375</v>
      </c>
    </row>
    <row r="56" spans="1:1">
      <c r="A56" t="s">
        <v>376</v>
      </c>
    </row>
    <row r="57" spans="1:1">
      <c r="A57" t="s">
        <v>377</v>
      </c>
    </row>
    <row r="58" spans="1:1">
      <c r="A58" t="s">
        <v>378</v>
      </c>
    </row>
    <row r="59" spans="1:1">
      <c r="A59" t="s">
        <v>379</v>
      </c>
    </row>
    <row r="60" spans="1:1">
      <c r="A60" t="s">
        <v>380</v>
      </c>
    </row>
    <row r="61" spans="1:1">
      <c r="A61" t="s">
        <v>381</v>
      </c>
    </row>
    <row r="62" spans="1:1">
      <c r="A62" t="s">
        <v>382</v>
      </c>
    </row>
    <row r="63" spans="1:1">
      <c r="A63" t="s">
        <v>383</v>
      </c>
    </row>
    <row r="64" spans="1:1">
      <c r="A64" t="s">
        <v>384</v>
      </c>
    </row>
    <row r="65" spans="1:1">
      <c r="A65" t="s">
        <v>385</v>
      </c>
    </row>
    <row r="66" spans="1:1">
      <c r="A66" t="s">
        <v>348</v>
      </c>
    </row>
    <row r="67" spans="1:1">
      <c r="A67" t="s">
        <v>386</v>
      </c>
    </row>
    <row r="68" spans="1:1">
      <c r="A68" t="s">
        <v>387</v>
      </c>
    </row>
    <row r="69" spans="1:1">
      <c r="A69" t="s">
        <v>388</v>
      </c>
    </row>
    <row r="70" spans="1:1">
      <c r="A70" t="s">
        <v>389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P9"/>
  <sheetViews>
    <sheetView topLeftCell="D1" workbookViewId="0">
      <selection activeCell="N3" sqref="N3"/>
    </sheetView>
  </sheetViews>
  <sheetFormatPr defaultColWidth="9" defaultRowHeight="12.75" outlineLevelCol="1"/>
  <cols>
    <col min="1" max="1" width="4.375" style="1109" customWidth="1"/>
    <col min="2" max="2" width="59" style="1109" customWidth="1"/>
    <col min="3" max="7" width="13.75" style="1109" customWidth="1"/>
    <col min="8" max="8" width="13.125" style="1109" customWidth="1" outlineLevel="1"/>
    <col min="9" max="9" width="13.25" style="1109" customWidth="1"/>
    <col min="10" max="10" width="13" style="1109" customWidth="1"/>
    <col min="11" max="11" width="11.625" style="1109" customWidth="1"/>
    <col min="12" max="12" width="11.25" style="1109" customWidth="1"/>
    <col min="13" max="13" width="10.5" style="1109" customWidth="1"/>
    <col min="14" max="14" width="11.375" style="1109" customWidth="1"/>
    <col min="15" max="15" width="12.25" style="1109" customWidth="1"/>
    <col min="16" max="16" width="12" style="1109" customWidth="1"/>
    <col min="17" max="16384" width="9" style="1109"/>
  </cols>
  <sheetData>
    <row r="2" spans="2:16" s="1111" customFormat="1" ht="43.5" customHeight="1">
      <c r="B2" s="1110" t="s">
        <v>503</v>
      </c>
      <c r="C2" s="1110" t="s">
        <v>504</v>
      </c>
      <c r="D2" s="1110" t="s">
        <v>505</v>
      </c>
      <c r="E2" s="1110" t="s">
        <v>506</v>
      </c>
      <c r="F2" s="1110" t="s">
        <v>507</v>
      </c>
      <c r="G2" s="1110" t="s">
        <v>512</v>
      </c>
      <c r="H2" s="1110" t="s">
        <v>484</v>
      </c>
      <c r="I2" s="1110" t="s">
        <v>508</v>
      </c>
      <c r="J2" s="1110" t="s">
        <v>485</v>
      </c>
      <c r="K2" s="1110" t="s">
        <v>513</v>
      </c>
      <c r="L2" s="1110" t="s">
        <v>490</v>
      </c>
      <c r="M2" s="1110" t="s">
        <v>514</v>
      </c>
      <c r="N2" s="1110" t="s">
        <v>491</v>
      </c>
      <c r="O2" s="1110" t="s">
        <v>515</v>
      </c>
      <c r="P2" s="1110" t="s">
        <v>492</v>
      </c>
    </row>
    <row r="3" spans="2:16">
      <c r="B3" s="1112" t="s">
        <v>509</v>
      </c>
      <c r="C3" s="1113">
        <v>1562711.86</v>
      </c>
      <c r="D3" s="1113">
        <v>488348.02</v>
      </c>
      <c r="E3" s="1113">
        <v>97669.440000000002</v>
      </c>
      <c r="F3" s="1113">
        <f>D3-E3</f>
        <v>390678.58</v>
      </c>
      <c r="G3" s="1113">
        <v>97669.440000000002</v>
      </c>
      <c r="H3" s="1113">
        <f>F3-G3</f>
        <v>293009.14</v>
      </c>
      <c r="I3" s="1113">
        <v>97669.440000000002</v>
      </c>
      <c r="J3" s="1113">
        <f>H3-I3</f>
        <v>195339.7</v>
      </c>
      <c r="K3" s="1113">
        <v>97669.440000000002</v>
      </c>
      <c r="L3" s="1113">
        <f>J3-K3</f>
        <v>97670.260000000009</v>
      </c>
      <c r="M3" s="1113">
        <v>97669.440000000002</v>
      </c>
      <c r="N3" s="1113">
        <f>L3-M3</f>
        <v>0.82000000000698492</v>
      </c>
      <c r="O3" s="1113">
        <f>N3</f>
        <v>0.82000000000698492</v>
      </c>
      <c r="P3" s="1113">
        <f>N3-O3</f>
        <v>0</v>
      </c>
    </row>
    <row r="4" spans="2:16">
      <c r="B4" s="1112" t="s">
        <v>510</v>
      </c>
      <c r="C4" s="1113">
        <v>196503.16</v>
      </c>
      <c r="D4" s="1113">
        <v>24562.51</v>
      </c>
      <c r="E4" s="1113">
        <v>19650.36</v>
      </c>
      <c r="F4" s="1113">
        <f t="shared" ref="F4:F5" si="0">D4-E4</f>
        <v>4912.1499999999978</v>
      </c>
      <c r="G4" s="1113">
        <f>F4</f>
        <v>4912.1499999999978</v>
      </c>
      <c r="H4" s="1113">
        <f t="shared" ref="H4:P4" si="1">F4-G4</f>
        <v>0</v>
      </c>
      <c r="I4" s="1113">
        <f>H4</f>
        <v>0</v>
      </c>
      <c r="J4" s="1113">
        <f t="shared" si="1"/>
        <v>0</v>
      </c>
      <c r="K4" s="1113">
        <f>J4</f>
        <v>0</v>
      </c>
      <c r="L4" s="1113">
        <f t="shared" si="1"/>
        <v>0</v>
      </c>
      <c r="M4" s="1113">
        <f>L4</f>
        <v>0</v>
      </c>
      <c r="N4" s="1113">
        <f t="shared" si="1"/>
        <v>0</v>
      </c>
      <c r="O4" s="1113">
        <f>N4</f>
        <v>0</v>
      </c>
      <c r="P4" s="1113">
        <f t="shared" si="1"/>
        <v>0</v>
      </c>
    </row>
    <row r="5" spans="2:16">
      <c r="B5" s="1112" t="s">
        <v>511</v>
      </c>
      <c r="C5" s="1113">
        <v>739110.17</v>
      </c>
      <c r="D5" s="1113">
        <v>302914.01</v>
      </c>
      <c r="E5" s="1113">
        <v>145398.72</v>
      </c>
      <c r="F5" s="1113">
        <f t="shared" si="0"/>
        <v>157515.29</v>
      </c>
      <c r="G5" s="1113">
        <v>145398.72</v>
      </c>
      <c r="H5" s="1113">
        <f>F5-G5</f>
        <v>12116.570000000007</v>
      </c>
      <c r="I5" s="1113">
        <f>H5</f>
        <v>12116.570000000007</v>
      </c>
      <c r="J5" s="1113">
        <f>H5-I5</f>
        <v>0</v>
      </c>
      <c r="K5" s="1113">
        <f>J5</f>
        <v>0</v>
      </c>
      <c r="L5" s="1113">
        <f>J5-K5</f>
        <v>0</v>
      </c>
      <c r="M5" s="1113">
        <f>L5</f>
        <v>0</v>
      </c>
      <c r="N5" s="1113">
        <f>L5-M5</f>
        <v>0</v>
      </c>
      <c r="O5" s="1113">
        <f>N5</f>
        <v>0</v>
      </c>
      <c r="P5" s="1113">
        <f>N5-O5</f>
        <v>0</v>
      </c>
    </row>
    <row r="6" spans="2:16">
      <c r="B6" s="1114" t="s">
        <v>486</v>
      </c>
      <c r="C6" s="1115">
        <f t="shared" ref="C6:P6" si="2">SUM(C3:C5)</f>
        <v>2498325.19</v>
      </c>
      <c r="D6" s="1115">
        <f t="shared" si="2"/>
        <v>815824.54</v>
      </c>
      <c r="E6" s="1115">
        <f t="shared" si="2"/>
        <v>262718.52</v>
      </c>
      <c r="F6" s="1115">
        <f t="shared" si="2"/>
        <v>553106.02</v>
      </c>
      <c r="G6" s="1115">
        <f t="shared" si="2"/>
        <v>247980.31</v>
      </c>
      <c r="H6" s="1115">
        <f t="shared" si="2"/>
        <v>305125.71000000002</v>
      </c>
      <c r="I6" s="1115">
        <f t="shared" si="2"/>
        <v>109786.01000000001</v>
      </c>
      <c r="J6" s="1115">
        <f t="shared" si="2"/>
        <v>195339.7</v>
      </c>
      <c r="K6" s="1115">
        <f t="shared" si="2"/>
        <v>97669.440000000002</v>
      </c>
      <c r="L6" s="1115">
        <f t="shared" si="2"/>
        <v>97670.260000000009</v>
      </c>
      <c r="M6" s="1115">
        <f t="shared" si="2"/>
        <v>97669.440000000002</v>
      </c>
      <c r="N6" s="1115">
        <f t="shared" si="2"/>
        <v>0.82000000000698492</v>
      </c>
      <c r="O6" s="1115">
        <f t="shared" si="2"/>
        <v>0.82000000000698492</v>
      </c>
      <c r="P6" s="1115">
        <f t="shared" si="2"/>
        <v>0</v>
      </c>
    </row>
    <row r="7" spans="2:16">
      <c r="B7" s="1116"/>
    </row>
    <row r="8" spans="2:16">
      <c r="B8" s="1116"/>
      <c r="J8" s="1117"/>
    </row>
    <row r="9" spans="2:16">
      <c r="B9" s="1116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G11"/>
  <sheetViews>
    <sheetView workbookViewId="0">
      <selection activeCell="F16" sqref="F16"/>
    </sheetView>
  </sheetViews>
  <sheetFormatPr defaultRowHeight="15.75"/>
  <cols>
    <col min="5" max="5" width="36.75" customWidth="1"/>
    <col min="6" max="7" width="13.5" customWidth="1"/>
  </cols>
  <sheetData>
    <row r="4" spans="4:7" ht="16.5" thickBot="1"/>
    <row r="5" spans="4:7">
      <c r="D5" s="1747" t="s">
        <v>98</v>
      </c>
      <c r="E5" s="1747" t="s">
        <v>539</v>
      </c>
      <c r="F5" s="1243" t="s">
        <v>540</v>
      </c>
      <c r="G5" s="1249"/>
    </row>
    <row r="6" spans="4:7" ht="16.5" thickBot="1">
      <c r="D6" s="1748"/>
      <c r="E6" s="1748"/>
      <c r="F6" s="1244" t="s">
        <v>1</v>
      </c>
      <c r="G6" s="1244"/>
    </row>
    <row r="7" spans="4:7" ht="26.25" thickBot="1">
      <c r="D7" s="1245">
        <v>1</v>
      </c>
      <c r="E7" s="1246" t="s">
        <v>541</v>
      </c>
      <c r="F7" s="1247">
        <v>528.80999999999995</v>
      </c>
      <c r="G7" s="1247">
        <f>ROUND(F7*индексы!G8*индексы!H8,2)</f>
        <v>568.07000000000005</v>
      </c>
    </row>
    <row r="8" spans="4:7" ht="26.25" thickBot="1">
      <c r="D8" s="1245">
        <v>2</v>
      </c>
      <c r="E8" s="1248" t="s">
        <v>542</v>
      </c>
      <c r="F8" s="1247">
        <v>100</v>
      </c>
      <c r="G8" s="1247">
        <f>ROUND(F8*индексы!G8*индексы!H8,2)</f>
        <v>107.42</v>
      </c>
    </row>
    <row r="9" spans="4:7" ht="16.5" thickBot="1">
      <c r="D9" s="1245">
        <v>3</v>
      </c>
      <c r="E9" s="1246" t="s">
        <v>543</v>
      </c>
      <c r="F9" s="1247">
        <f>152.54+829.65</f>
        <v>982.18999999999994</v>
      </c>
      <c r="G9" s="1247">
        <f>ROUND(F9*индексы!G8*индексы!H8,2)</f>
        <v>1055.1099999999999</v>
      </c>
    </row>
    <row r="10" spans="4:7" ht="26.25" thickBot="1">
      <c r="D10" s="1245">
        <v>4</v>
      </c>
      <c r="E10" s="1248" t="s">
        <v>544</v>
      </c>
      <c r="F10" s="1247">
        <v>61.02</v>
      </c>
      <c r="G10" s="1247">
        <f>ROUND(F10*индексы!G8*индексы!H8,2)</f>
        <v>65.55</v>
      </c>
    </row>
    <row r="11" spans="4:7" ht="16.5" thickBot="1">
      <c r="D11" s="1245"/>
      <c r="E11" s="1248" t="s">
        <v>58</v>
      </c>
      <c r="F11" s="1247">
        <f>SUM(F7:F10)</f>
        <v>1672.02</v>
      </c>
      <c r="G11" s="1247">
        <f>SUM(G7:G10)</f>
        <v>1796.1499999999999</v>
      </c>
    </row>
  </sheetData>
  <mergeCells count="2">
    <mergeCell ref="D5:D6"/>
    <mergeCell ref="E5:E6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Z132"/>
  <sheetViews>
    <sheetView view="pageBreakPreview" zoomScale="60" zoomScaleNormal="60" workbookViewId="0">
      <pane xSplit="3" ySplit="7" topLeftCell="E101" activePane="bottomRight" state="frozen"/>
      <selection pane="topRight" activeCell="D1" sqref="D1"/>
      <selection pane="bottomLeft" activeCell="A8" sqref="A8"/>
      <selection pane="bottomRight" activeCell="T137" sqref="T137"/>
    </sheetView>
  </sheetViews>
  <sheetFormatPr defaultColWidth="9" defaultRowHeight="15.75" outlineLevelRow="1" outlineLevelCol="1"/>
  <cols>
    <col min="1" max="1" width="9" style="72"/>
    <col min="2" max="2" width="72.25" style="72" customWidth="1"/>
    <col min="3" max="3" width="11.5" style="72" customWidth="1"/>
    <col min="4" max="6" width="19" style="72" customWidth="1"/>
    <col min="7" max="7" width="19" style="72" hidden="1" customWidth="1"/>
    <col min="8" max="8" width="19" style="72" customWidth="1"/>
    <col min="9" max="9" width="19" style="72" hidden="1" customWidth="1"/>
    <col min="10" max="12" width="17.375" style="72" customWidth="1" outlineLevel="1"/>
    <col min="13" max="13" width="17.375" style="72" hidden="1" customWidth="1" outlineLevel="1"/>
    <col min="14" max="14" width="17.375" style="72" customWidth="1" outlineLevel="1"/>
    <col min="15" max="15" width="17.375" style="72" hidden="1" customWidth="1" outlineLevel="1"/>
    <col min="16" max="16" width="17.125" style="75" customWidth="1" collapsed="1"/>
    <col min="17" max="17" width="17.875" style="75" customWidth="1"/>
    <col min="18" max="18" width="15.375" style="75" customWidth="1"/>
    <col min="19" max="19" width="15.25" style="75" hidden="1" customWidth="1" outlineLevel="1"/>
    <col min="20" max="20" width="14.875" style="75" customWidth="1" outlineLevel="1"/>
    <col min="21" max="21" width="16.125" style="75" hidden="1" customWidth="1" outlineLevel="1"/>
    <col min="22" max="22" width="17.375" style="72" customWidth="1" collapsed="1"/>
    <col min="23" max="23" width="17.375" style="72" customWidth="1"/>
    <col min="24" max="24" width="15.875" style="72" customWidth="1"/>
    <col min="25" max="25" width="14.875" style="72" hidden="1" customWidth="1"/>
    <col min="26" max="26" width="16.125" style="72" customWidth="1"/>
    <col min="27" max="27" width="15.5" style="72" hidden="1" customWidth="1"/>
    <col min="28" max="28" width="17.125" style="75" customWidth="1"/>
    <col min="29" max="29" width="17.875" style="75" customWidth="1"/>
    <col min="30" max="30" width="15.375" style="75" customWidth="1"/>
    <col min="31" max="31" width="14.875" style="75" hidden="1" customWidth="1" outlineLevel="1"/>
    <col min="32" max="32" width="15.125" style="75" customWidth="1" outlineLevel="1"/>
    <col min="33" max="33" width="14.75" style="75" hidden="1" customWidth="1" outlineLevel="1"/>
    <col min="34" max="34" width="16.75" style="72" customWidth="1" collapsed="1"/>
    <col min="35" max="36" width="16.75" style="72" customWidth="1"/>
    <col min="37" max="37" width="15.125" style="72" hidden="1" customWidth="1"/>
    <col min="38" max="38" width="17.125" style="72" customWidth="1"/>
    <col min="39" max="39" width="15.25" style="72" hidden="1" customWidth="1"/>
    <col min="40" max="40" width="17.125" style="75" customWidth="1"/>
    <col min="41" max="41" width="17.875" style="75" customWidth="1"/>
    <col min="42" max="42" width="15.375" style="75" customWidth="1"/>
    <col min="43" max="43" width="14.875" style="75" hidden="1" customWidth="1" outlineLevel="1"/>
    <col min="44" max="44" width="14.75" style="75" customWidth="1" outlineLevel="1"/>
    <col min="45" max="45" width="15.375" style="75" hidden="1" customWidth="1" outlineLevel="1"/>
    <col min="46" max="46" width="16.75" style="72" customWidth="1" collapsed="1"/>
    <col min="47" max="48" width="16.75" style="72" customWidth="1"/>
    <col min="49" max="49" width="14.375" style="72" hidden="1" customWidth="1"/>
    <col min="50" max="50" width="16.5" style="72" customWidth="1"/>
    <col min="51" max="51" width="15.625" style="72" hidden="1" customWidth="1"/>
    <col min="52" max="52" width="17.125" style="75" customWidth="1"/>
    <col min="53" max="53" width="17.875" style="75" customWidth="1"/>
    <col min="54" max="54" width="15.375" style="75" customWidth="1"/>
    <col min="55" max="55" width="15.125" style="75" hidden="1" customWidth="1" outlineLevel="1"/>
    <col min="56" max="56" width="14.75" style="75" customWidth="1" outlineLevel="1"/>
    <col min="57" max="57" width="16" style="75" hidden="1" customWidth="1" outlineLevel="1"/>
    <col min="58" max="58" width="16.75" style="72" customWidth="1" collapsed="1"/>
    <col min="59" max="60" width="16.75" style="72" customWidth="1"/>
    <col min="61" max="61" width="14.875" style="72" hidden="1" customWidth="1"/>
    <col min="62" max="62" width="14.875" style="72" customWidth="1"/>
    <col min="63" max="63" width="14.875" style="72" hidden="1" customWidth="1"/>
    <col min="64" max="64" width="17.125" style="75" customWidth="1"/>
    <col min="65" max="65" width="17.875" style="75" customWidth="1"/>
    <col min="66" max="66" width="15.375" style="75" customWidth="1"/>
    <col min="67" max="67" width="14.75" style="75" hidden="1" customWidth="1" outlineLevel="1"/>
    <col min="68" max="68" width="14.75" style="75" customWidth="1" outlineLevel="1"/>
    <col min="69" max="69" width="15.125" style="75" hidden="1" customWidth="1" outlineLevel="1"/>
    <col min="70" max="70" width="12.875" style="75" customWidth="1" outlineLevel="1"/>
    <col min="71" max="71" width="11.125" style="75" customWidth="1" outlineLevel="1"/>
    <col min="72" max="72" width="11.125" style="193" customWidth="1"/>
    <col min="73" max="75" width="11" style="193" customWidth="1"/>
    <col min="76" max="76" width="38" style="966" customWidth="1"/>
    <col min="77" max="77" width="11.375" style="72" bestFit="1" customWidth="1"/>
    <col min="78" max="78" width="11.375" style="72" customWidth="1"/>
    <col min="79" max="79" width="11.375" style="72" bestFit="1" customWidth="1"/>
    <col min="80" max="16384" width="9" style="72"/>
  </cols>
  <sheetData>
    <row r="1" spans="1:78" ht="16.5" customHeight="1">
      <c r="D1" s="73">
        <f>D99-D100</f>
        <v>30934.646451300003</v>
      </c>
      <c r="E1" s="73"/>
      <c r="F1" s="73"/>
      <c r="G1" s="73"/>
      <c r="H1" s="73"/>
      <c r="I1" s="73"/>
      <c r="J1" s="73">
        <f>J99-J100</f>
        <v>33667.60686599859</v>
      </c>
      <c r="K1" s="73"/>
      <c r="L1" s="73"/>
      <c r="M1" s="73"/>
      <c r="N1" s="73"/>
      <c r="O1" s="73"/>
      <c r="P1" s="73">
        <f t="shared" ref="P1:V1" si="0">P99-P100</f>
        <v>32729.009000000002</v>
      </c>
      <c r="Q1" s="73">
        <f t="shared" si="0"/>
        <v>27382.267</v>
      </c>
      <c r="R1" s="73">
        <f t="shared" si="0"/>
        <v>2653.4720000000002</v>
      </c>
      <c r="S1" s="73">
        <f t="shared" si="0"/>
        <v>0</v>
      </c>
      <c r="T1" s="73"/>
      <c r="U1" s="73"/>
      <c r="V1" s="73">
        <f t="shared" si="0"/>
        <v>35088.107376617372</v>
      </c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>
        <f t="shared" ref="AH1" si="1">AH99-AH100</f>
        <v>36509.074875856953</v>
      </c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>
        <f t="shared" ref="AT1" si="2">AT99-AT100</f>
        <v>37952.466774871813</v>
      </c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>
        <f t="shared" ref="BF1" si="3">BF99-BF100</f>
        <v>39574.221879145436</v>
      </c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</row>
    <row r="2" spans="1:78">
      <c r="P2" s="74"/>
      <c r="Q2" s="74"/>
      <c r="R2" s="74"/>
      <c r="S2" s="74"/>
      <c r="T2" s="74"/>
      <c r="U2" s="74"/>
      <c r="AB2" s="74"/>
      <c r="AC2" s="74"/>
      <c r="AD2" s="74"/>
      <c r="AE2" s="74"/>
      <c r="AF2" s="74"/>
      <c r="AG2" s="74"/>
      <c r="AN2" s="74"/>
      <c r="AO2" s="74"/>
      <c r="AP2" s="74"/>
      <c r="AQ2" s="74"/>
      <c r="AR2" s="74"/>
      <c r="AS2" s="74"/>
      <c r="AZ2" s="74"/>
      <c r="BA2" s="74"/>
      <c r="BB2" s="74"/>
      <c r="BC2" s="74"/>
      <c r="BD2" s="74"/>
      <c r="BE2" s="74"/>
      <c r="BL2" s="74"/>
      <c r="BM2" s="74"/>
      <c r="BN2" s="74"/>
      <c r="BO2" s="74"/>
      <c r="BP2" s="74"/>
      <c r="BQ2" s="74"/>
      <c r="BR2" s="74"/>
      <c r="BS2" s="74"/>
    </row>
    <row r="3" spans="1:78" s="79" customFormat="1" ht="20.25">
      <c r="A3" s="76" t="s">
        <v>497</v>
      </c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381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381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194"/>
      <c r="BU3" s="194"/>
      <c r="BV3" s="194"/>
      <c r="BW3" s="194"/>
      <c r="BX3" s="966"/>
    </row>
    <row r="4" spans="1:78" s="26" customFormat="1" ht="16.5" thickBot="1">
      <c r="B4" s="80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2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2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2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2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2"/>
      <c r="BM4" s="81"/>
      <c r="BN4" s="81"/>
      <c r="BO4" s="81"/>
      <c r="BP4" s="81"/>
      <c r="BQ4" s="81"/>
      <c r="BR4" s="81"/>
      <c r="BS4" s="81"/>
      <c r="BT4" s="195"/>
      <c r="BU4" s="195"/>
      <c r="BV4" s="195"/>
      <c r="BW4" s="195"/>
      <c r="BX4" s="966"/>
    </row>
    <row r="5" spans="1:78" s="83" customFormat="1" ht="44.25" customHeight="1" thickBot="1">
      <c r="A5" s="1622" t="s">
        <v>98</v>
      </c>
      <c r="B5" s="1624" t="s">
        <v>99</v>
      </c>
      <c r="C5" s="1626" t="s">
        <v>100</v>
      </c>
      <c r="D5" s="1628" t="s">
        <v>252</v>
      </c>
      <c r="E5" s="1629"/>
      <c r="F5" s="1629"/>
      <c r="G5" s="1629"/>
      <c r="H5" s="1629"/>
      <c r="I5" s="1630"/>
      <c r="J5" s="1607" t="s">
        <v>174</v>
      </c>
      <c r="K5" s="1608"/>
      <c r="L5" s="1608"/>
      <c r="M5" s="1608"/>
      <c r="N5" s="1608"/>
      <c r="O5" s="1609"/>
      <c r="P5" s="1628" t="s">
        <v>175</v>
      </c>
      <c r="Q5" s="1629"/>
      <c r="R5" s="1629"/>
      <c r="S5" s="1629"/>
      <c r="T5" s="1629"/>
      <c r="U5" s="1630"/>
      <c r="V5" s="1607" t="s">
        <v>176</v>
      </c>
      <c r="W5" s="1608"/>
      <c r="X5" s="1608"/>
      <c r="Y5" s="1608"/>
      <c r="Z5" s="1608"/>
      <c r="AA5" s="1609"/>
      <c r="AB5" s="1619" t="s">
        <v>177</v>
      </c>
      <c r="AC5" s="1620"/>
      <c r="AD5" s="1620"/>
      <c r="AE5" s="1620"/>
      <c r="AF5" s="1620"/>
      <c r="AG5" s="1621"/>
      <c r="AH5" s="1607" t="s">
        <v>178</v>
      </c>
      <c r="AI5" s="1608"/>
      <c r="AJ5" s="1608"/>
      <c r="AK5" s="1608"/>
      <c r="AL5" s="1608"/>
      <c r="AM5" s="1609"/>
      <c r="AN5" s="1619" t="s">
        <v>179</v>
      </c>
      <c r="AO5" s="1620"/>
      <c r="AP5" s="1620"/>
      <c r="AQ5" s="1620"/>
      <c r="AR5" s="1620"/>
      <c r="AS5" s="1621"/>
      <c r="AT5" s="1607" t="s">
        <v>235</v>
      </c>
      <c r="AU5" s="1608"/>
      <c r="AV5" s="1608"/>
      <c r="AW5" s="1608"/>
      <c r="AX5" s="1608"/>
      <c r="AY5" s="1609"/>
      <c r="AZ5" s="1619" t="s">
        <v>236</v>
      </c>
      <c r="BA5" s="1620"/>
      <c r="BB5" s="1620"/>
      <c r="BC5" s="1620"/>
      <c r="BD5" s="1620"/>
      <c r="BE5" s="1621"/>
      <c r="BF5" s="1607" t="s">
        <v>253</v>
      </c>
      <c r="BG5" s="1608"/>
      <c r="BH5" s="1608"/>
      <c r="BI5" s="1608"/>
      <c r="BJ5" s="1608"/>
      <c r="BK5" s="1609"/>
      <c r="BL5" s="1610" t="s">
        <v>254</v>
      </c>
      <c r="BM5" s="1611"/>
      <c r="BN5" s="1611"/>
      <c r="BO5" s="1611"/>
      <c r="BP5" s="1611"/>
      <c r="BQ5" s="1612"/>
      <c r="BR5" s="1613" t="s">
        <v>66</v>
      </c>
      <c r="BS5" s="1616" t="s">
        <v>180</v>
      </c>
      <c r="BT5" s="1616" t="s">
        <v>181</v>
      </c>
      <c r="BU5" s="1601" t="s">
        <v>182</v>
      </c>
      <c r="BV5" s="1601" t="s">
        <v>237</v>
      </c>
      <c r="BW5" s="1604" t="s">
        <v>255</v>
      </c>
      <c r="BX5" s="967"/>
    </row>
    <row r="6" spans="1:78" s="83" customFormat="1" ht="44.25" customHeight="1">
      <c r="A6" s="1623"/>
      <c r="B6" s="1625"/>
      <c r="C6" s="1627"/>
      <c r="D6" s="1589" t="s">
        <v>58</v>
      </c>
      <c r="E6" s="1591" t="s">
        <v>18</v>
      </c>
      <c r="F6" s="1591"/>
      <c r="G6" s="1591" t="s">
        <v>84</v>
      </c>
      <c r="H6" s="1592"/>
      <c r="I6" s="1593" t="s">
        <v>266</v>
      </c>
      <c r="J6" s="1597" t="s">
        <v>58</v>
      </c>
      <c r="K6" s="1599" t="s">
        <v>18</v>
      </c>
      <c r="L6" s="1599"/>
      <c r="M6" s="1599" t="s">
        <v>84</v>
      </c>
      <c r="N6" s="1600"/>
      <c r="O6" s="1595" t="s">
        <v>266</v>
      </c>
      <c r="P6" s="1589" t="s">
        <v>58</v>
      </c>
      <c r="Q6" s="1591" t="s">
        <v>18</v>
      </c>
      <c r="R6" s="1591"/>
      <c r="S6" s="1591" t="s">
        <v>84</v>
      </c>
      <c r="T6" s="1592"/>
      <c r="U6" s="1593" t="s">
        <v>266</v>
      </c>
      <c r="V6" s="1597" t="s">
        <v>58</v>
      </c>
      <c r="W6" s="1599" t="s">
        <v>18</v>
      </c>
      <c r="X6" s="1599"/>
      <c r="Y6" s="1599" t="s">
        <v>84</v>
      </c>
      <c r="Z6" s="1600"/>
      <c r="AA6" s="1595" t="s">
        <v>266</v>
      </c>
      <c r="AB6" s="1589" t="s">
        <v>58</v>
      </c>
      <c r="AC6" s="1591" t="s">
        <v>18</v>
      </c>
      <c r="AD6" s="1591"/>
      <c r="AE6" s="1591" t="s">
        <v>84</v>
      </c>
      <c r="AF6" s="1592"/>
      <c r="AG6" s="1593" t="s">
        <v>266</v>
      </c>
      <c r="AH6" s="1597" t="s">
        <v>58</v>
      </c>
      <c r="AI6" s="1599" t="s">
        <v>18</v>
      </c>
      <c r="AJ6" s="1599"/>
      <c r="AK6" s="1599" t="s">
        <v>84</v>
      </c>
      <c r="AL6" s="1600"/>
      <c r="AM6" s="1595" t="s">
        <v>266</v>
      </c>
      <c r="AN6" s="1589" t="s">
        <v>58</v>
      </c>
      <c r="AO6" s="1591" t="s">
        <v>18</v>
      </c>
      <c r="AP6" s="1591"/>
      <c r="AQ6" s="1591" t="s">
        <v>84</v>
      </c>
      <c r="AR6" s="1592"/>
      <c r="AS6" s="1593" t="s">
        <v>266</v>
      </c>
      <c r="AT6" s="1597" t="s">
        <v>58</v>
      </c>
      <c r="AU6" s="1599" t="s">
        <v>18</v>
      </c>
      <c r="AV6" s="1599"/>
      <c r="AW6" s="1599" t="s">
        <v>84</v>
      </c>
      <c r="AX6" s="1600"/>
      <c r="AY6" s="1595" t="s">
        <v>266</v>
      </c>
      <c r="AZ6" s="1589" t="s">
        <v>58</v>
      </c>
      <c r="BA6" s="1591" t="s">
        <v>18</v>
      </c>
      <c r="BB6" s="1591"/>
      <c r="BC6" s="1591" t="s">
        <v>84</v>
      </c>
      <c r="BD6" s="1592"/>
      <c r="BE6" s="1593" t="s">
        <v>266</v>
      </c>
      <c r="BF6" s="1597" t="s">
        <v>58</v>
      </c>
      <c r="BG6" s="1599" t="s">
        <v>18</v>
      </c>
      <c r="BH6" s="1599"/>
      <c r="BI6" s="1599" t="s">
        <v>84</v>
      </c>
      <c r="BJ6" s="1600"/>
      <c r="BK6" s="1595" t="s">
        <v>266</v>
      </c>
      <c r="BL6" s="1589" t="s">
        <v>58</v>
      </c>
      <c r="BM6" s="1591" t="s">
        <v>18</v>
      </c>
      <c r="BN6" s="1591"/>
      <c r="BO6" s="1591" t="s">
        <v>84</v>
      </c>
      <c r="BP6" s="1592"/>
      <c r="BQ6" s="1593" t="s">
        <v>266</v>
      </c>
      <c r="BR6" s="1614"/>
      <c r="BS6" s="1617"/>
      <c r="BT6" s="1617"/>
      <c r="BU6" s="1602"/>
      <c r="BV6" s="1602"/>
      <c r="BW6" s="1605"/>
      <c r="BX6" s="967"/>
    </row>
    <row r="7" spans="1:78" s="83" customFormat="1" ht="42" customHeight="1" thickBot="1">
      <c r="A7" s="1623"/>
      <c r="B7" s="1625"/>
      <c r="C7" s="1627"/>
      <c r="D7" s="1590"/>
      <c r="E7" s="436" t="s">
        <v>268</v>
      </c>
      <c r="F7" s="436" t="s">
        <v>269</v>
      </c>
      <c r="G7" s="436" t="s">
        <v>270</v>
      </c>
      <c r="H7" s="453" t="s">
        <v>267</v>
      </c>
      <c r="I7" s="1594"/>
      <c r="J7" s="1598"/>
      <c r="K7" s="487" t="s">
        <v>268</v>
      </c>
      <c r="L7" s="487" t="s">
        <v>269</v>
      </c>
      <c r="M7" s="487" t="s">
        <v>270</v>
      </c>
      <c r="N7" s="488" t="s">
        <v>267</v>
      </c>
      <c r="O7" s="1596"/>
      <c r="P7" s="1590"/>
      <c r="Q7" s="436" t="s">
        <v>268</v>
      </c>
      <c r="R7" s="436" t="s">
        <v>269</v>
      </c>
      <c r="S7" s="436" t="s">
        <v>270</v>
      </c>
      <c r="T7" s="453" t="s">
        <v>267</v>
      </c>
      <c r="U7" s="1594"/>
      <c r="V7" s="1598"/>
      <c r="W7" s="487" t="s">
        <v>268</v>
      </c>
      <c r="X7" s="487" t="s">
        <v>269</v>
      </c>
      <c r="Y7" s="487" t="s">
        <v>270</v>
      </c>
      <c r="Z7" s="488" t="s">
        <v>267</v>
      </c>
      <c r="AA7" s="1596"/>
      <c r="AB7" s="1590"/>
      <c r="AC7" s="436" t="s">
        <v>268</v>
      </c>
      <c r="AD7" s="436" t="s">
        <v>269</v>
      </c>
      <c r="AE7" s="436" t="s">
        <v>270</v>
      </c>
      <c r="AF7" s="453" t="s">
        <v>267</v>
      </c>
      <c r="AG7" s="1594"/>
      <c r="AH7" s="1598"/>
      <c r="AI7" s="487" t="s">
        <v>268</v>
      </c>
      <c r="AJ7" s="487" t="s">
        <v>269</v>
      </c>
      <c r="AK7" s="487" t="s">
        <v>270</v>
      </c>
      <c r="AL7" s="488" t="s">
        <v>267</v>
      </c>
      <c r="AM7" s="1596"/>
      <c r="AN7" s="1590"/>
      <c r="AO7" s="436" t="s">
        <v>268</v>
      </c>
      <c r="AP7" s="436" t="s">
        <v>269</v>
      </c>
      <c r="AQ7" s="436" t="s">
        <v>270</v>
      </c>
      <c r="AR7" s="453" t="s">
        <v>267</v>
      </c>
      <c r="AS7" s="1594"/>
      <c r="AT7" s="1598"/>
      <c r="AU7" s="487" t="s">
        <v>268</v>
      </c>
      <c r="AV7" s="487" t="s">
        <v>269</v>
      </c>
      <c r="AW7" s="487" t="s">
        <v>270</v>
      </c>
      <c r="AX7" s="488" t="s">
        <v>267</v>
      </c>
      <c r="AY7" s="1596"/>
      <c r="AZ7" s="1590"/>
      <c r="BA7" s="436" t="s">
        <v>268</v>
      </c>
      <c r="BB7" s="436" t="s">
        <v>269</v>
      </c>
      <c r="BC7" s="436" t="s">
        <v>270</v>
      </c>
      <c r="BD7" s="453" t="s">
        <v>267</v>
      </c>
      <c r="BE7" s="1594"/>
      <c r="BF7" s="1598"/>
      <c r="BG7" s="487" t="s">
        <v>268</v>
      </c>
      <c r="BH7" s="487" t="s">
        <v>269</v>
      </c>
      <c r="BI7" s="487" t="s">
        <v>270</v>
      </c>
      <c r="BJ7" s="488" t="s">
        <v>267</v>
      </c>
      <c r="BK7" s="1596"/>
      <c r="BL7" s="1590"/>
      <c r="BM7" s="436" t="s">
        <v>268</v>
      </c>
      <c r="BN7" s="436" t="s">
        <v>269</v>
      </c>
      <c r="BO7" s="436" t="s">
        <v>270</v>
      </c>
      <c r="BP7" s="453" t="s">
        <v>267</v>
      </c>
      <c r="BQ7" s="1594"/>
      <c r="BR7" s="1615"/>
      <c r="BS7" s="1618"/>
      <c r="BT7" s="1618"/>
      <c r="BU7" s="1603"/>
      <c r="BV7" s="1603"/>
      <c r="BW7" s="1606"/>
      <c r="BX7" s="967"/>
    </row>
    <row r="8" spans="1:78" s="88" customFormat="1" ht="19.5" thickBot="1">
      <c r="A8" s="1583" t="s">
        <v>102</v>
      </c>
      <c r="B8" s="1584"/>
      <c r="C8" s="84"/>
      <c r="D8" s="813" t="s">
        <v>478</v>
      </c>
      <c r="E8" s="84" t="s">
        <v>478</v>
      </c>
      <c r="F8" s="84" t="s">
        <v>478</v>
      </c>
      <c r="G8" s="84"/>
      <c r="H8" s="432" t="s">
        <v>478</v>
      </c>
      <c r="I8" s="820"/>
      <c r="J8" s="957" t="s">
        <v>499</v>
      </c>
      <c r="K8" s="84" t="s">
        <v>499</v>
      </c>
      <c r="L8" s="84" t="s">
        <v>499</v>
      </c>
      <c r="M8" s="84"/>
      <c r="N8" s="84" t="s">
        <v>499</v>
      </c>
      <c r="O8" s="820"/>
      <c r="P8" s="434"/>
      <c r="Q8" s="435"/>
      <c r="R8" s="435"/>
      <c r="S8" s="437"/>
      <c r="T8" s="454"/>
      <c r="U8" s="456"/>
      <c r="V8" s="430" t="s">
        <v>499</v>
      </c>
      <c r="W8" s="490" t="s">
        <v>499</v>
      </c>
      <c r="X8" s="492" t="s">
        <v>499</v>
      </c>
      <c r="Y8" s="491"/>
      <c r="Z8" s="489" t="s">
        <v>499</v>
      </c>
      <c r="AA8" s="1088"/>
      <c r="AB8" s="85">
        <f>IF(AND(AC8=AD8),AC8,"расчет")</f>
        <v>1.02366</v>
      </c>
      <c r="AC8" s="86">
        <f>(1-AB10)*(1+AB9)*(1+AC11*AB14)</f>
        <v>1.02366</v>
      </c>
      <c r="AD8" s="86">
        <f>(1-AB10)*(1+AB9)*(1+AD11*AB14)</f>
        <v>1.02366</v>
      </c>
      <c r="AE8" s="454">
        <f>(1-AB10)*(1+AB9)*(1+AE11*AB14)</f>
        <v>1.02366</v>
      </c>
      <c r="AF8" s="454">
        <f>(1-AB10)*(1+AB9)*(1+AF11*AB14)</f>
        <v>1.02366</v>
      </c>
      <c r="AG8" s="517">
        <f>(1-AB10)*(1+AB9)*(1+AG11*AB14)</f>
        <v>1.02366</v>
      </c>
      <c r="AH8" s="85" t="s">
        <v>499</v>
      </c>
      <c r="AI8" s="86" t="s">
        <v>499</v>
      </c>
      <c r="AJ8" s="86" t="s">
        <v>499</v>
      </c>
      <c r="AK8" s="454"/>
      <c r="AL8" s="87" t="s">
        <v>499</v>
      </c>
      <c r="AM8" s="423"/>
      <c r="AN8" s="85">
        <f>IF(AND(AO8=AP8),AO8,"расчет")</f>
        <v>1.0296000000000001</v>
      </c>
      <c r="AO8" s="86">
        <f>(1-AN10)*(1+AN9)*(1+AO11*AN14)</f>
        <v>1.0296000000000001</v>
      </c>
      <c r="AP8" s="86">
        <f>(1-AN10)*(1+AN9)*(1+AP11*AN14)</f>
        <v>1.0296000000000001</v>
      </c>
      <c r="AQ8" s="454">
        <f>(1-AN10)*(1+AN9)*(1+AQ11*AN14)</f>
        <v>1.0296000000000001</v>
      </c>
      <c r="AR8" s="454">
        <f>(1-AN10)*(1+AN9)*(1+AR11*AN14)</f>
        <v>1.0296000000000001</v>
      </c>
      <c r="AS8" s="517">
        <f>(1-AN10)*(1+AN9)*(1+AS11*AN14)</f>
        <v>1.0296000000000001</v>
      </c>
      <c r="AT8" s="85" t="s">
        <v>499</v>
      </c>
      <c r="AU8" s="86" t="s">
        <v>499</v>
      </c>
      <c r="AV8" s="86" t="s">
        <v>499</v>
      </c>
      <c r="AW8" s="454"/>
      <c r="AX8" s="87" t="s">
        <v>499</v>
      </c>
      <c r="AY8" s="423"/>
      <c r="AZ8" s="85">
        <f>IF(AND(BA8=BB8),BA8,"расчет")</f>
        <v>1.0296000000000001</v>
      </c>
      <c r="BA8" s="86">
        <f>(1-AZ10)*(1+AZ9)*(1+BA11*AZ14)</f>
        <v>1.0296000000000001</v>
      </c>
      <c r="BB8" s="86">
        <f>(1-AZ10)*(1+AZ9)*(1+BB11*AZ14)</f>
        <v>1.0296000000000001</v>
      </c>
      <c r="BC8" s="454">
        <f>(1-AZ10)*(1+AZ9)*(1+BC11*AZ14)</f>
        <v>1.0296000000000001</v>
      </c>
      <c r="BD8" s="454">
        <f>(1-AZ10)*(1+AZ9)*(1+BD11*AZ14)</f>
        <v>1.0296000000000001</v>
      </c>
      <c r="BE8" s="517">
        <f>(1-AZ10)*(1+AZ9)*(1+BE11*AZ14)</f>
        <v>1.0296000000000001</v>
      </c>
      <c r="BF8" s="85" t="s">
        <v>499</v>
      </c>
      <c r="BG8" s="86" t="s">
        <v>499</v>
      </c>
      <c r="BH8" s="86" t="s">
        <v>499</v>
      </c>
      <c r="BI8" s="454"/>
      <c r="BJ8" s="87" t="s">
        <v>499</v>
      </c>
      <c r="BK8" s="423"/>
      <c r="BL8" s="85">
        <f>IF(AND(BM8=BN8),BM8,"расчет")</f>
        <v>1.0296000000000001</v>
      </c>
      <c r="BM8" s="86">
        <f>(1-BL10)*(1+BL9)*(1+BM11*BL14)</f>
        <v>1.0296000000000001</v>
      </c>
      <c r="BN8" s="86">
        <f>(1-BL10)*(1+BL9)*(1+BN11*BL14)</f>
        <v>1.0296000000000001</v>
      </c>
      <c r="BO8" s="454">
        <f>(1-BL10)*(1+BL9)*(1+BO11*BL14)</f>
        <v>1.0296000000000001</v>
      </c>
      <c r="BP8" s="454">
        <f>(1-BL10)*(1+BL9)*(1+BP11*BL14)</f>
        <v>1.0296000000000001</v>
      </c>
      <c r="BQ8" s="517">
        <f>(1-BL10)*(1+BL9)*(1+BQ11*BL14)</f>
        <v>1.0296000000000001</v>
      </c>
      <c r="BR8" s="826">
        <f>IF(ISERROR(P8/J8)," ",P8/J8)</f>
        <v>0</v>
      </c>
      <c r="BS8" s="330">
        <f>IF(ISERROR(P8/D8)," ",P8/D8)</f>
        <v>0</v>
      </c>
      <c r="BT8" s="826" t="str">
        <f t="shared" ref="BT8:BT71" si="4">IF(ISERROR(AB8/P8)," ",AB8/P8)</f>
        <v xml:space="preserve"> </v>
      </c>
      <c r="BU8" s="330">
        <f t="shared" ref="BU8:BU20" si="5">IF(ISERROR(AN8/AB8)," ",AN8/AB8)</f>
        <v>1.0058027079303675</v>
      </c>
      <c r="BV8" s="330">
        <f t="shared" ref="BV8:BV20" si="6">IF(ISERROR(AZ8/AN8)," ",AZ8/AN8)</f>
        <v>1</v>
      </c>
      <c r="BW8" s="196">
        <f t="shared" ref="BW8:BW20" si="7">IF(ISERROR(BL8/AZ8)," ",BL8/AZ8)</f>
        <v>1</v>
      </c>
      <c r="BX8" s="967"/>
    </row>
    <row r="9" spans="1:78" s="83" customFormat="1" ht="18.75">
      <c r="A9" s="89"/>
      <c r="B9" s="90" t="s">
        <v>103</v>
      </c>
      <c r="C9" s="422" t="s">
        <v>3</v>
      </c>
      <c r="D9" s="814">
        <v>3.7</v>
      </c>
      <c r="E9" s="422"/>
      <c r="F9" s="422"/>
      <c r="G9" s="422"/>
      <c r="H9" s="815"/>
      <c r="I9" s="821"/>
      <c r="J9" s="958">
        <v>0.04</v>
      </c>
      <c r="K9" s="378"/>
      <c r="L9" s="378"/>
      <c r="M9" s="378"/>
      <c r="N9" s="378"/>
      <c r="O9" s="824"/>
      <c r="P9" s="91">
        <f>[184]индексы!H8-1</f>
        <v>4.6000000000000041E-2</v>
      </c>
      <c r="Q9" s="1556"/>
      <c r="R9" s="1556"/>
      <c r="S9" s="1557"/>
      <c r="T9" s="1557"/>
      <c r="U9" s="1558"/>
      <c r="V9" s="91">
        <v>0.04</v>
      </c>
      <c r="W9" s="1556"/>
      <c r="X9" s="1556"/>
      <c r="Y9" s="1557"/>
      <c r="Z9" s="1557"/>
      <c r="AA9" s="1558"/>
      <c r="AB9" s="91">
        <f>[184]индексы!I8-1</f>
        <v>3.400000000000003E-2</v>
      </c>
      <c r="AC9" s="1556"/>
      <c r="AD9" s="1556"/>
      <c r="AE9" s="1557"/>
      <c r="AF9" s="1559"/>
      <c r="AG9" s="1560"/>
      <c r="AH9" s="91">
        <v>0.04</v>
      </c>
      <c r="AI9" s="1556"/>
      <c r="AJ9" s="1556"/>
      <c r="AK9" s="1557"/>
      <c r="AL9" s="1559"/>
      <c r="AM9" s="1560"/>
      <c r="AN9" s="91">
        <f>[184]индексы!J8-1</f>
        <v>4.0000000000000036E-2</v>
      </c>
      <c r="AO9" s="1556"/>
      <c r="AP9" s="1556"/>
      <c r="AQ9" s="1557"/>
      <c r="AR9" s="1559"/>
      <c r="AS9" s="1560"/>
      <c r="AT9" s="91">
        <v>0.04</v>
      </c>
      <c r="AU9" s="1556"/>
      <c r="AV9" s="1556"/>
      <c r="AW9" s="1557"/>
      <c r="AX9" s="1559"/>
      <c r="AY9" s="1560"/>
      <c r="AZ9" s="91">
        <f>[184]индексы!K8-1</f>
        <v>4.0000000000000036E-2</v>
      </c>
      <c r="BA9" s="1556"/>
      <c r="BB9" s="1556"/>
      <c r="BC9" s="1557"/>
      <c r="BD9" s="1559"/>
      <c r="BE9" s="1560"/>
      <c r="BF9" s="91">
        <v>0.04</v>
      </c>
      <c r="BG9" s="1556"/>
      <c r="BH9" s="1556"/>
      <c r="BI9" s="1557"/>
      <c r="BJ9" s="1559"/>
      <c r="BK9" s="1560"/>
      <c r="BL9" s="91">
        <f>[184]индексы!L8-1</f>
        <v>4.0000000000000036E-2</v>
      </c>
      <c r="BM9" s="1556"/>
      <c r="BN9" s="1556"/>
      <c r="BO9" s="1557"/>
      <c r="BP9" s="1559"/>
      <c r="BQ9" s="1558"/>
      <c r="BR9" s="844">
        <f t="shared" ref="BR9:BR72" si="8">IF(ISERROR(P9/J9)," ",P9/J9)</f>
        <v>1.150000000000001</v>
      </c>
      <c r="BS9" s="840">
        <f t="shared" ref="BS9:BS72" si="9">IF(ISERROR(P9/D9)," ",P9/D9)</f>
        <v>1.2432432432432442E-2</v>
      </c>
      <c r="BT9" s="827">
        <f t="shared" si="4"/>
        <v>0.73913043478260865</v>
      </c>
      <c r="BU9" s="329">
        <f t="shared" si="5"/>
        <v>1.1764705882352942</v>
      </c>
      <c r="BV9" s="329">
        <f t="shared" si="6"/>
        <v>1</v>
      </c>
      <c r="BW9" s="197">
        <f t="shared" si="7"/>
        <v>1</v>
      </c>
      <c r="BX9" s="967"/>
    </row>
    <row r="10" spans="1:78" s="83" customFormat="1" ht="18.75">
      <c r="A10" s="94"/>
      <c r="B10" s="573" t="s">
        <v>104</v>
      </c>
      <c r="C10" s="1469" t="s">
        <v>3</v>
      </c>
      <c r="D10" s="816">
        <v>1</v>
      </c>
      <c r="E10" s="1469"/>
      <c r="F10" s="1469"/>
      <c r="G10" s="1469"/>
      <c r="H10" s="433"/>
      <c r="I10" s="822"/>
      <c r="J10" s="959">
        <v>0.01</v>
      </c>
      <c r="K10" s="1470"/>
      <c r="L10" s="1470"/>
      <c r="M10" s="1470"/>
      <c r="N10" s="1470"/>
      <c r="O10" s="825"/>
      <c r="P10" s="96">
        <v>0.01</v>
      </c>
      <c r="Q10" s="1561"/>
      <c r="R10" s="1561"/>
      <c r="S10" s="1562"/>
      <c r="T10" s="1562"/>
      <c r="U10" s="1563"/>
      <c r="V10" s="96">
        <v>0.01</v>
      </c>
      <c r="W10" s="1561"/>
      <c r="X10" s="1561"/>
      <c r="Y10" s="1562"/>
      <c r="Z10" s="1562"/>
      <c r="AA10" s="1563"/>
      <c r="AB10" s="96">
        <v>0.01</v>
      </c>
      <c r="AC10" s="1561"/>
      <c r="AD10" s="1561"/>
      <c r="AE10" s="1562"/>
      <c r="AF10" s="1564"/>
      <c r="AG10" s="1565"/>
      <c r="AH10" s="96">
        <v>0.01</v>
      </c>
      <c r="AI10" s="1561"/>
      <c r="AJ10" s="1561"/>
      <c r="AK10" s="1562"/>
      <c r="AL10" s="1564"/>
      <c r="AM10" s="1565"/>
      <c r="AN10" s="96">
        <v>0.01</v>
      </c>
      <c r="AO10" s="1561"/>
      <c r="AP10" s="1561"/>
      <c r="AQ10" s="1562"/>
      <c r="AR10" s="1564"/>
      <c r="AS10" s="1565"/>
      <c r="AT10" s="96">
        <v>0.01</v>
      </c>
      <c r="AU10" s="1561"/>
      <c r="AV10" s="1561"/>
      <c r="AW10" s="1562"/>
      <c r="AX10" s="1564"/>
      <c r="AY10" s="1565"/>
      <c r="AZ10" s="96">
        <v>0.01</v>
      </c>
      <c r="BA10" s="1561"/>
      <c r="BB10" s="1561"/>
      <c r="BC10" s="1562"/>
      <c r="BD10" s="1564"/>
      <c r="BE10" s="1565"/>
      <c r="BF10" s="96">
        <v>0.01</v>
      </c>
      <c r="BG10" s="1561"/>
      <c r="BH10" s="1561"/>
      <c r="BI10" s="1562"/>
      <c r="BJ10" s="1564"/>
      <c r="BK10" s="1565"/>
      <c r="BL10" s="96">
        <v>0.01</v>
      </c>
      <c r="BM10" s="1561"/>
      <c r="BN10" s="1561"/>
      <c r="BO10" s="1562"/>
      <c r="BP10" s="1564"/>
      <c r="BQ10" s="1563"/>
      <c r="BR10" s="835">
        <f t="shared" si="8"/>
        <v>1</v>
      </c>
      <c r="BS10" s="542">
        <f t="shared" si="9"/>
        <v>0.01</v>
      </c>
      <c r="BT10" s="828">
        <f t="shared" si="4"/>
        <v>1</v>
      </c>
      <c r="BU10" s="323">
        <f t="shared" si="5"/>
        <v>1</v>
      </c>
      <c r="BV10" s="323">
        <f t="shared" si="6"/>
        <v>1</v>
      </c>
      <c r="BW10" s="198">
        <f t="shared" si="7"/>
        <v>1</v>
      </c>
      <c r="BX10" s="967"/>
      <c r="BZ10" s="99"/>
    </row>
    <row r="11" spans="1:78" s="83" customFormat="1" ht="18.75">
      <c r="A11" s="94"/>
      <c r="B11" s="95" t="s">
        <v>105</v>
      </c>
      <c r="C11" s="1469" t="s">
        <v>3</v>
      </c>
      <c r="D11" s="816"/>
      <c r="E11" s="1469"/>
      <c r="F11" s="1469"/>
      <c r="G11" s="1469"/>
      <c r="H11" s="433"/>
      <c r="I11" s="822"/>
      <c r="J11" s="961">
        <v>0</v>
      </c>
      <c r="K11" s="1469"/>
      <c r="L11" s="1469"/>
      <c r="M11" s="1469"/>
      <c r="N11" s="1469"/>
      <c r="O11" s="822"/>
      <c r="P11" s="100">
        <v>0</v>
      </c>
      <c r="Q11" s="101"/>
      <c r="R11" s="101"/>
      <c r="S11" s="440"/>
      <c r="T11" s="440"/>
      <c r="U11" s="459"/>
      <c r="V11" s="100">
        <v>0</v>
      </c>
      <c r="W11" s="101"/>
      <c r="X11" s="101"/>
      <c r="Y11" s="440"/>
      <c r="Z11" s="440"/>
      <c r="AA11" s="459"/>
      <c r="AB11" s="100">
        <f>IF(AND(AC11=AD11),AC11,"расчет")</f>
        <v>0</v>
      </c>
      <c r="AC11" s="101">
        <f>(AB12-P12)/P12</f>
        <v>0</v>
      </c>
      <c r="AD11" s="101">
        <f>IF(AND(ISNUMBER(P13),P13&gt;0),(AB13-P13)/P13,0)</f>
        <v>0</v>
      </c>
      <c r="AE11" s="440">
        <f>AC11</f>
        <v>0</v>
      </c>
      <c r="AF11" s="102">
        <f>AC11</f>
        <v>0</v>
      </c>
      <c r="AG11" s="426">
        <f>AF11</f>
        <v>0</v>
      </c>
      <c r="AH11" s="100">
        <v>0</v>
      </c>
      <c r="AI11" s="101"/>
      <c r="AJ11" s="101"/>
      <c r="AK11" s="440"/>
      <c r="AL11" s="102"/>
      <c r="AM11" s="426"/>
      <c r="AN11" s="100">
        <f>IF(AND(AO11=AP11),AO11,"расчет")</f>
        <v>0</v>
      </c>
      <c r="AO11" s="101">
        <f>(AN12-AB12)/AB12</f>
        <v>0</v>
      </c>
      <c r="AP11" s="101">
        <f>IF(AND(ISNUMBER(AB13),AB13&gt;0),(AN13-AB13)/AB13,0)</f>
        <v>0</v>
      </c>
      <c r="AQ11" s="440">
        <f>AO11</f>
        <v>0</v>
      </c>
      <c r="AR11" s="102">
        <f>AO11</f>
        <v>0</v>
      </c>
      <c r="AS11" s="426">
        <f>AR11</f>
        <v>0</v>
      </c>
      <c r="AT11" s="100">
        <v>0</v>
      </c>
      <c r="AU11" s="101"/>
      <c r="AV11" s="101"/>
      <c r="AW11" s="440"/>
      <c r="AX11" s="102"/>
      <c r="AY11" s="426"/>
      <c r="AZ11" s="100">
        <f>IF(AND(BA11=BB11),BA11,"расчет")</f>
        <v>0</v>
      </c>
      <c r="BA11" s="101">
        <f>(AZ12-AN12)/AN12</f>
        <v>0</v>
      </c>
      <c r="BB11" s="101">
        <f>IF(AND(ISNUMBER(AN13),AN13&gt;0),(AZ13-AN13)/AN13,0)</f>
        <v>0</v>
      </c>
      <c r="BC11" s="440">
        <f>BA11</f>
        <v>0</v>
      </c>
      <c r="BD11" s="102">
        <f>BA11</f>
        <v>0</v>
      </c>
      <c r="BE11" s="426">
        <f>BD11</f>
        <v>0</v>
      </c>
      <c r="BF11" s="100">
        <v>0</v>
      </c>
      <c r="BG11" s="101"/>
      <c r="BH11" s="101"/>
      <c r="BI11" s="440"/>
      <c r="BJ11" s="102"/>
      <c r="BK11" s="426"/>
      <c r="BL11" s="100">
        <f>IF(AND(BM11=BN11),BM11,"расчет")</f>
        <v>0</v>
      </c>
      <c r="BM11" s="101">
        <f>(BL12-AZ12)/AZ12</f>
        <v>0</v>
      </c>
      <c r="BN11" s="101">
        <f>IF(AND(ISNUMBER(AZ13),AZ13&gt;0),(BL13-AZ13)/AZ13,0)</f>
        <v>0</v>
      </c>
      <c r="BO11" s="440">
        <f>BM11</f>
        <v>0</v>
      </c>
      <c r="BP11" s="102">
        <f>BM11</f>
        <v>0</v>
      </c>
      <c r="BQ11" s="459">
        <f>BP11</f>
        <v>0</v>
      </c>
      <c r="BR11" s="835" t="str">
        <f t="shared" si="8"/>
        <v xml:space="preserve"> </v>
      </c>
      <c r="BS11" s="542" t="str">
        <f t="shared" si="9"/>
        <v xml:space="preserve"> </v>
      </c>
      <c r="BT11" s="828" t="str">
        <f t="shared" si="4"/>
        <v xml:space="preserve"> </v>
      </c>
      <c r="BU11" s="323" t="str">
        <f t="shared" si="5"/>
        <v xml:space="preserve"> </v>
      </c>
      <c r="BV11" s="323" t="str">
        <f t="shared" si="6"/>
        <v xml:space="preserve"> </v>
      </c>
      <c r="BW11" s="198" t="str">
        <f t="shared" si="7"/>
        <v xml:space="preserve"> </v>
      </c>
      <c r="BX11" s="967"/>
    </row>
    <row r="12" spans="1:78" s="83" customFormat="1" ht="18.75">
      <c r="A12" s="94"/>
      <c r="B12" s="95" t="s">
        <v>106</v>
      </c>
      <c r="C12" s="1469" t="s">
        <v>97</v>
      </c>
      <c r="D12" s="816">
        <v>15.22</v>
      </c>
      <c r="E12" s="1469"/>
      <c r="F12" s="1469"/>
      <c r="G12" s="1469"/>
      <c r="H12" s="433"/>
      <c r="I12" s="822"/>
      <c r="J12" s="963">
        <v>15.22</v>
      </c>
      <c r="K12" s="1469"/>
      <c r="L12" s="1469"/>
      <c r="M12" s="1469"/>
      <c r="N12" s="1469"/>
      <c r="O12" s="822"/>
      <c r="P12" s="103">
        <v>15.22</v>
      </c>
      <c r="Q12" s="374"/>
      <c r="R12" s="1561"/>
      <c r="S12" s="1562"/>
      <c r="T12" s="1562"/>
      <c r="U12" s="1563"/>
      <c r="V12" s="103">
        <v>15.22</v>
      </c>
      <c r="W12" s="374"/>
      <c r="X12" s="1561"/>
      <c r="Y12" s="1562"/>
      <c r="Z12" s="1562"/>
      <c r="AA12" s="1563"/>
      <c r="AB12" s="103">
        <f>P12</f>
        <v>15.22</v>
      </c>
      <c r="AC12" s="374"/>
      <c r="AD12" s="1561"/>
      <c r="AE12" s="1562"/>
      <c r="AF12" s="1564"/>
      <c r="AG12" s="1565"/>
      <c r="AH12" s="103">
        <f>V12</f>
        <v>15.22</v>
      </c>
      <c r="AI12" s="374"/>
      <c r="AJ12" s="1561"/>
      <c r="AK12" s="1562"/>
      <c r="AL12" s="1564"/>
      <c r="AM12" s="1565"/>
      <c r="AN12" s="103">
        <f>AB12</f>
        <v>15.22</v>
      </c>
      <c r="AO12" s="374"/>
      <c r="AP12" s="1561"/>
      <c r="AQ12" s="1562"/>
      <c r="AR12" s="1564"/>
      <c r="AS12" s="1565"/>
      <c r="AT12" s="103">
        <f>AH12</f>
        <v>15.22</v>
      </c>
      <c r="AU12" s="374"/>
      <c r="AV12" s="1561"/>
      <c r="AW12" s="1562"/>
      <c r="AX12" s="1564"/>
      <c r="AY12" s="1565"/>
      <c r="AZ12" s="103">
        <f>AN12</f>
        <v>15.22</v>
      </c>
      <c r="BA12" s="374"/>
      <c r="BB12" s="1561"/>
      <c r="BC12" s="1562"/>
      <c r="BD12" s="1564"/>
      <c r="BE12" s="1565"/>
      <c r="BF12" s="103">
        <f>AT12</f>
        <v>15.22</v>
      </c>
      <c r="BG12" s="374"/>
      <c r="BH12" s="1561"/>
      <c r="BI12" s="1562"/>
      <c r="BJ12" s="1564"/>
      <c r="BK12" s="1565"/>
      <c r="BL12" s="103">
        <f>AZ12</f>
        <v>15.22</v>
      </c>
      <c r="BM12" s="374"/>
      <c r="BN12" s="1561"/>
      <c r="BO12" s="1562"/>
      <c r="BP12" s="1564"/>
      <c r="BQ12" s="1563"/>
      <c r="BR12" s="835">
        <f t="shared" si="8"/>
        <v>1</v>
      </c>
      <c r="BS12" s="542">
        <f t="shared" si="9"/>
        <v>1</v>
      </c>
      <c r="BT12" s="828">
        <f t="shared" si="4"/>
        <v>1</v>
      </c>
      <c r="BU12" s="323">
        <f t="shared" si="5"/>
        <v>1</v>
      </c>
      <c r="BV12" s="323">
        <f t="shared" si="6"/>
        <v>1</v>
      </c>
      <c r="BW12" s="198">
        <f t="shared" si="7"/>
        <v>1</v>
      </c>
      <c r="BX12" s="967"/>
    </row>
    <row r="13" spans="1:78" s="83" customFormat="1" ht="31.5">
      <c r="A13" s="94"/>
      <c r="B13" s="95" t="s">
        <v>107</v>
      </c>
      <c r="C13" s="1469" t="s">
        <v>108</v>
      </c>
      <c r="D13" s="816">
        <v>1</v>
      </c>
      <c r="E13" s="1469"/>
      <c r="F13" s="1469"/>
      <c r="G13" s="1469"/>
      <c r="H13" s="433"/>
      <c r="I13" s="822"/>
      <c r="J13" s="961">
        <v>26.54</v>
      </c>
      <c r="K13" s="1469"/>
      <c r="L13" s="1469"/>
      <c r="M13" s="1469"/>
      <c r="N13" s="1469"/>
      <c r="O13" s="822"/>
      <c r="P13" s="103"/>
      <c r="Q13" s="1561"/>
      <c r="R13" s="374"/>
      <c r="S13" s="441"/>
      <c r="T13" s="441"/>
      <c r="U13" s="460"/>
      <c r="V13" s="103">
        <f>J13</f>
        <v>26.54</v>
      </c>
      <c r="W13" s="1561"/>
      <c r="X13" s="374"/>
      <c r="Y13" s="441"/>
      <c r="Z13" s="441"/>
      <c r="AA13" s="460"/>
      <c r="AB13" s="103">
        <f>P13</f>
        <v>0</v>
      </c>
      <c r="AC13" s="1561"/>
      <c r="AD13" s="374"/>
      <c r="AE13" s="441"/>
      <c r="AF13" s="376"/>
      <c r="AG13" s="427"/>
      <c r="AH13" s="103">
        <f>V13</f>
        <v>26.54</v>
      </c>
      <c r="AI13" s="1561"/>
      <c r="AJ13" s="374"/>
      <c r="AK13" s="441"/>
      <c r="AL13" s="376"/>
      <c r="AM13" s="427"/>
      <c r="AN13" s="103">
        <f>AB13</f>
        <v>0</v>
      </c>
      <c r="AO13" s="1561"/>
      <c r="AP13" s="374"/>
      <c r="AQ13" s="441"/>
      <c r="AR13" s="376"/>
      <c r="AS13" s="427"/>
      <c r="AT13" s="103">
        <f>AH13</f>
        <v>26.54</v>
      </c>
      <c r="AU13" s="1561"/>
      <c r="AV13" s="374"/>
      <c r="AW13" s="441"/>
      <c r="AX13" s="376"/>
      <c r="AY13" s="427"/>
      <c r="AZ13" s="103">
        <f>AN13</f>
        <v>0</v>
      </c>
      <c r="BA13" s="1561"/>
      <c r="BB13" s="374"/>
      <c r="BC13" s="441"/>
      <c r="BD13" s="376"/>
      <c r="BE13" s="427"/>
      <c r="BF13" s="103">
        <f>AT13</f>
        <v>26.54</v>
      </c>
      <c r="BG13" s="1561"/>
      <c r="BH13" s="374"/>
      <c r="BI13" s="441"/>
      <c r="BJ13" s="376"/>
      <c r="BK13" s="427"/>
      <c r="BL13" s="103">
        <f>AZ13</f>
        <v>0</v>
      </c>
      <c r="BM13" s="1561"/>
      <c r="BN13" s="374"/>
      <c r="BO13" s="441"/>
      <c r="BP13" s="376"/>
      <c r="BQ13" s="460"/>
      <c r="BR13" s="835">
        <f t="shared" si="8"/>
        <v>0</v>
      </c>
      <c r="BS13" s="542">
        <f t="shared" si="9"/>
        <v>0</v>
      </c>
      <c r="BT13" s="828" t="str">
        <f t="shared" si="4"/>
        <v xml:space="preserve"> </v>
      </c>
      <c r="BU13" s="323" t="str">
        <f t="shared" si="5"/>
        <v xml:space="preserve"> </v>
      </c>
      <c r="BV13" s="323" t="str">
        <f t="shared" si="6"/>
        <v xml:space="preserve"> </v>
      </c>
      <c r="BW13" s="198" t="str">
        <f t="shared" si="7"/>
        <v xml:space="preserve"> </v>
      </c>
      <c r="BX13" s="967"/>
    </row>
    <row r="14" spans="1:78" s="83" customFormat="1" ht="19.5" thickBot="1">
      <c r="A14" s="104"/>
      <c r="B14" s="1476" t="s">
        <v>109</v>
      </c>
      <c r="C14" s="1477"/>
      <c r="D14" s="817">
        <v>0.75</v>
      </c>
      <c r="E14" s="818"/>
      <c r="F14" s="818"/>
      <c r="G14" s="818"/>
      <c r="H14" s="819"/>
      <c r="I14" s="823"/>
      <c r="J14" s="964">
        <v>0.75</v>
      </c>
      <c r="K14" s="818"/>
      <c r="L14" s="818"/>
      <c r="M14" s="818"/>
      <c r="N14" s="818"/>
      <c r="O14" s="823"/>
      <c r="P14" s="1129">
        <v>0.75</v>
      </c>
      <c r="Q14" s="1566"/>
      <c r="R14" s="1566"/>
      <c r="S14" s="1567"/>
      <c r="T14" s="1567"/>
      <c r="U14" s="1568"/>
      <c r="V14" s="1129">
        <v>0.75</v>
      </c>
      <c r="W14" s="1566"/>
      <c r="X14" s="1566"/>
      <c r="Y14" s="1567"/>
      <c r="Z14" s="1567"/>
      <c r="AA14" s="1568"/>
      <c r="AB14" s="1129">
        <v>0.75</v>
      </c>
      <c r="AC14" s="1566"/>
      <c r="AD14" s="1566"/>
      <c r="AE14" s="1567"/>
      <c r="AF14" s="1569"/>
      <c r="AG14" s="1570"/>
      <c r="AH14" s="1129">
        <v>0.75</v>
      </c>
      <c r="AI14" s="1566"/>
      <c r="AJ14" s="1566"/>
      <c r="AK14" s="1567"/>
      <c r="AL14" s="1569"/>
      <c r="AM14" s="1570"/>
      <c r="AN14" s="1129">
        <v>0.75</v>
      </c>
      <c r="AO14" s="1566"/>
      <c r="AP14" s="1566"/>
      <c r="AQ14" s="1567"/>
      <c r="AR14" s="1569"/>
      <c r="AS14" s="1570"/>
      <c r="AT14" s="1129">
        <v>0.75</v>
      </c>
      <c r="AU14" s="1566"/>
      <c r="AV14" s="1566"/>
      <c r="AW14" s="1567"/>
      <c r="AX14" s="1571"/>
      <c r="AY14" s="1570"/>
      <c r="AZ14" s="1129">
        <v>0.75</v>
      </c>
      <c r="BA14" s="1566"/>
      <c r="BB14" s="1566"/>
      <c r="BC14" s="1567"/>
      <c r="BD14" s="1569"/>
      <c r="BE14" s="1570"/>
      <c r="BF14" s="1129">
        <v>0.75</v>
      </c>
      <c r="BG14" s="1566"/>
      <c r="BH14" s="1566"/>
      <c r="BI14" s="1567"/>
      <c r="BJ14" s="1571"/>
      <c r="BK14" s="1570"/>
      <c r="BL14" s="1129">
        <v>0.75</v>
      </c>
      <c r="BM14" s="1566"/>
      <c r="BN14" s="1566"/>
      <c r="BO14" s="1567"/>
      <c r="BP14" s="1569"/>
      <c r="BQ14" s="1568"/>
      <c r="BR14" s="1484">
        <f t="shared" si="8"/>
        <v>1</v>
      </c>
      <c r="BS14" s="1485">
        <f t="shared" si="9"/>
        <v>1</v>
      </c>
      <c r="BT14" s="1486">
        <f t="shared" si="4"/>
        <v>1</v>
      </c>
      <c r="BU14" s="1487">
        <f t="shared" si="5"/>
        <v>1</v>
      </c>
      <c r="BV14" s="1487">
        <f t="shared" si="6"/>
        <v>1</v>
      </c>
      <c r="BW14" s="1488">
        <f t="shared" si="7"/>
        <v>1</v>
      </c>
      <c r="BX14" s="967"/>
    </row>
    <row r="15" spans="1:78" s="88" customFormat="1" ht="36.75" customHeight="1" thickBot="1">
      <c r="A15" s="1583" t="s">
        <v>110</v>
      </c>
      <c r="B15" s="1584"/>
      <c r="C15" s="84" t="s">
        <v>1</v>
      </c>
      <c r="D15" s="186">
        <f>E15+F15+G15+H15</f>
        <v>24602.370000000003</v>
      </c>
      <c r="E15" s="184">
        <f t="shared" ref="E15:I15" si="10">SUM(E16:E20)</f>
        <v>22089.420000000002</v>
      </c>
      <c r="F15" s="184">
        <f t="shared" si="10"/>
        <v>0</v>
      </c>
      <c r="G15" s="185">
        <f t="shared" si="10"/>
        <v>0</v>
      </c>
      <c r="H15" s="185">
        <f t="shared" si="10"/>
        <v>2512.9499999999998</v>
      </c>
      <c r="I15" s="462">
        <f t="shared" si="10"/>
        <v>0</v>
      </c>
      <c r="J15" s="186">
        <f>K15+L15+M15+N15</f>
        <v>25959.404999999999</v>
      </c>
      <c r="K15" s="184">
        <f t="shared" ref="K15:O15" si="11">SUM(K16:K20)</f>
        <v>25626.994999999999</v>
      </c>
      <c r="L15" s="184">
        <f t="shared" si="11"/>
        <v>0</v>
      </c>
      <c r="M15" s="185">
        <f t="shared" si="11"/>
        <v>0</v>
      </c>
      <c r="N15" s="185">
        <f t="shared" si="11"/>
        <v>332.41</v>
      </c>
      <c r="O15" s="462">
        <f t="shared" si="11"/>
        <v>0</v>
      </c>
      <c r="P15" s="186">
        <f>Q15+R15+S15+T15</f>
        <v>25674.44</v>
      </c>
      <c r="Q15" s="184">
        <f t="shared" ref="Q15:U15" si="12">SUM(Q16:Q20)</f>
        <v>22981.17</v>
      </c>
      <c r="R15" s="184">
        <f t="shared" si="12"/>
        <v>0</v>
      </c>
      <c r="S15" s="185">
        <f t="shared" si="12"/>
        <v>0</v>
      </c>
      <c r="T15" s="185">
        <f t="shared" si="12"/>
        <v>2693.27</v>
      </c>
      <c r="U15" s="462">
        <f t="shared" si="12"/>
        <v>0</v>
      </c>
      <c r="V15" s="186">
        <f>W15+X15+Y15+Z15</f>
        <v>27097.836000000003</v>
      </c>
      <c r="W15" s="184">
        <f t="shared" ref="W15:Z15" si="13">SUM(W16:W20)</f>
        <v>26725.542000000001</v>
      </c>
      <c r="X15" s="184">
        <f t="shared" si="13"/>
        <v>0</v>
      </c>
      <c r="Y15" s="185">
        <f t="shared" si="13"/>
        <v>0</v>
      </c>
      <c r="Z15" s="185">
        <f t="shared" si="13"/>
        <v>372.29399999999998</v>
      </c>
      <c r="AA15" s="462">
        <f t="shared" ref="AA15" si="14">SUM(AA16:AA20)</f>
        <v>0</v>
      </c>
      <c r="AB15" s="186">
        <f>AC15+AD15+AE15+AF15</f>
        <v>26445.639999999996</v>
      </c>
      <c r="AC15" s="184">
        <f t="shared" ref="AC15:AG15" si="15">SUM(AC16:AC20)</f>
        <v>23525.539999999997</v>
      </c>
      <c r="AD15" s="184">
        <f t="shared" si="15"/>
        <v>0</v>
      </c>
      <c r="AE15" s="184">
        <f t="shared" si="15"/>
        <v>0</v>
      </c>
      <c r="AF15" s="185">
        <f>SUM(AF16:AF20)</f>
        <v>2920.1</v>
      </c>
      <c r="AG15" s="462">
        <f t="shared" si="15"/>
        <v>0</v>
      </c>
      <c r="AH15" s="186">
        <f>AI15+AJ15+AK15+AL15</f>
        <v>28297.803000000004</v>
      </c>
      <c r="AI15" s="184">
        <f t="shared" ref="AI15:AL15" si="16">SUM(AI16:AI20)</f>
        <v>27880.833000000002</v>
      </c>
      <c r="AJ15" s="184">
        <f t="shared" si="16"/>
        <v>0</v>
      </c>
      <c r="AK15" s="185">
        <f t="shared" si="16"/>
        <v>0</v>
      </c>
      <c r="AL15" s="185">
        <f t="shared" si="16"/>
        <v>416.97</v>
      </c>
      <c r="AM15" s="462">
        <f t="shared" ref="AM15" si="17">SUM(AM16:AM20)</f>
        <v>0</v>
      </c>
      <c r="AN15" s="186">
        <f>AO15+AP15+AQ15+AR15</f>
        <v>27368.42</v>
      </c>
      <c r="AO15" s="184">
        <f>SUM(AO16:AO20)</f>
        <v>24279.66</v>
      </c>
      <c r="AP15" s="184">
        <f t="shared" ref="AP15:AS15" si="18">SUM(AP16:AP20)</f>
        <v>0</v>
      </c>
      <c r="AQ15" s="184">
        <f t="shared" si="18"/>
        <v>0</v>
      </c>
      <c r="AR15" s="185">
        <f t="shared" si="18"/>
        <v>3088.76</v>
      </c>
      <c r="AS15" s="462">
        <f t="shared" si="18"/>
        <v>0</v>
      </c>
      <c r="AT15" s="186">
        <f>AU15+AV15+AW15+AX15</f>
        <v>29575.173000000003</v>
      </c>
      <c r="AU15" s="184">
        <f t="shared" ref="AU15:AX15" si="19">SUM(AU16:AU20)</f>
        <v>29108.167000000001</v>
      </c>
      <c r="AV15" s="184">
        <f t="shared" si="19"/>
        <v>0</v>
      </c>
      <c r="AW15" s="185">
        <f t="shared" si="19"/>
        <v>0</v>
      </c>
      <c r="AX15" s="185">
        <f t="shared" si="19"/>
        <v>467.00599999999997</v>
      </c>
      <c r="AY15" s="462">
        <f t="shared" ref="AY15" si="20">SUM(AY16:AY20)</f>
        <v>0</v>
      </c>
      <c r="AZ15" s="186">
        <f>BA15+BB15+BC15+BD15</f>
        <v>28231.54</v>
      </c>
      <c r="BA15" s="184">
        <f>SUM(BA16:BA20)</f>
        <v>25019.32</v>
      </c>
      <c r="BB15" s="184">
        <f t="shared" ref="BB15:BE15" si="21">SUM(BB16:BB20)</f>
        <v>0</v>
      </c>
      <c r="BC15" s="184">
        <f t="shared" si="21"/>
        <v>0</v>
      </c>
      <c r="BD15" s="185">
        <f t="shared" si="21"/>
        <v>3212.2200000000003</v>
      </c>
      <c r="BE15" s="462">
        <f t="shared" si="21"/>
        <v>0</v>
      </c>
      <c r="BF15" s="186">
        <f>BG15+BH15+BI15+BJ15</f>
        <v>30937.040000000001</v>
      </c>
      <c r="BG15" s="184">
        <f t="shared" ref="BG15:BJ15" si="22">SUM(BG16:BG20)</f>
        <v>30413.993000000002</v>
      </c>
      <c r="BH15" s="184">
        <f t="shared" si="22"/>
        <v>0</v>
      </c>
      <c r="BI15" s="185">
        <f t="shared" si="22"/>
        <v>0</v>
      </c>
      <c r="BJ15" s="185">
        <f t="shared" si="22"/>
        <v>523.04700000000003</v>
      </c>
      <c r="BK15" s="462">
        <f t="shared" ref="BK15" si="23">SUM(BK16:BK20)</f>
        <v>0</v>
      </c>
      <c r="BL15" s="186">
        <f>BM15+BN15+BO15+BP15</f>
        <v>29119.839999999997</v>
      </c>
      <c r="BM15" s="184">
        <f t="shared" ref="BM15:BQ15" si="24">SUM(BM16:BM20)</f>
        <v>25779.529999999995</v>
      </c>
      <c r="BN15" s="184">
        <f t="shared" si="24"/>
        <v>0</v>
      </c>
      <c r="BO15" s="184">
        <f t="shared" si="24"/>
        <v>0</v>
      </c>
      <c r="BP15" s="185">
        <f t="shared" si="24"/>
        <v>3340.31</v>
      </c>
      <c r="BQ15" s="462">
        <f t="shared" si="24"/>
        <v>0</v>
      </c>
      <c r="BR15" s="826">
        <f t="shared" si="8"/>
        <v>0.98902266827764351</v>
      </c>
      <c r="BS15" s="330">
        <f t="shared" si="9"/>
        <v>1.0435758831364619</v>
      </c>
      <c r="BT15" s="826">
        <f t="shared" si="4"/>
        <v>1.03003765612804</v>
      </c>
      <c r="BU15" s="330">
        <f t="shared" si="5"/>
        <v>1.0348934644803454</v>
      </c>
      <c r="BV15" s="330">
        <f t="shared" si="6"/>
        <v>1.0315370781360416</v>
      </c>
      <c r="BW15" s="196">
        <f t="shared" si="7"/>
        <v>1.0314648085084979</v>
      </c>
      <c r="BX15" s="967"/>
    </row>
    <row r="16" spans="1:78" s="111" customFormat="1" ht="18.75">
      <c r="A16" s="109"/>
      <c r="B16" s="110" t="s">
        <v>49</v>
      </c>
      <c r="C16" s="1002" t="s">
        <v>1</v>
      </c>
      <c r="D16" s="187">
        <f>E16+F16+G16+H16</f>
        <v>19255.7</v>
      </c>
      <c r="E16" s="188">
        <v>19255.7</v>
      </c>
      <c r="F16" s="188"/>
      <c r="G16" s="188"/>
      <c r="H16" s="415"/>
      <c r="I16" s="463"/>
      <c r="J16" s="187">
        <f>K16+L16+M16+N16</f>
        <v>20142.97</v>
      </c>
      <c r="K16" s="493">
        <v>20142.97</v>
      </c>
      <c r="L16" s="493"/>
      <c r="M16" s="493"/>
      <c r="N16" s="494"/>
      <c r="O16" s="495"/>
      <c r="P16" s="187">
        <f>Q16+R16+S16+T16</f>
        <v>19651.16</v>
      </c>
      <c r="Q16" s="188">
        <f>'[184]переменные на 5 лет'!F12</f>
        <v>19651.16</v>
      </c>
      <c r="R16" s="188"/>
      <c r="S16" s="188"/>
      <c r="T16" s="415"/>
      <c r="U16" s="463"/>
      <c r="V16" s="187">
        <f>W16+X16+Y16+Z16</f>
        <v>20793.918000000001</v>
      </c>
      <c r="W16" s="493">
        <v>20793.918000000001</v>
      </c>
      <c r="X16" s="493"/>
      <c r="Y16" s="493"/>
      <c r="Z16" s="494"/>
      <c r="AA16" s="495"/>
      <c r="AB16" s="187">
        <f>AC16+AD16+AE16+AF16</f>
        <v>20031.28</v>
      </c>
      <c r="AC16" s="188">
        <f>'[184]переменные на 5 лет'!I12</f>
        <v>20031.28</v>
      </c>
      <c r="AD16" s="413"/>
      <c r="AE16" s="415"/>
      <c r="AF16" s="415"/>
      <c r="AG16" s="463"/>
      <c r="AH16" s="187">
        <f>AI16+AJ16+AK16+AL16</f>
        <v>21456.107</v>
      </c>
      <c r="AI16" s="493">
        <v>21456.107</v>
      </c>
      <c r="AJ16" s="493"/>
      <c r="AK16" s="493"/>
      <c r="AL16" s="494"/>
      <c r="AM16" s="495"/>
      <c r="AN16" s="187">
        <f>AO16+AP16+AQ16+AR16</f>
        <v>20607.5</v>
      </c>
      <c r="AO16" s="188">
        <f>'[184]переменные на 5 лет'!L12</f>
        <v>20607.5</v>
      </c>
      <c r="AP16" s="413"/>
      <c r="AQ16" s="415"/>
      <c r="AR16" s="415"/>
      <c r="AS16" s="463"/>
      <c r="AT16" s="187">
        <f>AU16+AV16+AW16+AX16</f>
        <v>22139.697</v>
      </c>
      <c r="AU16" s="493">
        <v>22139.697</v>
      </c>
      <c r="AV16" s="493"/>
      <c r="AW16" s="493"/>
      <c r="AX16" s="494"/>
      <c r="AY16" s="495"/>
      <c r="AZ16" s="187">
        <f>BA16+BB16+BC16+BD16</f>
        <v>21200.27</v>
      </c>
      <c r="BA16" s="188">
        <f>'[184]переменные на 5 лет'!O12</f>
        <v>21200.27</v>
      </c>
      <c r="BB16" s="413"/>
      <c r="BC16" s="415"/>
      <c r="BD16" s="415"/>
      <c r="BE16" s="463"/>
      <c r="BF16" s="187">
        <f>BG16+BH16+BI16+BJ16</f>
        <v>22845.388999999999</v>
      </c>
      <c r="BG16" s="493">
        <v>22845.388999999999</v>
      </c>
      <c r="BH16" s="493"/>
      <c r="BI16" s="493"/>
      <c r="BJ16" s="494"/>
      <c r="BK16" s="495"/>
      <c r="BL16" s="187">
        <f>BM16+BN16+BO16+BP16</f>
        <v>21810.059999999998</v>
      </c>
      <c r="BM16" s="188">
        <f>'[184]переменные на 5 лет'!R12</f>
        <v>21810.059999999998</v>
      </c>
      <c r="BN16" s="413"/>
      <c r="BO16" s="415"/>
      <c r="BP16" s="415"/>
      <c r="BQ16" s="463"/>
      <c r="BR16" s="844">
        <f t="shared" si="8"/>
        <v>0.97558403750787492</v>
      </c>
      <c r="BS16" s="840">
        <f t="shared" si="9"/>
        <v>1.0205372954501784</v>
      </c>
      <c r="BT16" s="830">
        <f t="shared" si="4"/>
        <v>1.0193433873623745</v>
      </c>
      <c r="BU16" s="332">
        <f t="shared" si="5"/>
        <v>1.0287660099604219</v>
      </c>
      <c r="BV16" s="332">
        <f t="shared" si="6"/>
        <v>1.0287647701079705</v>
      </c>
      <c r="BW16" s="200">
        <f t="shared" si="7"/>
        <v>1.0287633129200711</v>
      </c>
      <c r="BX16" s="967"/>
    </row>
    <row r="17" spans="1:77" s="111" customFormat="1" ht="18.75">
      <c r="A17" s="112"/>
      <c r="B17" s="113" t="s">
        <v>111</v>
      </c>
      <c r="C17" s="1489" t="s">
        <v>1</v>
      </c>
      <c r="D17" s="187">
        <f t="shared" ref="D17:D19" si="25">E17+F17+G17+H17</f>
        <v>2051.6999999999998</v>
      </c>
      <c r="E17" s="190">
        <v>2051.6999999999998</v>
      </c>
      <c r="F17" s="190"/>
      <c r="G17" s="190"/>
      <c r="H17" s="1135"/>
      <c r="I17" s="464"/>
      <c r="J17" s="187">
        <f>K17+L17+M17+N17</f>
        <v>2598.5639999999999</v>
      </c>
      <c r="K17" s="232">
        <v>2598.5639999999999</v>
      </c>
      <c r="L17" s="232"/>
      <c r="M17" s="232"/>
      <c r="N17" s="1141"/>
      <c r="O17" s="470"/>
      <c r="P17" s="187">
        <f>Q17+R17+S17+T17</f>
        <v>2390.33</v>
      </c>
      <c r="Q17" s="190">
        <f>'[184]переменные на 5 лет'!F94</f>
        <v>2390.33</v>
      </c>
      <c r="R17" s="190"/>
      <c r="S17" s="190"/>
      <c r="T17" s="1135"/>
      <c r="U17" s="464"/>
      <c r="V17" s="187">
        <f t="shared" ref="V17:V19" si="26">W17+X17+Y17+Z17</f>
        <v>2699.9070000000002</v>
      </c>
      <c r="W17" s="232">
        <v>2699.9070000000002</v>
      </c>
      <c r="X17" s="232"/>
      <c r="Y17" s="232"/>
      <c r="Z17" s="1141"/>
      <c r="AA17" s="470"/>
      <c r="AB17" s="189">
        <f>AC17+AD17+AE17+AF17</f>
        <v>2490.73</v>
      </c>
      <c r="AC17" s="190">
        <f>'[184]переменные на 5 лет'!I94</f>
        <v>2490.73</v>
      </c>
      <c r="AD17" s="190"/>
      <c r="AE17" s="1135"/>
      <c r="AF17" s="1135"/>
      <c r="AG17" s="464"/>
      <c r="AH17" s="187">
        <f t="shared" ref="AH17:AH19" si="27">AI17+AJ17+AK17+AL17</f>
        <v>2805.2020000000002</v>
      </c>
      <c r="AI17" s="232">
        <v>2805.2020000000002</v>
      </c>
      <c r="AJ17" s="232"/>
      <c r="AK17" s="232"/>
      <c r="AL17" s="1141"/>
      <c r="AM17" s="470"/>
      <c r="AN17" s="189">
        <f>AO17+AP17+AQ17+AR17</f>
        <v>2590.35</v>
      </c>
      <c r="AO17" s="190">
        <f>'[184]переменные на 5 лет'!L94</f>
        <v>2590.35</v>
      </c>
      <c r="AP17" s="190"/>
      <c r="AQ17" s="1135"/>
      <c r="AR17" s="1135"/>
      <c r="AS17" s="464"/>
      <c r="AT17" s="187">
        <f t="shared" ref="AT17:AT19" si="28">AU17+AV17+AW17+AX17</f>
        <v>2914.6039999999998</v>
      </c>
      <c r="AU17" s="232">
        <v>2914.6039999999998</v>
      </c>
      <c r="AV17" s="232"/>
      <c r="AW17" s="232"/>
      <c r="AX17" s="1141"/>
      <c r="AY17" s="470"/>
      <c r="AZ17" s="189">
        <f>BA17+BB17+BC17+BD17</f>
        <v>2693.98</v>
      </c>
      <c r="BA17" s="190">
        <f>'[184]переменные на 5 лет'!O94</f>
        <v>2693.98</v>
      </c>
      <c r="BB17" s="190"/>
      <c r="BC17" s="1135"/>
      <c r="BD17" s="1135"/>
      <c r="BE17" s="464"/>
      <c r="BF17" s="187">
        <f t="shared" ref="BF17:BF19" si="29">BG17+BH17+BI17+BJ17</f>
        <v>3028.2739999999999</v>
      </c>
      <c r="BG17" s="232">
        <v>3028.2739999999999</v>
      </c>
      <c r="BH17" s="232"/>
      <c r="BI17" s="232"/>
      <c r="BJ17" s="1141"/>
      <c r="BK17" s="470"/>
      <c r="BL17" s="189">
        <f>BM17+BN17+BO17+BP17</f>
        <v>2799.05</v>
      </c>
      <c r="BM17" s="190">
        <f>'[184]переменные на 5 лет'!R94</f>
        <v>2799.05</v>
      </c>
      <c r="BN17" s="190"/>
      <c r="BO17" s="1135"/>
      <c r="BP17" s="1135"/>
      <c r="BQ17" s="464"/>
      <c r="BR17" s="940">
        <f t="shared" si="8"/>
        <v>0.91986574123246534</v>
      </c>
      <c r="BS17" s="542">
        <f t="shared" si="9"/>
        <v>1.165048496368865</v>
      </c>
      <c r="BT17" s="942">
        <f t="shared" si="4"/>
        <v>1.0420025686829852</v>
      </c>
      <c r="BU17" s="324">
        <f t="shared" si="5"/>
        <v>1.0399963063037743</v>
      </c>
      <c r="BV17" s="324">
        <f t="shared" si="6"/>
        <v>1.0400061767714788</v>
      </c>
      <c r="BW17" s="201">
        <f t="shared" si="7"/>
        <v>1.0390017743264612</v>
      </c>
      <c r="BX17" s="967"/>
    </row>
    <row r="18" spans="1:77" s="111" customFormat="1" ht="18.75">
      <c r="A18" s="112"/>
      <c r="B18" s="113" t="s">
        <v>112</v>
      </c>
      <c r="C18" s="1489" t="s">
        <v>1</v>
      </c>
      <c r="D18" s="187">
        <f t="shared" si="25"/>
        <v>0</v>
      </c>
      <c r="E18" s="190"/>
      <c r="F18" s="190"/>
      <c r="G18" s="190"/>
      <c r="H18" s="1135"/>
      <c r="I18" s="464"/>
      <c r="J18" s="187">
        <f t="shared" ref="J18" si="30">K18+L18+M18+N18</f>
        <v>0</v>
      </c>
      <c r="K18" s="232"/>
      <c r="L18" s="232"/>
      <c r="M18" s="232"/>
      <c r="N18" s="1141"/>
      <c r="O18" s="470"/>
      <c r="P18" s="187">
        <f t="shared" ref="P18:P19" si="31">Q18+R18+S18+T18</f>
        <v>0</v>
      </c>
      <c r="Q18" s="190"/>
      <c r="R18" s="190"/>
      <c r="S18" s="190"/>
      <c r="T18" s="1135"/>
      <c r="U18" s="464"/>
      <c r="V18" s="187">
        <f t="shared" si="26"/>
        <v>0</v>
      </c>
      <c r="W18" s="232"/>
      <c r="X18" s="232"/>
      <c r="Y18" s="232"/>
      <c r="Z18" s="1141"/>
      <c r="AA18" s="470"/>
      <c r="AB18" s="189">
        <f t="shared" ref="AB18:AB19" si="32">AC18+AD18+AE18+AF18</f>
        <v>0</v>
      </c>
      <c r="AC18" s="190"/>
      <c r="AD18" s="190"/>
      <c r="AE18" s="1135"/>
      <c r="AF18" s="1135"/>
      <c r="AG18" s="464"/>
      <c r="AH18" s="187">
        <f t="shared" si="27"/>
        <v>0</v>
      </c>
      <c r="AI18" s="232"/>
      <c r="AJ18" s="232"/>
      <c r="AK18" s="232"/>
      <c r="AL18" s="1141"/>
      <c r="AM18" s="470"/>
      <c r="AN18" s="189">
        <f t="shared" ref="AN18:AN19" si="33">AO18+AP18+AQ18+AR18</f>
        <v>0</v>
      </c>
      <c r="AO18" s="190"/>
      <c r="AP18" s="190"/>
      <c r="AQ18" s="1135"/>
      <c r="AR18" s="1135"/>
      <c r="AS18" s="464"/>
      <c r="AT18" s="187">
        <f t="shared" si="28"/>
        <v>0</v>
      </c>
      <c r="AU18" s="232"/>
      <c r="AV18" s="232"/>
      <c r="AW18" s="232"/>
      <c r="AX18" s="1141"/>
      <c r="AY18" s="470"/>
      <c r="AZ18" s="189">
        <f t="shared" ref="AZ18:AZ19" si="34">BA18+BB18+BC18+BD18</f>
        <v>0</v>
      </c>
      <c r="BA18" s="190"/>
      <c r="BB18" s="190"/>
      <c r="BC18" s="1135"/>
      <c r="BD18" s="1135"/>
      <c r="BE18" s="464"/>
      <c r="BF18" s="187">
        <f t="shared" si="29"/>
        <v>0</v>
      </c>
      <c r="BG18" s="232"/>
      <c r="BH18" s="232"/>
      <c r="BI18" s="232"/>
      <c r="BJ18" s="1141"/>
      <c r="BK18" s="470"/>
      <c r="BL18" s="189">
        <f t="shared" ref="BL18" si="35">BM18+BN18+BO18+BP18</f>
        <v>0</v>
      </c>
      <c r="BM18" s="190"/>
      <c r="BN18" s="190"/>
      <c r="BO18" s="1135"/>
      <c r="BP18" s="1135"/>
      <c r="BQ18" s="464"/>
      <c r="BR18" s="940" t="str">
        <f t="shared" si="8"/>
        <v xml:space="preserve"> </v>
      </c>
      <c r="BS18" s="542" t="str">
        <f t="shared" si="9"/>
        <v xml:space="preserve"> </v>
      </c>
      <c r="BT18" s="942" t="str">
        <f t="shared" si="4"/>
        <v xml:space="preserve"> </v>
      </c>
      <c r="BU18" s="324" t="str">
        <f t="shared" si="5"/>
        <v xml:space="preserve"> </v>
      </c>
      <c r="BV18" s="324" t="str">
        <f t="shared" si="6"/>
        <v xml:space="preserve"> </v>
      </c>
      <c r="BW18" s="201" t="str">
        <f>IF(ISERROR(BL18/AZ18)," ",BL18/AZ18)</f>
        <v xml:space="preserve"> </v>
      </c>
      <c r="BX18" s="967"/>
    </row>
    <row r="19" spans="1:77" s="111" customFormat="1" ht="18.75">
      <c r="A19" s="114"/>
      <c r="B19" s="115" t="s">
        <v>50</v>
      </c>
      <c r="C19" s="1489" t="s">
        <v>1</v>
      </c>
      <c r="D19" s="187">
        <f t="shared" si="25"/>
        <v>3294.97</v>
      </c>
      <c r="E19" s="190">
        <v>782.02</v>
      </c>
      <c r="F19" s="190"/>
      <c r="G19" s="190"/>
      <c r="H19" s="1135">
        <v>2512.9499999999998</v>
      </c>
      <c r="I19" s="464"/>
      <c r="J19" s="187">
        <f>K19+L19+M19+N19</f>
        <v>3217.8709999999996</v>
      </c>
      <c r="K19" s="232">
        <v>2885.4609999999998</v>
      </c>
      <c r="L19" s="232"/>
      <c r="M19" s="232"/>
      <c r="N19" s="1141">
        <v>332.41</v>
      </c>
      <c r="O19" s="470"/>
      <c r="P19" s="187">
        <f t="shared" si="31"/>
        <v>3632.95</v>
      </c>
      <c r="Q19" s="190">
        <f>'[184]переменные на 5 лет'!F106+'[184]переменные на 5 лет'!F122</f>
        <v>939.68000000000006</v>
      </c>
      <c r="R19" s="190"/>
      <c r="S19" s="190"/>
      <c r="T19" s="1135">
        <f>'[184]переменные на 5 лет'!F121+'[184]переменные на 5 лет'!F127</f>
        <v>2693.27</v>
      </c>
      <c r="U19" s="464"/>
      <c r="V19" s="187">
        <f t="shared" si="26"/>
        <v>3604.011</v>
      </c>
      <c r="W19" s="232">
        <v>3231.7170000000001</v>
      </c>
      <c r="X19" s="232"/>
      <c r="Y19" s="232"/>
      <c r="Z19" s="1141">
        <v>372.29399999999998</v>
      </c>
      <c r="AA19" s="470"/>
      <c r="AB19" s="189">
        <f t="shared" si="32"/>
        <v>3923.63</v>
      </c>
      <c r="AC19" s="190">
        <f>'[184]переменные на 5 лет'!I106+'[184]переменные на 5 лет'!I122</f>
        <v>1003.5300000000001</v>
      </c>
      <c r="AD19" s="190"/>
      <c r="AE19" s="1135"/>
      <c r="AF19" s="1135">
        <f>'[184]переменные на 5 лет'!I121+'[184]переменные на 5 лет'!I127</f>
        <v>2920.1</v>
      </c>
      <c r="AG19" s="464"/>
      <c r="AH19" s="187">
        <f t="shared" si="27"/>
        <v>4036.4939999999997</v>
      </c>
      <c r="AI19" s="232">
        <v>3619.5239999999999</v>
      </c>
      <c r="AJ19" s="232"/>
      <c r="AK19" s="232"/>
      <c r="AL19" s="1141">
        <v>416.97</v>
      </c>
      <c r="AM19" s="470"/>
      <c r="AN19" s="189">
        <f t="shared" si="33"/>
        <v>4170.5700000000006</v>
      </c>
      <c r="AO19" s="190">
        <f>'[184]переменные на 5 лет'!L106+'[184]переменные на 5 лет'!L122</f>
        <v>1081.8100000000002</v>
      </c>
      <c r="AP19" s="190"/>
      <c r="AQ19" s="1135"/>
      <c r="AR19" s="1135">
        <f>'[184]переменные на 5 лет'!L121+'[184]переменные на 5 лет'!L127</f>
        <v>3088.76</v>
      </c>
      <c r="AS19" s="464"/>
      <c r="AT19" s="187">
        <f t="shared" si="28"/>
        <v>4520.8720000000003</v>
      </c>
      <c r="AU19" s="232">
        <v>4053.866</v>
      </c>
      <c r="AV19" s="232"/>
      <c r="AW19" s="232"/>
      <c r="AX19" s="1141">
        <v>467.00599999999997</v>
      </c>
      <c r="AY19" s="470"/>
      <c r="AZ19" s="189">
        <f t="shared" si="34"/>
        <v>4337.29</v>
      </c>
      <c r="BA19" s="190">
        <f>'[184]переменные на 5 лет'!O106+'[184]переменные на 5 лет'!O122</f>
        <v>1125.0699999999995</v>
      </c>
      <c r="BB19" s="190"/>
      <c r="BC19" s="1135"/>
      <c r="BD19" s="1135">
        <f>'[184]переменные на 5 лет'!O121+'[184]переменные на 5 лет'!O127</f>
        <v>3212.2200000000003</v>
      </c>
      <c r="BE19" s="464"/>
      <c r="BF19" s="187">
        <f t="shared" si="29"/>
        <v>5063.3770000000004</v>
      </c>
      <c r="BG19" s="232">
        <v>4540.33</v>
      </c>
      <c r="BH19" s="232"/>
      <c r="BI19" s="232"/>
      <c r="BJ19" s="1141">
        <v>523.04700000000003</v>
      </c>
      <c r="BK19" s="470"/>
      <c r="BL19" s="189">
        <f>BM19+BN19+BO19+BP19</f>
        <v>4510.7299999999996</v>
      </c>
      <c r="BM19" s="190">
        <f>'[184]переменные на 5 лет'!R106+'[184]переменные на 5 лет'!R122</f>
        <v>1170.4199999999996</v>
      </c>
      <c r="BN19" s="190"/>
      <c r="BO19" s="1135"/>
      <c r="BP19" s="1135">
        <f>'[184]переменные на 5 лет'!R121+'[184]переменные на 5 лет'!R127</f>
        <v>3340.31</v>
      </c>
      <c r="BQ19" s="464"/>
      <c r="BR19" s="940">
        <f t="shared" si="8"/>
        <v>1.1289918085591375</v>
      </c>
      <c r="BS19" s="542">
        <f t="shared" si="9"/>
        <v>1.1025745302688643</v>
      </c>
      <c r="BT19" s="942">
        <f t="shared" si="4"/>
        <v>1.0800121113695482</v>
      </c>
      <c r="BU19" s="324">
        <f t="shared" si="5"/>
        <v>1.0629366173670811</v>
      </c>
      <c r="BV19" s="324">
        <f t="shared" si="6"/>
        <v>1.0399753510910976</v>
      </c>
      <c r="BW19" s="201">
        <f t="shared" si="7"/>
        <v>1.0399881031704128</v>
      </c>
      <c r="BX19" s="967"/>
    </row>
    <row r="20" spans="1:77" s="111" customFormat="1" ht="19.5" thickBot="1">
      <c r="A20" s="1490"/>
      <c r="B20" s="1491" t="s">
        <v>51</v>
      </c>
      <c r="C20" s="1492" t="s">
        <v>1</v>
      </c>
      <c r="D20" s="187">
        <f>E20+F20+G20+H20</f>
        <v>0</v>
      </c>
      <c r="E20" s="1137"/>
      <c r="F20" s="1137"/>
      <c r="G20" s="1137"/>
      <c r="H20" s="1138"/>
      <c r="I20" s="1139"/>
      <c r="J20" s="187">
        <f>K20+L20+M20+N20</f>
        <v>0</v>
      </c>
      <c r="K20" s="1493"/>
      <c r="L20" s="1493"/>
      <c r="M20" s="1493"/>
      <c r="N20" s="1494"/>
      <c r="O20" s="1495"/>
      <c r="P20" s="187">
        <f>Q20+R20+S20+T20</f>
        <v>0</v>
      </c>
      <c r="Q20" s="1137"/>
      <c r="R20" s="1137"/>
      <c r="S20" s="1137"/>
      <c r="T20" s="1138"/>
      <c r="U20" s="1139"/>
      <c r="V20" s="187">
        <f>W20+X20+Y20+Z20</f>
        <v>0</v>
      </c>
      <c r="W20" s="1493"/>
      <c r="X20" s="1493"/>
      <c r="Y20" s="1493"/>
      <c r="Z20" s="1494"/>
      <c r="AA20" s="1495"/>
      <c r="AB20" s="1136">
        <f>AC20+AD20+AE20+AF20</f>
        <v>0</v>
      </c>
      <c r="AC20" s="1137"/>
      <c r="AD20" s="414"/>
      <c r="AE20" s="1138"/>
      <c r="AF20" s="1138"/>
      <c r="AG20" s="1139"/>
      <c r="AH20" s="187">
        <f>AI20+AJ20+AK20+AL20</f>
        <v>0</v>
      </c>
      <c r="AI20" s="1493"/>
      <c r="AJ20" s="1493"/>
      <c r="AK20" s="1493"/>
      <c r="AL20" s="1494"/>
      <c r="AM20" s="1495"/>
      <c r="AN20" s="1136">
        <f>AO20+AP20+AQ20+AR20</f>
        <v>0</v>
      </c>
      <c r="AO20" s="1137"/>
      <c r="AP20" s="414"/>
      <c r="AQ20" s="1138"/>
      <c r="AR20" s="1138"/>
      <c r="AS20" s="1139"/>
      <c r="AT20" s="187">
        <f>AU20+AV20+AW20+AX20</f>
        <v>0</v>
      </c>
      <c r="AU20" s="1493"/>
      <c r="AV20" s="1493"/>
      <c r="AW20" s="1493"/>
      <c r="AX20" s="1494"/>
      <c r="AY20" s="1495"/>
      <c r="AZ20" s="1136">
        <f>BA20+BB20+BC20+BD20</f>
        <v>0</v>
      </c>
      <c r="BA20" s="1137"/>
      <c r="BB20" s="414"/>
      <c r="BC20" s="1138"/>
      <c r="BD20" s="1138"/>
      <c r="BE20" s="1139"/>
      <c r="BF20" s="187">
        <f>BG20+BH20+BI20+BJ20</f>
        <v>0</v>
      </c>
      <c r="BG20" s="1493"/>
      <c r="BH20" s="1493"/>
      <c r="BI20" s="1493"/>
      <c r="BJ20" s="1494"/>
      <c r="BK20" s="1495"/>
      <c r="BL20" s="1136">
        <f>BM20+BN20+BO20+BP20</f>
        <v>0</v>
      </c>
      <c r="BM20" s="1137"/>
      <c r="BN20" s="414"/>
      <c r="BO20" s="1138"/>
      <c r="BP20" s="1138"/>
      <c r="BQ20" s="1139"/>
      <c r="BR20" s="1484" t="str">
        <f t="shared" si="8"/>
        <v xml:space="preserve"> </v>
      </c>
      <c r="BS20" s="1485" t="str">
        <f t="shared" si="9"/>
        <v xml:space="preserve"> </v>
      </c>
      <c r="BT20" s="1496" t="str">
        <f t="shared" si="4"/>
        <v xml:space="preserve"> </v>
      </c>
      <c r="BU20" s="1497" t="str">
        <f t="shared" si="5"/>
        <v xml:space="preserve"> </v>
      </c>
      <c r="BV20" s="1497" t="str">
        <f t="shared" si="6"/>
        <v xml:space="preserve"> </v>
      </c>
      <c r="BW20" s="1498" t="str">
        <f t="shared" si="7"/>
        <v xml:space="preserve"> </v>
      </c>
      <c r="BX20" s="967"/>
    </row>
    <row r="21" spans="1:77" s="88" customFormat="1" ht="43.5" customHeight="1" thickBot="1">
      <c r="A21" s="1585" t="s">
        <v>292</v>
      </c>
      <c r="B21" s="1586"/>
      <c r="C21" s="84" t="s">
        <v>1</v>
      </c>
      <c r="D21" s="525">
        <f>E21+F21+G21+H21</f>
        <v>5281.12</v>
      </c>
      <c r="E21" s="527">
        <f t="shared" ref="E21:I21" si="36">SUM(E22,E26,E29,E39,E42,E51:E55)</f>
        <v>3220.72</v>
      </c>
      <c r="F21" s="526">
        <f t="shared" si="36"/>
        <v>2060.4</v>
      </c>
      <c r="G21" s="524">
        <f t="shared" si="36"/>
        <v>0</v>
      </c>
      <c r="H21" s="524">
        <f t="shared" si="36"/>
        <v>0</v>
      </c>
      <c r="I21" s="523">
        <f t="shared" si="36"/>
        <v>0</v>
      </c>
      <c r="J21" s="186">
        <f>K21+L21+M21+N21</f>
        <v>6078.2068659985916</v>
      </c>
      <c r="K21" s="184">
        <f t="shared" ref="K21:O21" si="37">SUM(K22,K26,K29,K39,K42,K51:K55)</f>
        <v>3213.9307007839229</v>
      </c>
      <c r="L21" s="184">
        <f t="shared" si="37"/>
        <v>2824.2592372146687</v>
      </c>
      <c r="M21" s="185">
        <f t="shared" si="37"/>
        <v>0</v>
      </c>
      <c r="N21" s="185">
        <f t="shared" si="37"/>
        <v>40.016928000000007</v>
      </c>
      <c r="O21" s="462">
        <f t="shared" si="37"/>
        <v>0</v>
      </c>
      <c r="P21" s="525">
        <f>Q21+R21+S21+T21</f>
        <v>5814.4290000000001</v>
      </c>
      <c r="Q21" s="527">
        <f t="shared" ref="Q21:U21" si="38">SUM(Q22,Q26,Q29,Q39,Q42,Q51:Q55)</f>
        <v>3344.2069999999999</v>
      </c>
      <c r="R21" s="526">
        <f t="shared" si="38"/>
        <v>2470.2220000000002</v>
      </c>
      <c r="S21" s="524">
        <f t="shared" si="38"/>
        <v>0</v>
      </c>
      <c r="T21" s="524">
        <f t="shared" si="38"/>
        <v>0</v>
      </c>
      <c r="U21" s="523">
        <f t="shared" si="38"/>
        <v>0</v>
      </c>
      <c r="V21" s="186">
        <f>W21+X21+Y21+Z21</f>
        <v>6137.4024276199279</v>
      </c>
      <c r="W21" s="184">
        <f t="shared" ref="W21:AA21" si="39">SUM(W22,W26,W29,W39,W42,W51:W55)</f>
        <v>3236.9049420199271</v>
      </c>
      <c r="X21" s="184">
        <f t="shared" si="39"/>
        <v>2861.5055040000007</v>
      </c>
      <c r="Y21" s="185">
        <f t="shared" si="39"/>
        <v>0</v>
      </c>
      <c r="Z21" s="185">
        <f t="shared" si="39"/>
        <v>38.991981600000017</v>
      </c>
      <c r="AA21" s="462">
        <f t="shared" si="39"/>
        <v>0</v>
      </c>
      <c r="AB21" s="186">
        <f>AC21+AD21+AE21+AF21</f>
        <v>5952</v>
      </c>
      <c r="AC21" s="184">
        <f>ROUND(Q21*AC$8,2)</f>
        <v>3423.33</v>
      </c>
      <c r="AD21" s="184">
        <f>ROUND(R21*AD$8,2)</f>
        <v>2528.67</v>
      </c>
      <c r="AE21" s="184">
        <f t="shared" ref="AE21:AG21" si="40">ROUND(S21*AE$8,2)</f>
        <v>0</v>
      </c>
      <c r="AF21" s="185">
        <f t="shared" si="40"/>
        <v>0</v>
      </c>
      <c r="AG21" s="462">
        <f t="shared" si="40"/>
        <v>0</v>
      </c>
      <c r="AH21" s="186">
        <f>AI21+AJ21+AK21+AL21</f>
        <v>6319.0695394774775</v>
      </c>
      <c r="AI21" s="184">
        <f t="shared" ref="AI21:AL21" si="41">SUM(AI22,AI26,AI29,AI39,AI42,AI51:AI55)</f>
        <v>3332.7173283037168</v>
      </c>
      <c r="AJ21" s="184">
        <f t="shared" si="41"/>
        <v>2946.2060669184007</v>
      </c>
      <c r="AK21" s="185">
        <f t="shared" si="41"/>
        <v>0</v>
      </c>
      <c r="AL21" s="185">
        <f t="shared" si="41"/>
        <v>40.146144255360007</v>
      </c>
      <c r="AM21" s="462">
        <f>SUM(AM22,AM26,AM29,AM39,AM42,AM51:AM55)</f>
        <v>0</v>
      </c>
      <c r="AN21" s="186">
        <f>AO21+AP21+AQ21+AR21</f>
        <v>6128.18</v>
      </c>
      <c r="AO21" s="184">
        <f>ROUND(AC21*AO$8,2)</f>
        <v>3524.66</v>
      </c>
      <c r="AP21" s="184">
        <f t="shared" ref="AP21:AR21" si="42">ROUND(AD21*AP$8,2)</f>
        <v>2603.52</v>
      </c>
      <c r="AQ21" s="184">
        <f t="shared" si="42"/>
        <v>0</v>
      </c>
      <c r="AR21" s="185">
        <f t="shared" si="42"/>
        <v>0</v>
      </c>
      <c r="AS21" s="462">
        <f>ROUND(AG21*AS$8,2)</f>
        <v>0</v>
      </c>
      <c r="AT21" s="186">
        <f>AU21+AV21+AW21+AX21</f>
        <v>6506.1139978460124</v>
      </c>
      <c r="AU21" s="184">
        <f t="shared" ref="AU21:AX21" si="43">SUM(AU22,AU26,AU29,AU39,AU42,AU51:AU55)</f>
        <v>3431.3657612215075</v>
      </c>
      <c r="AV21" s="184">
        <f t="shared" si="43"/>
        <v>3033.4137664991858</v>
      </c>
      <c r="AW21" s="185">
        <f t="shared" si="43"/>
        <v>0</v>
      </c>
      <c r="AX21" s="185">
        <f t="shared" si="43"/>
        <v>41.334470125318674</v>
      </c>
      <c r="AY21" s="462">
        <f>SUM(AY22,AY26,AY29,AY39,AY42,AY51:AY55)</f>
        <v>0</v>
      </c>
      <c r="AZ21" s="186">
        <f>BA21+BB21+BC21+BD21</f>
        <v>6309.57</v>
      </c>
      <c r="BA21" s="184">
        <f>ROUND(AO21*BA$8,2)</f>
        <v>3628.99</v>
      </c>
      <c r="BB21" s="184">
        <f t="shared" ref="BB21:BE21" si="44">ROUND(AP21*BB$8,2)</f>
        <v>2680.58</v>
      </c>
      <c r="BC21" s="184">
        <f t="shared" si="44"/>
        <v>0</v>
      </c>
      <c r="BD21" s="185">
        <f t="shared" si="44"/>
        <v>0</v>
      </c>
      <c r="BE21" s="462">
        <f t="shared" si="44"/>
        <v>0</v>
      </c>
      <c r="BF21" s="186">
        <f>BG21+BH21+BI21+BJ21</f>
        <v>6698.6830630302184</v>
      </c>
      <c r="BG21" s="184">
        <f t="shared" ref="BG21:BJ21" si="45">SUM(BG22,BG26,BG29,BG39,BG42,BG51:BG55)</f>
        <v>3532.934187753664</v>
      </c>
      <c r="BH21" s="184">
        <f t="shared" si="45"/>
        <v>3123.2028139875615</v>
      </c>
      <c r="BI21" s="185">
        <f t="shared" si="45"/>
        <v>0</v>
      </c>
      <c r="BJ21" s="185">
        <f t="shared" si="45"/>
        <v>42.546061288993037</v>
      </c>
      <c r="BK21" s="462">
        <f>SUM(BK22,BK26,BK29,BK39,BK42,BK51:BK55)</f>
        <v>0</v>
      </c>
      <c r="BL21" s="186">
        <f>BM21+BN21+BO21+BP21</f>
        <v>6496.34</v>
      </c>
      <c r="BM21" s="184">
        <f>ROUND(BA21*BM$8,2)</f>
        <v>3736.41</v>
      </c>
      <c r="BN21" s="184">
        <f t="shared" ref="BN21:BQ21" si="46">ROUND(BB21*BN$8,2)</f>
        <v>2759.93</v>
      </c>
      <c r="BO21" s="184">
        <f t="shared" si="46"/>
        <v>0</v>
      </c>
      <c r="BP21" s="185">
        <f t="shared" si="46"/>
        <v>0</v>
      </c>
      <c r="BQ21" s="462">
        <f t="shared" si="46"/>
        <v>0</v>
      </c>
      <c r="BR21" s="826">
        <f t="shared" si="8"/>
        <v>0.95660268368387369</v>
      </c>
      <c r="BS21" s="330">
        <f t="shared" si="9"/>
        <v>1.1009840715605781</v>
      </c>
      <c r="BT21" s="826">
        <f t="shared" si="4"/>
        <v>1.023660276873275</v>
      </c>
      <c r="BU21" s="330">
        <f>IF(ISERROR(AN21/AB21)," ",AN21/AB21)</f>
        <v>1.0296001344086021</v>
      </c>
      <c r="BV21" s="330">
        <f>IF(ISERROR(AZ21/AN21)," ",AZ21/AN21)</f>
        <v>1.0295993263905432</v>
      </c>
      <c r="BW21" s="196">
        <f>IF(ISERROR(BL21/AZ21)," ",BL21/AZ21)</f>
        <v>1.0296010663167221</v>
      </c>
      <c r="BX21" s="968"/>
      <c r="BY21" s="118"/>
    </row>
    <row r="22" spans="1:77" s="111" customFormat="1" ht="18.75">
      <c r="A22" s="119">
        <v>1</v>
      </c>
      <c r="B22" s="120" t="s">
        <v>283</v>
      </c>
      <c r="C22" s="1499" t="s">
        <v>1</v>
      </c>
      <c r="D22" s="189">
        <f>E22+F22+G22+H22</f>
        <v>9.08</v>
      </c>
      <c r="E22" s="232">
        <f>SUM(E23:E25)</f>
        <v>9.08</v>
      </c>
      <c r="F22" s="232">
        <f t="shared" ref="F22:I22" si="47">SUM(F23:F25)</f>
        <v>0</v>
      </c>
      <c r="G22" s="232">
        <f t="shared" si="47"/>
        <v>0</v>
      </c>
      <c r="H22" s="1141">
        <f t="shared" si="47"/>
        <v>0</v>
      </c>
      <c r="I22" s="520">
        <f t="shared" si="47"/>
        <v>0</v>
      </c>
      <c r="J22" s="189">
        <f>K22+L22+M22+N22</f>
        <v>52.27</v>
      </c>
      <c r="K22" s="232">
        <f>SUM(K23:K25)</f>
        <v>52.27</v>
      </c>
      <c r="L22" s="232">
        <f t="shared" ref="L22:O22" si="48">SUM(L23:L25)</f>
        <v>0</v>
      </c>
      <c r="M22" s="232">
        <f t="shared" si="48"/>
        <v>0</v>
      </c>
      <c r="N22" s="1141">
        <f t="shared" si="48"/>
        <v>0</v>
      </c>
      <c r="O22" s="520">
        <f t="shared" si="48"/>
        <v>0</v>
      </c>
      <c r="P22" s="189">
        <f>Q22+R22+S22+T22</f>
        <v>9.5</v>
      </c>
      <c r="Q22" s="232">
        <f>SUM(Q23:Q25)</f>
        <v>9.5</v>
      </c>
      <c r="R22" s="232">
        <f t="shared" ref="R22:U22" si="49">SUM(R23:R25)</f>
        <v>0</v>
      </c>
      <c r="S22" s="232">
        <f t="shared" si="49"/>
        <v>0</v>
      </c>
      <c r="T22" s="1141">
        <f t="shared" si="49"/>
        <v>0</v>
      </c>
      <c r="U22" s="520">
        <f t="shared" si="49"/>
        <v>0</v>
      </c>
      <c r="V22" s="189">
        <f>W22+X22+Y22+Z22</f>
        <v>53.817192000000006</v>
      </c>
      <c r="W22" s="232">
        <f>SUM(W23:W25)</f>
        <v>53.817192000000006</v>
      </c>
      <c r="X22" s="232">
        <f t="shared" ref="X22:AA22" si="50">SUM(X23:X25)</f>
        <v>0</v>
      </c>
      <c r="Y22" s="232">
        <f t="shared" si="50"/>
        <v>0</v>
      </c>
      <c r="Z22" s="1141">
        <f t="shared" si="50"/>
        <v>0</v>
      </c>
      <c r="AA22" s="520">
        <f t="shared" si="50"/>
        <v>0</v>
      </c>
      <c r="AB22" s="189">
        <f>AC22+AD22+AE22+AF22</f>
        <v>9.7247673364716949</v>
      </c>
      <c r="AC22" s="232">
        <f>SUM(AC23:AC25)</f>
        <v>9.7247673364716949</v>
      </c>
      <c r="AD22" s="232">
        <f>SUM(AD23:AD25)</f>
        <v>0</v>
      </c>
      <c r="AE22" s="232">
        <f t="shared" ref="AE22:AG22" si="51">SUM(AE23:AE25)</f>
        <v>0</v>
      </c>
      <c r="AF22" s="1141">
        <f t="shared" si="51"/>
        <v>0</v>
      </c>
      <c r="AG22" s="520">
        <f t="shared" si="51"/>
        <v>0</v>
      </c>
      <c r="AH22" s="189">
        <f>AI22+AJ22+AK22+AL22</f>
        <v>55.410180883200013</v>
      </c>
      <c r="AI22" s="232">
        <f>SUM(AI23:AI25)</f>
        <v>55.410180883200013</v>
      </c>
      <c r="AJ22" s="232">
        <f t="shared" ref="AJ22:AM22" si="52">SUM(AJ23:AJ25)</f>
        <v>0</v>
      </c>
      <c r="AK22" s="232">
        <f t="shared" si="52"/>
        <v>0</v>
      </c>
      <c r="AL22" s="1141">
        <f t="shared" si="52"/>
        <v>0</v>
      </c>
      <c r="AM22" s="470">
        <f t="shared" si="52"/>
        <v>0</v>
      </c>
      <c r="AN22" s="189">
        <f>AO22+AP22+AQ22+AR22</f>
        <v>10.012618836094775</v>
      </c>
      <c r="AO22" s="232">
        <f t="shared" ref="AO22" si="53">SUM(AO23:AO25)</f>
        <v>10.012618836094775</v>
      </c>
      <c r="AP22" s="232">
        <f t="shared" ref="AP22:AS22" si="54">SUM(AP23:AP25)</f>
        <v>0</v>
      </c>
      <c r="AQ22" s="232">
        <f t="shared" si="54"/>
        <v>0</v>
      </c>
      <c r="AR22" s="1141">
        <f t="shared" si="54"/>
        <v>0</v>
      </c>
      <c r="AS22" s="520">
        <f t="shared" si="54"/>
        <v>0</v>
      </c>
      <c r="AT22" s="189">
        <f>AU22+AV22+AW22+AX22</f>
        <v>57.050322237342741</v>
      </c>
      <c r="AU22" s="232">
        <f>SUM(AU23:AU25)</f>
        <v>57.050322237342741</v>
      </c>
      <c r="AV22" s="232">
        <f t="shared" ref="AV22:AY22" si="55">SUM(AV23:AV25)</f>
        <v>0</v>
      </c>
      <c r="AW22" s="232">
        <f t="shared" si="55"/>
        <v>0</v>
      </c>
      <c r="AX22" s="1141">
        <f t="shared" si="55"/>
        <v>0</v>
      </c>
      <c r="AY22" s="470">
        <f t="shared" si="55"/>
        <v>0</v>
      </c>
      <c r="AZ22" s="189">
        <f>BA22+BB22+BC22+BD22</f>
        <v>10.308992535450107</v>
      </c>
      <c r="BA22" s="232">
        <f>SUM(BA23:BA25)</f>
        <v>10.308992535450107</v>
      </c>
      <c r="BB22" s="232">
        <f>SUM(BB23:BB25)</f>
        <v>0</v>
      </c>
      <c r="BC22" s="232">
        <f t="shared" ref="BC22:BE22" si="56">SUM(BC23:BC25)</f>
        <v>0</v>
      </c>
      <c r="BD22" s="1141">
        <f t="shared" si="56"/>
        <v>0</v>
      </c>
      <c r="BE22" s="520">
        <f t="shared" si="56"/>
        <v>0</v>
      </c>
      <c r="BF22" s="189">
        <f>BG22+BH22+BI22+BJ22</f>
        <v>58.739011775568088</v>
      </c>
      <c r="BG22" s="232">
        <f>SUM(BG23:BG25)</f>
        <v>58.739011775568088</v>
      </c>
      <c r="BH22" s="232">
        <f t="shared" ref="BH22:BK22" si="57">SUM(BH23:BH25)</f>
        <v>0</v>
      </c>
      <c r="BI22" s="232">
        <f t="shared" si="57"/>
        <v>0</v>
      </c>
      <c r="BJ22" s="1141">
        <f t="shared" si="57"/>
        <v>0</v>
      </c>
      <c r="BK22" s="470">
        <f t="shared" si="57"/>
        <v>0</v>
      </c>
      <c r="BL22" s="189">
        <f>BM22+BN22+BO22+BP22</f>
        <v>10.614144100529662</v>
      </c>
      <c r="BM22" s="232">
        <f>SUM(BM23:BM25)</f>
        <v>10.614144100529662</v>
      </c>
      <c r="BN22" s="232">
        <f>SUM(BN23:BN25)</f>
        <v>0</v>
      </c>
      <c r="BO22" s="232">
        <f t="shared" ref="BO22:BQ22" si="58">SUM(BO23:BO25)</f>
        <v>0</v>
      </c>
      <c r="BP22" s="1141">
        <f t="shared" si="58"/>
        <v>0</v>
      </c>
      <c r="BQ22" s="520">
        <f t="shared" si="58"/>
        <v>0</v>
      </c>
      <c r="BR22" s="844">
        <f t="shared" si="8"/>
        <v>0.18174861297111153</v>
      </c>
      <c r="BS22" s="840">
        <f t="shared" si="9"/>
        <v>1.0462555066079295</v>
      </c>
      <c r="BT22" s="830">
        <f t="shared" si="4"/>
        <v>1.0236597196285995</v>
      </c>
      <c r="BU22" s="332">
        <f t="shared" ref="BU22:BU90" si="59">IF(ISERROR(AN22/AB22)," ",AN22/AB22)</f>
        <v>1.0295998340796828</v>
      </c>
      <c r="BV22" s="332">
        <f t="shared" ref="BV22:BV90" si="60">IF(ISERROR(AZ22/AN22)," ",AZ22/AN22)</f>
        <v>1.0296000181577796</v>
      </c>
      <c r="BW22" s="200">
        <f t="shared" ref="BW22:BW90" si="61">IF(ISERROR(BL22/AZ22)," ",BL22/AZ22)</f>
        <v>1.0296005224594171</v>
      </c>
      <c r="BX22" s="969"/>
      <c r="BY22" s="121"/>
    </row>
    <row r="23" spans="1:77" s="83" customFormat="1" ht="18.75">
      <c r="A23" s="129"/>
      <c r="B23" s="518" t="s">
        <v>272</v>
      </c>
      <c r="C23" s="1500" t="s">
        <v>1</v>
      </c>
      <c r="D23" s="521">
        <f t="shared" ref="D23:D28" si="62">E23+F23+G23+H23</f>
        <v>0</v>
      </c>
      <c r="E23" s="207"/>
      <c r="F23" s="207"/>
      <c r="G23" s="207"/>
      <c r="H23" s="1145"/>
      <c r="I23" s="469"/>
      <c r="J23" s="521">
        <f t="shared" ref="J23" si="63">K23+L23+M23+N23</f>
        <v>0</v>
      </c>
      <c r="K23" s="383"/>
      <c r="L23" s="383"/>
      <c r="M23" s="383"/>
      <c r="N23" s="1501"/>
      <c r="O23" s="500"/>
      <c r="P23" s="521">
        <f t="shared" ref="P23:P29" si="64">Q23+R23+S23+T23</f>
        <v>0</v>
      </c>
      <c r="Q23" s="207"/>
      <c r="R23" s="207"/>
      <c r="S23" s="207"/>
      <c r="T23" s="1145"/>
      <c r="U23" s="469"/>
      <c r="V23" s="521">
        <f t="shared" ref="V23" si="65">W23+X23+Y23+Z23</f>
        <v>0</v>
      </c>
      <c r="W23" s="383"/>
      <c r="X23" s="383"/>
      <c r="Y23" s="383"/>
      <c r="Z23" s="1501"/>
      <c r="AA23" s="500"/>
      <c r="AB23" s="521">
        <f t="shared" ref="AB23:AB29" si="66">AC23+AD23+AE23+AF23</f>
        <v>0</v>
      </c>
      <c r="AC23" s="805">
        <f>IF($AC$21&gt;0,Q23/$Q$21*$AC$21,0)</f>
        <v>0</v>
      </c>
      <c r="AD23" s="805">
        <f>IF($AD$21&gt;0,R23/$R$21*$AD$21,0)</f>
        <v>0</v>
      </c>
      <c r="AE23" s="805">
        <f>IF($AE$21&gt;0,S23/$S$21*$AE$21,0)</f>
        <v>0</v>
      </c>
      <c r="AF23" s="1143">
        <f>IF($AF$21&gt;0,T23/$T$21*$AF$21,0)</f>
        <v>0</v>
      </c>
      <c r="AG23" s="807">
        <f>IF($AG$21&gt;0,U23/$U$21*$AG$21,0)</f>
        <v>0</v>
      </c>
      <c r="AH23" s="521">
        <f t="shared" ref="AH23" si="67">AI23+AJ23+AK23+AL23</f>
        <v>0</v>
      </c>
      <c r="AI23" s="383"/>
      <c r="AJ23" s="383"/>
      <c r="AK23" s="383"/>
      <c r="AL23" s="1501"/>
      <c r="AM23" s="500"/>
      <c r="AN23" s="521">
        <f t="shared" ref="AN23:AN29" si="68">AO23+AP23+AQ23+AR23</f>
        <v>0</v>
      </c>
      <c r="AO23" s="805">
        <f>IF($AO$21&gt;0,AC23/$AC$21*$AO$21,0)</f>
        <v>0</v>
      </c>
      <c r="AP23" s="805">
        <f>IF($AP$21&gt;0,AD23/$AD$21*$AP$21,0)</f>
        <v>0</v>
      </c>
      <c r="AQ23" s="805">
        <f>IF($AQ$21&gt;0,AE23/$AE$21*$AQ$21,0)</f>
        <v>0</v>
      </c>
      <c r="AR23" s="1143">
        <f>IF($AR$21&gt;0,AF23/$AF$21*$AR$21,0)</f>
        <v>0</v>
      </c>
      <c r="AS23" s="807">
        <f>IF($AS$21&gt;0,AG23/$AG$21*$AS$21,0)</f>
        <v>0</v>
      </c>
      <c r="AT23" s="521">
        <f t="shared" ref="AT23" si="69">AU23+AV23+AW23+AX23</f>
        <v>0</v>
      </c>
      <c r="AU23" s="383"/>
      <c r="AV23" s="383"/>
      <c r="AW23" s="383"/>
      <c r="AX23" s="1501"/>
      <c r="AY23" s="500"/>
      <c r="AZ23" s="521">
        <f t="shared" ref="AZ23:AZ29" si="70">BA23+BB23+BC23+BD23</f>
        <v>0</v>
      </c>
      <c r="BA23" s="805">
        <f>IF($BA$21&gt;0,AO23/$AO$21*$BA$21,0)</f>
        <v>0</v>
      </c>
      <c r="BB23" s="805">
        <f>IF($BB$21&gt;0,AP23/$AP$21*$BB$21,0)</f>
        <v>0</v>
      </c>
      <c r="BC23" s="805">
        <f>IF($BC$21&gt;0,AQ23/$AQ$21*$BC$21,0)</f>
        <v>0</v>
      </c>
      <c r="BD23" s="1143">
        <f>IF($BD$21&gt;0,AR23/$AR$21*$BD$21,0)</f>
        <v>0</v>
      </c>
      <c r="BE23" s="807">
        <f>IF($BE$21&gt;0,AS23/$AS$21*$BE$21,0)</f>
        <v>0</v>
      </c>
      <c r="BF23" s="521">
        <f t="shared" ref="BF23" si="71">BG23+BH23+BI23+BJ23</f>
        <v>0</v>
      </c>
      <c r="BG23" s="383"/>
      <c r="BH23" s="383"/>
      <c r="BI23" s="383"/>
      <c r="BJ23" s="1501"/>
      <c r="BK23" s="500"/>
      <c r="BL23" s="521">
        <f t="shared" ref="BL23:BL29" si="72">BM23+BN23+BO23+BP23</f>
        <v>0</v>
      </c>
      <c r="BM23" s="805">
        <f>IF($BM$21&gt;0,BA23/$BA$21*$BM$21,0)</f>
        <v>0</v>
      </c>
      <c r="BN23" s="805">
        <f>IF($BN$21&gt;0,BB23/$BB$21*$BN$21,0)</f>
        <v>0</v>
      </c>
      <c r="BO23" s="805">
        <f>IF($BO$21&gt;0,BC23/$BC$21*$BO$21,0)</f>
        <v>0</v>
      </c>
      <c r="BP23" s="1143">
        <f>IF($BP$21&gt;0,BD23/$BD$21*$BP$21,0)</f>
        <v>0</v>
      </c>
      <c r="BQ23" s="807">
        <f>IF($BQ$21&gt;0,BE23/$BE$21*$BQ$21,0)</f>
        <v>0</v>
      </c>
      <c r="BR23" s="940" t="str">
        <f t="shared" si="8"/>
        <v xml:space="preserve"> </v>
      </c>
      <c r="BS23" s="542" t="str">
        <f t="shared" si="9"/>
        <v xml:space="preserve"> </v>
      </c>
      <c r="BT23" s="1502" t="str">
        <f t="shared" si="4"/>
        <v xml:space="preserve"> </v>
      </c>
      <c r="BU23" s="323" t="str">
        <f t="shared" si="59"/>
        <v xml:space="preserve"> </v>
      </c>
      <c r="BV23" s="323" t="str">
        <f t="shared" si="60"/>
        <v xml:space="preserve"> </v>
      </c>
      <c r="BW23" s="198" t="str">
        <f t="shared" si="61"/>
        <v xml:space="preserve"> </v>
      </c>
      <c r="BX23" s="969"/>
      <c r="BY23" s="131"/>
    </row>
    <row r="24" spans="1:77" s="83" customFormat="1" ht="18.75">
      <c r="A24" s="129"/>
      <c r="B24" s="518" t="s">
        <v>273</v>
      </c>
      <c r="C24" s="1500" t="s">
        <v>1</v>
      </c>
      <c r="D24" s="521">
        <f t="shared" si="62"/>
        <v>0</v>
      </c>
      <c r="E24" s="207"/>
      <c r="F24" s="207"/>
      <c r="G24" s="207"/>
      <c r="H24" s="1145"/>
      <c r="I24" s="469"/>
      <c r="J24" s="521">
        <f>K24+L24+M24+N24</f>
        <v>0</v>
      </c>
      <c r="K24" s="383"/>
      <c r="L24" s="383"/>
      <c r="M24" s="383"/>
      <c r="N24" s="1501"/>
      <c r="O24" s="500"/>
      <c r="P24" s="521">
        <f t="shared" si="64"/>
        <v>0</v>
      </c>
      <c r="Q24" s="207"/>
      <c r="R24" s="207"/>
      <c r="S24" s="207"/>
      <c r="T24" s="1145"/>
      <c r="U24" s="469"/>
      <c r="V24" s="521">
        <f>W24+X24+Y24+Z24</f>
        <v>0</v>
      </c>
      <c r="W24" s="383"/>
      <c r="X24" s="383"/>
      <c r="Y24" s="383"/>
      <c r="Z24" s="1501"/>
      <c r="AA24" s="500"/>
      <c r="AB24" s="521">
        <f t="shared" si="66"/>
        <v>0</v>
      </c>
      <c r="AC24" s="805">
        <f t="shared" ref="AC24:AC28" si="73">IF($AC$21&gt;0,Q24/$Q$21*$AC$21,0)</f>
        <v>0</v>
      </c>
      <c r="AD24" s="805">
        <f>IF($AD$21&gt;0,R24/$R$21*$AD$21,0)</f>
        <v>0</v>
      </c>
      <c r="AE24" s="805">
        <f t="shared" ref="AE24:AE28" si="74">IF($AE$21&gt;0,S24/$S$21*$AE$21,0)</f>
        <v>0</v>
      </c>
      <c r="AF24" s="1143">
        <f t="shared" ref="AF24:AF28" si="75">IF($AF$21&gt;0,T24/$T$21*$AF$21,0)</f>
        <v>0</v>
      </c>
      <c r="AG24" s="807">
        <f t="shared" ref="AG24:AG28" si="76">IF($AG$21&gt;0,U24/$U$21*$AG$21,0)</f>
        <v>0</v>
      </c>
      <c r="AH24" s="521">
        <f>AI24+AJ24+AK24+AL24</f>
        <v>0</v>
      </c>
      <c r="AI24" s="383"/>
      <c r="AJ24" s="383"/>
      <c r="AK24" s="383"/>
      <c r="AL24" s="1501"/>
      <c r="AM24" s="500"/>
      <c r="AN24" s="521">
        <f t="shared" si="68"/>
        <v>0</v>
      </c>
      <c r="AO24" s="805">
        <f t="shared" ref="AO24:AO28" si="77">IF($AO$21&gt;0,AC24/$AC$21*$AO$21,0)</f>
        <v>0</v>
      </c>
      <c r="AP24" s="805">
        <f t="shared" ref="AP24:AP28" si="78">IF($AP$21&gt;0,AD24/$AD$21*$AP$21,0)</f>
        <v>0</v>
      </c>
      <c r="AQ24" s="805">
        <f t="shared" ref="AQ24" si="79">IF($AQ$21&gt;0,AE24/$AE$21*$AQ$21,0)</f>
        <v>0</v>
      </c>
      <c r="AR24" s="1143">
        <f t="shared" ref="AR24:AR28" si="80">IF($AR$21&gt;0,AF24/$AF$21*$AR$21,0)</f>
        <v>0</v>
      </c>
      <c r="AS24" s="807">
        <f t="shared" ref="AS24:AS28" si="81">IF($AS$21&gt;0,AG24/$AG$21*$AS$21,0)</f>
        <v>0</v>
      </c>
      <c r="AT24" s="521">
        <f>AU24+AV24+AW24+AX24</f>
        <v>0</v>
      </c>
      <c r="AU24" s="383"/>
      <c r="AV24" s="383"/>
      <c r="AW24" s="383"/>
      <c r="AX24" s="1501"/>
      <c r="AY24" s="500"/>
      <c r="AZ24" s="521">
        <f t="shared" si="70"/>
        <v>0</v>
      </c>
      <c r="BA24" s="805">
        <f t="shared" ref="BA24:BA28" si="82">IF($BA$21&gt;0,AO24/$AO$21*$BA$21,0)</f>
        <v>0</v>
      </c>
      <c r="BB24" s="805">
        <f t="shared" ref="BB24:BB28" si="83">IF($BB$21&gt;0,AP24/$AP$21*$BB$21,0)</f>
        <v>0</v>
      </c>
      <c r="BC24" s="805">
        <f t="shared" ref="BC24:BC28" si="84">IF($BC$21&gt;0,AQ24/$AQ$21*$BC$21,0)</f>
        <v>0</v>
      </c>
      <c r="BD24" s="1143">
        <f t="shared" ref="BD24:BD28" si="85">IF($BD$21&gt;0,AR24/$AR$21*$BD$21,0)</f>
        <v>0</v>
      </c>
      <c r="BE24" s="807">
        <f t="shared" ref="BE24:BE28" si="86">IF($BE$21&gt;0,AS24/$AS$21*$BE$21,0)</f>
        <v>0</v>
      </c>
      <c r="BF24" s="521">
        <f>BG24+BH24+BI24+BJ24</f>
        <v>0</v>
      </c>
      <c r="BG24" s="383"/>
      <c r="BH24" s="383"/>
      <c r="BI24" s="383"/>
      <c r="BJ24" s="1501"/>
      <c r="BK24" s="500"/>
      <c r="BL24" s="521">
        <f t="shared" si="72"/>
        <v>0</v>
      </c>
      <c r="BM24" s="805">
        <f t="shared" ref="BM24:BM28" si="87">IF($BM$21&gt;0,BA24/$BA$21*$BM$21,0)</f>
        <v>0</v>
      </c>
      <c r="BN24" s="805">
        <f t="shared" ref="BN24" si="88">IF($BN$21&gt;0,BB24/$BB$21*$BN$21,0)</f>
        <v>0</v>
      </c>
      <c r="BO24" s="805">
        <f t="shared" ref="BO24:BO28" si="89">IF($BO$21&gt;0,BC24/$BC$21*$BO$21,0)</f>
        <v>0</v>
      </c>
      <c r="BP24" s="1143">
        <f t="shared" ref="BP24:BP28" si="90">IF($BP$21&gt;0,BD24/$BD$21*$BP$21,0)</f>
        <v>0</v>
      </c>
      <c r="BQ24" s="807">
        <f t="shared" ref="BQ24:BQ28" si="91">IF($BQ$21&gt;0,BE24/$BE$21*$BQ$21,0)</f>
        <v>0</v>
      </c>
      <c r="BR24" s="940" t="str">
        <f t="shared" si="8"/>
        <v xml:space="preserve"> </v>
      </c>
      <c r="BS24" s="542" t="str">
        <f t="shared" si="9"/>
        <v xml:space="preserve"> </v>
      </c>
      <c r="BT24" s="1502" t="str">
        <f t="shared" si="4"/>
        <v xml:space="preserve"> </v>
      </c>
      <c r="BU24" s="323" t="str">
        <f t="shared" si="59"/>
        <v xml:space="preserve"> </v>
      </c>
      <c r="BV24" s="323" t="str">
        <f t="shared" si="60"/>
        <v xml:space="preserve"> </v>
      </c>
      <c r="BW24" s="198" t="str">
        <f t="shared" si="61"/>
        <v xml:space="preserve"> </v>
      </c>
      <c r="BX24" s="969"/>
      <c r="BY24" s="131"/>
    </row>
    <row r="25" spans="1:77" s="83" customFormat="1" ht="18.75">
      <c r="A25" s="129"/>
      <c r="B25" s="518" t="s">
        <v>274</v>
      </c>
      <c r="C25" s="1500" t="s">
        <v>1</v>
      </c>
      <c r="D25" s="521">
        <f t="shared" si="62"/>
        <v>9.08</v>
      </c>
      <c r="E25" s="207">
        <v>9.08</v>
      </c>
      <c r="F25" s="207"/>
      <c r="G25" s="207"/>
      <c r="H25" s="1145"/>
      <c r="I25" s="469"/>
      <c r="J25" s="521">
        <f t="shared" ref="J25:J26" si="92">K25+L25+M25+N25</f>
        <v>52.27</v>
      </c>
      <c r="K25" s="983">
        <v>52.27</v>
      </c>
      <c r="L25" s="383"/>
      <c r="M25" s="383"/>
      <c r="N25" s="1501"/>
      <c r="O25" s="500"/>
      <c r="P25" s="521">
        <f t="shared" si="64"/>
        <v>9.5</v>
      </c>
      <c r="Q25" s="207">
        <f>ROUND(E25*[184]индексы!H8,2)</f>
        <v>9.5</v>
      </c>
      <c r="R25" s="207"/>
      <c r="S25" s="207"/>
      <c r="T25" s="1145"/>
      <c r="U25" s="469"/>
      <c r="V25" s="521">
        <f t="shared" ref="V25:V26" si="93">W25+X25+Y25+Z25</f>
        <v>53.817192000000006</v>
      </c>
      <c r="W25" s="383">
        <v>53.817192000000006</v>
      </c>
      <c r="X25" s="383"/>
      <c r="Y25" s="383"/>
      <c r="Z25" s="1501"/>
      <c r="AA25" s="500"/>
      <c r="AB25" s="521">
        <f t="shared" si="66"/>
        <v>9.7247673364716949</v>
      </c>
      <c r="AC25" s="805">
        <f t="shared" si="73"/>
        <v>9.7247673364716949</v>
      </c>
      <c r="AD25" s="805">
        <f>IF($AD$21&gt;0,R25/$R$21*$AD$21,0)</f>
        <v>0</v>
      </c>
      <c r="AE25" s="805">
        <f t="shared" si="74"/>
        <v>0</v>
      </c>
      <c r="AF25" s="1143">
        <f t="shared" si="75"/>
        <v>0</v>
      </c>
      <c r="AG25" s="807">
        <f t="shared" si="76"/>
        <v>0</v>
      </c>
      <c r="AH25" s="521">
        <f t="shared" ref="AH25:AH26" si="94">AI25+AJ25+AK25+AL25</f>
        <v>55.410180883200013</v>
      </c>
      <c r="AI25" s="383">
        <v>55.410180883200013</v>
      </c>
      <c r="AJ25" s="383"/>
      <c r="AK25" s="383"/>
      <c r="AL25" s="1501"/>
      <c r="AM25" s="500"/>
      <c r="AN25" s="521">
        <f t="shared" si="68"/>
        <v>10.012618836094775</v>
      </c>
      <c r="AO25" s="805">
        <f t="shared" si="77"/>
        <v>10.012618836094775</v>
      </c>
      <c r="AP25" s="805">
        <f t="shared" si="78"/>
        <v>0</v>
      </c>
      <c r="AQ25" s="805">
        <f>IF($AQ$21&gt;0,AE25/$AE$21*$AQ$21,0)</f>
        <v>0</v>
      </c>
      <c r="AR25" s="1143">
        <f t="shared" si="80"/>
        <v>0</v>
      </c>
      <c r="AS25" s="807">
        <f t="shared" si="81"/>
        <v>0</v>
      </c>
      <c r="AT25" s="521">
        <f t="shared" ref="AT25:AT26" si="95">AU25+AV25+AW25+AX25</f>
        <v>57.050322237342741</v>
      </c>
      <c r="AU25" s="383">
        <v>57.050322237342741</v>
      </c>
      <c r="AV25" s="383"/>
      <c r="AW25" s="383"/>
      <c r="AX25" s="1501"/>
      <c r="AY25" s="500"/>
      <c r="AZ25" s="521">
        <f t="shared" si="70"/>
        <v>10.308992535450107</v>
      </c>
      <c r="BA25" s="805">
        <f t="shared" si="82"/>
        <v>10.308992535450107</v>
      </c>
      <c r="BB25" s="805">
        <f t="shared" si="83"/>
        <v>0</v>
      </c>
      <c r="BC25" s="805">
        <f t="shared" si="84"/>
        <v>0</v>
      </c>
      <c r="BD25" s="1143">
        <f t="shared" si="85"/>
        <v>0</v>
      </c>
      <c r="BE25" s="807">
        <f t="shared" si="86"/>
        <v>0</v>
      </c>
      <c r="BF25" s="521">
        <f t="shared" ref="BF25:BF26" si="96">BG25+BH25+BI25+BJ25</f>
        <v>58.739011775568088</v>
      </c>
      <c r="BG25" s="383">
        <v>58.739011775568088</v>
      </c>
      <c r="BH25" s="383"/>
      <c r="BI25" s="383"/>
      <c r="BJ25" s="1501"/>
      <c r="BK25" s="500"/>
      <c r="BL25" s="521">
        <f t="shared" si="72"/>
        <v>10.614144100529662</v>
      </c>
      <c r="BM25" s="805">
        <f t="shared" si="87"/>
        <v>10.614144100529662</v>
      </c>
      <c r="BN25" s="805">
        <f>IF($BN$21&gt;0,BB25/$BB$21*$BN$21,0)</f>
        <v>0</v>
      </c>
      <c r="BO25" s="805">
        <f t="shared" si="89"/>
        <v>0</v>
      </c>
      <c r="BP25" s="1143">
        <f t="shared" si="90"/>
        <v>0</v>
      </c>
      <c r="BQ25" s="807">
        <f t="shared" si="91"/>
        <v>0</v>
      </c>
      <c r="BR25" s="940">
        <f t="shared" si="8"/>
        <v>0.18174861297111153</v>
      </c>
      <c r="BS25" s="542">
        <f t="shared" si="9"/>
        <v>1.0462555066079295</v>
      </c>
      <c r="BT25" s="1502">
        <f t="shared" si="4"/>
        <v>1.0236597196285995</v>
      </c>
      <c r="BU25" s="323">
        <f t="shared" si="59"/>
        <v>1.0295998340796828</v>
      </c>
      <c r="BV25" s="323">
        <f t="shared" si="60"/>
        <v>1.0296000181577796</v>
      </c>
      <c r="BW25" s="198">
        <f t="shared" si="61"/>
        <v>1.0296005224594171</v>
      </c>
      <c r="BX25" s="969"/>
      <c r="BY25" s="131"/>
    </row>
    <row r="26" spans="1:77" s="111" customFormat="1" ht="18.75">
      <c r="A26" s="119">
        <v>2</v>
      </c>
      <c r="B26" s="120" t="s">
        <v>284</v>
      </c>
      <c r="C26" s="1499" t="s">
        <v>1</v>
      </c>
      <c r="D26" s="189">
        <f t="shared" si="62"/>
        <v>1884.13</v>
      </c>
      <c r="E26" s="232">
        <v>1224.26</v>
      </c>
      <c r="F26" s="232">
        <v>659.87</v>
      </c>
      <c r="G26" s="232">
        <f t="shared" ref="G26:I26" si="97">SUM(G27:G28)</f>
        <v>0</v>
      </c>
      <c r="H26" s="1141">
        <f t="shared" si="97"/>
        <v>0</v>
      </c>
      <c r="I26" s="470">
        <f t="shared" si="97"/>
        <v>0</v>
      </c>
      <c r="J26" s="189">
        <f t="shared" si="92"/>
        <v>1939.9</v>
      </c>
      <c r="K26" s="232">
        <f>K27+K28</f>
        <v>1260.5</v>
      </c>
      <c r="L26" s="232">
        <f t="shared" ref="L26:O26" si="98">L27+L28</f>
        <v>679.4</v>
      </c>
      <c r="M26" s="232">
        <f t="shared" si="98"/>
        <v>0</v>
      </c>
      <c r="N26" s="1141">
        <f t="shared" si="98"/>
        <v>0</v>
      </c>
      <c r="O26" s="470">
        <f t="shared" si="98"/>
        <v>0</v>
      </c>
      <c r="P26" s="189">
        <f t="shared" si="64"/>
        <v>1939.9</v>
      </c>
      <c r="Q26" s="232">
        <f>SUM(Q27:Q28)</f>
        <v>1260.5</v>
      </c>
      <c r="R26" s="232">
        <f t="shared" ref="R26:U26" si="99">SUM(R27:R28)</f>
        <v>679.4</v>
      </c>
      <c r="S26" s="232">
        <f t="shared" si="99"/>
        <v>0</v>
      </c>
      <c r="T26" s="1141">
        <f t="shared" si="99"/>
        <v>0</v>
      </c>
      <c r="U26" s="470">
        <f t="shared" si="99"/>
        <v>0</v>
      </c>
      <c r="V26" s="189">
        <f t="shared" si="93"/>
        <v>0</v>
      </c>
      <c r="W26" s="232">
        <f>W27+W28</f>
        <v>0</v>
      </c>
      <c r="X26" s="232">
        <f t="shared" ref="X26:AA26" si="100">X27+X28</f>
        <v>0</v>
      </c>
      <c r="Y26" s="232">
        <f t="shared" si="100"/>
        <v>0</v>
      </c>
      <c r="Z26" s="1141">
        <f t="shared" si="100"/>
        <v>0</v>
      </c>
      <c r="AA26" s="470">
        <f t="shared" si="100"/>
        <v>0</v>
      </c>
      <c r="AB26" s="189">
        <f t="shared" si="66"/>
        <v>1985.7983812405816</v>
      </c>
      <c r="AC26" s="232">
        <f>AC27+AC28</f>
        <v>1290.3230765918497</v>
      </c>
      <c r="AD26" s="232">
        <f>AD27+AD28</f>
        <v>695.47530464873194</v>
      </c>
      <c r="AE26" s="232">
        <f t="shared" ref="AE26:AG26" si="101">AE27+AE28</f>
        <v>0</v>
      </c>
      <c r="AF26" s="1141">
        <f t="shared" si="101"/>
        <v>0</v>
      </c>
      <c r="AG26" s="470">
        <f t="shared" si="101"/>
        <v>0</v>
      </c>
      <c r="AH26" s="189">
        <f t="shared" si="94"/>
        <v>0</v>
      </c>
      <c r="AI26" s="232">
        <f>AI27+AI28</f>
        <v>0</v>
      </c>
      <c r="AJ26" s="232">
        <f t="shared" ref="AJ26:AM26" si="102">AJ27+AJ28</f>
        <v>0</v>
      </c>
      <c r="AK26" s="232">
        <f t="shared" si="102"/>
        <v>0</v>
      </c>
      <c r="AL26" s="1141">
        <f t="shared" si="102"/>
        <v>0</v>
      </c>
      <c r="AM26" s="470">
        <f t="shared" si="102"/>
        <v>0</v>
      </c>
      <c r="AN26" s="189">
        <f t="shared" si="68"/>
        <v>2044.5781754837485</v>
      </c>
      <c r="AO26" s="232">
        <f t="shared" ref="AO26:AS26" si="103">AO27+AO28</f>
        <v>1328.5164255681541</v>
      </c>
      <c r="AP26" s="232">
        <f t="shared" si="103"/>
        <v>716.06174991559453</v>
      </c>
      <c r="AQ26" s="232">
        <f t="shared" si="103"/>
        <v>0</v>
      </c>
      <c r="AR26" s="1141">
        <f t="shared" si="103"/>
        <v>0</v>
      </c>
      <c r="AS26" s="470">
        <f t="shared" si="103"/>
        <v>0</v>
      </c>
      <c r="AT26" s="189">
        <f t="shared" si="95"/>
        <v>0</v>
      </c>
      <c r="AU26" s="232">
        <f>AU27+AU28</f>
        <v>0</v>
      </c>
      <c r="AV26" s="232">
        <f t="shared" ref="AV26:AY26" si="104">AV27+AV28</f>
        <v>0</v>
      </c>
      <c r="AW26" s="232">
        <f t="shared" si="104"/>
        <v>0</v>
      </c>
      <c r="AX26" s="1141">
        <f t="shared" si="104"/>
        <v>0</v>
      </c>
      <c r="AY26" s="470">
        <f t="shared" si="104"/>
        <v>0</v>
      </c>
      <c r="AZ26" s="189">
        <f t="shared" si="70"/>
        <v>2105.0965606500267</v>
      </c>
      <c r="BA26" s="232">
        <f>BA27+BA28</f>
        <v>1367.8405358878802</v>
      </c>
      <c r="BB26" s="232">
        <f>BB27+BB28</f>
        <v>737.25602476214681</v>
      </c>
      <c r="BC26" s="232">
        <f t="shared" ref="BC26:BE26" si="105">BC27+BC28</f>
        <v>0</v>
      </c>
      <c r="BD26" s="1141">
        <f t="shared" si="105"/>
        <v>0</v>
      </c>
      <c r="BE26" s="470">
        <f t="shared" si="105"/>
        <v>0</v>
      </c>
      <c r="BF26" s="189">
        <f t="shared" si="96"/>
        <v>0</v>
      </c>
      <c r="BG26" s="232">
        <f>BG27+BG28</f>
        <v>0</v>
      </c>
      <c r="BH26" s="232">
        <f t="shared" ref="BH26:BK26" si="106">BH27+BH28</f>
        <v>0</v>
      </c>
      <c r="BI26" s="232">
        <f t="shared" si="106"/>
        <v>0</v>
      </c>
      <c r="BJ26" s="1141">
        <f t="shared" si="106"/>
        <v>0</v>
      </c>
      <c r="BK26" s="470">
        <f t="shared" si="106"/>
        <v>0</v>
      </c>
      <c r="BL26" s="189">
        <f t="shared" si="72"/>
        <v>2167.4094624604318</v>
      </c>
      <c r="BM26" s="232">
        <f>BM27+BM28</f>
        <v>1408.3293303913304</v>
      </c>
      <c r="BN26" s="232">
        <f>BN27+BN28</f>
        <v>759.08013206910141</v>
      </c>
      <c r="BO26" s="232">
        <f t="shared" ref="BO26:BQ26" si="107">BO27+BO28</f>
        <v>0</v>
      </c>
      <c r="BP26" s="1141">
        <f t="shared" si="107"/>
        <v>0</v>
      </c>
      <c r="BQ26" s="470">
        <f t="shared" si="107"/>
        <v>0</v>
      </c>
      <c r="BR26" s="940">
        <f t="shared" si="8"/>
        <v>1</v>
      </c>
      <c r="BS26" s="542">
        <f t="shared" si="9"/>
        <v>1.0295998683742629</v>
      </c>
      <c r="BT26" s="942">
        <f t="shared" si="4"/>
        <v>1.0236601789992172</v>
      </c>
      <c r="BU26" s="324">
        <f t="shared" si="59"/>
        <v>1.0296000816590682</v>
      </c>
      <c r="BV26" s="324">
        <f t="shared" si="60"/>
        <v>1.0295994478919641</v>
      </c>
      <c r="BW26" s="201">
        <f t="shared" si="61"/>
        <v>1.0296009707940255</v>
      </c>
      <c r="BX26" s="970"/>
      <c r="BY26" s="121"/>
    </row>
    <row r="27" spans="1:77" s="83" customFormat="1" ht="18.75">
      <c r="A27" s="129"/>
      <c r="B27" s="518" t="s">
        <v>271</v>
      </c>
      <c r="C27" s="1500" t="s">
        <v>1</v>
      </c>
      <c r="D27" s="521">
        <f t="shared" si="62"/>
        <v>0</v>
      </c>
      <c r="E27" s="207"/>
      <c r="F27" s="207"/>
      <c r="G27" s="207"/>
      <c r="H27" s="1145"/>
      <c r="I27" s="469"/>
      <c r="J27" s="521">
        <f>K27+L27+M27+N27</f>
        <v>0</v>
      </c>
      <c r="K27" s="383"/>
      <c r="L27" s="383"/>
      <c r="M27" s="383"/>
      <c r="N27" s="1501"/>
      <c r="O27" s="500"/>
      <c r="P27" s="521">
        <f t="shared" si="64"/>
        <v>0</v>
      </c>
      <c r="Q27" s="207"/>
      <c r="R27" s="207"/>
      <c r="S27" s="207"/>
      <c r="T27" s="1145"/>
      <c r="U27" s="469"/>
      <c r="V27" s="521">
        <f>W27+X27+Y27+Z27</f>
        <v>0</v>
      </c>
      <c r="W27" s="383"/>
      <c r="X27" s="383"/>
      <c r="Y27" s="383"/>
      <c r="Z27" s="1501"/>
      <c r="AA27" s="500"/>
      <c r="AB27" s="521">
        <f t="shared" si="66"/>
        <v>0</v>
      </c>
      <c r="AC27" s="207">
        <f t="shared" si="73"/>
        <v>0</v>
      </c>
      <c r="AD27" s="207">
        <f t="shared" ref="AD27:AD28" si="108">IF($AD$21&gt;0,R27/$R$21*$AD$21,0)</f>
        <v>0</v>
      </c>
      <c r="AE27" s="207">
        <f t="shared" si="74"/>
        <v>0</v>
      </c>
      <c r="AF27" s="1145">
        <f t="shared" si="75"/>
        <v>0</v>
      </c>
      <c r="AG27" s="469">
        <f t="shared" si="76"/>
        <v>0</v>
      </c>
      <c r="AH27" s="521">
        <f>AI27+AJ27+AK27+AL27</f>
        <v>0</v>
      </c>
      <c r="AI27" s="383"/>
      <c r="AJ27" s="383"/>
      <c r="AK27" s="383"/>
      <c r="AL27" s="1501"/>
      <c r="AM27" s="500"/>
      <c r="AN27" s="521">
        <f t="shared" si="68"/>
        <v>0</v>
      </c>
      <c r="AO27" s="207">
        <f t="shared" si="77"/>
        <v>0</v>
      </c>
      <c r="AP27" s="207">
        <f t="shared" si="78"/>
        <v>0</v>
      </c>
      <c r="AQ27" s="207">
        <f t="shared" ref="AQ27:AQ28" si="109">IF($AQ$21&gt;0,AE27/$AE$21*$AQ$21,0)</f>
        <v>0</v>
      </c>
      <c r="AR27" s="1145">
        <f t="shared" si="80"/>
        <v>0</v>
      </c>
      <c r="AS27" s="469">
        <f t="shared" si="81"/>
        <v>0</v>
      </c>
      <c r="AT27" s="521">
        <f>AU27+AV27+AW27+AX27</f>
        <v>0</v>
      </c>
      <c r="AU27" s="383"/>
      <c r="AV27" s="383"/>
      <c r="AW27" s="383"/>
      <c r="AX27" s="1501"/>
      <c r="AY27" s="500"/>
      <c r="AZ27" s="521">
        <f t="shared" si="70"/>
        <v>0</v>
      </c>
      <c r="BA27" s="207">
        <f t="shared" si="82"/>
        <v>0</v>
      </c>
      <c r="BB27" s="207">
        <f t="shared" si="83"/>
        <v>0</v>
      </c>
      <c r="BC27" s="207">
        <f t="shared" si="84"/>
        <v>0</v>
      </c>
      <c r="BD27" s="1145">
        <f t="shared" si="85"/>
        <v>0</v>
      </c>
      <c r="BE27" s="807">
        <f t="shared" si="86"/>
        <v>0</v>
      </c>
      <c r="BF27" s="521">
        <f>BG27+BH27+BI27+BJ27</f>
        <v>0</v>
      </c>
      <c r="BG27" s="383"/>
      <c r="BH27" s="383"/>
      <c r="BI27" s="383"/>
      <c r="BJ27" s="1501"/>
      <c r="BK27" s="500"/>
      <c r="BL27" s="521">
        <f t="shared" si="72"/>
        <v>0</v>
      </c>
      <c r="BM27" s="207">
        <f t="shared" si="87"/>
        <v>0</v>
      </c>
      <c r="BN27" s="207">
        <f t="shared" ref="BN27:BN28" si="110">IF($BN$21&gt;0,BB27/$BB$21*$BN$21,0)</f>
        <v>0</v>
      </c>
      <c r="BO27" s="207">
        <f t="shared" si="89"/>
        <v>0</v>
      </c>
      <c r="BP27" s="1145">
        <f t="shared" si="90"/>
        <v>0</v>
      </c>
      <c r="BQ27" s="807">
        <f t="shared" si="91"/>
        <v>0</v>
      </c>
      <c r="BR27" s="940" t="str">
        <f t="shared" si="8"/>
        <v xml:space="preserve"> </v>
      </c>
      <c r="BS27" s="542" t="str">
        <f t="shared" si="9"/>
        <v xml:space="preserve"> </v>
      </c>
      <c r="BT27" s="1502" t="str">
        <f t="shared" si="4"/>
        <v xml:space="preserve"> </v>
      </c>
      <c r="BU27" s="323" t="str">
        <f t="shared" si="59"/>
        <v xml:space="preserve"> </v>
      </c>
      <c r="BV27" s="323" t="str">
        <f t="shared" si="60"/>
        <v xml:space="preserve"> </v>
      </c>
      <c r="BW27" s="198" t="str">
        <f t="shared" si="61"/>
        <v xml:space="preserve"> </v>
      </c>
      <c r="BX27" s="970"/>
      <c r="BY27" s="131"/>
    </row>
    <row r="28" spans="1:77" s="83" customFormat="1" ht="28.5" customHeight="1">
      <c r="A28" s="129"/>
      <c r="B28" s="518" t="s">
        <v>208</v>
      </c>
      <c r="C28" s="1500" t="s">
        <v>1</v>
      </c>
      <c r="D28" s="521">
        <f t="shared" si="62"/>
        <v>0</v>
      </c>
      <c r="E28" s="207"/>
      <c r="F28" s="207"/>
      <c r="G28" s="207"/>
      <c r="H28" s="1145"/>
      <c r="I28" s="469"/>
      <c r="J28" s="521">
        <f t="shared" ref="J28:J29" si="111">K28+L28+M28+N28</f>
        <v>1939.9</v>
      </c>
      <c r="K28" s="383">
        <v>1260.5</v>
      </c>
      <c r="L28" s="383">
        <v>679.4</v>
      </c>
      <c r="M28" s="383"/>
      <c r="N28" s="1501"/>
      <c r="O28" s="500"/>
      <c r="P28" s="1107">
        <f t="shared" si="64"/>
        <v>1939.9</v>
      </c>
      <c r="Q28" s="1108">
        <f>K28</f>
        <v>1260.5</v>
      </c>
      <c r="R28" s="1108">
        <f>L28</f>
        <v>679.4</v>
      </c>
      <c r="S28" s="207"/>
      <c r="T28" s="1145"/>
      <c r="U28" s="469"/>
      <c r="V28" s="521">
        <f t="shared" ref="V28:V29" si="112">W28+X28+Y28+Z28</f>
        <v>0</v>
      </c>
      <c r="W28" s="383"/>
      <c r="X28" s="383"/>
      <c r="Y28" s="383"/>
      <c r="Z28" s="1501"/>
      <c r="AA28" s="500"/>
      <c r="AB28" s="521">
        <f>AC28+AD28+AE28+AF28</f>
        <v>1985.7983812405816</v>
      </c>
      <c r="AC28" s="207">
        <f t="shared" si="73"/>
        <v>1290.3230765918497</v>
      </c>
      <c r="AD28" s="207">
        <f t="shared" si="108"/>
        <v>695.47530464873194</v>
      </c>
      <c r="AE28" s="207">
        <f t="shared" si="74"/>
        <v>0</v>
      </c>
      <c r="AF28" s="1145">
        <f t="shared" si="75"/>
        <v>0</v>
      </c>
      <c r="AG28" s="469">
        <f t="shared" si="76"/>
        <v>0</v>
      </c>
      <c r="AH28" s="521">
        <f t="shared" ref="AH28:AH29" si="113">AI28+AJ28+AK28+AL28</f>
        <v>0</v>
      </c>
      <c r="AI28" s="383"/>
      <c r="AJ28" s="383"/>
      <c r="AK28" s="383"/>
      <c r="AL28" s="1501"/>
      <c r="AM28" s="500"/>
      <c r="AN28" s="521">
        <f t="shared" si="68"/>
        <v>2044.5781754837485</v>
      </c>
      <c r="AO28" s="207">
        <f t="shared" si="77"/>
        <v>1328.5164255681541</v>
      </c>
      <c r="AP28" s="207">
        <f t="shared" si="78"/>
        <v>716.06174991559453</v>
      </c>
      <c r="AQ28" s="207">
        <f t="shared" si="109"/>
        <v>0</v>
      </c>
      <c r="AR28" s="1145">
        <f t="shared" si="80"/>
        <v>0</v>
      </c>
      <c r="AS28" s="469">
        <f t="shared" si="81"/>
        <v>0</v>
      </c>
      <c r="AT28" s="521">
        <f t="shared" ref="AT28:AT29" si="114">AU28+AV28+AW28+AX28</f>
        <v>0</v>
      </c>
      <c r="AU28" s="383"/>
      <c r="AV28" s="383"/>
      <c r="AW28" s="383"/>
      <c r="AX28" s="1501"/>
      <c r="AY28" s="500"/>
      <c r="AZ28" s="521">
        <f t="shared" si="70"/>
        <v>2105.0965606500267</v>
      </c>
      <c r="BA28" s="207">
        <f t="shared" si="82"/>
        <v>1367.8405358878802</v>
      </c>
      <c r="BB28" s="207">
        <f t="shared" si="83"/>
        <v>737.25602476214681</v>
      </c>
      <c r="BC28" s="207">
        <f t="shared" si="84"/>
        <v>0</v>
      </c>
      <c r="BD28" s="1145">
        <f t="shared" si="85"/>
        <v>0</v>
      </c>
      <c r="BE28" s="807">
        <f t="shared" si="86"/>
        <v>0</v>
      </c>
      <c r="BF28" s="521">
        <f t="shared" ref="BF28:BF29" si="115">BG28+BH28+BI28+BJ28</f>
        <v>0</v>
      </c>
      <c r="BG28" s="383"/>
      <c r="BH28" s="383"/>
      <c r="BI28" s="383"/>
      <c r="BJ28" s="1501"/>
      <c r="BK28" s="500"/>
      <c r="BL28" s="521">
        <f t="shared" si="72"/>
        <v>2167.4094624604318</v>
      </c>
      <c r="BM28" s="207">
        <f t="shared" si="87"/>
        <v>1408.3293303913304</v>
      </c>
      <c r="BN28" s="207">
        <f t="shared" si="110"/>
        <v>759.08013206910141</v>
      </c>
      <c r="BO28" s="207">
        <f t="shared" si="89"/>
        <v>0</v>
      </c>
      <c r="BP28" s="1145">
        <f t="shared" si="90"/>
        <v>0</v>
      </c>
      <c r="BQ28" s="807">
        <f t="shared" si="91"/>
        <v>0</v>
      </c>
      <c r="BR28" s="940">
        <f t="shared" si="8"/>
        <v>1</v>
      </c>
      <c r="BS28" s="542" t="str">
        <f t="shared" si="9"/>
        <v xml:space="preserve"> </v>
      </c>
      <c r="BT28" s="1502">
        <f t="shared" si="4"/>
        <v>1.0236601789992172</v>
      </c>
      <c r="BU28" s="323">
        <f t="shared" si="59"/>
        <v>1.0296000816590682</v>
      </c>
      <c r="BV28" s="323">
        <f t="shared" si="60"/>
        <v>1.0295994478919641</v>
      </c>
      <c r="BW28" s="198">
        <f t="shared" si="61"/>
        <v>1.0296009707940255</v>
      </c>
      <c r="BX28" s="967" t="s">
        <v>493</v>
      </c>
      <c r="BY28" s="131"/>
    </row>
    <row r="29" spans="1:77" s="111" customFormat="1" ht="18.75">
      <c r="A29" s="119">
        <v>3</v>
      </c>
      <c r="B29" s="120" t="s">
        <v>285</v>
      </c>
      <c r="C29" s="1499" t="s">
        <v>1</v>
      </c>
      <c r="D29" s="189">
        <f>E29+F29+G29+H29</f>
        <v>1139.74</v>
      </c>
      <c r="E29" s="232">
        <f t="shared" ref="E29:I29" si="116">SUM(E31:E33)</f>
        <v>681.31</v>
      </c>
      <c r="F29" s="232">
        <f t="shared" si="116"/>
        <v>458.43</v>
      </c>
      <c r="G29" s="232">
        <f t="shared" si="116"/>
        <v>0</v>
      </c>
      <c r="H29" s="1141">
        <f t="shared" si="116"/>
        <v>0</v>
      </c>
      <c r="I29" s="470">
        <f t="shared" si="116"/>
        <v>0</v>
      </c>
      <c r="J29" s="189">
        <f t="shared" si="111"/>
        <v>1580.02</v>
      </c>
      <c r="K29" s="232">
        <f t="shared" ref="K29:O29" si="117">SUM(K31:K33)</f>
        <v>944.31</v>
      </c>
      <c r="L29" s="232">
        <f t="shared" si="117"/>
        <v>606.79</v>
      </c>
      <c r="M29" s="232">
        <f t="shared" si="117"/>
        <v>0</v>
      </c>
      <c r="N29" s="1141">
        <f t="shared" si="117"/>
        <v>28.92</v>
      </c>
      <c r="O29" s="470">
        <f t="shared" si="117"/>
        <v>0</v>
      </c>
      <c r="P29" s="189">
        <f t="shared" si="64"/>
        <v>1577.33</v>
      </c>
      <c r="Q29" s="232">
        <f>SUM(Q31:Q33)</f>
        <v>970.54</v>
      </c>
      <c r="R29" s="232">
        <f t="shared" ref="R29:U29" si="118">SUM(R31:R33)</f>
        <v>606.79</v>
      </c>
      <c r="S29" s="232">
        <f t="shared" si="118"/>
        <v>0</v>
      </c>
      <c r="T29" s="1141">
        <f t="shared" si="118"/>
        <v>0</v>
      </c>
      <c r="U29" s="470">
        <f t="shared" si="118"/>
        <v>0</v>
      </c>
      <c r="V29" s="189">
        <f t="shared" si="112"/>
        <v>1626.7885920000001</v>
      </c>
      <c r="W29" s="232">
        <f t="shared" ref="W29:AA29" si="119">SUM(W31:W33)</f>
        <v>972.26157599999999</v>
      </c>
      <c r="X29" s="232">
        <f t="shared" si="119"/>
        <v>624.75098400000002</v>
      </c>
      <c r="Y29" s="232">
        <f t="shared" si="119"/>
        <v>0</v>
      </c>
      <c r="Z29" s="1141">
        <f t="shared" si="119"/>
        <v>29.776032000000004</v>
      </c>
      <c r="AA29" s="470">
        <f t="shared" si="119"/>
        <v>0</v>
      </c>
      <c r="AB29" s="189">
        <f t="shared" si="66"/>
        <v>1614.6499814561419</v>
      </c>
      <c r="AC29" s="232">
        <f>SUM(AC31:AC33)</f>
        <v>993.50270428834085</v>
      </c>
      <c r="AD29" s="232">
        <f t="shared" ref="AD29:AG29" si="120">SUM(AD31:AD33)</f>
        <v>621.14727716780101</v>
      </c>
      <c r="AE29" s="232">
        <f t="shared" si="120"/>
        <v>0</v>
      </c>
      <c r="AF29" s="1141">
        <f t="shared" si="120"/>
        <v>0</v>
      </c>
      <c r="AG29" s="470">
        <f t="shared" si="120"/>
        <v>0</v>
      </c>
      <c r="AH29" s="189">
        <f t="shared" si="113"/>
        <v>1674.9415343232001</v>
      </c>
      <c r="AI29" s="232">
        <f t="shared" ref="AI29:AM29" si="121">SUM(AI31:AI33)</f>
        <v>1001.0405186496</v>
      </c>
      <c r="AJ29" s="232">
        <f t="shared" si="121"/>
        <v>643.24361312640008</v>
      </c>
      <c r="AK29" s="232">
        <f t="shared" si="121"/>
        <v>0</v>
      </c>
      <c r="AL29" s="1141">
        <f t="shared" si="121"/>
        <v>30.657402547200007</v>
      </c>
      <c r="AM29" s="470">
        <f t="shared" si="121"/>
        <v>0</v>
      </c>
      <c r="AN29" s="189">
        <f t="shared" si="68"/>
        <v>1662.4437921030649</v>
      </c>
      <c r="AO29" s="232">
        <f t="shared" ref="AO29:AS29" si="122">SUM(AO31:AO33)</f>
        <v>1022.9102194929918</v>
      </c>
      <c r="AP29" s="232">
        <f t="shared" si="122"/>
        <v>639.53357261007295</v>
      </c>
      <c r="AQ29" s="232">
        <f t="shared" si="122"/>
        <v>0</v>
      </c>
      <c r="AR29" s="1141">
        <f t="shared" si="122"/>
        <v>0</v>
      </c>
      <c r="AS29" s="470">
        <f t="shared" si="122"/>
        <v>0</v>
      </c>
      <c r="AT29" s="189">
        <f t="shared" si="114"/>
        <v>1724.5198037391669</v>
      </c>
      <c r="AU29" s="232">
        <f t="shared" ref="AU29:AY29" si="123">SUM(AU31:AU33)</f>
        <v>1030.6713180016282</v>
      </c>
      <c r="AV29" s="232">
        <f t="shared" si="123"/>
        <v>662.2836240749416</v>
      </c>
      <c r="AW29" s="232">
        <f t="shared" si="123"/>
        <v>0</v>
      </c>
      <c r="AX29" s="1141">
        <f t="shared" si="123"/>
        <v>31.564861662597131</v>
      </c>
      <c r="AY29" s="470">
        <f t="shared" si="123"/>
        <v>0</v>
      </c>
      <c r="AZ29" s="189">
        <f t="shared" si="70"/>
        <v>1711.6511171922925</v>
      </c>
      <c r="BA29" s="232">
        <f>SUM(BA31:BA33)</f>
        <v>1053.1883805637628</v>
      </c>
      <c r="BB29" s="232">
        <f t="shared" ref="BB29:BE29" si="124">SUM(BB31:BB33)</f>
        <v>658.46273662852957</v>
      </c>
      <c r="BC29" s="232">
        <f t="shared" si="124"/>
        <v>0</v>
      </c>
      <c r="BD29" s="1141">
        <f t="shared" si="124"/>
        <v>0</v>
      </c>
      <c r="BE29" s="470">
        <f t="shared" si="124"/>
        <v>0</v>
      </c>
      <c r="BF29" s="189">
        <f t="shared" si="115"/>
        <v>1775.5655899298463</v>
      </c>
      <c r="BG29" s="232">
        <f t="shared" ref="BG29:BK29" si="125">SUM(BG31:BG33)</f>
        <v>1061.1791890144764</v>
      </c>
      <c r="BH29" s="232">
        <f t="shared" si="125"/>
        <v>681.88721934755995</v>
      </c>
      <c r="BI29" s="232">
        <f t="shared" si="125"/>
        <v>0</v>
      </c>
      <c r="BJ29" s="1141">
        <f t="shared" si="125"/>
        <v>32.499181567810005</v>
      </c>
      <c r="BK29" s="470">
        <f t="shared" si="125"/>
        <v>0</v>
      </c>
      <c r="BL29" s="189">
        <f t="shared" si="72"/>
        <v>1762.3177274509826</v>
      </c>
      <c r="BM29" s="232">
        <f>SUM(BM31:BM33)</f>
        <v>1084.3633068766376</v>
      </c>
      <c r="BN29" s="232">
        <f t="shared" ref="BN29:BQ29" si="126">SUM(BN31:BN33)</f>
        <v>677.95442057434491</v>
      </c>
      <c r="BO29" s="232">
        <f t="shared" si="126"/>
        <v>0</v>
      </c>
      <c r="BP29" s="1141">
        <f t="shared" si="126"/>
        <v>0</v>
      </c>
      <c r="BQ29" s="470">
        <f t="shared" si="126"/>
        <v>0</v>
      </c>
      <c r="BR29" s="940">
        <f t="shared" si="8"/>
        <v>0.99829748990519107</v>
      </c>
      <c r="BS29" s="542">
        <f t="shared" si="9"/>
        <v>1.3839384421008298</v>
      </c>
      <c r="BT29" s="942">
        <f t="shared" si="4"/>
        <v>1.0236602242118908</v>
      </c>
      <c r="BU29" s="324">
        <f t="shared" si="59"/>
        <v>1.0296001060265836</v>
      </c>
      <c r="BV29" s="324">
        <f t="shared" si="60"/>
        <v>1.0295993917646853</v>
      </c>
      <c r="BW29" s="201">
        <f t="shared" si="61"/>
        <v>1.0296010149204944</v>
      </c>
      <c r="BX29" s="970"/>
      <c r="BY29" s="121"/>
    </row>
    <row r="30" spans="1:77" s="125" customFormat="1" ht="18.75" outlineLevel="1">
      <c r="A30" s="122"/>
      <c r="B30" s="123" t="s">
        <v>33</v>
      </c>
      <c r="C30" s="1503"/>
      <c r="D30" s="228"/>
      <c r="E30" s="229"/>
      <c r="F30" s="229"/>
      <c r="G30" s="229"/>
      <c r="H30" s="1147"/>
      <c r="I30" s="466"/>
      <c r="J30" s="228"/>
      <c r="K30" s="382"/>
      <c r="L30" s="382"/>
      <c r="M30" s="382"/>
      <c r="N30" s="1504"/>
      <c r="O30" s="497"/>
      <c r="P30" s="228"/>
      <c r="Q30" s="229"/>
      <c r="R30" s="229"/>
      <c r="S30" s="229"/>
      <c r="T30" s="1147"/>
      <c r="U30" s="466"/>
      <c r="V30" s="228"/>
      <c r="W30" s="382"/>
      <c r="X30" s="382"/>
      <c r="Y30" s="382"/>
      <c r="Z30" s="1504"/>
      <c r="AA30" s="497"/>
      <c r="AB30" s="228"/>
      <c r="AC30" s="229"/>
      <c r="AD30" s="229"/>
      <c r="AE30" s="229"/>
      <c r="AF30" s="1147"/>
      <c r="AG30" s="466"/>
      <c r="AH30" s="228"/>
      <c r="AI30" s="382"/>
      <c r="AJ30" s="382"/>
      <c r="AK30" s="382"/>
      <c r="AL30" s="1504"/>
      <c r="AM30" s="497"/>
      <c r="AN30" s="228"/>
      <c r="AO30" s="229"/>
      <c r="AP30" s="229"/>
      <c r="AQ30" s="229"/>
      <c r="AR30" s="1147"/>
      <c r="AS30" s="466"/>
      <c r="AT30" s="228"/>
      <c r="AU30" s="382"/>
      <c r="AV30" s="382"/>
      <c r="AW30" s="382"/>
      <c r="AX30" s="1504"/>
      <c r="AY30" s="497"/>
      <c r="AZ30" s="228"/>
      <c r="BA30" s="229"/>
      <c r="BB30" s="229"/>
      <c r="BC30" s="229"/>
      <c r="BD30" s="1147"/>
      <c r="BE30" s="466"/>
      <c r="BF30" s="228"/>
      <c r="BG30" s="382"/>
      <c r="BH30" s="382"/>
      <c r="BI30" s="382"/>
      <c r="BJ30" s="1504"/>
      <c r="BK30" s="497"/>
      <c r="BL30" s="228"/>
      <c r="BM30" s="229"/>
      <c r="BN30" s="229"/>
      <c r="BO30" s="229"/>
      <c r="BP30" s="1147"/>
      <c r="BQ30" s="466"/>
      <c r="BR30" s="940" t="str">
        <f t="shared" si="8"/>
        <v xml:space="preserve"> </v>
      </c>
      <c r="BS30" s="542" t="str">
        <f t="shared" si="9"/>
        <v xml:space="preserve"> </v>
      </c>
      <c r="BT30" s="942" t="str">
        <f t="shared" si="4"/>
        <v xml:space="preserve"> </v>
      </c>
      <c r="BU30" s="324" t="str">
        <f t="shared" si="59"/>
        <v xml:space="preserve"> </v>
      </c>
      <c r="BV30" s="324" t="str">
        <f t="shared" si="60"/>
        <v xml:space="preserve"> </v>
      </c>
      <c r="BW30" s="201" t="str">
        <f t="shared" si="61"/>
        <v xml:space="preserve"> </v>
      </c>
      <c r="BX30" s="971"/>
      <c r="BY30" s="124"/>
    </row>
    <row r="31" spans="1:77" s="125" customFormat="1" ht="18.75" outlineLevel="1">
      <c r="A31" s="122"/>
      <c r="B31" s="126" t="s">
        <v>116</v>
      </c>
      <c r="C31" s="1503" t="s">
        <v>1</v>
      </c>
      <c r="D31" s="209">
        <f>E31+F31+G31+H31</f>
        <v>0</v>
      </c>
      <c r="E31" s="210"/>
      <c r="F31" s="210"/>
      <c r="G31" s="210"/>
      <c r="H31" s="1149"/>
      <c r="I31" s="467"/>
      <c r="J31" s="209">
        <f>K31+L31+M31+N31</f>
        <v>0</v>
      </c>
      <c r="K31" s="498"/>
      <c r="L31" s="498"/>
      <c r="M31" s="498"/>
      <c r="N31" s="1505"/>
      <c r="O31" s="499"/>
      <c r="P31" s="209">
        <f>Q31+R31+S31+T31</f>
        <v>0</v>
      </c>
      <c r="Q31" s="210"/>
      <c r="R31" s="210"/>
      <c r="S31" s="210"/>
      <c r="T31" s="1149"/>
      <c r="U31" s="467"/>
      <c r="V31" s="209">
        <f>W31+X31+Y31+Z31</f>
        <v>0</v>
      </c>
      <c r="W31" s="498"/>
      <c r="X31" s="498"/>
      <c r="Y31" s="498"/>
      <c r="Z31" s="1505"/>
      <c r="AA31" s="499"/>
      <c r="AB31" s="209">
        <f>AC31+AD31+AE31+AF31</f>
        <v>0</v>
      </c>
      <c r="AC31" s="210">
        <f t="shared" ref="AC31:AC33" si="127">IF($AC$21&gt;0,Q31/$Q$21*$AC$21,0)</f>
        <v>0</v>
      </c>
      <c r="AD31" s="210">
        <f t="shared" ref="AD31:AD33" si="128">IF($AD$21&gt;0,R31/$R$21*$AD$21,0)</f>
        <v>0</v>
      </c>
      <c r="AE31" s="210">
        <f t="shared" ref="AE31:AE33" si="129">IF($AE$21&gt;0,S31/$S$21*$AE$21,0)</f>
        <v>0</v>
      </c>
      <c r="AF31" s="1149">
        <f t="shared" ref="AF31:AF33" si="130">IF($AF$21&gt;0,T31/$T$21*$AF$21,0)</f>
        <v>0</v>
      </c>
      <c r="AG31" s="467">
        <f t="shared" ref="AG31:AG33" si="131">IF($AG$21&gt;0,U31/$U$21*$AG$21,0)</f>
        <v>0</v>
      </c>
      <c r="AH31" s="209">
        <f>AI31+AJ31+AK31+AL31</f>
        <v>0</v>
      </c>
      <c r="AI31" s="498"/>
      <c r="AJ31" s="498"/>
      <c r="AK31" s="498"/>
      <c r="AL31" s="1505"/>
      <c r="AM31" s="499"/>
      <c r="AN31" s="209">
        <f>AO31+AP31+AQ31+AR31</f>
        <v>0</v>
      </c>
      <c r="AO31" s="210">
        <f t="shared" ref="AO31:AO33" si="132">IF($AO$21&gt;0,AC31/$AC$21*$AO$21,0)</f>
        <v>0</v>
      </c>
      <c r="AP31" s="210">
        <f t="shared" ref="AP31:AP33" si="133">IF($AP$21&gt;0,AD31/$AD$21*$AP$21,0)</f>
        <v>0</v>
      </c>
      <c r="AQ31" s="210">
        <f t="shared" ref="AQ31:AQ33" si="134">IF($AQ$21&gt;0,AE31/$AE$21*$AQ$21,0)</f>
        <v>0</v>
      </c>
      <c r="AR31" s="1149">
        <f t="shared" ref="AR31:AR33" si="135">IF($AR$21&gt;0,AF31/$AF$21*$AR$21,0)</f>
        <v>0</v>
      </c>
      <c r="AS31" s="808">
        <f t="shared" ref="AS31:AS33" si="136">IF($AS$21&gt;0,AG31/$AG$21*$AS$21,0)</f>
        <v>0</v>
      </c>
      <c r="AT31" s="209">
        <f>AU31+AV31+AW31+AX31</f>
        <v>1724.5198037391669</v>
      </c>
      <c r="AU31" s="498">
        <v>1030.6713180016282</v>
      </c>
      <c r="AV31" s="498">
        <v>662.2836240749416</v>
      </c>
      <c r="AW31" s="498"/>
      <c r="AX31" s="1505">
        <v>31.564861662597131</v>
      </c>
      <c r="AY31" s="499"/>
      <c r="AZ31" s="209">
        <f>BA31+BB31+BC31+BD31</f>
        <v>0</v>
      </c>
      <c r="BA31" s="210">
        <f t="shared" ref="BA31:BA33" si="137">IF($BA$21&gt;0,AO31/$AO$21*$BA$21,0)</f>
        <v>0</v>
      </c>
      <c r="BB31" s="210">
        <f t="shared" ref="BB31:BB33" si="138">IF($BB$21&gt;0,AP31/$AP$21*$BB$21,0)</f>
        <v>0</v>
      </c>
      <c r="BC31" s="210">
        <f t="shared" ref="BC31:BC33" si="139">IF($BC$21&gt;0,AQ31/$AQ$21*$BC$21,0)</f>
        <v>0</v>
      </c>
      <c r="BD31" s="1149">
        <f t="shared" ref="BD31:BD33" si="140">IF($BD$21&gt;0,AR31/$AR$21*$BD$21,0)</f>
        <v>0</v>
      </c>
      <c r="BE31" s="467">
        <f t="shared" ref="BE31:BE33" si="141">IF($BE$21&gt;0,AS31/$AS$21*$BE$21,0)</f>
        <v>0</v>
      </c>
      <c r="BF31" s="209">
        <f>BG31+BH31+BI31+BJ31</f>
        <v>1775.5655899298463</v>
      </c>
      <c r="BG31" s="498">
        <v>1061.1791890144764</v>
      </c>
      <c r="BH31" s="498">
        <v>681.88721934755995</v>
      </c>
      <c r="BI31" s="498"/>
      <c r="BJ31" s="1505">
        <v>32.499181567810005</v>
      </c>
      <c r="BK31" s="499"/>
      <c r="BL31" s="209">
        <f>BM31+BN31+BO31+BP31</f>
        <v>0</v>
      </c>
      <c r="BM31" s="210">
        <f t="shared" ref="BM31:BM33" si="142">IF($BM$21&gt;0,BA31/$BA$21*$BM$21,0)</f>
        <v>0</v>
      </c>
      <c r="BN31" s="210">
        <f t="shared" ref="BN31:BN33" si="143">IF($BN$21&gt;0,BB31/$BB$21*$BN$21,0)</f>
        <v>0</v>
      </c>
      <c r="BO31" s="210">
        <f t="shared" ref="BO31:BO32" si="144">IF($BO$21&gt;0,BC31/$BC$21*$BO$21,0)</f>
        <v>0</v>
      </c>
      <c r="BP31" s="1149">
        <f t="shared" ref="BP31:BP33" si="145">IF($BP$21&gt;0,BD31/$BD$21*$BP$21,0)</f>
        <v>0</v>
      </c>
      <c r="BQ31" s="467">
        <f t="shared" ref="BQ31:BQ33" si="146">IF($BQ$21&gt;0,BE31/$BE$21*$BQ$21,0)</f>
        <v>0</v>
      </c>
      <c r="BR31" s="940" t="str">
        <f t="shared" si="8"/>
        <v xml:space="preserve"> </v>
      </c>
      <c r="BS31" s="542" t="str">
        <f t="shared" si="9"/>
        <v xml:space="preserve"> </v>
      </c>
      <c r="BT31" s="1506" t="str">
        <f t="shared" si="4"/>
        <v xml:space="preserve"> </v>
      </c>
      <c r="BU31" s="325" t="str">
        <f t="shared" si="59"/>
        <v xml:space="preserve"> </v>
      </c>
      <c r="BV31" s="325" t="str">
        <f t="shared" si="60"/>
        <v xml:space="preserve"> </v>
      </c>
      <c r="BW31" s="203" t="str">
        <f t="shared" si="61"/>
        <v xml:space="preserve"> </v>
      </c>
      <c r="BX31" s="971"/>
      <c r="BY31" s="127"/>
    </row>
    <row r="32" spans="1:77" s="125" customFormat="1" ht="18.75" outlineLevel="1">
      <c r="A32" s="122"/>
      <c r="B32" s="126" t="s">
        <v>117</v>
      </c>
      <c r="C32" s="1503" t="s">
        <v>1</v>
      </c>
      <c r="D32" s="209">
        <f t="shared" ref="D32:D37" si="147">E32+F32+G32+H32</f>
        <v>0</v>
      </c>
      <c r="E32" s="210"/>
      <c r="F32" s="210"/>
      <c r="G32" s="210"/>
      <c r="H32" s="1149"/>
      <c r="I32" s="467"/>
      <c r="J32" s="209">
        <f t="shared" ref="J32:J37" si="148">K32+L32+M32+N32</f>
        <v>0</v>
      </c>
      <c r="K32" s="498"/>
      <c r="L32" s="498"/>
      <c r="M32" s="498"/>
      <c r="N32" s="1505"/>
      <c r="O32" s="499"/>
      <c r="P32" s="209">
        <f t="shared" ref="P32:P37" si="149">Q32+R32+S32+T32</f>
        <v>0</v>
      </c>
      <c r="Q32" s="210"/>
      <c r="R32" s="210"/>
      <c r="S32" s="210"/>
      <c r="T32" s="1149"/>
      <c r="U32" s="467"/>
      <c r="V32" s="209">
        <f t="shared" ref="V32:V37" si="150">W32+X32+Y32+Z32</f>
        <v>0</v>
      </c>
      <c r="W32" s="498"/>
      <c r="X32" s="498"/>
      <c r="Y32" s="498"/>
      <c r="Z32" s="1505"/>
      <c r="AA32" s="499"/>
      <c r="AB32" s="209">
        <f t="shared" ref="AB32:AB37" si="151">AC32+AD32+AE32+AF32</f>
        <v>0</v>
      </c>
      <c r="AC32" s="210">
        <f t="shared" si="127"/>
        <v>0</v>
      </c>
      <c r="AD32" s="210">
        <f t="shared" si="128"/>
        <v>0</v>
      </c>
      <c r="AE32" s="210">
        <f t="shared" si="129"/>
        <v>0</v>
      </c>
      <c r="AF32" s="1149">
        <f t="shared" si="130"/>
        <v>0</v>
      </c>
      <c r="AG32" s="467">
        <f t="shared" si="131"/>
        <v>0</v>
      </c>
      <c r="AH32" s="209">
        <f t="shared" ref="AH32:AH37" si="152">AI32+AJ32+AK32+AL32</f>
        <v>0</v>
      </c>
      <c r="AI32" s="498"/>
      <c r="AJ32" s="498"/>
      <c r="AK32" s="498"/>
      <c r="AL32" s="1505"/>
      <c r="AM32" s="499"/>
      <c r="AN32" s="209">
        <f t="shared" ref="AN32:AN37" si="153">AO32+AP32+AQ32+AR32</f>
        <v>0</v>
      </c>
      <c r="AO32" s="210">
        <f t="shared" si="132"/>
        <v>0</v>
      </c>
      <c r="AP32" s="210">
        <f t="shared" si="133"/>
        <v>0</v>
      </c>
      <c r="AQ32" s="210">
        <f t="shared" si="134"/>
        <v>0</v>
      </c>
      <c r="AR32" s="1149">
        <f t="shared" si="135"/>
        <v>0</v>
      </c>
      <c r="AS32" s="808">
        <f t="shared" si="136"/>
        <v>0</v>
      </c>
      <c r="AT32" s="209">
        <f t="shared" ref="AT32:AT37" si="154">AU32+AV32+AW32+AX32</f>
        <v>0</v>
      </c>
      <c r="AU32" s="498"/>
      <c r="AV32" s="498"/>
      <c r="AW32" s="498"/>
      <c r="AX32" s="1505"/>
      <c r="AY32" s="499"/>
      <c r="AZ32" s="209">
        <f t="shared" ref="AZ32:AZ37" si="155">BA32+BB32+BC32+BD32</f>
        <v>0</v>
      </c>
      <c r="BA32" s="210">
        <f t="shared" si="137"/>
        <v>0</v>
      </c>
      <c r="BB32" s="210">
        <f t="shared" si="138"/>
        <v>0</v>
      </c>
      <c r="BC32" s="210">
        <f t="shared" si="139"/>
        <v>0</v>
      </c>
      <c r="BD32" s="1149">
        <f t="shared" si="140"/>
        <v>0</v>
      </c>
      <c r="BE32" s="467">
        <f t="shared" si="141"/>
        <v>0</v>
      </c>
      <c r="BF32" s="209">
        <f t="shared" ref="BF32:BF37" si="156">BG32+BH32+BI32+BJ32</f>
        <v>0</v>
      </c>
      <c r="BG32" s="498"/>
      <c r="BH32" s="498"/>
      <c r="BI32" s="498"/>
      <c r="BJ32" s="1505"/>
      <c r="BK32" s="499"/>
      <c r="BL32" s="209">
        <f t="shared" ref="BL32:BL37" si="157">BM32+BN32+BO32+BP32</f>
        <v>0</v>
      </c>
      <c r="BM32" s="210">
        <f t="shared" si="142"/>
        <v>0</v>
      </c>
      <c r="BN32" s="210">
        <f t="shared" si="143"/>
        <v>0</v>
      </c>
      <c r="BO32" s="210">
        <f t="shared" si="144"/>
        <v>0</v>
      </c>
      <c r="BP32" s="1149">
        <f t="shared" si="145"/>
        <v>0</v>
      </c>
      <c r="BQ32" s="467">
        <f t="shared" si="146"/>
        <v>0</v>
      </c>
      <c r="BR32" s="940" t="str">
        <f t="shared" si="8"/>
        <v xml:space="preserve"> </v>
      </c>
      <c r="BS32" s="542" t="str">
        <f t="shared" si="9"/>
        <v xml:space="preserve"> </v>
      </c>
      <c r="BT32" s="1506" t="str">
        <f t="shared" si="4"/>
        <v xml:space="preserve"> </v>
      </c>
      <c r="BU32" s="325" t="str">
        <f t="shared" si="59"/>
        <v xml:space="preserve"> </v>
      </c>
      <c r="BV32" s="325" t="str">
        <f t="shared" si="60"/>
        <v xml:space="preserve"> </v>
      </c>
      <c r="BW32" s="203" t="str">
        <f t="shared" si="61"/>
        <v xml:space="preserve"> </v>
      </c>
      <c r="BX32" s="971"/>
      <c r="BY32" s="127"/>
    </row>
    <row r="33" spans="1:78" s="125" customFormat="1" ht="18.75" outlineLevel="1">
      <c r="A33" s="122"/>
      <c r="B33" s="126" t="s">
        <v>293</v>
      </c>
      <c r="C33" s="1503" t="s">
        <v>1</v>
      </c>
      <c r="D33" s="209">
        <f t="shared" si="147"/>
        <v>1139.74</v>
      </c>
      <c r="E33" s="210">
        <v>681.31</v>
      </c>
      <c r="F33" s="210">
        <v>458.43</v>
      </c>
      <c r="G33" s="210"/>
      <c r="H33" s="1149"/>
      <c r="I33" s="467"/>
      <c r="J33" s="209">
        <f t="shared" si="148"/>
        <v>1580.02</v>
      </c>
      <c r="K33" s="498">
        <v>944.31</v>
      </c>
      <c r="L33" s="498">
        <v>606.79</v>
      </c>
      <c r="M33" s="498"/>
      <c r="N33" s="1505">
        <v>28.92</v>
      </c>
      <c r="O33" s="499"/>
      <c r="P33" s="209">
        <f t="shared" si="149"/>
        <v>1577.33</v>
      </c>
      <c r="Q33" s="210">
        <f>ROUND(Q37*Q38*12/1000,2)</f>
        <v>970.54</v>
      </c>
      <c r="R33" s="210">
        <f>ROUND(R37*R38*12/1000,2)</f>
        <v>606.79</v>
      </c>
      <c r="S33" s="210"/>
      <c r="T33" s="1149"/>
      <c r="U33" s="467"/>
      <c r="V33" s="209">
        <f t="shared" si="150"/>
        <v>1626.7885920000001</v>
      </c>
      <c r="W33" s="498">
        <v>972.26157599999999</v>
      </c>
      <c r="X33" s="498">
        <v>624.75098400000002</v>
      </c>
      <c r="Y33" s="498"/>
      <c r="Z33" s="1505">
        <v>29.776032000000004</v>
      </c>
      <c r="AA33" s="499"/>
      <c r="AB33" s="209">
        <f t="shared" si="151"/>
        <v>1614.6499814561419</v>
      </c>
      <c r="AC33" s="210">
        <f t="shared" si="127"/>
        <v>993.50270428834085</v>
      </c>
      <c r="AD33" s="210">
        <f t="shared" si="128"/>
        <v>621.14727716780101</v>
      </c>
      <c r="AE33" s="210">
        <f t="shared" si="129"/>
        <v>0</v>
      </c>
      <c r="AF33" s="1149">
        <f t="shared" si="130"/>
        <v>0</v>
      </c>
      <c r="AG33" s="467">
        <f t="shared" si="131"/>
        <v>0</v>
      </c>
      <c r="AH33" s="209">
        <f t="shared" si="152"/>
        <v>1674.9415343232001</v>
      </c>
      <c r="AI33" s="498">
        <v>1001.0405186496</v>
      </c>
      <c r="AJ33" s="498">
        <v>643.24361312640008</v>
      </c>
      <c r="AK33" s="498"/>
      <c r="AL33" s="1505">
        <v>30.657402547200007</v>
      </c>
      <c r="AM33" s="499"/>
      <c r="AN33" s="209">
        <f t="shared" si="153"/>
        <v>1662.4437921030649</v>
      </c>
      <c r="AO33" s="210">
        <f t="shared" si="132"/>
        <v>1022.9102194929918</v>
      </c>
      <c r="AP33" s="210">
        <f t="shared" si="133"/>
        <v>639.53357261007295</v>
      </c>
      <c r="AQ33" s="210">
        <f t="shared" si="134"/>
        <v>0</v>
      </c>
      <c r="AR33" s="1149">
        <f t="shared" si="135"/>
        <v>0</v>
      </c>
      <c r="AS33" s="808">
        <f t="shared" si="136"/>
        <v>0</v>
      </c>
      <c r="AT33" s="209">
        <f t="shared" si="154"/>
        <v>0</v>
      </c>
      <c r="AU33" s="498"/>
      <c r="AV33" s="498"/>
      <c r="AW33" s="498"/>
      <c r="AX33" s="1505"/>
      <c r="AY33" s="499"/>
      <c r="AZ33" s="209">
        <f t="shared" si="155"/>
        <v>1711.6511171922925</v>
      </c>
      <c r="BA33" s="210">
        <f t="shared" si="137"/>
        <v>1053.1883805637628</v>
      </c>
      <c r="BB33" s="210">
        <f t="shared" si="138"/>
        <v>658.46273662852957</v>
      </c>
      <c r="BC33" s="210">
        <f t="shared" si="139"/>
        <v>0</v>
      </c>
      <c r="BD33" s="1149">
        <f t="shared" si="140"/>
        <v>0</v>
      </c>
      <c r="BE33" s="467">
        <f t="shared" si="141"/>
        <v>0</v>
      </c>
      <c r="BF33" s="209">
        <f t="shared" si="156"/>
        <v>0</v>
      </c>
      <c r="BG33" s="498"/>
      <c r="BH33" s="498"/>
      <c r="BI33" s="498"/>
      <c r="BJ33" s="1505"/>
      <c r="BK33" s="499"/>
      <c r="BL33" s="209">
        <f t="shared" si="157"/>
        <v>1762.3177274509826</v>
      </c>
      <c r="BM33" s="210">
        <f t="shared" si="142"/>
        <v>1084.3633068766376</v>
      </c>
      <c r="BN33" s="210">
        <f t="shared" si="143"/>
        <v>677.95442057434491</v>
      </c>
      <c r="BO33" s="210">
        <f>IF($BO$21&gt;0,BC33/$BC$21*$BO$21,0)</f>
        <v>0</v>
      </c>
      <c r="BP33" s="1149">
        <f t="shared" si="145"/>
        <v>0</v>
      </c>
      <c r="BQ33" s="467">
        <f t="shared" si="146"/>
        <v>0</v>
      </c>
      <c r="BR33" s="940">
        <f t="shared" si="8"/>
        <v>0.99829748990519107</v>
      </c>
      <c r="BS33" s="542">
        <f t="shared" si="9"/>
        <v>1.3839384421008298</v>
      </c>
      <c r="BT33" s="1506">
        <f t="shared" si="4"/>
        <v>1.0236602242118908</v>
      </c>
      <c r="BU33" s="325">
        <f t="shared" si="59"/>
        <v>1.0296001060265836</v>
      </c>
      <c r="BV33" s="325">
        <f t="shared" si="60"/>
        <v>1.0295993917646853</v>
      </c>
      <c r="BW33" s="203">
        <f t="shared" si="61"/>
        <v>1.0296010149204944</v>
      </c>
      <c r="BX33" s="971"/>
      <c r="BY33" s="127"/>
    </row>
    <row r="34" spans="1:78" s="125" customFormat="1" ht="18.75" outlineLevel="1">
      <c r="A34" s="122"/>
      <c r="B34" s="123" t="s">
        <v>118</v>
      </c>
      <c r="C34" s="1503" t="s">
        <v>96</v>
      </c>
      <c r="D34" s="209">
        <f>E34+F34+G34+H34</f>
        <v>4.5</v>
      </c>
      <c r="E34" s="229">
        <f>E35+E36+E37</f>
        <v>2.69</v>
      </c>
      <c r="F34" s="229">
        <f t="shared" ref="F34:I34" si="158">F35+F36+F37</f>
        <v>1.81</v>
      </c>
      <c r="G34" s="229">
        <f t="shared" si="158"/>
        <v>0</v>
      </c>
      <c r="H34" s="1147">
        <f t="shared" si="158"/>
        <v>0</v>
      </c>
      <c r="I34" s="466">
        <f t="shared" si="158"/>
        <v>0</v>
      </c>
      <c r="J34" s="209">
        <f t="shared" si="148"/>
        <v>6</v>
      </c>
      <c r="K34" s="382">
        <f>K35+K36+K37</f>
        <v>3.6</v>
      </c>
      <c r="L34" s="382">
        <f t="shared" ref="L34:O34" si="159">L35+L36+L37</f>
        <v>2.2999999999999998</v>
      </c>
      <c r="M34" s="382">
        <f t="shared" si="159"/>
        <v>0</v>
      </c>
      <c r="N34" s="1504">
        <f t="shared" si="159"/>
        <v>0.1</v>
      </c>
      <c r="O34" s="497">
        <f t="shared" si="159"/>
        <v>0</v>
      </c>
      <c r="P34" s="209">
        <f t="shared" si="149"/>
        <v>6</v>
      </c>
      <c r="Q34" s="229">
        <f>Q35+Q36+Q37</f>
        <v>3.7</v>
      </c>
      <c r="R34" s="229">
        <f t="shared" ref="R34:U34" si="160">R35+R36+R37</f>
        <v>2.2999999999999998</v>
      </c>
      <c r="S34" s="229">
        <f t="shared" si="160"/>
        <v>0</v>
      </c>
      <c r="T34" s="1147">
        <f t="shared" si="160"/>
        <v>0</v>
      </c>
      <c r="U34" s="466">
        <f t="shared" si="160"/>
        <v>0</v>
      </c>
      <c r="V34" s="209">
        <f t="shared" si="150"/>
        <v>0</v>
      </c>
      <c r="W34" s="382">
        <f>W35+W36+W37</f>
        <v>0</v>
      </c>
      <c r="X34" s="382">
        <f t="shared" ref="X34:AA34" si="161">X35+X36+X37</f>
        <v>0</v>
      </c>
      <c r="Y34" s="382">
        <f t="shared" si="161"/>
        <v>0</v>
      </c>
      <c r="Z34" s="1504">
        <f t="shared" si="161"/>
        <v>0</v>
      </c>
      <c r="AA34" s="497">
        <f t="shared" si="161"/>
        <v>0</v>
      </c>
      <c r="AB34" s="228">
        <f t="shared" si="151"/>
        <v>6</v>
      </c>
      <c r="AC34" s="229">
        <f>AC35+AC36+AC37</f>
        <v>3.7</v>
      </c>
      <c r="AD34" s="229">
        <f t="shared" ref="AD34:AG34" si="162">AD35+AD36+AD37</f>
        <v>2.2999999999999998</v>
      </c>
      <c r="AE34" s="229">
        <f t="shared" si="162"/>
        <v>0</v>
      </c>
      <c r="AF34" s="1147">
        <f t="shared" si="162"/>
        <v>0</v>
      </c>
      <c r="AG34" s="466">
        <f t="shared" si="162"/>
        <v>0</v>
      </c>
      <c r="AH34" s="209">
        <f t="shared" si="152"/>
        <v>0</v>
      </c>
      <c r="AI34" s="382">
        <f>AI35+AI36+AI37</f>
        <v>0</v>
      </c>
      <c r="AJ34" s="382">
        <f t="shared" ref="AJ34:AM34" si="163">AJ35+AJ36+AJ37</f>
        <v>0</v>
      </c>
      <c r="AK34" s="382">
        <f t="shared" si="163"/>
        <v>0</v>
      </c>
      <c r="AL34" s="1504">
        <f t="shared" si="163"/>
        <v>0</v>
      </c>
      <c r="AM34" s="497">
        <f t="shared" si="163"/>
        <v>0</v>
      </c>
      <c r="AN34" s="228">
        <f t="shared" si="153"/>
        <v>6</v>
      </c>
      <c r="AO34" s="229">
        <f t="shared" ref="AO34:AS34" si="164">AO35+AO36+AO37</f>
        <v>3.7</v>
      </c>
      <c r="AP34" s="229">
        <f t="shared" si="164"/>
        <v>2.2999999999999998</v>
      </c>
      <c r="AQ34" s="229">
        <f t="shared" si="164"/>
        <v>0</v>
      </c>
      <c r="AR34" s="1147">
        <f t="shared" si="164"/>
        <v>0</v>
      </c>
      <c r="AS34" s="466">
        <f t="shared" si="164"/>
        <v>0</v>
      </c>
      <c r="AT34" s="209">
        <f t="shared" si="154"/>
        <v>0</v>
      </c>
      <c r="AU34" s="382">
        <f>AU35+AU36+AU37</f>
        <v>0</v>
      </c>
      <c r="AV34" s="382">
        <f t="shared" ref="AV34:AY34" si="165">AV35+AV36+AV37</f>
        <v>0</v>
      </c>
      <c r="AW34" s="382">
        <f t="shared" si="165"/>
        <v>0</v>
      </c>
      <c r="AX34" s="1504">
        <f t="shared" si="165"/>
        <v>0</v>
      </c>
      <c r="AY34" s="497">
        <f t="shared" si="165"/>
        <v>0</v>
      </c>
      <c r="AZ34" s="228">
        <f t="shared" si="155"/>
        <v>6</v>
      </c>
      <c r="BA34" s="229">
        <f>BA35+BA36+BA37</f>
        <v>3.7</v>
      </c>
      <c r="BB34" s="229">
        <f t="shared" ref="BB34:BE34" si="166">BB35+BB36+BB37</f>
        <v>2.2999999999999998</v>
      </c>
      <c r="BC34" s="229">
        <f t="shared" si="166"/>
        <v>0</v>
      </c>
      <c r="BD34" s="1147">
        <f t="shared" si="166"/>
        <v>0</v>
      </c>
      <c r="BE34" s="466">
        <f t="shared" si="166"/>
        <v>0</v>
      </c>
      <c r="BF34" s="209">
        <f t="shared" si="156"/>
        <v>0</v>
      </c>
      <c r="BG34" s="382">
        <f>BG35+BG36+BG37</f>
        <v>0</v>
      </c>
      <c r="BH34" s="382">
        <f t="shared" ref="BH34:BK34" si="167">BH35+BH36+BH37</f>
        <v>0</v>
      </c>
      <c r="BI34" s="382">
        <f t="shared" si="167"/>
        <v>0</v>
      </c>
      <c r="BJ34" s="1504">
        <f t="shared" si="167"/>
        <v>0</v>
      </c>
      <c r="BK34" s="497">
        <f t="shared" si="167"/>
        <v>0</v>
      </c>
      <c r="BL34" s="228">
        <f t="shared" si="157"/>
        <v>6</v>
      </c>
      <c r="BM34" s="229">
        <f>BM35+BM36+BM37</f>
        <v>3.7</v>
      </c>
      <c r="BN34" s="229">
        <f t="shared" ref="BN34:BQ34" si="168">BN35+BN36+BN37</f>
        <v>2.2999999999999998</v>
      </c>
      <c r="BO34" s="229">
        <f t="shared" si="168"/>
        <v>0</v>
      </c>
      <c r="BP34" s="1147">
        <f t="shared" si="168"/>
        <v>0</v>
      </c>
      <c r="BQ34" s="466">
        <f t="shared" si="168"/>
        <v>0</v>
      </c>
      <c r="BR34" s="940">
        <f t="shared" si="8"/>
        <v>1</v>
      </c>
      <c r="BS34" s="542">
        <f t="shared" si="9"/>
        <v>1.3333333333333333</v>
      </c>
      <c r="BT34" s="1506">
        <f t="shared" si="4"/>
        <v>1</v>
      </c>
      <c r="BU34" s="325">
        <f t="shared" si="59"/>
        <v>1</v>
      </c>
      <c r="BV34" s="325">
        <f t="shared" si="60"/>
        <v>1</v>
      </c>
      <c r="BW34" s="203">
        <f t="shared" si="61"/>
        <v>1</v>
      </c>
      <c r="BX34" s="971"/>
      <c r="BY34" s="124"/>
    </row>
    <row r="35" spans="1:78" s="125" customFormat="1" ht="18.75" outlineLevel="1">
      <c r="A35" s="122"/>
      <c r="B35" s="126" t="s">
        <v>119</v>
      </c>
      <c r="C35" s="1503" t="s">
        <v>96</v>
      </c>
      <c r="D35" s="209">
        <f t="shared" si="147"/>
        <v>0</v>
      </c>
      <c r="E35" s="210"/>
      <c r="F35" s="210"/>
      <c r="G35" s="210"/>
      <c r="H35" s="1149"/>
      <c r="I35" s="467"/>
      <c r="J35" s="209">
        <f t="shared" si="148"/>
        <v>0</v>
      </c>
      <c r="K35" s="498"/>
      <c r="L35" s="498"/>
      <c r="M35" s="498"/>
      <c r="N35" s="1505"/>
      <c r="O35" s="499"/>
      <c r="P35" s="209">
        <f t="shared" si="149"/>
        <v>0</v>
      </c>
      <c r="Q35" s="210"/>
      <c r="R35" s="210"/>
      <c r="S35" s="210"/>
      <c r="T35" s="1149"/>
      <c r="U35" s="467"/>
      <c r="V35" s="209">
        <f t="shared" si="150"/>
        <v>0</v>
      </c>
      <c r="W35" s="498"/>
      <c r="X35" s="498"/>
      <c r="Y35" s="498"/>
      <c r="Z35" s="1505"/>
      <c r="AA35" s="499"/>
      <c r="AB35" s="209">
        <f t="shared" si="151"/>
        <v>0</v>
      </c>
      <c r="AC35" s="210">
        <f>Q35</f>
        <v>0</v>
      </c>
      <c r="AD35" s="210">
        <f t="shared" ref="AD35:AG37" si="169">R35</f>
        <v>0</v>
      </c>
      <c r="AE35" s="210">
        <f t="shared" si="169"/>
        <v>0</v>
      </c>
      <c r="AF35" s="1149">
        <f t="shared" si="169"/>
        <v>0</v>
      </c>
      <c r="AG35" s="467">
        <f t="shared" si="169"/>
        <v>0</v>
      </c>
      <c r="AH35" s="209">
        <f t="shared" si="152"/>
        <v>0</v>
      </c>
      <c r="AI35" s="498"/>
      <c r="AJ35" s="498"/>
      <c r="AK35" s="498"/>
      <c r="AL35" s="1505"/>
      <c r="AM35" s="499"/>
      <c r="AN35" s="209">
        <f t="shared" si="153"/>
        <v>0</v>
      </c>
      <c r="AO35" s="210">
        <f t="shared" ref="AO35:AS37" si="170">AC35</f>
        <v>0</v>
      </c>
      <c r="AP35" s="210">
        <f t="shared" si="170"/>
        <v>0</v>
      </c>
      <c r="AQ35" s="210">
        <f t="shared" si="170"/>
        <v>0</v>
      </c>
      <c r="AR35" s="1149">
        <f t="shared" si="170"/>
        <v>0</v>
      </c>
      <c r="AS35" s="467">
        <f t="shared" si="170"/>
        <v>0</v>
      </c>
      <c r="AT35" s="209">
        <f t="shared" si="154"/>
        <v>0</v>
      </c>
      <c r="AU35" s="498"/>
      <c r="AV35" s="498"/>
      <c r="AW35" s="498"/>
      <c r="AX35" s="1505"/>
      <c r="AY35" s="499"/>
      <c r="AZ35" s="209">
        <f t="shared" si="155"/>
        <v>0</v>
      </c>
      <c r="BA35" s="210">
        <f>AO35</f>
        <v>0</v>
      </c>
      <c r="BB35" s="210">
        <f t="shared" ref="BB35:BE37" si="171">AP35</f>
        <v>0</v>
      </c>
      <c r="BC35" s="210">
        <f t="shared" si="171"/>
        <v>0</v>
      </c>
      <c r="BD35" s="1149">
        <f t="shared" si="171"/>
        <v>0</v>
      </c>
      <c r="BE35" s="467">
        <f t="shared" si="171"/>
        <v>0</v>
      </c>
      <c r="BF35" s="209">
        <f t="shared" si="156"/>
        <v>0</v>
      </c>
      <c r="BG35" s="498"/>
      <c r="BH35" s="498"/>
      <c r="BI35" s="498"/>
      <c r="BJ35" s="1505"/>
      <c r="BK35" s="499"/>
      <c r="BL35" s="209">
        <f t="shared" si="157"/>
        <v>0</v>
      </c>
      <c r="BM35" s="210">
        <f>BA35</f>
        <v>0</v>
      </c>
      <c r="BN35" s="210">
        <f t="shared" ref="BN35:BQ37" si="172">BB35</f>
        <v>0</v>
      </c>
      <c r="BO35" s="210">
        <f t="shared" si="172"/>
        <v>0</v>
      </c>
      <c r="BP35" s="1149">
        <f t="shared" si="172"/>
        <v>0</v>
      </c>
      <c r="BQ35" s="467">
        <f t="shared" si="172"/>
        <v>0</v>
      </c>
      <c r="BR35" s="940" t="str">
        <f t="shared" si="8"/>
        <v xml:space="preserve"> </v>
      </c>
      <c r="BS35" s="542" t="str">
        <f t="shared" si="9"/>
        <v xml:space="preserve"> </v>
      </c>
      <c r="BT35" s="1506" t="str">
        <f t="shared" si="4"/>
        <v xml:space="preserve"> </v>
      </c>
      <c r="BU35" s="325" t="str">
        <f t="shared" si="59"/>
        <v xml:space="preserve"> </v>
      </c>
      <c r="BV35" s="325" t="str">
        <f t="shared" si="60"/>
        <v xml:space="preserve"> </v>
      </c>
      <c r="BW35" s="203" t="str">
        <f t="shared" si="61"/>
        <v xml:space="preserve"> </v>
      </c>
      <c r="BX35" s="971"/>
      <c r="BY35" s="127"/>
    </row>
    <row r="36" spans="1:78" s="125" customFormat="1" ht="18.75" outlineLevel="1">
      <c r="A36" s="122"/>
      <c r="B36" s="126" t="s">
        <v>120</v>
      </c>
      <c r="C36" s="1503" t="s">
        <v>96</v>
      </c>
      <c r="D36" s="209">
        <f t="shared" si="147"/>
        <v>0</v>
      </c>
      <c r="E36" s="210"/>
      <c r="F36" s="210"/>
      <c r="G36" s="210"/>
      <c r="H36" s="1149"/>
      <c r="I36" s="467"/>
      <c r="J36" s="209">
        <f t="shared" si="148"/>
        <v>0</v>
      </c>
      <c r="K36" s="498"/>
      <c r="L36" s="498"/>
      <c r="M36" s="498"/>
      <c r="N36" s="1505"/>
      <c r="O36" s="499"/>
      <c r="P36" s="209">
        <f t="shared" si="149"/>
        <v>0</v>
      </c>
      <c r="Q36" s="210"/>
      <c r="R36" s="210"/>
      <c r="S36" s="210"/>
      <c r="T36" s="1149"/>
      <c r="U36" s="467"/>
      <c r="V36" s="209">
        <f t="shared" si="150"/>
        <v>0</v>
      </c>
      <c r="W36" s="498"/>
      <c r="X36" s="498"/>
      <c r="Y36" s="498"/>
      <c r="Z36" s="1505"/>
      <c r="AA36" s="499"/>
      <c r="AB36" s="209">
        <f t="shared" si="151"/>
        <v>0</v>
      </c>
      <c r="AC36" s="210">
        <f t="shared" ref="AC36:AC37" si="173">Q36</f>
        <v>0</v>
      </c>
      <c r="AD36" s="210">
        <f t="shared" si="169"/>
        <v>0</v>
      </c>
      <c r="AE36" s="210">
        <f t="shared" si="169"/>
        <v>0</v>
      </c>
      <c r="AF36" s="1149">
        <f t="shared" si="169"/>
        <v>0</v>
      </c>
      <c r="AG36" s="467">
        <f t="shared" si="169"/>
        <v>0</v>
      </c>
      <c r="AH36" s="209">
        <f t="shared" si="152"/>
        <v>0</v>
      </c>
      <c r="AI36" s="498"/>
      <c r="AJ36" s="498"/>
      <c r="AK36" s="498"/>
      <c r="AL36" s="1505"/>
      <c r="AM36" s="499"/>
      <c r="AN36" s="209">
        <f t="shared" si="153"/>
        <v>0</v>
      </c>
      <c r="AO36" s="210">
        <f t="shared" si="170"/>
        <v>0</v>
      </c>
      <c r="AP36" s="210">
        <f t="shared" si="170"/>
        <v>0</v>
      </c>
      <c r="AQ36" s="210">
        <f t="shared" si="170"/>
        <v>0</v>
      </c>
      <c r="AR36" s="1149">
        <f t="shared" si="170"/>
        <v>0</v>
      </c>
      <c r="AS36" s="467">
        <f t="shared" si="170"/>
        <v>0</v>
      </c>
      <c r="AT36" s="209">
        <f t="shared" si="154"/>
        <v>0</v>
      </c>
      <c r="AU36" s="498"/>
      <c r="AV36" s="498"/>
      <c r="AW36" s="498"/>
      <c r="AX36" s="1505"/>
      <c r="AY36" s="499"/>
      <c r="AZ36" s="209">
        <f t="shared" si="155"/>
        <v>0</v>
      </c>
      <c r="BA36" s="210">
        <f t="shared" ref="BA36:BA37" si="174">AO36</f>
        <v>0</v>
      </c>
      <c r="BB36" s="210">
        <f t="shared" si="171"/>
        <v>0</v>
      </c>
      <c r="BC36" s="210">
        <f t="shared" si="171"/>
        <v>0</v>
      </c>
      <c r="BD36" s="1149">
        <f t="shared" si="171"/>
        <v>0</v>
      </c>
      <c r="BE36" s="467">
        <f t="shared" si="171"/>
        <v>0</v>
      </c>
      <c r="BF36" s="209">
        <f t="shared" si="156"/>
        <v>0</v>
      </c>
      <c r="BG36" s="498"/>
      <c r="BH36" s="498"/>
      <c r="BI36" s="498"/>
      <c r="BJ36" s="1505"/>
      <c r="BK36" s="499"/>
      <c r="BL36" s="209">
        <f t="shared" si="157"/>
        <v>0</v>
      </c>
      <c r="BM36" s="210">
        <f>BA36</f>
        <v>0</v>
      </c>
      <c r="BN36" s="210">
        <f>BB36</f>
        <v>0</v>
      </c>
      <c r="BO36" s="210">
        <f t="shared" si="172"/>
        <v>0</v>
      </c>
      <c r="BP36" s="1149">
        <f t="shared" si="172"/>
        <v>0</v>
      </c>
      <c r="BQ36" s="467">
        <f t="shared" si="172"/>
        <v>0</v>
      </c>
      <c r="BR36" s="940" t="str">
        <f t="shared" si="8"/>
        <v xml:space="preserve"> </v>
      </c>
      <c r="BS36" s="542" t="str">
        <f t="shared" si="9"/>
        <v xml:space="preserve"> </v>
      </c>
      <c r="BT36" s="1506" t="str">
        <f t="shared" si="4"/>
        <v xml:space="preserve"> </v>
      </c>
      <c r="BU36" s="325" t="str">
        <f t="shared" si="59"/>
        <v xml:space="preserve"> </v>
      </c>
      <c r="BV36" s="325" t="str">
        <f t="shared" si="60"/>
        <v xml:space="preserve"> </v>
      </c>
      <c r="BW36" s="203" t="str">
        <f t="shared" si="61"/>
        <v xml:space="preserve"> </v>
      </c>
      <c r="BX36" s="971"/>
      <c r="BY36" s="127"/>
    </row>
    <row r="37" spans="1:78" s="125" customFormat="1" ht="18.75" outlineLevel="1">
      <c r="A37" s="122"/>
      <c r="B37" s="126" t="s">
        <v>121</v>
      </c>
      <c r="C37" s="1503" t="s">
        <v>96</v>
      </c>
      <c r="D37" s="209">
        <f t="shared" si="147"/>
        <v>4.5</v>
      </c>
      <c r="E37" s="210">
        <v>2.69</v>
      </c>
      <c r="F37" s="210">
        <v>1.81</v>
      </c>
      <c r="G37" s="210"/>
      <c r="H37" s="1149"/>
      <c r="I37" s="467"/>
      <c r="J37" s="209">
        <f t="shared" si="148"/>
        <v>6</v>
      </c>
      <c r="K37" s="498">
        <v>3.6</v>
      </c>
      <c r="L37" s="498">
        <v>2.2999999999999998</v>
      </c>
      <c r="M37" s="498"/>
      <c r="N37" s="1505">
        <v>0.1</v>
      </c>
      <c r="O37" s="499"/>
      <c r="P37" s="209">
        <f t="shared" si="149"/>
        <v>6</v>
      </c>
      <c r="Q37" s="210">
        <f>K37+N37</f>
        <v>3.7</v>
      </c>
      <c r="R37" s="210">
        <f>L37</f>
        <v>2.2999999999999998</v>
      </c>
      <c r="S37" s="210"/>
      <c r="T37" s="1149"/>
      <c r="U37" s="467"/>
      <c r="V37" s="209">
        <f t="shared" si="150"/>
        <v>0</v>
      </c>
      <c r="W37" s="498"/>
      <c r="X37" s="498"/>
      <c r="Y37" s="498"/>
      <c r="Z37" s="1505"/>
      <c r="AA37" s="499"/>
      <c r="AB37" s="209">
        <f t="shared" si="151"/>
        <v>6</v>
      </c>
      <c r="AC37" s="210">
        <f t="shared" si="173"/>
        <v>3.7</v>
      </c>
      <c r="AD37" s="210">
        <f t="shared" si="169"/>
        <v>2.2999999999999998</v>
      </c>
      <c r="AE37" s="210">
        <f t="shared" si="169"/>
        <v>0</v>
      </c>
      <c r="AF37" s="1149">
        <f t="shared" si="169"/>
        <v>0</v>
      </c>
      <c r="AG37" s="467">
        <f t="shared" si="169"/>
        <v>0</v>
      </c>
      <c r="AH37" s="209">
        <f t="shared" si="152"/>
        <v>0</v>
      </c>
      <c r="AI37" s="498"/>
      <c r="AJ37" s="498"/>
      <c r="AK37" s="498"/>
      <c r="AL37" s="1505"/>
      <c r="AM37" s="499"/>
      <c r="AN37" s="209">
        <f t="shared" si="153"/>
        <v>6</v>
      </c>
      <c r="AO37" s="210">
        <f t="shared" si="170"/>
        <v>3.7</v>
      </c>
      <c r="AP37" s="210">
        <f t="shared" si="170"/>
        <v>2.2999999999999998</v>
      </c>
      <c r="AQ37" s="210">
        <f t="shared" si="170"/>
        <v>0</v>
      </c>
      <c r="AR37" s="1149">
        <f t="shared" si="170"/>
        <v>0</v>
      </c>
      <c r="AS37" s="467">
        <f t="shared" si="170"/>
        <v>0</v>
      </c>
      <c r="AT37" s="209">
        <f t="shared" si="154"/>
        <v>0</v>
      </c>
      <c r="AU37" s="498"/>
      <c r="AV37" s="498"/>
      <c r="AW37" s="498"/>
      <c r="AX37" s="1505"/>
      <c r="AY37" s="499"/>
      <c r="AZ37" s="209">
        <f t="shared" si="155"/>
        <v>6</v>
      </c>
      <c r="BA37" s="210">
        <f t="shared" si="174"/>
        <v>3.7</v>
      </c>
      <c r="BB37" s="210">
        <f t="shared" si="171"/>
        <v>2.2999999999999998</v>
      </c>
      <c r="BC37" s="210">
        <f t="shared" si="171"/>
        <v>0</v>
      </c>
      <c r="BD37" s="1149">
        <f t="shared" si="171"/>
        <v>0</v>
      </c>
      <c r="BE37" s="467">
        <f t="shared" si="171"/>
        <v>0</v>
      </c>
      <c r="BF37" s="209">
        <f t="shared" si="156"/>
        <v>0</v>
      </c>
      <c r="BG37" s="498"/>
      <c r="BH37" s="498"/>
      <c r="BI37" s="498"/>
      <c r="BJ37" s="1505"/>
      <c r="BK37" s="499"/>
      <c r="BL37" s="209">
        <f t="shared" si="157"/>
        <v>6</v>
      </c>
      <c r="BM37" s="210">
        <f t="shared" ref="BM37" si="175">BA37</f>
        <v>3.7</v>
      </c>
      <c r="BN37" s="210">
        <f t="shared" si="172"/>
        <v>2.2999999999999998</v>
      </c>
      <c r="BO37" s="210">
        <f t="shared" si="172"/>
        <v>0</v>
      </c>
      <c r="BP37" s="1149">
        <f t="shared" si="172"/>
        <v>0</v>
      </c>
      <c r="BQ37" s="467">
        <f t="shared" si="172"/>
        <v>0</v>
      </c>
      <c r="BR37" s="940">
        <f t="shared" si="8"/>
        <v>1</v>
      </c>
      <c r="BS37" s="542">
        <f t="shared" si="9"/>
        <v>1.3333333333333333</v>
      </c>
      <c r="BT37" s="1506">
        <f t="shared" si="4"/>
        <v>1</v>
      </c>
      <c r="BU37" s="325">
        <f t="shared" si="59"/>
        <v>1</v>
      </c>
      <c r="BV37" s="325">
        <f t="shared" si="60"/>
        <v>1</v>
      </c>
      <c r="BW37" s="203">
        <f t="shared" si="61"/>
        <v>1</v>
      </c>
      <c r="BX37" s="971"/>
      <c r="BY37" s="127"/>
    </row>
    <row r="38" spans="1:78" s="125" customFormat="1" ht="30" outlineLevel="1">
      <c r="A38" s="122"/>
      <c r="B38" s="123" t="s">
        <v>8</v>
      </c>
      <c r="C38" s="1503" t="s">
        <v>9</v>
      </c>
      <c r="D38" s="231">
        <f>IF(D34&gt;0,D29*1000/12/D34,0)</f>
        <v>21106.296296296296</v>
      </c>
      <c r="E38" s="229">
        <f>IF(E34&gt;0,E29*1000/12/E34,0)</f>
        <v>21106.257744733583</v>
      </c>
      <c r="F38" s="229">
        <f t="shared" ref="F38:I38" si="176">IF(F34&gt;0,F29*1000/12/F34,0)</f>
        <v>21106.353591160219</v>
      </c>
      <c r="G38" s="229">
        <f t="shared" si="176"/>
        <v>0</v>
      </c>
      <c r="H38" s="1147">
        <f t="shared" si="176"/>
        <v>0</v>
      </c>
      <c r="I38" s="466">
        <f t="shared" si="176"/>
        <v>0</v>
      </c>
      <c r="J38" s="231">
        <f>IF(J34&gt;0,J29*1000/12/J34,0)</f>
        <v>21944.722222222223</v>
      </c>
      <c r="K38" s="382">
        <f>IF(K34&gt;0,K29*1000/12/K34,0)</f>
        <v>21859.027777777777</v>
      </c>
      <c r="L38" s="382">
        <f t="shared" ref="L38:O38" si="177">IF(L34&gt;0,L29*1000/12/L34,0)</f>
        <v>21985.144927536236</v>
      </c>
      <c r="M38" s="382">
        <f t="shared" si="177"/>
        <v>0</v>
      </c>
      <c r="N38" s="1504">
        <f t="shared" si="177"/>
        <v>24100</v>
      </c>
      <c r="O38" s="497">
        <f t="shared" si="177"/>
        <v>0</v>
      </c>
      <c r="P38" s="231">
        <f>IF(P34&gt;0,P29*1000/12/P34,0)</f>
        <v>21907.361111111109</v>
      </c>
      <c r="Q38" s="229">
        <f>K38</f>
        <v>21859.027777777777</v>
      </c>
      <c r="R38" s="229">
        <f>L38</f>
        <v>21985.144927536236</v>
      </c>
      <c r="S38" s="229">
        <f t="shared" ref="S38:U38" si="178">IF(S34&gt;0,S29*1000/12/S34,0)</f>
        <v>0</v>
      </c>
      <c r="T38" s="1147">
        <f t="shared" si="178"/>
        <v>0</v>
      </c>
      <c r="U38" s="466">
        <f t="shared" si="178"/>
        <v>0</v>
      </c>
      <c r="V38" s="231">
        <f>IF(V34&gt;0,V29*1000/12/V34,0)</f>
        <v>0</v>
      </c>
      <c r="W38" s="382">
        <f>IF(W34&gt;0,W29*1000/12/W34,0)</f>
        <v>0</v>
      </c>
      <c r="X38" s="382">
        <f t="shared" ref="X38:AA38" si="179">IF(X34&gt;0,X29*1000/12/X34,0)</f>
        <v>0</v>
      </c>
      <c r="Y38" s="382">
        <f t="shared" si="179"/>
        <v>0</v>
      </c>
      <c r="Z38" s="1504">
        <f t="shared" si="179"/>
        <v>0</v>
      </c>
      <c r="AA38" s="497">
        <f t="shared" si="179"/>
        <v>0</v>
      </c>
      <c r="AB38" s="231">
        <f>IF(AB34&gt;0,AB29*1000/12/AB34,0)</f>
        <v>22425.694186890862</v>
      </c>
      <c r="AC38" s="229">
        <f t="shared" ref="AC38:AG38" si="180">IF(AC34&gt;0,AC29*1000/12/AC34,0)</f>
        <v>22376.18703352119</v>
      </c>
      <c r="AD38" s="229">
        <f t="shared" si="180"/>
        <v>22505.336129268158</v>
      </c>
      <c r="AE38" s="229">
        <f t="shared" si="180"/>
        <v>0</v>
      </c>
      <c r="AF38" s="1147">
        <f t="shared" si="180"/>
        <v>0</v>
      </c>
      <c r="AG38" s="466">
        <f t="shared" si="180"/>
        <v>0</v>
      </c>
      <c r="AH38" s="231">
        <f>IF(AH34&gt;0,AH29*1000/12/AH34,0)</f>
        <v>0</v>
      </c>
      <c r="AI38" s="382">
        <f>IF(AI34&gt;0,AI29*1000/12/AI34,0)</f>
        <v>0</v>
      </c>
      <c r="AJ38" s="382">
        <f t="shared" ref="AJ38:AM38" si="181">IF(AJ34&gt;0,AJ29*1000/12/AJ34,0)</f>
        <v>0</v>
      </c>
      <c r="AK38" s="382">
        <f t="shared" si="181"/>
        <v>0</v>
      </c>
      <c r="AL38" s="1504">
        <f t="shared" si="181"/>
        <v>0</v>
      </c>
      <c r="AM38" s="497">
        <f t="shared" si="181"/>
        <v>0</v>
      </c>
      <c r="AN38" s="231">
        <f>IF(AN34&gt;0,AN29*1000/12/AN34,0)</f>
        <v>23089.497112542569</v>
      </c>
      <c r="AO38" s="229">
        <f>IF(AO34&gt;0,AO29*1000/12/AO34,0)</f>
        <v>23038.518457049366</v>
      </c>
      <c r="AP38" s="229">
        <f t="shared" ref="AP38:AS38" si="182">IF(AP34&gt;0,AP29*1000/12/AP34,0)</f>
        <v>23171.506253988151</v>
      </c>
      <c r="AQ38" s="229">
        <f t="shared" si="182"/>
        <v>0</v>
      </c>
      <c r="AR38" s="1147">
        <f t="shared" si="182"/>
        <v>0</v>
      </c>
      <c r="AS38" s="466">
        <f t="shared" si="182"/>
        <v>0</v>
      </c>
      <c r="AT38" s="231">
        <f>IF(AT34&gt;0,AT29*1000/12/AT34,0)</f>
        <v>0</v>
      </c>
      <c r="AU38" s="382">
        <f>IF(AU34&gt;0,AU29*1000/12/AU34,0)</f>
        <v>0</v>
      </c>
      <c r="AV38" s="382">
        <f t="shared" ref="AV38:AY38" si="183">IF(AV34&gt;0,AV29*1000/12/AV34,0)</f>
        <v>0</v>
      </c>
      <c r="AW38" s="382">
        <f t="shared" si="183"/>
        <v>0</v>
      </c>
      <c r="AX38" s="1504">
        <f t="shared" si="183"/>
        <v>0</v>
      </c>
      <c r="AY38" s="497">
        <f t="shared" si="183"/>
        <v>0</v>
      </c>
      <c r="AZ38" s="231">
        <f>IF(AZ34&gt;0,AZ29*1000/12/AZ34,0)</f>
        <v>23772.932183226283</v>
      </c>
      <c r="BA38" s="229">
        <f t="shared" ref="BA38:BE38" si="184">IF(BA34&gt;0,BA29*1000/12/BA34,0)</f>
        <v>23720.459021706367</v>
      </c>
      <c r="BB38" s="229">
        <f t="shared" si="184"/>
        <v>23857.345530019189</v>
      </c>
      <c r="BC38" s="229">
        <f t="shared" si="184"/>
        <v>0</v>
      </c>
      <c r="BD38" s="1147">
        <f t="shared" si="184"/>
        <v>0</v>
      </c>
      <c r="BE38" s="466">
        <f t="shared" si="184"/>
        <v>0</v>
      </c>
      <c r="BF38" s="231">
        <f>IF(BF34&gt;0,BF29*1000/12/BF34,0)</f>
        <v>0</v>
      </c>
      <c r="BG38" s="382">
        <f>IF(BG34&gt;0,BG29*1000/12/BG34,0)</f>
        <v>0</v>
      </c>
      <c r="BH38" s="382">
        <f t="shared" ref="BH38:BK38" si="185">IF(BH34&gt;0,BH29*1000/12/BH34,0)</f>
        <v>0</v>
      </c>
      <c r="BI38" s="382">
        <f t="shared" si="185"/>
        <v>0</v>
      </c>
      <c r="BJ38" s="1504">
        <f t="shared" si="185"/>
        <v>0</v>
      </c>
      <c r="BK38" s="497">
        <f t="shared" si="185"/>
        <v>0</v>
      </c>
      <c r="BL38" s="231">
        <f>IF(BL34&gt;0,BL29*1000/12/BL34,0)</f>
        <v>24476.635103485871</v>
      </c>
      <c r="BM38" s="229">
        <f t="shared" ref="BM38:BQ38" si="186">IF(BM34&gt;0,BM29*1000/12/BM34,0)</f>
        <v>24422.59700172607</v>
      </c>
      <c r="BN38" s="229">
        <f t="shared" si="186"/>
        <v>24563.565962838587</v>
      </c>
      <c r="BO38" s="229">
        <f t="shared" si="186"/>
        <v>0</v>
      </c>
      <c r="BP38" s="1147">
        <f t="shared" si="186"/>
        <v>0</v>
      </c>
      <c r="BQ38" s="466">
        <f t="shared" si="186"/>
        <v>0</v>
      </c>
      <c r="BR38" s="940">
        <f t="shared" si="8"/>
        <v>0.99829748990519096</v>
      </c>
      <c r="BS38" s="542">
        <f t="shared" si="9"/>
        <v>1.0379538315756225</v>
      </c>
      <c r="BT38" s="1506">
        <f t="shared" si="4"/>
        <v>1.0236602242118911</v>
      </c>
      <c r="BU38" s="325">
        <f t="shared" si="59"/>
        <v>1.0296001060265836</v>
      </c>
      <c r="BV38" s="325">
        <f t="shared" si="60"/>
        <v>1.0295993917646851</v>
      </c>
      <c r="BW38" s="203">
        <f t="shared" si="61"/>
        <v>1.0296010149204946</v>
      </c>
      <c r="BX38" s="971"/>
      <c r="BY38" s="124"/>
    </row>
    <row r="39" spans="1:78" s="111" customFormat="1" ht="31.5">
      <c r="A39" s="119">
        <v>4</v>
      </c>
      <c r="B39" s="120" t="s">
        <v>286</v>
      </c>
      <c r="C39" s="1499" t="s">
        <v>1</v>
      </c>
      <c r="D39" s="189">
        <f>E39+F39+G39+H39</f>
        <v>1802.2199999999998</v>
      </c>
      <c r="E39" s="208">
        <f>E40+E41</f>
        <v>892.94999999999993</v>
      </c>
      <c r="F39" s="208">
        <f t="shared" ref="F39:H39" si="187">F40+F41</f>
        <v>909.27</v>
      </c>
      <c r="G39" s="208">
        <f t="shared" si="187"/>
        <v>0</v>
      </c>
      <c r="H39" s="1151">
        <f t="shared" si="187"/>
        <v>0</v>
      </c>
      <c r="I39" s="468">
        <f>I40+I41</f>
        <v>0</v>
      </c>
      <c r="J39" s="189">
        <f>K39+L39+M39+N39</f>
        <v>1899.7858659985918</v>
      </c>
      <c r="K39" s="232">
        <f>K40+K41</f>
        <v>594.52406878392333</v>
      </c>
      <c r="L39" s="232">
        <f t="shared" ref="L39:N39" si="188">L40+L41</f>
        <v>1305.2617972146686</v>
      </c>
      <c r="M39" s="232">
        <f t="shared" si="188"/>
        <v>0</v>
      </c>
      <c r="N39" s="1141">
        <f t="shared" si="188"/>
        <v>0</v>
      </c>
      <c r="O39" s="470">
        <f>O40+O41</f>
        <v>0</v>
      </c>
      <c r="P39" s="189">
        <f>Q39+R39+S39+T39</f>
        <v>1796.15</v>
      </c>
      <c r="Q39" s="208">
        <f>Q40+Q41</f>
        <v>675.49</v>
      </c>
      <c r="R39" s="208">
        <f t="shared" ref="R39:T39" si="189">R40+R41</f>
        <v>1120.6600000000001</v>
      </c>
      <c r="S39" s="208">
        <f t="shared" si="189"/>
        <v>0</v>
      </c>
      <c r="T39" s="1151">
        <f t="shared" si="189"/>
        <v>0</v>
      </c>
      <c r="U39" s="468">
        <f>U40+U41</f>
        <v>0</v>
      </c>
      <c r="V39" s="189">
        <f>W39+X39+Y39+Z39</f>
        <v>3953.3407764199274</v>
      </c>
      <c r="W39" s="232">
        <f>W40+W41</f>
        <v>1909.9327812199274</v>
      </c>
      <c r="X39" s="232">
        <f t="shared" ref="X39:Z39" si="190">X40+X41</f>
        <v>2043.4079952</v>
      </c>
      <c r="Y39" s="232">
        <f t="shared" si="190"/>
        <v>0</v>
      </c>
      <c r="Z39" s="1141">
        <f t="shared" si="190"/>
        <v>0</v>
      </c>
      <c r="AA39" s="470">
        <f>AA40+AA41</f>
        <v>0</v>
      </c>
      <c r="AB39" s="189">
        <f>AC39+AD39+AE39+AF39</f>
        <v>1838.6478753213842</v>
      </c>
      <c r="AC39" s="208">
        <f>AC40+AC41</f>
        <v>691.47190401192267</v>
      </c>
      <c r="AD39" s="208">
        <f t="shared" ref="AD39:AF39" si="191">AD40+AD41</f>
        <v>1147.1759713094614</v>
      </c>
      <c r="AE39" s="208">
        <f t="shared" si="191"/>
        <v>0</v>
      </c>
      <c r="AF39" s="1151">
        <f t="shared" si="191"/>
        <v>0</v>
      </c>
      <c r="AG39" s="468">
        <f>AG40+AG41</f>
        <v>0</v>
      </c>
      <c r="AH39" s="189">
        <f>AI39+AJ39+AK39+AL39</f>
        <v>4070.3596634019573</v>
      </c>
      <c r="AI39" s="232">
        <f>AI40+AI41</f>
        <v>1966.4667915440373</v>
      </c>
      <c r="AJ39" s="232">
        <f t="shared" ref="AJ39:AL39" si="192">AJ40+AJ41</f>
        <v>2103.89287185792</v>
      </c>
      <c r="AK39" s="232">
        <f t="shared" si="192"/>
        <v>0</v>
      </c>
      <c r="AL39" s="1141">
        <f t="shared" si="192"/>
        <v>0</v>
      </c>
      <c r="AM39" s="470">
        <f>AM40+AM41</f>
        <v>0</v>
      </c>
      <c r="AN39" s="189">
        <f>AO39+AP39+AQ39+AR39</f>
        <v>1893.0723583191098</v>
      </c>
      <c r="AO39" s="208">
        <f t="shared" ref="AO39:AS39" si="193">AO40+AO41</f>
        <v>711.93935764143782</v>
      </c>
      <c r="AP39" s="208">
        <f t="shared" si="193"/>
        <v>1181.133000677672</v>
      </c>
      <c r="AQ39" s="208">
        <f t="shared" si="193"/>
        <v>0</v>
      </c>
      <c r="AR39" s="1151">
        <f t="shared" si="193"/>
        <v>0</v>
      </c>
      <c r="AS39" s="468">
        <f t="shared" si="193"/>
        <v>0</v>
      </c>
      <c r="AT39" s="189">
        <f>AU39+AV39+AW39+AX39</f>
        <v>4190.8423094386562</v>
      </c>
      <c r="AU39" s="232">
        <f>AU40+AU41</f>
        <v>2024.674208573741</v>
      </c>
      <c r="AV39" s="232">
        <f t="shared" ref="AV39:AX39" si="194">AV40+AV41</f>
        <v>2166.1681008649148</v>
      </c>
      <c r="AW39" s="232">
        <f t="shared" si="194"/>
        <v>0</v>
      </c>
      <c r="AX39" s="1141">
        <f t="shared" si="194"/>
        <v>0</v>
      </c>
      <c r="AY39" s="470">
        <f>AY40+AY41</f>
        <v>0</v>
      </c>
      <c r="AZ39" s="189">
        <f>BA39+BB39+BC39+BD39</f>
        <v>1949.1054112774818</v>
      </c>
      <c r="BA39" s="208">
        <f>BA40+BA41</f>
        <v>733.0127755548624</v>
      </c>
      <c r="BB39" s="208">
        <f t="shared" ref="BB39:BD39" si="195">BB40+BB41</f>
        <v>1216.0926357226194</v>
      </c>
      <c r="BC39" s="208">
        <f t="shared" si="195"/>
        <v>0</v>
      </c>
      <c r="BD39" s="1151">
        <f t="shared" si="195"/>
        <v>0</v>
      </c>
      <c r="BE39" s="468">
        <f>BE40+BE41</f>
        <v>0</v>
      </c>
      <c r="BF39" s="189">
        <f>BG39+BH39+BI39+BJ39</f>
        <v>4314.89124179804</v>
      </c>
      <c r="BG39" s="232">
        <f>BG40+BG41</f>
        <v>2084.6045651475238</v>
      </c>
      <c r="BH39" s="232">
        <f t="shared" ref="BH39:BJ39" si="196">BH40+BH41</f>
        <v>2230.2866766505163</v>
      </c>
      <c r="BI39" s="232">
        <f t="shared" si="196"/>
        <v>0</v>
      </c>
      <c r="BJ39" s="1141">
        <f t="shared" si="196"/>
        <v>0</v>
      </c>
      <c r="BK39" s="470">
        <f>BK40+BK41</f>
        <v>0</v>
      </c>
      <c r="BL39" s="189">
        <f>BM39+BN39+BO39+BP39</f>
        <v>2006.8015065431796</v>
      </c>
      <c r="BM39" s="208">
        <f>BM40+BM41</f>
        <v>754.71033668071379</v>
      </c>
      <c r="BN39" s="208">
        <f t="shared" ref="BN39:BP39" si="197">BN40+BN41</f>
        <v>1252.0911698624659</v>
      </c>
      <c r="BO39" s="208">
        <f t="shared" si="197"/>
        <v>0</v>
      </c>
      <c r="BP39" s="1151">
        <f t="shared" si="197"/>
        <v>0</v>
      </c>
      <c r="BQ39" s="468">
        <f>BQ40+BQ41</f>
        <v>0</v>
      </c>
      <c r="BR39" s="940">
        <f t="shared" si="8"/>
        <v>0.94544865931818201</v>
      </c>
      <c r="BS39" s="542">
        <f t="shared" si="9"/>
        <v>0.99663193172864595</v>
      </c>
      <c r="BT39" s="942">
        <f t="shared" si="4"/>
        <v>1.0236605379959269</v>
      </c>
      <c r="BU39" s="324">
        <f t="shared" si="59"/>
        <v>1.0296002751414337</v>
      </c>
      <c r="BV39" s="324">
        <f t="shared" si="60"/>
        <v>1.0295990022315495</v>
      </c>
      <c r="BW39" s="201">
        <f t="shared" si="61"/>
        <v>1.0296013211660433</v>
      </c>
      <c r="BX39" s="967"/>
      <c r="BY39" s="121"/>
      <c r="BZ39" s="128"/>
    </row>
    <row r="40" spans="1:78" s="83" customFormat="1" ht="33" customHeight="1" outlineLevel="1">
      <c r="A40" s="129"/>
      <c r="B40" s="130" t="s">
        <v>206</v>
      </c>
      <c r="C40" s="1500" t="s">
        <v>1</v>
      </c>
      <c r="D40" s="189">
        <f t="shared" ref="D40:D58" si="198">E40+F40+G40+H40</f>
        <v>1802.2199999999998</v>
      </c>
      <c r="E40" s="207">
        <v>892.94999999999993</v>
      </c>
      <c r="F40" s="207">
        <v>909.27</v>
      </c>
      <c r="G40" s="207"/>
      <c r="H40" s="1145"/>
      <c r="I40" s="469"/>
      <c r="J40" s="189">
        <f t="shared" ref="J40:J42" si="199">K40+L40+M40+N40</f>
        <v>1899.7858659985918</v>
      </c>
      <c r="K40" s="383">
        <v>594.52406878392333</v>
      </c>
      <c r="L40" s="383">
        <v>1305.2617972146686</v>
      </c>
      <c r="M40" s="383"/>
      <c r="N40" s="1501"/>
      <c r="O40" s="500"/>
      <c r="P40" s="189">
        <f t="shared" ref="P40:P58" si="200">Q40+R40+S40+T40</f>
        <v>1796.15</v>
      </c>
      <c r="Q40" s="984">
        <f>ROUND((528.81+100)*[184]индексы!G8*[184]индексы!H8,2)</f>
        <v>675.49</v>
      </c>
      <c r="R40" s="207">
        <f>ROUND(1043.21*[184]индексы!G8*[184]индексы!H8,2)</f>
        <v>1120.6600000000001</v>
      </c>
      <c r="S40" s="207"/>
      <c r="T40" s="1145"/>
      <c r="U40" s="469"/>
      <c r="V40" s="189">
        <f t="shared" ref="V40:V42" si="201">W40+X40+Y40+Z40</f>
        <v>3953.3407764199274</v>
      </c>
      <c r="W40" s="383">
        <v>1909.9327812199274</v>
      </c>
      <c r="X40" s="383">
        <v>2043.4079952</v>
      </c>
      <c r="Y40" s="383"/>
      <c r="Z40" s="1501"/>
      <c r="AA40" s="500"/>
      <c r="AB40" s="189">
        <f t="shared" ref="AB40:AB58" si="202">AC40+AD40+AE40+AF40</f>
        <v>1838.6478753213842</v>
      </c>
      <c r="AC40" s="207">
        <f t="shared" ref="AC40:AC41" si="203">IF($AC$21&gt;0,Q40/$Q$21*$AC$21,0)</f>
        <v>691.47190401192267</v>
      </c>
      <c r="AD40" s="207">
        <f t="shared" ref="AD40:AD41" si="204">IF($AD$21&gt;0,R40/$R$21*$AD$21,0)</f>
        <v>1147.1759713094614</v>
      </c>
      <c r="AE40" s="207">
        <f t="shared" ref="AE40:AE41" si="205">IF($AE$21&gt;0,S40/$S$21*$AE$21,0)</f>
        <v>0</v>
      </c>
      <c r="AF40" s="1145">
        <f t="shared" ref="AF40:AF41" si="206">IF($AF$21&gt;0,T40/$T$21*$AF$21,0)</f>
        <v>0</v>
      </c>
      <c r="AG40" s="469">
        <f t="shared" ref="AG40:AG41" si="207">IF($AG$21&gt;0,U40/$U$21*$AG$21,0)</f>
        <v>0</v>
      </c>
      <c r="AH40" s="189">
        <f t="shared" ref="AH40:AH42" si="208">AI40+AJ40+AK40+AL40</f>
        <v>4070.3596634019573</v>
      </c>
      <c r="AI40" s="383">
        <v>1966.4667915440373</v>
      </c>
      <c r="AJ40" s="383">
        <v>2103.89287185792</v>
      </c>
      <c r="AK40" s="383"/>
      <c r="AL40" s="1501"/>
      <c r="AM40" s="500"/>
      <c r="AN40" s="189">
        <f t="shared" ref="AN40:AN58" si="209">AO40+AP40+AQ40+AR40</f>
        <v>1893.0723583191098</v>
      </c>
      <c r="AO40" s="207">
        <f t="shared" ref="AO40:AO41" si="210">IF($AO$21&gt;0,AC40/$AC$21*$AO$21,0)</f>
        <v>711.93935764143782</v>
      </c>
      <c r="AP40" s="207">
        <f t="shared" ref="AP40:AP41" si="211">IF($AP$21&gt;0,AD40/$AD$21*$AP$21,0)</f>
        <v>1181.133000677672</v>
      </c>
      <c r="AQ40" s="207">
        <f>IF($AQ$21&gt;0,AE40/$AE$21*$AQ$21,0)</f>
        <v>0</v>
      </c>
      <c r="AR40" s="1145">
        <f t="shared" ref="AR40:AR41" si="212">IF($AR$21&gt;0,AF40/$AF$21*$AR$21,0)</f>
        <v>0</v>
      </c>
      <c r="AS40" s="469">
        <f t="shared" ref="AS40:AS41" si="213">IF($AS$21&gt;0,AG40/$AG$21*$AS$21,0)</f>
        <v>0</v>
      </c>
      <c r="AT40" s="189">
        <f t="shared" ref="AT40:AT42" si="214">AU40+AV40+AW40+AX40</f>
        <v>4190.8423094386562</v>
      </c>
      <c r="AU40" s="383">
        <v>2024.674208573741</v>
      </c>
      <c r="AV40" s="383">
        <v>2166.1681008649148</v>
      </c>
      <c r="AW40" s="383"/>
      <c r="AX40" s="1501"/>
      <c r="AY40" s="500"/>
      <c r="AZ40" s="189">
        <f t="shared" ref="AZ40:AZ58" si="215">BA40+BB40+BC40+BD40</f>
        <v>1949.1054112774818</v>
      </c>
      <c r="BA40" s="207">
        <f t="shared" ref="BA40:BA41" si="216">IF($BA$21&gt;0,AO40/$AO$21*$BA$21,0)</f>
        <v>733.0127755548624</v>
      </c>
      <c r="BB40" s="207">
        <f>IF($BB$21&gt;0,AP40/$AP$21*$BB$21,0)</f>
        <v>1216.0926357226194</v>
      </c>
      <c r="BC40" s="207">
        <f t="shared" ref="BC40:BC41" si="217">IF($BC$21&gt;0,AQ40/$AQ$21*$BC$21,0)</f>
        <v>0</v>
      </c>
      <c r="BD40" s="1145">
        <f t="shared" ref="BD40:BD41" si="218">IF($BD$21&gt;0,AR40/$AR$21*$BD$21,0)</f>
        <v>0</v>
      </c>
      <c r="BE40" s="469">
        <f t="shared" ref="BE40:BE41" si="219">IF($BE$21&gt;0,AS40/$AS$21*$BE$21,0)</f>
        <v>0</v>
      </c>
      <c r="BF40" s="189">
        <f t="shared" ref="BF40:BF42" si="220">BG40+BH40+BI40+BJ40</f>
        <v>4314.89124179804</v>
      </c>
      <c r="BG40" s="383">
        <v>2084.6045651475238</v>
      </c>
      <c r="BH40" s="383">
        <v>2230.2866766505163</v>
      </c>
      <c r="BI40" s="383"/>
      <c r="BJ40" s="1501"/>
      <c r="BK40" s="500"/>
      <c r="BL40" s="189">
        <f>BM40+BN40+BO40+BP40</f>
        <v>2006.8015065431796</v>
      </c>
      <c r="BM40" s="207">
        <f t="shared" ref="BM40:BM41" si="221">IF($BM$21&gt;0,BA40/$BA$21*$BM$21,0)</f>
        <v>754.71033668071379</v>
      </c>
      <c r="BN40" s="207">
        <f t="shared" ref="BN40:BN41" si="222">IF($BN$21&gt;0,BB40/$BB$21*$BN$21,0)</f>
        <v>1252.0911698624659</v>
      </c>
      <c r="BO40" s="207">
        <f t="shared" ref="BO40:BO41" si="223">IF($BO$21&gt;0,BC40/$BC$21*$BO$21,0)</f>
        <v>0</v>
      </c>
      <c r="BP40" s="1145">
        <f t="shared" ref="BP40:BP41" si="224">IF($BP$21&gt;0,BD40/$BD$21*$BP$21,0)</f>
        <v>0</v>
      </c>
      <c r="BQ40" s="469">
        <f t="shared" ref="BQ40:BQ41" si="225">IF($BQ$21&gt;0,BE40/$BE$21*$BQ$21,0)</f>
        <v>0</v>
      </c>
      <c r="BR40" s="940">
        <f t="shared" si="8"/>
        <v>0.94544865931818201</v>
      </c>
      <c r="BS40" s="542">
        <f t="shared" si="9"/>
        <v>0.99663193172864595</v>
      </c>
      <c r="BT40" s="942">
        <f t="shared" si="4"/>
        <v>1.0236605379959269</v>
      </c>
      <c r="BU40" s="324">
        <f t="shared" si="59"/>
        <v>1.0296002751414337</v>
      </c>
      <c r="BV40" s="324">
        <f t="shared" si="60"/>
        <v>1.0295990022315495</v>
      </c>
      <c r="BW40" s="201">
        <f t="shared" si="61"/>
        <v>1.0296013211660433</v>
      </c>
      <c r="BX40" s="967" t="s">
        <v>493</v>
      </c>
      <c r="BY40" s="131"/>
      <c r="BZ40" s="132"/>
    </row>
    <row r="41" spans="1:78" s="83" customFormat="1" ht="32.25" customHeight="1" outlineLevel="1">
      <c r="A41" s="129"/>
      <c r="B41" s="130" t="s">
        <v>69</v>
      </c>
      <c r="C41" s="1500" t="s">
        <v>1</v>
      </c>
      <c r="D41" s="189">
        <f t="shared" si="198"/>
        <v>0</v>
      </c>
      <c r="E41" s="207"/>
      <c r="F41" s="207"/>
      <c r="G41" s="207"/>
      <c r="H41" s="1145"/>
      <c r="I41" s="469"/>
      <c r="J41" s="189">
        <f t="shared" si="199"/>
        <v>0</v>
      </c>
      <c r="K41" s="383"/>
      <c r="L41" s="383"/>
      <c r="M41" s="383"/>
      <c r="N41" s="1501"/>
      <c r="O41" s="500"/>
      <c r="P41" s="189">
        <f t="shared" si="200"/>
        <v>0</v>
      </c>
      <c r="Q41" s="984"/>
      <c r="R41" s="207"/>
      <c r="S41" s="207"/>
      <c r="T41" s="1145"/>
      <c r="U41" s="469"/>
      <c r="V41" s="189">
        <f t="shared" si="201"/>
        <v>0</v>
      </c>
      <c r="W41" s="383"/>
      <c r="X41" s="383"/>
      <c r="Y41" s="383"/>
      <c r="Z41" s="1501"/>
      <c r="AA41" s="500"/>
      <c r="AB41" s="189">
        <f t="shared" si="202"/>
        <v>0</v>
      </c>
      <c r="AC41" s="207">
        <f t="shared" si="203"/>
        <v>0</v>
      </c>
      <c r="AD41" s="207">
        <f t="shared" si="204"/>
        <v>0</v>
      </c>
      <c r="AE41" s="207">
        <f t="shared" si="205"/>
        <v>0</v>
      </c>
      <c r="AF41" s="1145">
        <f t="shared" si="206"/>
        <v>0</v>
      </c>
      <c r="AG41" s="469">
        <f t="shared" si="207"/>
        <v>0</v>
      </c>
      <c r="AH41" s="189">
        <f t="shared" si="208"/>
        <v>0</v>
      </c>
      <c r="AI41" s="383"/>
      <c r="AJ41" s="383"/>
      <c r="AK41" s="383"/>
      <c r="AL41" s="1501"/>
      <c r="AM41" s="500"/>
      <c r="AN41" s="189">
        <f t="shared" si="209"/>
        <v>0</v>
      </c>
      <c r="AO41" s="207">
        <f t="shared" si="210"/>
        <v>0</v>
      </c>
      <c r="AP41" s="207">
        <f t="shared" si="211"/>
        <v>0</v>
      </c>
      <c r="AQ41" s="207">
        <f t="shared" ref="AQ41" si="226">IF($AQ$21&gt;0,AE41/$AE$21*$AQ$21,0)</f>
        <v>0</v>
      </c>
      <c r="AR41" s="1145">
        <f t="shared" si="212"/>
        <v>0</v>
      </c>
      <c r="AS41" s="469">
        <f t="shared" si="213"/>
        <v>0</v>
      </c>
      <c r="AT41" s="189">
        <f t="shared" si="214"/>
        <v>0</v>
      </c>
      <c r="AU41" s="383"/>
      <c r="AV41" s="383"/>
      <c r="AW41" s="383"/>
      <c r="AX41" s="1501"/>
      <c r="AY41" s="500"/>
      <c r="AZ41" s="189">
        <f t="shared" si="215"/>
        <v>0</v>
      </c>
      <c r="BA41" s="207">
        <f t="shared" si="216"/>
        <v>0</v>
      </c>
      <c r="BB41" s="207">
        <f>IF($BB$21&gt;0,AP41/$AP$21*$BB$21,0)</f>
        <v>0</v>
      </c>
      <c r="BC41" s="207">
        <f t="shared" si="217"/>
        <v>0</v>
      </c>
      <c r="BD41" s="1145">
        <f t="shared" si="218"/>
        <v>0</v>
      </c>
      <c r="BE41" s="469">
        <f t="shared" si="219"/>
        <v>0</v>
      </c>
      <c r="BF41" s="189">
        <f t="shared" si="220"/>
        <v>0</v>
      </c>
      <c r="BG41" s="383"/>
      <c r="BH41" s="383"/>
      <c r="BI41" s="383"/>
      <c r="BJ41" s="1501"/>
      <c r="BK41" s="500"/>
      <c r="BL41" s="189">
        <f t="shared" ref="BL41:BL58" si="227">BM41+BN41+BO41+BP41</f>
        <v>0</v>
      </c>
      <c r="BM41" s="207">
        <f t="shared" si="221"/>
        <v>0</v>
      </c>
      <c r="BN41" s="207">
        <f t="shared" si="222"/>
        <v>0</v>
      </c>
      <c r="BO41" s="207">
        <f t="shared" si="223"/>
        <v>0</v>
      </c>
      <c r="BP41" s="1145">
        <f t="shared" si="224"/>
        <v>0</v>
      </c>
      <c r="BQ41" s="469">
        <f t="shared" si="225"/>
        <v>0</v>
      </c>
      <c r="BR41" s="940" t="str">
        <f t="shared" si="8"/>
        <v xml:space="preserve"> </v>
      </c>
      <c r="BS41" s="542" t="str">
        <f t="shared" si="9"/>
        <v xml:space="preserve"> </v>
      </c>
      <c r="BT41" s="942" t="str">
        <f t="shared" si="4"/>
        <v xml:space="preserve"> </v>
      </c>
      <c r="BU41" s="324" t="str">
        <f t="shared" si="59"/>
        <v xml:space="preserve"> </v>
      </c>
      <c r="BV41" s="324" t="str">
        <f t="shared" si="60"/>
        <v xml:space="preserve"> </v>
      </c>
      <c r="BW41" s="201" t="str">
        <f t="shared" si="61"/>
        <v xml:space="preserve"> </v>
      </c>
      <c r="BX41" s="967"/>
      <c r="BY41" s="131"/>
      <c r="BZ41" s="132"/>
    </row>
    <row r="42" spans="1:78" s="111" customFormat="1" ht="31.5">
      <c r="A42" s="119">
        <v>5</v>
      </c>
      <c r="B42" s="120" t="s">
        <v>287</v>
      </c>
      <c r="C42" s="1499" t="s">
        <v>1</v>
      </c>
      <c r="D42" s="189">
        <f t="shared" si="198"/>
        <v>240.96</v>
      </c>
      <c r="E42" s="232">
        <f>SUM(E43:E50)</f>
        <v>223.25</v>
      </c>
      <c r="F42" s="232">
        <f t="shared" ref="F42:H42" si="228">SUM(F43:F50)</f>
        <v>17.71</v>
      </c>
      <c r="G42" s="232">
        <f t="shared" si="228"/>
        <v>0</v>
      </c>
      <c r="H42" s="1141">
        <f t="shared" si="228"/>
        <v>0</v>
      </c>
      <c r="I42" s="470">
        <f>SUM(I43:I50)</f>
        <v>0</v>
      </c>
      <c r="J42" s="189">
        <f t="shared" si="199"/>
        <v>287.90999999999997</v>
      </c>
      <c r="K42" s="232">
        <f>SUM(K43:K50)</f>
        <v>172.07900000000001</v>
      </c>
      <c r="L42" s="232">
        <f t="shared" ref="L42:N42" si="229">SUM(L43:L50)</f>
        <v>110.56099999999999</v>
      </c>
      <c r="M42" s="232">
        <f t="shared" si="229"/>
        <v>0</v>
      </c>
      <c r="N42" s="1141">
        <f t="shared" si="229"/>
        <v>5.2700000000000005</v>
      </c>
      <c r="O42" s="470">
        <f>SUM(O43:O50)</f>
        <v>0</v>
      </c>
      <c r="P42" s="189">
        <f t="shared" si="200"/>
        <v>195.96799999999999</v>
      </c>
      <c r="Q42" s="232">
        <f>SUM(Q43:Q50)</f>
        <v>146.05699999999999</v>
      </c>
      <c r="R42" s="232">
        <f t="shared" ref="R42:T42" si="230">SUM(R43:R50)</f>
        <v>49.911000000000001</v>
      </c>
      <c r="S42" s="232">
        <f t="shared" si="230"/>
        <v>0</v>
      </c>
      <c r="T42" s="1141">
        <f t="shared" si="230"/>
        <v>0</v>
      </c>
      <c r="U42" s="470">
        <f>SUM(U43:U50)</f>
        <v>0</v>
      </c>
      <c r="V42" s="189">
        <f t="shared" si="201"/>
        <v>338.56439760000023</v>
      </c>
      <c r="W42" s="232">
        <f>SUM(W43:W50)</f>
        <v>202.34522879999969</v>
      </c>
      <c r="X42" s="232">
        <f t="shared" ref="X42:Z42" si="231">SUM(X43:X50)</f>
        <v>130.02200640000052</v>
      </c>
      <c r="Y42" s="232">
        <f t="shared" si="231"/>
        <v>0</v>
      </c>
      <c r="Z42" s="1141">
        <f t="shared" si="231"/>
        <v>6.1971624000000034</v>
      </c>
      <c r="AA42" s="470">
        <f>SUM(AA43:AA50)</f>
        <v>0</v>
      </c>
      <c r="AB42" s="189">
        <f t="shared" si="202"/>
        <v>200.60461340179742</v>
      </c>
      <c r="AC42" s="232">
        <f>SUM(AC43:AC50)</f>
        <v>149.51266766979438</v>
      </c>
      <c r="AD42" s="232">
        <f t="shared" ref="AD42:AG42" si="232">SUM(AD43:AD50)</f>
        <v>51.09194573200304</v>
      </c>
      <c r="AE42" s="232">
        <f t="shared" si="232"/>
        <v>0</v>
      </c>
      <c r="AF42" s="1141">
        <f t="shared" si="232"/>
        <v>0</v>
      </c>
      <c r="AG42" s="470">
        <f t="shared" si="232"/>
        <v>0</v>
      </c>
      <c r="AH42" s="189">
        <f t="shared" si="208"/>
        <v>348.58590376896024</v>
      </c>
      <c r="AI42" s="232">
        <f>SUM(AI43:AI50)</f>
        <v>208.3346475724797</v>
      </c>
      <c r="AJ42" s="232">
        <f t="shared" ref="AJ42:AL42" si="233">SUM(AJ43:AJ50)</f>
        <v>133.87065778944054</v>
      </c>
      <c r="AK42" s="232">
        <f t="shared" si="233"/>
        <v>0</v>
      </c>
      <c r="AL42" s="1141">
        <f t="shared" si="233"/>
        <v>6.3805984070400044</v>
      </c>
      <c r="AM42" s="470">
        <f>SUM(AM43:AM50)</f>
        <v>0</v>
      </c>
      <c r="AN42" s="189">
        <f t="shared" si="209"/>
        <v>206.54251279183242</v>
      </c>
      <c r="AO42" s="232">
        <f t="shared" ref="AO42:AS42" si="234">SUM(AO43:AO50)</f>
        <v>153.938217825631</v>
      </c>
      <c r="AP42" s="232">
        <f t="shared" si="234"/>
        <v>52.604294966201415</v>
      </c>
      <c r="AQ42" s="232">
        <f t="shared" si="234"/>
        <v>0</v>
      </c>
      <c r="AR42" s="1141">
        <f t="shared" si="234"/>
        <v>0</v>
      </c>
      <c r="AS42" s="470">
        <f t="shared" si="234"/>
        <v>0</v>
      </c>
      <c r="AT42" s="189">
        <f t="shared" si="214"/>
        <v>358.90404652052143</v>
      </c>
      <c r="AU42" s="232">
        <f>SUM(AU43:AU50)</f>
        <v>214.5013531406251</v>
      </c>
      <c r="AV42" s="232">
        <f t="shared" ref="AV42:AX42" si="235">SUM(AV43:AV50)</f>
        <v>137.83322926000798</v>
      </c>
      <c r="AW42" s="232">
        <f t="shared" si="235"/>
        <v>0</v>
      </c>
      <c r="AX42" s="1141">
        <f t="shared" si="235"/>
        <v>6.569464119888389</v>
      </c>
      <c r="AY42" s="470">
        <f>SUM(AY43:AY50)</f>
        <v>0</v>
      </c>
      <c r="AZ42" s="189">
        <f t="shared" si="215"/>
        <v>212.65608926600777</v>
      </c>
      <c r="BA42" s="232">
        <f>SUM(BA43:BA50)</f>
        <v>158.49479186844593</v>
      </c>
      <c r="BB42" s="232">
        <f t="shared" ref="BB42:BE42" si="236">SUM(BB43:BB50)</f>
        <v>54.161297397561839</v>
      </c>
      <c r="BC42" s="232">
        <f t="shared" si="236"/>
        <v>0</v>
      </c>
      <c r="BD42" s="1141">
        <f t="shared" si="236"/>
        <v>0</v>
      </c>
      <c r="BE42" s="470">
        <f t="shared" si="236"/>
        <v>0</v>
      </c>
      <c r="BF42" s="189">
        <f t="shared" si="220"/>
        <v>369.51569714549385</v>
      </c>
      <c r="BG42" s="232">
        <f>SUM(BG43:BG50)</f>
        <v>220.85059319358763</v>
      </c>
      <c r="BH42" s="232">
        <f t="shared" ref="BH42:BJ42" si="237">SUM(BH43:BH50)</f>
        <v>141.91309284610423</v>
      </c>
      <c r="BI42" s="232">
        <f t="shared" si="237"/>
        <v>0</v>
      </c>
      <c r="BJ42" s="1141">
        <f t="shared" si="237"/>
        <v>6.7520111058020209</v>
      </c>
      <c r="BK42" s="470">
        <f>SUM(BK43:BK50)</f>
        <v>0</v>
      </c>
      <c r="BL42" s="189">
        <f t="shared" si="227"/>
        <v>218.95088994625991</v>
      </c>
      <c r="BM42" s="232">
        <f>SUM(BM43:BM50)</f>
        <v>163.18632051484849</v>
      </c>
      <c r="BN42" s="232">
        <f t="shared" ref="BN42:BQ42" si="238">SUM(BN43:BN50)</f>
        <v>55.764569431411424</v>
      </c>
      <c r="BO42" s="232">
        <f t="shared" si="238"/>
        <v>0</v>
      </c>
      <c r="BP42" s="1141">
        <f t="shared" si="238"/>
        <v>0</v>
      </c>
      <c r="BQ42" s="470">
        <f t="shared" si="238"/>
        <v>0</v>
      </c>
      <c r="BR42" s="940">
        <f t="shared" si="8"/>
        <v>0.68065714980375813</v>
      </c>
      <c r="BS42" s="542">
        <f t="shared" si="9"/>
        <v>0.81328021248339966</v>
      </c>
      <c r="BT42" s="942">
        <f t="shared" si="4"/>
        <v>1.023660053691406</v>
      </c>
      <c r="BU42" s="324">
        <f t="shared" si="59"/>
        <v>1.0296000141240111</v>
      </c>
      <c r="BV42" s="324">
        <f t="shared" si="60"/>
        <v>1.0295996034498573</v>
      </c>
      <c r="BW42" s="201">
        <f t="shared" si="61"/>
        <v>1.029600848496645</v>
      </c>
      <c r="BX42" s="970"/>
    </row>
    <row r="43" spans="1:78" s="83" customFormat="1" ht="18.75">
      <c r="A43" s="133"/>
      <c r="B43" s="130" t="s">
        <v>275</v>
      </c>
      <c r="C43" s="1507" t="s">
        <v>1</v>
      </c>
      <c r="D43" s="189">
        <f t="shared" si="198"/>
        <v>0</v>
      </c>
      <c r="E43" s="207"/>
      <c r="F43" s="207"/>
      <c r="G43" s="207"/>
      <c r="H43" s="1145"/>
      <c r="I43" s="469"/>
      <c r="J43" s="189">
        <f>K43+L43+M43+N43</f>
        <v>10.19</v>
      </c>
      <c r="K43" s="383">
        <v>6.09</v>
      </c>
      <c r="L43" s="383">
        <v>3.9129999999999998</v>
      </c>
      <c r="M43" s="383"/>
      <c r="N43" s="1501">
        <v>0.187</v>
      </c>
      <c r="O43" s="500"/>
      <c r="P43" s="189">
        <f t="shared" si="200"/>
        <v>10.187000000000001</v>
      </c>
      <c r="Q43" s="1108">
        <f>6.09+N43</f>
        <v>6.2770000000000001</v>
      </c>
      <c r="R43" s="1108">
        <v>3.91</v>
      </c>
      <c r="S43" s="207"/>
      <c r="T43" s="1145"/>
      <c r="U43" s="469"/>
      <c r="V43" s="189">
        <f>W43+X43+Y43+Z43</f>
        <v>10.491624</v>
      </c>
      <c r="W43" s="383">
        <v>6.2702640000000001</v>
      </c>
      <c r="X43" s="383">
        <v>4.0288247999999998</v>
      </c>
      <c r="Y43" s="383"/>
      <c r="Z43" s="1501">
        <v>0.19253520000000002</v>
      </c>
      <c r="AA43" s="500"/>
      <c r="AB43" s="189">
        <f t="shared" si="202"/>
        <v>10.428026692396831</v>
      </c>
      <c r="AC43" s="207">
        <f t="shared" ref="AC43:AC54" si="239">IF($AC$21&gt;0,Q43/$Q$21*$AC$21,0)</f>
        <v>6.4255120601087201</v>
      </c>
      <c r="AD43" s="207">
        <f t="shared" ref="AD43:AD54" si="240">IF($AD$21&gt;0,R43/$R$21*$AD$21,0)</f>
        <v>4.0025146322881104</v>
      </c>
      <c r="AE43" s="207">
        <f t="shared" ref="AE43:AE54" si="241">IF($AE$21&gt;0,S43/$S$21*$AE$21,0)</f>
        <v>0</v>
      </c>
      <c r="AF43" s="1145">
        <f t="shared" ref="AF43:AF54" si="242">IF($AF$21&gt;0,T43/$T$21*$AF$21,0)</f>
        <v>0</v>
      </c>
      <c r="AG43" s="469">
        <f t="shared" ref="AG43:AG54" si="243">IF($AG$21&gt;0,U43/$U$21*$AG$21,0)</f>
        <v>0</v>
      </c>
      <c r="AH43" s="189">
        <f>AI43+AJ43+AK43+AL43</f>
        <v>10.8021760704</v>
      </c>
      <c r="AI43" s="383">
        <v>6.4558638144000007</v>
      </c>
      <c r="AJ43" s="383">
        <v>4.1480780140800002</v>
      </c>
      <c r="AK43" s="383"/>
      <c r="AL43" s="1501">
        <v>0.19823424192000003</v>
      </c>
      <c r="AM43" s="500"/>
      <c r="AN43" s="189">
        <f t="shared" si="209"/>
        <v>10.73669738171262</v>
      </c>
      <c r="AO43" s="207">
        <f t="shared" ref="AO43:AO54" si="244">IF($AO$21&gt;0,AC43/$AC$21*$AO$21,0)</f>
        <v>6.6157061509649377</v>
      </c>
      <c r="AP43" s="207">
        <f t="shared" ref="AP43:AP54" si="245">IF($AP$21&gt;0,AD43/$AD$21*$AP$21,0)</f>
        <v>4.1209912307476824</v>
      </c>
      <c r="AQ43" s="207">
        <f t="shared" ref="AQ43:AQ54" si="246">IF($AQ$21&gt;0,AE43/$AE$21*$AQ$21,0)</f>
        <v>0</v>
      </c>
      <c r="AR43" s="1145">
        <f t="shared" ref="AR43:AR54" si="247">IF($AR$21&gt;0,AF43/$AF$21*$AR$21,0)</f>
        <v>0</v>
      </c>
      <c r="AS43" s="469">
        <f t="shared" ref="AS43:AS54" si="248">IF($AS$21&gt;0,AG43/$AG$21*$AS$21,0)</f>
        <v>0</v>
      </c>
      <c r="AT43" s="189">
        <f>AU43+AV43+AW43+AX43</f>
        <v>11.121920482083841</v>
      </c>
      <c r="AU43" s="383">
        <v>6.6469573833062414</v>
      </c>
      <c r="AV43" s="383">
        <v>4.2708611232967684</v>
      </c>
      <c r="AW43" s="383"/>
      <c r="AX43" s="1501">
        <v>0.20410197548083203</v>
      </c>
      <c r="AY43" s="500"/>
      <c r="AZ43" s="189">
        <f t="shared" si="215"/>
        <v>11.054497109015195</v>
      </c>
      <c r="BA43" s="207">
        <f t="shared" ref="BA43:BA54" si="249">IF($BA$21&gt;0,AO43/$AO$21*$BA$21,0)</f>
        <v>6.8115311731600352</v>
      </c>
      <c r="BB43" s="207">
        <f t="shared" ref="BB43:BB54" si="250">IF($BB$21&gt;0,AP43/$AP$21*$BB$21,0)</f>
        <v>4.2429659358551586</v>
      </c>
      <c r="BC43" s="207">
        <f t="shared" ref="BC43:BC54" si="251">IF($BC$21&gt;0,AQ43/$AQ$21*$BC$21,0)</f>
        <v>0</v>
      </c>
      <c r="BD43" s="1145">
        <f t="shared" ref="BD43:BD54" si="252">IF($BD$21&gt;0,AR43/$AR$21*$BD$21,0)</f>
        <v>0</v>
      </c>
      <c r="BE43" s="469">
        <f t="shared" ref="BE43:BE54" si="253">IF($BE$21&gt;0,AS43/$AS$21*$BE$21,0)</f>
        <v>0</v>
      </c>
      <c r="BF43" s="189">
        <f>BG43+BH43+BI43+BJ43</f>
        <v>11.439220176318459</v>
      </c>
      <c r="BG43" s="383">
        <v>6.843707321852107</v>
      </c>
      <c r="BH43" s="383">
        <v>4.3972786125463532</v>
      </c>
      <c r="BI43" s="383"/>
      <c r="BJ43" s="1501">
        <v>0.19823424192000003</v>
      </c>
      <c r="BK43" s="500"/>
      <c r="BL43" s="189">
        <f t="shared" si="227"/>
        <v>11.381721430539665</v>
      </c>
      <c r="BM43" s="207">
        <f t="shared" ref="BM43:BM54" si="254">IF($BM$21&gt;0,BA43/$BA$21*$BM$21,0)</f>
        <v>7.0131560546341785</v>
      </c>
      <c r="BN43" s="207">
        <f t="shared" ref="BN43:BN54" si="255">IF($BN$21&gt;0,BB43/$BB$21*$BN$21,0)</f>
        <v>4.3685653759054865</v>
      </c>
      <c r="BO43" s="207">
        <f t="shared" ref="BO43:BO54" si="256">IF($BO$21&gt;0,BC43/$BC$21*$BO$21,0)</f>
        <v>0</v>
      </c>
      <c r="BP43" s="1145">
        <f t="shared" ref="BP43:BP54" si="257">IF($BP$21&gt;0,BD43/$BD$21*$BP$21,0)</f>
        <v>0</v>
      </c>
      <c r="BQ43" s="469">
        <f t="shared" ref="BQ43:BQ54" si="258">IF($BQ$21&gt;0,BE43/$BE$21*$BQ$21,0)</f>
        <v>0</v>
      </c>
      <c r="BR43" s="940">
        <f t="shared" si="8"/>
        <v>0.99970559371933287</v>
      </c>
      <c r="BS43" s="542" t="str">
        <f t="shared" si="9"/>
        <v xml:space="preserve"> </v>
      </c>
      <c r="BT43" s="942">
        <f t="shared" si="4"/>
        <v>1.0236602230683056</v>
      </c>
      <c r="BU43" s="324">
        <f t="shared" si="59"/>
        <v>1.0296001054102446</v>
      </c>
      <c r="BV43" s="324">
        <f t="shared" si="60"/>
        <v>1.029599393184339</v>
      </c>
      <c r="BW43" s="201">
        <f t="shared" si="61"/>
        <v>1.029601013804383</v>
      </c>
      <c r="BX43" s="970"/>
      <c r="BY43" s="131"/>
    </row>
    <row r="44" spans="1:78" s="83" customFormat="1" ht="18.75">
      <c r="A44" s="133"/>
      <c r="B44" s="130" t="s">
        <v>276</v>
      </c>
      <c r="C44" s="1507" t="s">
        <v>1</v>
      </c>
      <c r="D44" s="189">
        <f t="shared" si="198"/>
        <v>0</v>
      </c>
      <c r="E44" s="207"/>
      <c r="F44" s="207"/>
      <c r="G44" s="207"/>
      <c r="H44" s="1145"/>
      <c r="I44" s="469"/>
      <c r="J44" s="189">
        <f>K44+L44+M44+N44</f>
        <v>0</v>
      </c>
      <c r="K44" s="383"/>
      <c r="L44" s="383"/>
      <c r="M44" s="383"/>
      <c r="N44" s="1501"/>
      <c r="O44" s="500"/>
      <c r="P44" s="189">
        <f t="shared" si="200"/>
        <v>0</v>
      </c>
      <c r="Q44" s="207"/>
      <c r="R44" s="207"/>
      <c r="S44" s="207"/>
      <c r="T44" s="1145"/>
      <c r="U44" s="469"/>
      <c r="V44" s="189">
        <f>W44+X44+Y44+Z44</f>
        <v>0</v>
      </c>
      <c r="W44" s="383"/>
      <c r="X44" s="383"/>
      <c r="Y44" s="383"/>
      <c r="Z44" s="1501"/>
      <c r="AA44" s="500"/>
      <c r="AB44" s="189">
        <f t="shared" si="202"/>
        <v>0</v>
      </c>
      <c r="AC44" s="207">
        <f t="shared" si="239"/>
        <v>0</v>
      </c>
      <c r="AD44" s="207">
        <f t="shared" si="240"/>
        <v>0</v>
      </c>
      <c r="AE44" s="207">
        <f t="shared" si="241"/>
        <v>0</v>
      </c>
      <c r="AF44" s="1145">
        <f t="shared" si="242"/>
        <v>0</v>
      </c>
      <c r="AG44" s="469">
        <f t="shared" si="243"/>
        <v>0</v>
      </c>
      <c r="AH44" s="189">
        <f>AI44+AJ44+AK44+AL44</f>
        <v>0</v>
      </c>
      <c r="AI44" s="383"/>
      <c r="AJ44" s="383"/>
      <c r="AK44" s="383"/>
      <c r="AL44" s="1501"/>
      <c r="AM44" s="500"/>
      <c r="AN44" s="189">
        <f t="shared" si="209"/>
        <v>0</v>
      </c>
      <c r="AO44" s="207">
        <f t="shared" si="244"/>
        <v>0</v>
      </c>
      <c r="AP44" s="207">
        <f t="shared" si="245"/>
        <v>0</v>
      </c>
      <c r="AQ44" s="207">
        <f t="shared" si="246"/>
        <v>0</v>
      </c>
      <c r="AR44" s="1145">
        <f t="shared" si="247"/>
        <v>0</v>
      </c>
      <c r="AS44" s="469">
        <f t="shared" si="248"/>
        <v>0</v>
      </c>
      <c r="AT44" s="189">
        <f>AU44+AV44+AW44+AX44</f>
        <v>0</v>
      </c>
      <c r="AU44" s="383"/>
      <c r="AV44" s="383"/>
      <c r="AW44" s="383"/>
      <c r="AX44" s="1501"/>
      <c r="AY44" s="500"/>
      <c r="AZ44" s="189">
        <f t="shared" si="215"/>
        <v>0</v>
      </c>
      <c r="BA44" s="207">
        <f t="shared" si="249"/>
        <v>0</v>
      </c>
      <c r="BB44" s="207">
        <f t="shared" si="250"/>
        <v>0</v>
      </c>
      <c r="BC44" s="207">
        <f t="shared" si="251"/>
        <v>0</v>
      </c>
      <c r="BD44" s="1145">
        <f t="shared" si="252"/>
        <v>0</v>
      </c>
      <c r="BE44" s="469">
        <f t="shared" si="253"/>
        <v>0</v>
      </c>
      <c r="BF44" s="189">
        <f>BG44+BH44+BI44+BJ44</f>
        <v>0</v>
      </c>
      <c r="BG44" s="383"/>
      <c r="BH44" s="383"/>
      <c r="BI44" s="383"/>
      <c r="BJ44" s="1501"/>
      <c r="BK44" s="500"/>
      <c r="BL44" s="189">
        <f t="shared" si="227"/>
        <v>0</v>
      </c>
      <c r="BM44" s="207">
        <f t="shared" si="254"/>
        <v>0</v>
      </c>
      <c r="BN44" s="207">
        <f t="shared" si="255"/>
        <v>0</v>
      </c>
      <c r="BO44" s="207">
        <f t="shared" si="256"/>
        <v>0</v>
      </c>
      <c r="BP44" s="1145">
        <f t="shared" si="257"/>
        <v>0</v>
      </c>
      <c r="BQ44" s="469">
        <f t="shared" si="258"/>
        <v>0</v>
      </c>
      <c r="BR44" s="940" t="str">
        <f t="shared" si="8"/>
        <v xml:space="preserve"> </v>
      </c>
      <c r="BS44" s="542" t="str">
        <f t="shared" si="9"/>
        <v xml:space="preserve"> </v>
      </c>
      <c r="BT44" s="942" t="str">
        <f t="shared" si="4"/>
        <v xml:space="preserve"> </v>
      </c>
      <c r="BU44" s="324" t="str">
        <f t="shared" si="59"/>
        <v xml:space="preserve"> </v>
      </c>
      <c r="BV44" s="324" t="str">
        <f t="shared" si="60"/>
        <v xml:space="preserve"> </v>
      </c>
      <c r="BW44" s="201" t="str">
        <f t="shared" si="61"/>
        <v xml:space="preserve"> </v>
      </c>
      <c r="BX44" s="970"/>
    </row>
    <row r="45" spans="1:78" s="83" customFormat="1" ht="18.75">
      <c r="A45" s="133"/>
      <c r="B45" s="130" t="s">
        <v>277</v>
      </c>
      <c r="C45" s="1507" t="s">
        <v>1</v>
      </c>
      <c r="D45" s="189">
        <f t="shared" si="198"/>
        <v>0</v>
      </c>
      <c r="E45" s="207"/>
      <c r="F45" s="207"/>
      <c r="G45" s="207"/>
      <c r="H45" s="1145"/>
      <c r="I45" s="469"/>
      <c r="J45" s="189">
        <f t="shared" ref="J45:J51" si="259">K45+L45+M45+N45</f>
        <v>0</v>
      </c>
      <c r="K45" s="383"/>
      <c r="L45" s="383"/>
      <c r="M45" s="383"/>
      <c r="N45" s="1501"/>
      <c r="O45" s="500"/>
      <c r="P45" s="189">
        <f t="shared" si="200"/>
        <v>0</v>
      </c>
      <c r="Q45" s="207">
        <f>K45</f>
        <v>0</v>
      </c>
      <c r="R45" s="207"/>
      <c r="S45" s="207"/>
      <c r="T45" s="1145"/>
      <c r="U45" s="469"/>
      <c r="V45" s="189">
        <f t="shared" ref="V45:V51" si="260">W45+X45+Y45+Z45</f>
        <v>0</v>
      </c>
      <c r="W45" s="383"/>
      <c r="X45" s="383"/>
      <c r="Y45" s="383"/>
      <c r="Z45" s="1501"/>
      <c r="AA45" s="500"/>
      <c r="AB45" s="189">
        <f t="shared" si="202"/>
        <v>0</v>
      </c>
      <c r="AC45" s="207">
        <f t="shared" si="239"/>
        <v>0</v>
      </c>
      <c r="AD45" s="207">
        <f t="shared" si="240"/>
        <v>0</v>
      </c>
      <c r="AE45" s="207">
        <f t="shared" si="241"/>
        <v>0</v>
      </c>
      <c r="AF45" s="1145">
        <f t="shared" si="242"/>
        <v>0</v>
      </c>
      <c r="AG45" s="469">
        <f t="shared" si="243"/>
        <v>0</v>
      </c>
      <c r="AH45" s="189">
        <f t="shared" ref="AH45:AH51" si="261">AI45+AJ45+AK45+AL45</f>
        <v>0</v>
      </c>
      <c r="AI45" s="383"/>
      <c r="AJ45" s="383"/>
      <c r="AK45" s="383"/>
      <c r="AL45" s="1501"/>
      <c r="AM45" s="500"/>
      <c r="AN45" s="189">
        <f t="shared" si="209"/>
        <v>0</v>
      </c>
      <c r="AO45" s="207">
        <f t="shared" si="244"/>
        <v>0</v>
      </c>
      <c r="AP45" s="207">
        <f t="shared" si="245"/>
        <v>0</v>
      </c>
      <c r="AQ45" s="207">
        <f t="shared" si="246"/>
        <v>0</v>
      </c>
      <c r="AR45" s="1145">
        <f t="shared" si="247"/>
        <v>0</v>
      </c>
      <c r="AS45" s="469">
        <f t="shared" si="248"/>
        <v>0</v>
      </c>
      <c r="AT45" s="189">
        <f t="shared" ref="AT45:AT51" si="262">AU45+AV45+AW45+AX45</f>
        <v>0</v>
      </c>
      <c r="AU45" s="383"/>
      <c r="AV45" s="383"/>
      <c r="AW45" s="383"/>
      <c r="AX45" s="1501"/>
      <c r="AY45" s="500"/>
      <c r="AZ45" s="189">
        <f t="shared" si="215"/>
        <v>0</v>
      </c>
      <c r="BA45" s="207">
        <f t="shared" si="249"/>
        <v>0</v>
      </c>
      <c r="BB45" s="207">
        <f t="shared" si="250"/>
        <v>0</v>
      </c>
      <c r="BC45" s="207">
        <f t="shared" si="251"/>
        <v>0</v>
      </c>
      <c r="BD45" s="1145">
        <f t="shared" si="252"/>
        <v>0</v>
      </c>
      <c r="BE45" s="469">
        <f t="shared" si="253"/>
        <v>0</v>
      </c>
      <c r="BF45" s="189">
        <f t="shared" ref="BF45:BF51" si="263">BG45+BH45+BI45+BJ45</f>
        <v>0</v>
      </c>
      <c r="BG45" s="383"/>
      <c r="BH45" s="383"/>
      <c r="BI45" s="383"/>
      <c r="BJ45" s="1501"/>
      <c r="BK45" s="500"/>
      <c r="BL45" s="189">
        <f t="shared" si="227"/>
        <v>0</v>
      </c>
      <c r="BM45" s="207">
        <f t="shared" si="254"/>
        <v>0</v>
      </c>
      <c r="BN45" s="207">
        <f t="shared" si="255"/>
        <v>0</v>
      </c>
      <c r="BO45" s="207">
        <f t="shared" si="256"/>
        <v>0</v>
      </c>
      <c r="BP45" s="1145">
        <f t="shared" si="257"/>
        <v>0</v>
      </c>
      <c r="BQ45" s="469">
        <f t="shared" si="258"/>
        <v>0</v>
      </c>
      <c r="BR45" s="940" t="str">
        <f t="shared" si="8"/>
        <v xml:space="preserve"> </v>
      </c>
      <c r="BS45" s="542" t="str">
        <f t="shared" si="9"/>
        <v xml:space="preserve"> </v>
      </c>
      <c r="BT45" s="942" t="str">
        <f t="shared" si="4"/>
        <v xml:space="preserve"> </v>
      </c>
      <c r="BU45" s="324" t="str">
        <f t="shared" si="59"/>
        <v xml:space="preserve"> </v>
      </c>
      <c r="BV45" s="324" t="str">
        <f t="shared" si="60"/>
        <v xml:space="preserve"> </v>
      </c>
      <c r="BW45" s="201" t="str">
        <f t="shared" si="61"/>
        <v xml:space="preserve"> </v>
      </c>
      <c r="BX45" s="969" t="s">
        <v>489</v>
      </c>
    </row>
    <row r="46" spans="1:78" s="83" customFormat="1" ht="31.5">
      <c r="A46" s="133"/>
      <c r="B46" s="130" t="s">
        <v>278</v>
      </c>
      <c r="C46" s="1507" t="s">
        <v>1</v>
      </c>
      <c r="D46" s="189">
        <f t="shared" si="198"/>
        <v>40.86</v>
      </c>
      <c r="E46" s="207">
        <v>37.85</v>
      </c>
      <c r="F46" s="207">
        <v>3.01</v>
      </c>
      <c r="G46" s="207"/>
      <c r="H46" s="1145"/>
      <c r="I46" s="469"/>
      <c r="J46" s="189">
        <f t="shared" si="259"/>
        <v>91.86</v>
      </c>
      <c r="K46" s="383">
        <f>35.961+18.94</f>
        <v>54.900999999999996</v>
      </c>
      <c r="L46" s="383">
        <f>23.108+12.17</f>
        <v>35.277999999999999</v>
      </c>
      <c r="M46" s="383"/>
      <c r="N46" s="1501">
        <f>1.101+0.58</f>
        <v>1.681</v>
      </c>
      <c r="O46" s="500"/>
      <c r="P46" s="189">
        <f t="shared" si="200"/>
        <v>43.889999999999993</v>
      </c>
      <c r="Q46" s="207">
        <f>ROUND(E46*[184]индексы!G8*[184]индексы!H8,2)</f>
        <v>40.659999999999997</v>
      </c>
      <c r="R46" s="207">
        <f>ROUND(F46*[184]индексы!G8*[184]индексы!H8,2)</f>
        <v>3.23</v>
      </c>
      <c r="S46" s="207"/>
      <c r="T46" s="1145"/>
      <c r="U46" s="469"/>
      <c r="V46" s="189">
        <f t="shared" si="260"/>
        <v>61.951032000000005</v>
      </c>
      <c r="W46" s="383">
        <v>37.025445599999998</v>
      </c>
      <c r="X46" s="383">
        <v>23.791996800000003</v>
      </c>
      <c r="Y46" s="383"/>
      <c r="Z46" s="1501">
        <v>1.1335896000000001</v>
      </c>
      <c r="AA46" s="500"/>
      <c r="AB46" s="189">
        <f t="shared" si="202"/>
        <v>44.928429331119467</v>
      </c>
      <c r="AC46" s="207">
        <f t="shared" si="239"/>
        <v>41.622004200098857</v>
      </c>
      <c r="AD46" s="207">
        <f t="shared" si="240"/>
        <v>3.3064251310206125</v>
      </c>
      <c r="AE46" s="207">
        <f t="shared" si="241"/>
        <v>0</v>
      </c>
      <c r="AF46" s="1145">
        <f t="shared" si="242"/>
        <v>0</v>
      </c>
      <c r="AG46" s="469">
        <f t="shared" si="243"/>
        <v>0</v>
      </c>
      <c r="AH46" s="189">
        <f t="shared" si="261"/>
        <v>63.78478254720001</v>
      </c>
      <c r="AI46" s="383">
        <v>38.121398789760001</v>
      </c>
      <c r="AJ46" s="383">
        <v>24.496239905280007</v>
      </c>
      <c r="AK46" s="383"/>
      <c r="AL46" s="1501">
        <v>1.1671438521600002</v>
      </c>
      <c r="AM46" s="500"/>
      <c r="AN46" s="189">
        <f t="shared" si="209"/>
        <v>46.258305722146766</v>
      </c>
      <c r="AO46" s="207">
        <f t="shared" si="244"/>
        <v>42.854008618485636</v>
      </c>
      <c r="AP46" s="207">
        <f t="shared" si="245"/>
        <v>3.4042971036611283</v>
      </c>
      <c r="AQ46" s="207">
        <f t="shared" si="246"/>
        <v>0</v>
      </c>
      <c r="AR46" s="1145">
        <f t="shared" si="247"/>
        <v>0</v>
      </c>
      <c r="AS46" s="469">
        <f t="shared" si="248"/>
        <v>0</v>
      </c>
      <c r="AT46" s="189">
        <f t="shared" si="262"/>
        <v>65.672812110597121</v>
      </c>
      <c r="AU46" s="383">
        <v>39.249792193936898</v>
      </c>
      <c r="AV46" s="383">
        <v>25.221328606476298</v>
      </c>
      <c r="AW46" s="383"/>
      <c r="AX46" s="1501">
        <v>1.2016913101839362</v>
      </c>
      <c r="AY46" s="500"/>
      <c r="AZ46" s="189">
        <f t="shared" si="215"/>
        <v>47.62754686830246</v>
      </c>
      <c r="BA46" s="207">
        <f t="shared" si="249"/>
        <v>44.122488051726457</v>
      </c>
      <c r="BB46" s="207">
        <f t="shared" si="250"/>
        <v>3.5050588165759997</v>
      </c>
      <c r="BC46" s="207">
        <f t="shared" si="251"/>
        <v>0</v>
      </c>
      <c r="BD46" s="1145">
        <f t="shared" si="252"/>
        <v>0</v>
      </c>
      <c r="BE46" s="469">
        <f t="shared" si="253"/>
        <v>0</v>
      </c>
      <c r="BF46" s="189">
        <f t="shared" si="263"/>
        <v>67.6167273490708</v>
      </c>
      <c r="BG46" s="383">
        <v>40.411586042877431</v>
      </c>
      <c r="BH46" s="383">
        <v>25.967879933227998</v>
      </c>
      <c r="BI46" s="383"/>
      <c r="BJ46" s="1501">
        <v>1.2372613729653807</v>
      </c>
      <c r="BK46" s="500"/>
      <c r="BL46" s="189">
        <f t="shared" si="227"/>
        <v>49.03735162601496</v>
      </c>
      <c r="BM46" s="207">
        <f t="shared" si="254"/>
        <v>45.42853675026695</v>
      </c>
      <c r="BN46" s="207">
        <f t="shared" si="255"/>
        <v>3.608814875748009</v>
      </c>
      <c r="BO46" s="207">
        <f t="shared" si="256"/>
        <v>0</v>
      </c>
      <c r="BP46" s="1145">
        <f t="shared" si="257"/>
        <v>0</v>
      </c>
      <c r="BQ46" s="469">
        <f t="shared" si="258"/>
        <v>0</v>
      </c>
      <c r="BR46" s="940">
        <f t="shared" si="8"/>
        <v>0.47779229261920309</v>
      </c>
      <c r="BS46" s="542">
        <f t="shared" si="9"/>
        <v>1.0741556534508074</v>
      </c>
      <c r="BT46" s="942">
        <f t="shared" si="4"/>
        <v>1.0236598161567436</v>
      </c>
      <c r="BU46" s="324">
        <f t="shared" si="59"/>
        <v>1.0295998861038786</v>
      </c>
      <c r="BV46" s="324">
        <f t="shared" si="60"/>
        <v>1.0295998983270187</v>
      </c>
      <c r="BW46" s="201">
        <f t="shared" si="61"/>
        <v>1.0296006166685601</v>
      </c>
      <c r="BX46" s="969" t="s">
        <v>489</v>
      </c>
    </row>
    <row r="47" spans="1:78" s="83" customFormat="1" ht="18.75" outlineLevel="1">
      <c r="A47" s="133"/>
      <c r="B47" s="130" t="s">
        <v>280</v>
      </c>
      <c r="C47" s="1507" t="s">
        <v>1</v>
      </c>
      <c r="D47" s="189">
        <f t="shared" si="198"/>
        <v>11.020000000000001</v>
      </c>
      <c r="E47" s="207">
        <v>10.220000000000001</v>
      </c>
      <c r="F47" s="207">
        <v>0.8</v>
      </c>
      <c r="G47" s="207"/>
      <c r="H47" s="1145"/>
      <c r="I47" s="469"/>
      <c r="J47" s="189">
        <f t="shared" si="259"/>
        <v>11.46</v>
      </c>
      <c r="K47" s="383">
        <v>6.8490000000000002</v>
      </c>
      <c r="L47" s="383">
        <v>4.4009999999999998</v>
      </c>
      <c r="M47" s="383"/>
      <c r="N47" s="1501">
        <v>0.21</v>
      </c>
      <c r="O47" s="500"/>
      <c r="P47" s="189">
        <f t="shared" si="200"/>
        <v>2.66</v>
      </c>
      <c r="Q47" s="207">
        <v>2.66</v>
      </c>
      <c r="R47" s="207"/>
      <c r="S47" s="207"/>
      <c r="T47" s="1145"/>
      <c r="U47" s="469"/>
      <c r="V47" s="189">
        <f t="shared" si="260"/>
        <v>0</v>
      </c>
      <c r="W47" s="383"/>
      <c r="X47" s="383"/>
      <c r="Y47" s="383"/>
      <c r="Z47" s="1501"/>
      <c r="AA47" s="500"/>
      <c r="AB47" s="189">
        <f t="shared" si="202"/>
        <v>2.7229348542120753</v>
      </c>
      <c r="AC47" s="207">
        <f t="shared" si="239"/>
        <v>2.7229348542120753</v>
      </c>
      <c r="AD47" s="207">
        <f t="shared" si="240"/>
        <v>0</v>
      </c>
      <c r="AE47" s="207">
        <f t="shared" si="241"/>
        <v>0</v>
      </c>
      <c r="AF47" s="1145">
        <f t="shared" si="242"/>
        <v>0</v>
      </c>
      <c r="AG47" s="469">
        <f t="shared" si="243"/>
        <v>0</v>
      </c>
      <c r="AH47" s="189">
        <f t="shared" si="261"/>
        <v>0</v>
      </c>
      <c r="AI47" s="383"/>
      <c r="AJ47" s="383"/>
      <c r="AK47" s="383"/>
      <c r="AL47" s="1501"/>
      <c r="AM47" s="500"/>
      <c r="AN47" s="189">
        <f t="shared" si="209"/>
        <v>2.8035332741065377</v>
      </c>
      <c r="AO47" s="207">
        <f t="shared" si="244"/>
        <v>2.8035332741065377</v>
      </c>
      <c r="AP47" s="207">
        <f t="shared" si="245"/>
        <v>0</v>
      </c>
      <c r="AQ47" s="207">
        <f t="shared" si="246"/>
        <v>0</v>
      </c>
      <c r="AR47" s="1145">
        <f t="shared" si="247"/>
        <v>0</v>
      </c>
      <c r="AS47" s="469">
        <f t="shared" si="248"/>
        <v>0</v>
      </c>
      <c r="AT47" s="189">
        <f t="shared" si="262"/>
        <v>0</v>
      </c>
      <c r="AU47" s="383"/>
      <c r="AV47" s="383"/>
      <c r="AW47" s="383"/>
      <c r="AX47" s="1501"/>
      <c r="AY47" s="500"/>
      <c r="AZ47" s="189">
        <f t="shared" si="215"/>
        <v>2.886517909926031</v>
      </c>
      <c r="BA47" s="207">
        <f t="shared" si="249"/>
        <v>2.886517909926031</v>
      </c>
      <c r="BB47" s="207">
        <f t="shared" si="250"/>
        <v>0</v>
      </c>
      <c r="BC47" s="207">
        <f t="shared" si="251"/>
        <v>0</v>
      </c>
      <c r="BD47" s="1145">
        <f t="shared" si="252"/>
        <v>0</v>
      </c>
      <c r="BE47" s="469">
        <f t="shared" si="253"/>
        <v>0</v>
      </c>
      <c r="BF47" s="189">
        <f t="shared" si="263"/>
        <v>0</v>
      </c>
      <c r="BG47" s="383"/>
      <c r="BH47" s="383"/>
      <c r="BI47" s="383"/>
      <c r="BJ47" s="1501"/>
      <c r="BK47" s="500"/>
      <c r="BL47" s="189">
        <f t="shared" si="227"/>
        <v>2.9719603481483059</v>
      </c>
      <c r="BM47" s="207">
        <f t="shared" si="254"/>
        <v>2.9719603481483059</v>
      </c>
      <c r="BN47" s="207">
        <f t="shared" si="255"/>
        <v>0</v>
      </c>
      <c r="BO47" s="207">
        <f t="shared" si="256"/>
        <v>0</v>
      </c>
      <c r="BP47" s="1145">
        <f t="shared" si="257"/>
        <v>0</v>
      </c>
      <c r="BQ47" s="469">
        <f t="shared" si="258"/>
        <v>0</v>
      </c>
      <c r="BR47" s="940">
        <f t="shared" si="8"/>
        <v>0.23211169284467714</v>
      </c>
      <c r="BS47" s="542">
        <f t="shared" si="9"/>
        <v>0.24137931034482757</v>
      </c>
      <c r="BT47" s="942">
        <f t="shared" si="4"/>
        <v>1.0236597196285997</v>
      </c>
      <c r="BU47" s="324">
        <f t="shared" si="59"/>
        <v>1.0295998340796828</v>
      </c>
      <c r="BV47" s="324">
        <f t="shared" si="60"/>
        <v>1.0296000181577798</v>
      </c>
      <c r="BW47" s="201">
        <f t="shared" si="61"/>
        <v>1.0296005224594169</v>
      </c>
      <c r="BX47" s="969" t="s">
        <v>489</v>
      </c>
    </row>
    <row r="48" spans="1:78" s="83" customFormat="1" ht="47.25" outlineLevel="1">
      <c r="A48" s="133"/>
      <c r="B48" s="130" t="s">
        <v>70</v>
      </c>
      <c r="C48" s="1507" t="s">
        <v>1</v>
      </c>
      <c r="D48" s="189">
        <f t="shared" si="198"/>
        <v>12.120000000000001</v>
      </c>
      <c r="E48" s="207">
        <v>11.22</v>
      </c>
      <c r="F48" s="207">
        <v>0.9</v>
      </c>
      <c r="G48" s="207"/>
      <c r="H48" s="1145"/>
      <c r="I48" s="469"/>
      <c r="J48" s="189">
        <f t="shared" si="259"/>
        <v>12.6</v>
      </c>
      <c r="K48" s="383">
        <v>7.53</v>
      </c>
      <c r="L48" s="383">
        <v>4.8390000000000004</v>
      </c>
      <c r="M48" s="383"/>
      <c r="N48" s="1501">
        <v>0.23100000000000001</v>
      </c>
      <c r="O48" s="500"/>
      <c r="P48" s="189">
        <f t="shared" si="200"/>
        <v>12.600000000000001</v>
      </c>
      <c r="Q48" s="207">
        <f>K48+N48</f>
        <v>7.7610000000000001</v>
      </c>
      <c r="R48" s="207">
        <f>L48</f>
        <v>4.8390000000000004</v>
      </c>
      <c r="S48" s="207"/>
      <c r="T48" s="1145"/>
      <c r="U48" s="469"/>
      <c r="V48" s="189">
        <f t="shared" si="260"/>
        <v>0</v>
      </c>
      <c r="W48" s="383"/>
      <c r="X48" s="383"/>
      <c r="Y48" s="383"/>
      <c r="Z48" s="1501"/>
      <c r="AA48" s="500"/>
      <c r="AB48" s="189">
        <f t="shared" si="202"/>
        <v>12.898118814380826</v>
      </c>
      <c r="AC48" s="207">
        <f t="shared" si="239"/>
        <v>7.9446230840375609</v>
      </c>
      <c r="AD48" s="207">
        <f t="shared" si="240"/>
        <v>4.9534957303432652</v>
      </c>
      <c r="AE48" s="207">
        <f t="shared" si="241"/>
        <v>0</v>
      </c>
      <c r="AF48" s="1145">
        <f t="shared" si="242"/>
        <v>0</v>
      </c>
      <c r="AG48" s="469">
        <f t="shared" si="243"/>
        <v>0</v>
      </c>
      <c r="AH48" s="189">
        <f t="shared" si="261"/>
        <v>0</v>
      </c>
      <c r="AI48" s="383"/>
      <c r="AJ48" s="383"/>
      <c r="AK48" s="383"/>
      <c r="AL48" s="1501"/>
      <c r="AM48" s="500"/>
      <c r="AN48" s="189">
        <f t="shared" si="209"/>
        <v>13.279904492932797</v>
      </c>
      <c r="AO48" s="207">
        <f t="shared" si="244"/>
        <v>8.1797826091506902</v>
      </c>
      <c r="AP48" s="207">
        <f t="shared" si="245"/>
        <v>5.1001218837821058</v>
      </c>
      <c r="AQ48" s="207">
        <f t="shared" si="246"/>
        <v>0</v>
      </c>
      <c r="AR48" s="1145">
        <f t="shared" si="247"/>
        <v>0</v>
      </c>
      <c r="AS48" s="469">
        <f t="shared" si="248"/>
        <v>0</v>
      </c>
      <c r="AT48" s="189">
        <f t="shared" si="262"/>
        <v>0</v>
      </c>
      <c r="AU48" s="383"/>
      <c r="AV48" s="383"/>
      <c r="AW48" s="383"/>
      <c r="AX48" s="1501"/>
      <c r="AY48" s="500"/>
      <c r="AZ48" s="189">
        <f t="shared" si="215"/>
        <v>13.672981602602132</v>
      </c>
      <c r="BA48" s="207">
        <f t="shared" si="249"/>
        <v>8.421904322908242</v>
      </c>
      <c r="BB48" s="207">
        <f t="shared" si="250"/>
        <v>5.2510772796938907</v>
      </c>
      <c r="BC48" s="207">
        <f t="shared" si="251"/>
        <v>0</v>
      </c>
      <c r="BD48" s="1145">
        <f t="shared" si="252"/>
        <v>0</v>
      </c>
      <c r="BE48" s="469">
        <f t="shared" si="253"/>
        <v>0</v>
      </c>
      <c r="BF48" s="189">
        <f t="shared" si="263"/>
        <v>0</v>
      </c>
      <c r="BG48" s="383"/>
      <c r="BH48" s="383"/>
      <c r="BI48" s="383"/>
      <c r="BJ48" s="1501"/>
      <c r="BK48" s="500"/>
      <c r="BL48" s="189">
        <f t="shared" si="227"/>
        <v>14.077715723707822</v>
      </c>
      <c r="BM48" s="207">
        <f t="shared" si="254"/>
        <v>8.6711970909695495</v>
      </c>
      <c r="BN48" s="207">
        <f t="shared" si="255"/>
        <v>5.4065186327382726</v>
      </c>
      <c r="BO48" s="207">
        <f t="shared" si="256"/>
        <v>0</v>
      </c>
      <c r="BP48" s="1145">
        <f t="shared" si="257"/>
        <v>0</v>
      </c>
      <c r="BQ48" s="469">
        <f t="shared" si="258"/>
        <v>0</v>
      </c>
      <c r="BR48" s="940">
        <f t="shared" si="8"/>
        <v>1.0000000000000002</v>
      </c>
      <c r="BS48" s="542">
        <f t="shared" si="9"/>
        <v>1.0396039603960396</v>
      </c>
      <c r="BT48" s="942">
        <f t="shared" si="4"/>
        <v>1.0236602233635574</v>
      </c>
      <c r="BU48" s="324">
        <f t="shared" si="59"/>
        <v>1.0296001055693715</v>
      </c>
      <c r="BV48" s="324">
        <f t="shared" si="60"/>
        <v>1.0295993928178113</v>
      </c>
      <c r="BW48" s="201">
        <f t="shared" si="61"/>
        <v>1.0296010140925418</v>
      </c>
      <c r="BX48" s="970"/>
    </row>
    <row r="49" spans="1:77" s="83" customFormat="1" ht="47.25" outlineLevel="1">
      <c r="A49" s="133"/>
      <c r="B49" s="130" t="s">
        <v>71</v>
      </c>
      <c r="C49" s="1507" t="s">
        <v>1</v>
      </c>
      <c r="D49" s="189">
        <f t="shared" si="198"/>
        <v>60.589999999999996</v>
      </c>
      <c r="E49" s="207">
        <v>56.12</v>
      </c>
      <c r="F49" s="207">
        <v>4.47</v>
      </c>
      <c r="G49" s="207"/>
      <c r="H49" s="1145"/>
      <c r="I49" s="469"/>
      <c r="J49" s="189">
        <f t="shared" si="259"/>
        <v>63.009</v>
      </c>
      <c r="K49" s="383">
        <v>37.658000000000001</v>
      </c>
      <c r="L49" s="383">
        <v>24.198</v>
      </c>
      <c r="M49" s="383"/>
      <c r="N49" s="1501">
        <v>1.153</v>
      </c>
      <c r="O49" s="500"/>
      <c r="P49" s="189">
        <f t="shared" si="200"/>
        <v>27.84</v>
      </c>
      <c r="Q49" s="207">
        <f>ROUND(25.92*[184]индексы!G8*[184]индексы!H8,2)</f>
        <v>27.84</v>
      </c>
      <c r="R49" s="207"/>
      <c r="S49" s="207"/>
      <c r="T49" s="1145"/>
      <c r="U49" s="469"/>
      <c r="V49" s="189">
        <f t="shared" si="260"/>
        <v>0</v>
      </c>
      <c r="W49" s="383"/>
      <c r="X49" s="383"/>
      <c r="Y49" s="383"/>
      <c r="Z49" s="1501"/>
      <c r="AA49" s="500"/>
      <c r="AB49" s="189">
        <f t="shared" si="202"/>
        <v>28.49868659446021</v>
      </c>
      <c r="AC49" s="207">
        <f t="shared" si="239"/>
        <v>28.49868659446021</v>
      </c>
      <c r="AD49" s="207">
        <f t="shared" si="240"/>
        <v>0</v>
      </c>
      <c r="AE49" s="207">
        <f t="shared" si="241"/>
        <v>0</v>
      </c>
      <c r="AF49" s="1145">
        <f t="shared" si="242"/>
        <v>0</v>
      </c>
      <c r="AG49" s="469">
        <f t="shared" si="243"/>
        <v>0</v>
      </c>
      <c r="AH49" s="189">
        <f t="shared" si="261"/>
        <v>0</v>
      </c>
      <c r="AI49" s="383"/>
      <c r="AJ49" s="383"/>
      <c r="AK49" s="383"/>
      <c r="AL49" s="1501"/>
      <c r="AM49" s="500"/>
      <c r="AN49" s="189">
        <f t="shared" si="209"/>
        <v>29.34224298914511</v>
      </c>
      <c r="AO49" s="207">
        <f t="shared" si="244"/>
        <v>29.34224298914511</v>
      </c>
      <c r="AP49" s="207">
        <f t="shared" si="245"/>
        <v>0</v>
      </c>
      <c r="AQ49" s="207">
        <f t="shared" si="246"/>
        <v>0</v>
      </c>
      <c r="AR49" s="1145">
        <f t="shared" si="247"/>
        <v>0</v>
      </c>
      <c r="AS49" s="469">
        <f t="shared" si="248"/>
        <v>0</v>
      </c>
      <c r="AT49" s="189">
        <f t="shared" si="262"/>
        <v>0</v>
      </c>
      <c r="AU49" s="383"/>
      <c r="AV49" s="383"/>
      <c r="AW49" s="383"/>
      <c r="AX49" s="1501"/>
      <c r="AY49" s="500"/>
      <c r="AZ49" s="189">
        <f t="shared" si="215"/>
        <v>30.210773914413789</v>
      </c>
      <c r="BA49" s="207">
        <f t="shared" si="249"/>
        <v>30.210773914413789</v>
      </c>
      <c r="BB49" s="207">
        <f t="shared" si="250"/>
        <v>0</v>
      </c>
      <c r="BC49" s="207">
        <f t="shared" si="251"/>
        <v>0</v>
      </c>
      <c r="BD49" s="1145">
        <f t="shared" si="252"/>
        <v>0</v>
      </c>
      <c r="BE49" s="469">
        <f t="shared" si="253"/>
        <v>0</v>
      </c>
      <c r="BF49" s="189">
        <f t="shared" si="263"/>
        <v>0</v>
      </c>
      <c r="BG49" s="383"/>
      <c r="BH49" s="383"/>
      <c r="BI49" s="383"/>
      <c r="BJ49" s="1501"/>
      <c r="BK49" s="500"/>
      <c r="BL49" s="189">
        <f t="shared" si="227"/>
        <v>31.105028606183765</v>
      </c>
      <c r="BM49" s="207">
        <f t="shared" si="254"/>
        <v>31.105028606183765</v>
      </c>
      <c r="BN49" s="207">
        <f t="shared" si="255"/>
        <v>0</v>
      </c>
      <c r="BO49" s="207">
        <f t="shared" si="256"/>
        <v>0</v>
      </c>
      <c r="BP49" s="1145">
        <f t="shared" si="257"/>
        <v>0</v>
      </c>
      <c r="BQ49" s="469">
        <f t="shared" si="258"/>
        <v>0</v>
      </c>
      <c r="BR49" s="940">
        <f t="shared" si="8"/>
        <v>0.44184164167023759</v>
      </c>
      <c r="BS49" s="542">
        <f t="shared" si="9"/>
        <v>0.45948176266710683</v>
      </c>
      <c r="BT49" s="942">
        <f t="shared" si="4"/>
        <v>1.0236597196285995</v>
      </c>
      <c r="BU49" s="324">
        <f t="shared" si="59"/>
        <v>1.0295998340796826</v>
      </c>
      <c r="BV49" s="324">
        <f t="shared" si="60"/>
        <v>1.0296000181577798</v>
      </c>
      <c r="BW49" s="201">
        <f t="shared" si="61"/>
        <v>1.0296005224594171</v>
      </c>
      <c r="BX49" s="969" t="s">
        <v>495</v>
      </c>
    </row>
    <row r="50" spans="1:77" s="83" customFormat="1" ht="18.75" outlineLevel="1">
      <c r="A50" s="133"/>
      <c r="B50" s="130" t="s">
        <v>279</v>
      </c>
      <c r="C50" s="1507" t="s">
        <v>1</v>
      </c>
      <c r="D50" s="189">
        <f t="shared" si="198"/>
        <v>116.37</v>
      </c>
      <c r="E50" s="207">
        <v>107.84</v>
      </c>
      <c r="F50" s="207">
        <v>8.5299999999999994</v>
      </c>
      <c r="G50" s="207"/>
      <c r="H50" s="1145"/>
      <c r="I50" s="469"/>
      <c r="J50" s="189">
        <f t="shared" si="259"/>
        <v>98.791000000000011</v>
      </c>
      <c r="K50" s="383">
        <f>52.666+6.365+0.02</f>
        <v>59.051000000000002</v>
      </c>
      <c r="L50" s="383">
        <f>33.842+4.09</f>
        <v>37.932000000000002</v>
      </c>
      <c r="M50" s="383"/>
      <c r="N50" s="1501">
        <f>1.613+0.195</f>
        <v>1.8080000000000001</v>
      </c>
      <c r="O50" s="500"/>
      <c r="P50" s="189">
        <f t="shared" si="200"/>
        <v>98.790999999999997</v>
      </c>
      <c r="Q50" s="1108">
        <f>K50+N50</f>
        <v>60.859000000000002</v>
      </c>
      <c r="R50" s="1108">
        <f>L50</f>
        <v>37.932000000000002</v>
      </c>
      <c r="S50" s="207"/>
      <c r="T50" s="1145"/>
      <c r="U50" s="469"/>
      <c r="V50" s="189">
        <f t="shared" si="260"/>
        <v>266.12174160000023</v>
      </c>
      <c r="W50" s="383">
        <v>159.04951919999968</v>
      </c>
      <c r="X50" s="383">
        <v>102.20118480000052</v>
      </c>
      <c r="Y50" s="383"/>
      <c r="Z50" s="1501">
        <v>4.8710376000000037</v>
      </c>
      <c r="AA50" s="500"/>
      <c r="AB50" s="189">
        <f t="shared" si="202"/>
        <v>101.12841711522799</v>
      </c>
      <c r="AC50" s="207">
        <f t="shared" si="239"/>
        <v>62.298906876876941</v>
      </c>
      <c r="AD50" s="207">
        <f t="shared" si="240"/>
        <v>38.829510238351048</v>
      </c>
      <c r="AE50" s="207">
        <f t="shared" si="241"/>
        <v>0</v>
      </c>
      <c r="AF50" s="1145">
        <f t="shared" si="242"/>
        <v>0</v>
      </c>
      <c r="AG50" s="469">
        <f t="shared" si="243"/>
        <v>0</v>
      </c>
      <c r="AH50" s="189">
        <f t="shared" si="261"/>
        <v>273.99894515136026</v>
      </c>
      <c r="AI50" s="383">
        <v>163.75738496831968</v>
      </c>
      <c r="AJ50" s="383">
        <v>105.22633987008054</v>
      </c>
      <c r="AK50" s="383"/>
      <c r="AL50" s="1501">
        <v>5.0152203129600039</v>
      </c>
      <c r="AM50" s="500"/>
      <c r="AN50" s="189">
        <f t="shared" si="209"/>
        <v>104.1218289317886</v>
      </c>
      <c r="AO50" s="207">
        <f t="shared" si="244"/>
        <v>64.142944183778098</v>
      </c>
      <c r="AP50" s="207">
        <f t="shared" si="245"/>
        <v>39.978884748010501</v>
      </c>
      <c r="AQ50" s="207">
        <f t="shared" si="246"/>
        <v>0</v>
      </c>
      <c r="AR50" s="1145">
        <f t="shared" si="247"/>
        <v>0</v>
      </c>
      <c r="AS50" s="469">
        <f t="shared" si="248"/>
        <v>0</v>
      </c>
      <c r="AT50" s="189">
        <f t="shared" si="262"/>
        <v>282.10931392784056</v>
      </c>
      <c r="AU50" s="383">
        <v>168.60460356338197</v>
      </c>
      <c r="AV50" s="383">
        <v>108.34103953023492</v>
      </c>
      <c r="AW50" s="383"/>
      <c r="AX50" s="1501">
        <v>5.1636708342236206</v>
      </c>
      <c r="AY50" s="500"/>
      <c r="AZ50" s="189">
        <f t="shared" si="215"/>
        <v>107.20377186174817</v>
      </c>
      <c r="BA50" s="207">
        <f t="shared" si="249"/>
        <v>66.041576496311379</v>
      </c>
      <c r="BB50" s="207">
        <f t="shared" si="250"/>
        <v>41.162195365436787</v>
      </c>
      <c r="BC50" s="207">
        <f t="shared" si="251"/>
        <v>0</v>
      </c>
      <c r="BD50" s="1145">
        <f t="shared" si="252"/>
        <v>0</v>
      </c>
      <c r="BE50" s="469">
        <f t="shared" si="253"/>
        <v>0</v>
      </c>
      <c r="BF50" s="189">
        <f t="shared" si="263"/>
        <v>290.45974962010462</v>
      </c>
      <c r="BG50" s="383">
        <v>173.59529982885809</v>
      </c>
      <c r="BH50" s="383">
        <v>111.54793430032989</v>
      </c>
      <c r="BI50" s="383"/>
      <c r="BJ50" s="1501">
        <v>5.3165154909166406</v>
      </c>
      <c r="BK50" s="500"/>
      <c r="BL50" s="189">
        <f t="shared" si="227"/>
        <v>110.37711221166541</v>
      </c>
      <c r="BM50" s="207">
        <f t="shared" si="254"/>
        <v>67.996441664645744</v>
      </c>
      <c r="BN50" s="207">
        <f t="shared" si="255"/>
        <v>42.380670547019655</v>
      </c>
      <c r="BO50" s="207">
        <f t="shared" si="256"/>
        <v>0</v>
      </c>
      <c r="BP50" s="1145">
        <f t="shared" si="257"/>
        <v>0</v>
      </c>
      <c r="BQ50" s="469">
        <f t="shared" si="258"/>
        <v>0</v>
      </c>
      <c r="BR50" s="940">
        <f t="shared" si="8"/>
        <v>0.99999999999999989</v>
      </c>
      <c r="BS50" s="542">
        <f t="shared" si="9"/>
        <v>0.84893872991320785</v>
      </c>
      <c r="BT50" s="942">
        <f t="shared" si="4"/>
        <v>1.0236602232513892</v>
      </c>
      <c r="BU50" s="324">
        <f t="shared" si="59"/>
        <v>1.0296001055089179</v>
      </c>
      <c r="BV50" s="324">
        <f t="shared" si="60"/>
        <v>1.0295993929570579</v>
      </c>
      <c r="BW50" s="201">
        <f t="shared" si="61"/>
        <v>1.029601013983068</v>
      </c>
      <c r="BX50" s="967" t="s">
        <v>493</v>
      </c>
    </row>
    <row r="51" spans="1:77" s="111" customFormat="1" ht="18.75">
      <c r="A51" s="114">
        <v>6</v>
      </c>
      <c r="B51" s="115" t="s">
        <v>78</v>
      </c>
      <c r="C51" s="1489" t="s">
        <v>1</v>
      </c>
      <c r="D51" s="189">
        <f t="shared" si="198"/>
        <v>0</v>
      </c>
      <c r="E51" s="190"/>
      <c r="F51" s="190"/>
      <c r="G51" s="190"/>
      <c r="H51" s="1135"/>
      <c r="I51" s="464"/>
      <c r="J51" s="189">
        <f t="shared" si="259"/>
        <v>0</v>
      </c>
      <c r="K51" s="232"/>
      <c r="L51" s="232"/>
      <c r="M51" s="232"/>
      <c r="N51" s="1141"/>
      <c r="O51" s="470"/>
      <c r="P51" s="189">
        <f t="shared" si="200"/>
        <v>0</v>
      </c>
      <c r="Q51" s="190">
        <f>ROUND(E51*[184]индексы!H8,2)</f>
        <v>0</v>
      </c>
      <c r="R51" s="190"/>
      <c r="S51" s="190"/>
      <c r="T51" s="1135"/>
      <c r="U51" s="464"/>
      <c r="V51" s="189">
        <f t="shared" si="260"/>
        <v>0</v>
      </c>
      <c r="W51" s="232"/>
      <c r="X51" s="232"/>
      <c r="Y51" s="232"/>
      <c r="Z51" s="1141"/>
      <c r="AA51" s="470"/>
      <c r="AB51" s="189">
        <f t="shared" si="202"/>
        <v>0</v>
      </c>
      <c r="AC51" s="190">
        <f t="shared" si="239"/>
        <v>0</v>
      </c>
      <c r="AD51" s="190">
        <f t="shared" si="240"/>
        <v>0</v>
      </c>
      <c r="AE51" s="190">
        <f t="shared" si="241"/>
        <v>0</v>
      </c>
      <c r="AF51" s="1135">
        <f t="shared" si="242"/>
        <v>0</v>
      </c>
      <c r="AG51" s="464">
        <f t="shared" si="243"/>
        <v>0</v>
      </c>
      <c r="AH51" s="189">
        <f t="shared" si="261"/>
        <v>0</v>
      </c>
      <c r="AI51" s="232"/>
      <c r="AJ51" s="232"/>
      <c r="AK51" s="232"/>
      <c r="AL51" s="1141"/>
      <c r="AM51" s="470"/>
      <c r="AN51" s="189">
        <f t="shared" si="209"/>
        <v>0</v>
      </c>
      <c r="AO51" s="190">
        <f t="shared" si="244"/>
        <v>0</v>
      </c>
      <c r="AP51" s="190">
        <f t="shared" si="245"/>
        <v>0</v>
      </c>
      <c r="AQ51" s="190">
        <f t="shared" si="246"/>
        <v>0</v>
      </c>
      <c r="AR51" s="1135">
        <f t="shared" si="247"/>
        <v>0</v>
      </c>
      <c r="AS51" s="464">
        <f t="shared" si="248"/>
        <v>0</v>
      </c>
      <c r="AT51" s="189">
        <f t="shared" si="262"/>
        <v>0</v>
      </c>
      <c r="AU51" s="232"/>
      <c r="AV51" s="232"/>
      <c r="AW51" s="232"/>
      <c r="AX51" s="1141"/>
      <c r="AY51" s="470"/>
      <c r="AZ51" s="189">
        <f t="shared" si="215"/>
        <v>0</v>
      </c>
      <c r="BA51" s="190">
        <f t="shared" si="249"/>
        <v>0</v>
      </c>
      <c r="BB51" s="190">
        <f t="shared" si="250"/>
        <v>0</v>
      </c>
      <c r="BC51" s="190">
        <f t="shared" si="251"/>
        <v>0</v>
      </c>
      <c r="BD51" s="1135">
        <f t="shared" si="252"/>
        <v>0</v>
      </c>
      <c r="BE51" s="464">
        <f t="shared" si="253"/>
        <v>0</v>
      </c>
      <c r="BF51" s="189">
        <f t="shared" si="263"/>
        <v>0</v>
      </c>
      <c r="BG51" s="232"/>
      <c r="BH51" s="232"/>
      <c r="BI51" s="232"/>
      <c r="BJ51" s="1141"/>
      <c r="BK51" s="470"/>
      <c r="BL51" s="189">
        <f t="shared" si="227"/>
        <v>0</v>
      </c>
      <c r="BM51" s="190">
        <f t="shared" si="254"/>
        <v>0</v>
      </c>
      <c r="BN51" s="190">
        <f t="shared" si="255"/>
        <v>0</v>
      </c>
      <c r="BO51" s="190">
        <f t="shared" si="256"/>
        <v>0</v>
      </c>
      <c r="BP51" s="1135">
        <f t="shared" si="257"/>
        <v>0</v>
      </c>
      <c r="BQ51" s="464">
        <f t="shared" si="258"/>
        <v>0</v>
      </c>
      <c r="BR51" s="940" t="str">
        <f t="shared" si="8"/>
        <v xml:space="preserve"> </v>
      </c>
      <c r="BS51" s="542" t="str">
        <f t="shared" si="9"/>
        <v xml:space="preserve"> </v>
      </c>
      <c r="BT51" s="942" t="str">
        <f t="shared" si="4"/>
        <v xml:space="preserve"> </v>
      </c>
      <c r="BU51" s="324" t="str">
        <f t="shared" si="59"/>
        <v xml:space="preserve"> </v>
      </c>
      <c r="BV51" s="324" t="str">
        <f t="shared" si="60"/>
        <v xml:space="preserve"> </v>
      </c>
      <c r="BW51" s="201" t="str">
        <f t="shared" si="61"/>
        <v xml:space="preserve"> </v>
      </c>
      <c r="BX51" s="970" t="s">
        <v>488</v>
      </c>
    </row>
    <row r="52" spans="1:77" s="111" customFormat="1" ht="18.75">
      <c r="A52" s="114" t="s">
        <v>37</v>
      </c>
      <c r="B52" s="115" t="s">
        <v>79</v>
      </c>
      <c r="C52" s="1489" t="s">
        <v>1</v>
      </c>
      <c r="D52" s="189">
        <f t="shared" si="198"/>
        <v>34.04</v>
      </c>
      <c r="E52" s="190">
        <v>31.54</v>
      </c>
      <c r="F52" s="190">
        <v>2.5</v>
      </c>
      <c r="G52" s="190"/>
      <c r="H52" s="1135"/>
      <c r="I52" s="464"/>
      <c r="J52" s="189">
        <f>K52+L52+M52+N52</f>
        <v>35.051000000000002</v>
      </c>
      <c r="K52" s="232">
        <v>20.948</v>
      </c>
      <c r="L52" s="232">
        <v>13.461</v>
      </c>
      <c r="M52" s="232"/>
      <c r="N52" s="1141">
        <v>0.64200000000000002</v>
      </c>
      <c r="O52" s="470"/>
      <c r="P52" s="189">
        <f t="shared" si="200"/>
        <v>35.051000000000002</v>
      </c>
      <c r="Q52" s="190">
        <f>K52+N52</f>
        <v>21.59</v>
      </c>
      <c r="R52" s="190">
        <f>L52</f>
        <v>13.461</v>
      </c>
      <c r="S52" s="190"/>
      <c r="T52" s="1135"/>
      <c r="U52" s="464"/>
      <c r="V52" s="189">
        <f>W52+X52+Y52+Z52</f>
        <v>36.088509600000002</v>
      </c>
      <c r="W52" s="232">
        <v>21.568060800000001</v>
      </c>
      <c r="X52" s="232">
        <v>13.859445600000001</v>
      </c>
      <c r="Y52" s="232"/>
      <c r="Z52" s="1141">
        <v>0.66100320000000001</v>
      </c>
      <c r="AA52" s="470"/>
      <c r="AB52" s="189">
        <f t="shared" si="202"/>
        <v>35.880314488784087</v>
      </c>
      <c r="AC52" s="190">
        <f t="shared" si="239"/>
        <v>22.100813346781464</v>
      </c>
      <c r="AD52" s="190">
        <f t="shared" si="240"/>
        <v>13.779501142002621</v>
      </c>
      <c r="AE52" s="190">
        <f t="shared" si="241"/>
        <v>0</v>
      </c>
      <c r="AF52" s="1135">
        <f t="shared" si="242"/>
        <v>0</v>
      </c>
      <c r="AG52" s="464">
        <f t="shared" si="243"/>
        <v>0</v>
      </c>
      <c r="AH52" s="189">
        <f>AI52+AJ52+AK52+AL52</f>
        <v>37.156729484160003</v>
      </c>
      <c r="AI52" s="232">
        <v>22.206475399680002</v>
      </c>
      <c r="AJ52" s="232">
        <v>14.269685189760002</v>
      </c>
      <c r="AK52" s="232"/>
      <c r="AL52" s="1141">
        <v>0.68056889472000004</v>
      </c>
      <c r="AM52" s="470"/>
      <c r="AN52" s="189">
        <f t="shared" si="209"/>
        <v>36.942375585331192</v>
      </c>
      <c r="AO52" s="190">
        <f t="shared" si="244"/>
        <v>22.754993754872231</v>
      </c>
      <c r="AP52" s="190">
        <f t="shared" si="245"/>
        <v>14.187381830458962</v>
      </c>
      <c r="AQ52" s="190">
        <f t="shared" si="246"/>
        <v>0</v>
      </c>
      <c r="AR52" s="1135">
        <f t="shared" si="247"/>
        <v>0</v>
      </c>
      <c r="AS52" s="464">
        <f t="shared" si="248"/>
        <v>0</v>
      </c>
      <c r="AT52" s="189">
        <f>AU52+AV52+AW52+AX52</f>
        <v>38.256568676891149</v>
      </c>
      <c r="AU52" s="232">
        <v>22.863787071510533</v>
      </c>
      <c r="AV52" s="232">
        <v>14.692067871376899</v>
      </c>
      <c r="AW52" s="232"/>
      <c r="AX52" s="1141">
        <v>0.70071373400371206</v>
      </c>
      <c r="AY52" s="470"/>
      <c r="AZ52" s="189">
        <f t="shared" si="215"/>
        <v>38.035847472338887</v>
      </c>
      <c r="BA52" s="190">
        <f t="shared" si="249"/>
        <v>23.428541983196613</v>
      </c>
      <c r="BB52" s="190">
        <f t="shared" si="250"/>
        <v>14.60730548914227</v>
      </c>
      <c r="BC52" s="190">
        <f t="shared" si="251"/>
        <v>0</v>
      </c>
      <c r="BD52" s="1135">
        <f t="shared" si="252"/>
        <v>0</v>
      </c>
      <c r="BE52" s="464">
        <f t="shared" si="253"/>
        <v>0</v>
      </c>
      <c r="BF52" s="189">
        <f>BG52+BH52+BI52+BJ52</f>
        <v>39.388963109727122</v>
      </c>
      <c r="BG52" s="232">
        <v>23.540555168827247</v>
      </c>
      <c r="BH52" s="232">
        <v>15.126953080369656</v>
      </c>
      <c r="BI52" s="232"/>
      <c r="BJ52" s="1141">
        <v>0.72145486053022201</v>
      </c>
      <c r="BK52" s="470"/>
      <c r="BL52" s="189">
        <f t="shared" si="227"/>
        <v>39.161747129037771</v>
      </c>
      <c r="BM52" s="190">
        <f t="shared" si="254"/>
        <v>24.122039066361623</v>
      </c>
      <c r="BN52" s="190">
        <f t="shared" si="255"/>
        <v>15.039708062676146</v>
      </c>
      <c r="BO52" s="190">
        <f t="shared" si="256"/>
        <v>0</v>
      </c>
      <c r="BP52" s="1135">
        <f t="shared" si="257"/>
        <v>0</v>
      </c>
      <c r="BQ52" s="464">
        <f t="shared" si="258"/>
        <v>0</v>
      </c>
      <c r="BR52" s="940">
        <f t="shared" si="8"/>
        <v>1</v>
      </c>
      <c r="BS52" s="542">
        <f t="shared" si="9"/>
        <v>1.0297003525264397</v>
      </c>
      <c r="BT52" s="942">
        <f t="shared" si="4"/>
        <v>1.0236602233540866</v>
      </c>
      <c r="BU52" s="324">
        <f t="shared" si="59"/>
        <v>1.029600105564267</v>
      </c>
      <c r="BV52" s="324">
        <f t="shared" si="60"/>
        <v>1.029599392829569</v>
      </c>
      <c r="BW52" s="201">
        <f t="shared" si="61"/>
        <v>1.0296010140832981</v>
      </c>
      <c r="BX52" s="969" t="s">
        <v>489</v>
      </c>
    </row>
    <row r="53" spans="1:77" s="111" customFormat="1" ht="18.75">
      <c r="A53" s="114" t="s">
        <v>60</v>
      </c>
      <c r="B53" s="115" t="s">
        <v>288</v>
      </c>
      <c r="C53" s="1489" t="s">
        <v>1</v>
      </c>
      <c r="D53" s="189">
        <f t="shared" si="198"/>
        <v>0</v>
      </c>
      <c r="E53" s="190"/>
      <c r="F53" s="190"/>
      <c r="G53" s="190"/>
      <c r="H53" s="1135"/>
      <c r="I53" s="464"/>
      <c r="J53" s="189">
        <f t="shared" ref="J53:J54" si="264">K53+L53+M53+N53</f>
        <v>0</v>
      </c>
      <c r="K53" s="232"/>
      <c r="L53" s="232"/>
      <c r="M53" s="232"/>
      <c r="N53" s="1141"/>
      <c r="O53" s="470"/>
      <c r="P53" s="189">
        <f t="shared" si="200"/>
        <v>0</v>
      </c>
      <c r="Q53" s="190"/>
      <c r="R53" s="190"/>
      <c r="S53" s="190"/>
      <c r="T53" s="1135"/>
      <c r="U53" s="464"/>
      <c r="V53" s="189">
        <f t="shared" ref="V53:V54" si="265">W53+X53+Y53+Z53</f>
        <v>0</v>
      </c>
      <c r="W53" s="232"/>
      <c r="X53" s="232"/>
      <c r="Y53" s="232"/>
      <c r="Z53" s="1141"/>
      <c r="AA53" s="470"/>
      <c r="AB53" s="189">
        <f t="shared" si="202"/>
        <v>0</v>
      </c>
      <c r="AC53" s="190">
        <f t="shared" si="239"/>
        <v>0</v>
      </c>
      <c r="AD53" s="190">
        <f t="shared" si="240"/>
        <v>0</v>
      </c>
      <c r="AE53" s="190">
        <f t="shared" si="241"/>
        <v>0</v>
      </c>
      <c r="AF53" s="1135">
        <f t="shared" si="242"/>
        <v>0</v>
      </c>
      <c r="AG53" s="464">
        <f t="shared" si="243"/>
        <v>0</v>
      </c>
      <c r="AH53" s="189">
        <f t="shared" ref="AH53:AH54" si="266">AI53+AJ53+AK53+AL53</f>
        <v>0</v>
      </c>
      <c r="AI53" s="232"/>
      <c r="AJ53" s="232"/>
      <c r="AK53" s="232"/>
      <c r="AL53" s="1141"/>
      <c r="AM53" s="470"/>
      <c r="AN53" s="189">
        <f t="shared" si="209"/>
        <v>0</v>
      </c>
      <c r="AO53" s="190">
        <f t="shared" si="244"/>
        <v>0</v>
      </c>
      <c r="AP53" s="190">
        <f t="shared" si="245"/>
        <v>0</v>
      </c>
      <c r="AQ53" s="190">
        <f t="shared" si="246"/>
        <v>0</v>
      </c>
      <c r="AR53" s="1135">
        <f t="shared" si="247"/>
        <v>0</v>
      </c>
      <c r="AS53" s="464">
        <f t="shared" si="248"/>
        <v>0</v>
      </c>
      <c r="AT53" s="189">
        <f t="shared" ref="AT53:AT54" si="267">AU53+AV53+AW53+AX53</f>
        <v>0</v>
      </c>
      <c r="AU53" s="232"/>
      <c r="AV53" s="232"/>
      <c r="AW53" s="232"/>
      <c r="AX53" s="1141"/>
      <c r="AY53" s="470"/>
      <c r="AZ53" s="189">
        <f t="shared" si="215"/>
        <v>0</v>
      </c>
      <c r="BA53" s="190">
        <f t="shared" si="249"/>
        <v>0</v>
      </c>
      <c r="BB53" s="190">
        <f t="shared" si="250"/>
        <v>0</v>
      </c>
      <c r="BC53" s="190">
        <f t="shared" si="251"/>
        <v>0</v>
      </c>
      <c r="BD53" s="1135">
        <f t="shared" si="252"/>
        <v>0</v>
      </c>
      <c r="BE53" s="464">
        <f t="shared" si="253"/>
        <v>0</v>
      </c>
      <c r="BF53" s="189">
        <f t="shared" ref="BF53:BF54" si="268">BG53+BH53+BI53+BJ53</f>
        <v>0</v>
      </c>
      <c r="BG53" s="232"/>
      <c r="BH53" s="232"/>
      <c r="BI53" s="232"/>
      <c r="BJ53" s="1141"/>
      <c r="BK53" s="470"/>
      <c r="BL53" s="189">
        <f t="shared" si="227"/>
        <v>0</v>
      </c>
      <c r="BM53" s="190">
        <f t="shared" si="254"/>
        <v>0</v>
      </c>
      <c r="BN53" s="190">
        <f t="shared" si="255"/>
        <v>0</v>
      </c>
      <c r="BO53" s="190">
        <f t="shared" si="256"/>
        <v>0</v>
      </c>
      <c r="BP53" s="1135">
        <f t="shared" si="257"/>
        <v>0</v>
      </c>
      <c r="BQ53" s="464">
        <f t="shared" si="258"/>
        <v>0</v>
      </c>
      <c r="BR53" s="940" t="str">
        <f t="shared" si="8"/>
        <v xml:space="preserve"> </v>
      </c>
      <c r="BS53" s="542" t="str">
        <f t="shared" si="9"/>
        <v xml:space="preserve"> </v>
      </c>
      <c r="BT53" s="942" t="str">
        <f t="shared" si="4"/>
        <v xml:space="preserve"> </v>
      </c>
      <c r="BU53" s="324" t="str">
        <f t="shared" si="59"/>
        <v xml:space="preserve"> </v>
      </c>
      <c r="BV53" s="324" t="str">
        <f t="shared" si="60"/>
        <v xml:space="preserve"> </v>
      </c>
      <c r="BW53" s="201" t="str">
        <f t="shared" si="61"/>
        <v xml:space="preserve"> </v>
      </c>
      <c r="BX53" s="970"/>
    </row>
    <row r="54" spans="1:77" s="111" customFormat="1" ht="18.75">
      <c r="A54" s="114" t="s">
        <v>73</v>
      </c>
      <c r="B54" s="115" t="s">
        <v>127</v>
      </c>
      <c r="C54" s="1489" t="s">
        <v>1</v>
      </c>
      <c r="D54" s="189">
        <f t="shared" si="198"/>
        <v>38.31</v>
      </c>
      <c r="E54" s="190">
        <v>35.5</v>
      </c>
      <c r="F54" s="190">
        <v>2.81</v>
      </c>
      <c r="G54" s="190"/>
      <c r="H54" s="1135"/>
      <c r="I54" s="464"/>
      <c r="J54" s="189">
        <f t="shared" si="264"/>
        <v>125.10000000000001</v>
      </c>
      <c r="K54" s="232">
        <v>74.766999999999996</v>
      </c>
      <c r="L54" s="232">
        <v>48.042999999999999</v>
      </c>
      <c r="M54" s="232"/>
      <c r="N54" s="1141">
        <v>2.29</v>
      </c>
      <c r="O54" s="470"/>
      <c r="P54" s="189">
        <f t="shared" si="200"/>
        <v>121.5</v>
      </c>
      <c r="Q54" s="1118">
        <f>ROUND(10.125*12,2)</f>
        <v>121.5</v>
      </c>
      <c r="R54" s="190"/>
      <c r="S54" s="190"/>
      <c r="T54" s="1135"/>
      <c r="U54" s="464"/>
      <c r="V54" s="189">
        <f t="shared" si="265"/>
        <v>128.80296000000001</v>
      </c>
      <c r="W54" s="232">
        <v>76.980103200000002</v>
      </c>
      <c r="X54" s="232">
        <v>49.465072800000002</v>
      </c>
      <c r="Y54" s="232"/>
      <c r="Z54" s="1141">
        <v>2.3577840000000001</v>
      </c>
      <c r="AA54" s="470"/>
      <c r="AB54" s="189">
        <f t="shared" si="202"/>
        <v>124.37465593487485</v>
      </c>
      <c r="AC54" s="190">
        <f t="shared" si="239"/>
        <v>124.37465593487485</v>
      </c>
      <c r="AD54" s="190">
        <f t="shared" si="240"/>
        <v>0</v>
      </c>
      <c r="AE54" s="190">
        <f t="shared" si="241"/>
        <v>0</v>
      </c>
      <c r="AF54" s="1135">
        <f t="shared" si="242"/>
        <v>0</v>
      </c>
      <c r="AG54" s="464">
        <f t="shared" si="243"/>
        <v>0</v>
      </c>
      <c r="AH54" s="189">
        <f t="shared" si="266"/>
        <v>132.61552761600001</v>
      </c>
      <c r="AI54" s="232">
        <v>79.258714254720005</v>
      </c>
      <c r="AJ54" s="232">
        <v>50.929238954880006</v>
      </c>
      <c r="AK54" s="232"/>
      <c r="AL54" s="1141">
        <v>2.4275744064000002</v>
      </c>
      <c r="AM54" s="470"/>
      <c r="AN54" s="189">
        <f t="shared" si="209"/>
        <v>128.05612511426477</v>
      </c>
      <c r="AO54" s="190">
        <f t="shared" si="244"/>
        <v>128.05612511426477</v>
      </c>
      <c r="AP54" s="190">
        <f t="shared" si="245"/>
        <v>0</v>
      </c>
      <c r="AQ54" s="190">
        <f t="shared" si="246"/>
        <v>0</v>
      </c>
      <c r="AR54" s="1135">
        <f t="shared" si="247"/>
        <v>0</v>
      </c>
      <c r="AS54" s="809">
        <f t="shared" si="248"/>
        <v>0</v>
      </c>
      <c r="AT54" s="189">
        <f t="shared" si="267"/>
        <v>136.54094723343363</v>
      </c>
      <c r="AU54" s="232">
        <v>81.604772196659724</v>
      </c>
      <c r="AV54" s="232">
        <v>52.436744427944461</v>
      </c>
      <c r="AW54" s="232"/>
      <c r="AX54" s="1141">
        <v>2.4994306088294405</v>
      </c>
      <c r="AY54" s="470"/>
      <c r="AZ54" s="189">
        <f t="shared" si="215"/>
        <v>131.84658874286191</v>
      </c>
      <c r="BA54" s="190">
        <f t="shared" si="249"/>
        <v>131.84658874286191</v>
      </c>
      <c r="BB54" s="190">
        <f t="shared" si="250"/>
        <v>0</v>
      </c>
      <c r="BC54" s="190">
        <f t="shared" si="251"/>
        <v>0</v>
      </c>
      <c r="BD54" s="1135">
        <f t="shared" si="252"/>
        <v>0</v>
      </c>
      <c r="BE54" s="464">
        <f t="shared" si="253"/>
        <v>0</v>
      </c>
      <c r="BF54" s="189">
        <f t="shared" si="268"/>
        <v>140.58255927154329</v>
      </c>
      <c r="BG54" s="232">
        <v>84.020273453680858</v>
      </c>
      <c r="BH54" s="232">
        <v>53.98887206301162</v>
      </c>
      <c r="BI54" s="232"/>
      <c r="BJ54" s="1141">
        <v>2.573413754850792</v>
      </c>
      <c r="BK54" s="470"/>
      <c r="BL54" s="189">
        <f t="shared" si="227"/>
        <v>135.74931665414252</v>
      </c>
      <c r="BM54" s="190">
        <f t="shared" si="254"/>
        <v>135.74931665414252</v>
      </c>
      <c r="BN54" s="190">
        <f t="shared" si="255"/>
        <v>0</v>
      </c>
      <c r="BO54" s="190">
        <f t="shared" si="256"/>
        <v>0</v>
      </c>
      <c r="BP54" s="1135">
        <f t="shared" si="257"/>
        <v>0</v>
      </c>
      <c r="BQ54" s="464">
        <f t="shared" si="258"/>
        <v>0</v>
      </c>
      <c r="BR54" s="940">
        <f t="shared" si="8"/>
        <v>0.97122302158273377</v>
      </c>
      <c r="BS54" s="542">
        <f t="shared" si="9"/>
        <v>3.1714956930305402</v>
      </c>
      <c r="BT54" s="942">
        <f t="shared" si="4"/>
        <v>1.0236597196285997</v>
      </c>
      <c r="BU54" s="324">
        <f t="shared" si="59"/>
        <v>1.0295998340796828</v>
      </c>
      <c r="BV54" s="324">
        <f t="shared" si="60"/>
        <v>1.0296000181577796</v>
      </c>
      <c r="BW54" s="201">
        <f t="shared" si="61"/>
        <v>1.0296005224594171</v>
      </c>
      <c r="BX54" s="970" t="s">
        <v>496</v>
      </c>
      <c r="BY54" s="121"/>
    </row>
    <row r="55" spans="1:77" s="111" customFormat="1" ht="31.5">
      <c r="A55" s="114" t="s">
        <v>74</v>
      </c>
      <c r="B55" s="115" t="s">
        <v>165</v>
      </c>
      <c r="C55" s="1489" t="s">
        <v>1</v>
      </c>
      <c r="D55" s="189">
        <f t="shared" si="198"/>
        <v>132.64000000000001</v>
      </c>
      <c r="E55" s="208">
        <f>SUM(E56:E58)</f>
        <v>122.83000000000001</v>
      </c>
      <c r="F55" s="208">
        <f>SUM(F56:F58)</f>
        <v>9.81</v>
      </c>
      <c r="G55" s="208">
        <f>SUM(G56:G58)</f>
        <v>0</v>
      </c>
      <c r="H55" s="1151">
        <f t="shared" ref="H55" si="269">SUM(H56:H58)</f>
        <v>0</v>
      </c>
      <c r="I55" s="468">
        <f>SUM(I56:I58)</f>
        <v>0</v>
      </c>
      <c r="J55" s="189">
        <f>K55+L55+M55+N55</f>
        <v>158.17000000000002</v>
      </c>
      <c r="K55" s="208">
        <f>SUM(K56:K58)</f>
        <v>94.532632000000007</v>
      </c>
      <c r="L55" s="208">
        <f t="shared" ref="L55:O55" si="270">SUM(L56:L58)</f>
        <v>60.742440000000002</v>
      </c>
      <c r="M55" s="208">
        <f t="shared" si="270"/>
        <v>0</v>
      </c>
      <c r="N55" s="1151">
        <f t="shared" si="270"/>
        <v>2.8949280000000002</v>
      </c>
      <c r="O55" s="1152">
        <f t="shared" si="270"/>
        <v>0</v>
      </c>
      <c r="P55" s="189">
        <f t="shared" si="200"/>
        <v>139.03</v>
      </c>
      <c r="Q55" s="208">
        <f>SUM(Q56:Q58)</f>
        <v>139.03</v>
      </c>
      <c r="R55" s="208">
        <f>SUM(R56:R58)</f>
        <v>0</v>
      </c>
      <c r="S55" s="208">
        <f>SUM(S56:S58)</f>
        <v>0</v>
      </c>
      <c r="T55" s="1151">
        <f t="shared" ref="T55" si="271">SUM(T56:T58)</f>
        <v>0</v>
      </c>
      <c r="U55" s="468">
        <f>SUM(U56:U58)</f>
        <v>0</v>
      </c>
      <c r="V55" s="189">
        <f>W55+X55+Y55+Z55</f>
        <v>0</v>
      </c>
      <c r="W55" s="208">
        <f>SUM(W56:W58)</f>
        <v>0</v>
      </c>
      <c r="X55" s="208">
        <f t="shared" ref="X55:AA55" si="272">SUM(X56:X58)</f>
        <v>0</v>
      </c>
      <c r="Y55" s="208">
        <f t="shared" si="272"/>
        <v>0</v>
      </c>
      <c r="Z55" s="1151">
        <f t="shared" si="272"/>
        <v>0</v>
      </c>
      <c r="AA55" s="1152">
        <f t="shared" si="272"/>
        <v>0</v>
      </c>
      <c r="AB55" s="189">
        <f t="shared" si="202"/>
        <v>142.31941081996419</v>
      </c>
      <c r="AC55" s="208">
        <f>SUM(AC56:AC58)</f>
        <v>142.31941081996419</v>
      </c>
      <c r="AD55" s="208">
        <f t="shared" ref="AD55:AG55" si="273">SUM(AD56:AD58)</f>
        <v>0</v>
      </c>
      <c r="AE55" s="208">
        <f t="shared" si="273"/>
        <v>0</v>
      </c>
      <c r="AF55" s="1151">
        <f t="shared" si="273"/>
        <v>0</v>
      </c>
      <c r="AG55" s="1152">
        <f t="shared" si="273"/>
        <v>0</v>
      </c>
      <c r="AH55" s="189">
        <f>AI55+AJ55+AK55+AL55</f>
        <v>0</v>
      </c>
      <c r="AI55" s="208">
        <f>SUM(AI56:AI58)</f>
        <v>0</v>
      </c>
      <c r="AJ55" s="208">
        <f t="shared" ref="AJ55:AM55" si="274">SUM(AJ56:AJ58)</f>
        <v>0</v>
      </c>
      <c r="AK55" s="208">
        <f t="shared" si="274"/>
        <v>0</v>
      </c>
      <c r="AL55" s="1151">
        <f t="shared" si="274"/>
        <v>0</v>
      </c>
      <c r="AM55" s="468">
        <f t="shared" si="274"/>
        <v>0</v>
      </c>
      <c r="AN55" s="189">
        <f t="shared" si="209"/>
        <v>146.53204176655333</v>
      </c>
      <c r="AO55" s="208">
        <f t="shared" ref="AO55:AS55" si="275">SUM(AO56:AO58)</f>
        <v>146.53204176655333</v>
      </c>
      <c r="AP55" s="208">
        <f t="shared" si="275"/>
        <v>0</v>
      </c>
      <c r="AQ55" s="208">
        <f t="shared" si="275"/>
        <v>0</v>
      </c>
      <c r="AR55" s="1151">
        <f t="shared" si="275"/>
        <v>0</v>
      </c>
      <c r="AS55" s="468">
        <f t="shared" si="275"/>
        <v>0</v>
      </c>
      <c r="AT55" s="189">
        <f>AU55+AV55+AW55+AX55</f>
        <v>0</v>
      </c>
      <c r="AU55" s="208">
        <f>SUM(AU56:AU58)</f>
        <v>0</v>
      </c>
      <c r="AV55" s="208">
        <f t="shared" ref="AV55:AY55" si="276">SUM(AV56:AV58)</f>
        <v>0</v>
      </c>
      <c r="AW55" s="208">
        <f t="shared" si="276"/>
        <v>0</v>
      </c>
      <c r="AX55" s="1151">
        <f t="shared" si="276"/>
        <v>0</v>
      </c>
      <c r="AY55" s="468">
        <f t="shared" si="276"/>
        <v>0</v>
      </c>
      <c r="AZ55" s="189">
        <f t="shared" si="215"/>
        <v>150.86939286353984</v>
      </c>
      <c r="BA55" s="208">
        <f>SUM(BA56:BA58)</f>
        <v>150.86939286353984</v>
      </c>
      <c r="BB55" s="208">
        <f t="shared" ref="BB55:BE55" si="277">SUM(BB56:BB58)</f>
        <v>0</v>
      </c>
      <c r="BC55" s="208">
        <f t="shared" si="277"/>
        <v>0</v>
      </c>
      <c r="BD55" s="1151">
        <f t="shared" si="277"/>
        <v>0</v>
      </c>
      <c r="BE55" s="1152">
        <f t="shared" si="277"/>
        <v>0</v>
      </c>
      <c r="BF55" s="189">
        <f>BG55+BH55+BI55+BJ55</f>
        <v>0</v>
      </c>
      <c r="BG55" s="208">
        <f>SUM(BG56:BG58)</f>
        <v>0</v>
      </c>
      <c r="BH55" s="208">
        <f t="shared" ref="BH55:BK55" si="278">SUM(BH56:BH58)</f>
        <v>0</v>
      </c>
      <c r="BI55" s="208">
        <f t="shared" si="278"/>
        <v>0</v>
      </c>
      <c r="BJ55" s="1151">
        <f t="shared" si="278"/>
        <v>0</v>
      </c>
      <c r="BK55" s="468">
        <f t="shared" si="278"/>
        <v>0</v>
      </c>
      <c r="BL55" s="189">
        <f t="shared" si="227"/>
        <v>155.33520571543565</v>
      </c>
      <c r="BM55" s="208">
        <f>SUM(BM56:BM58)</f>
        <v>155.33520571543565</v>
      </c>
      <c r="BN55" s="208">
        <f t="shared" ref="BN55:BQ55" si="279">SUM(BN56:BN58)</f>
        <v>0</v>
      </c>
      <c r="BO55" s="208">
        <f t="shared" si="279"/>
        <v>0</v>
      </c>
      <c r="BP55" s="1151">
        <f t="shared" si="279"/>
        <v>0</v>
      </c>
      <c r="BQ55" s="1152">
        <f t="shared" si="279"/>
        <v>0</v>
      </c>
      <c r="BR55" s="940">
        <f t="shared" si="8"/>
        <v>0.87899095909464497</v>
      </c>
      <c r="BS55" s="542">
        <f t="shared" si="9"/>
        <v>1.0481755126658623</v>
      </c>
      <c r="BT55" s="942">
        <f t="shared" si="4"/>
        <v>1.0236597196285995</v>
      </c>
      <c r="BU55" s="324">
        <f t="shared" si="59"/>
        <v>1.0295998340796828</v>
      </c>
      <c r="BV55" s="324">
        <f t="shared" si="60"/>
        <v>1.0296000181577796</v>
      </c>
      <c r="BW55" s="201">
        <f t="shared" si="61"/>
        <v>1.0296005224594169</v>
      </c>
      <c r="BX55" s="970"/>
    </row>
    <row r="56" spans="1:77" s="83" customFormat="1" ht="18.75" outlineLevel="1">
      <c r="A56" s="133"/>
      <c r="B56" s="130" t="s">
        <v>281</v>
      </c>
      <c r="C56" s="1507" t="s">
        <v>1</v>
      </c>
      <c r="D56" s="189">
        <f t="shared" si="198"/>
        <v>97.62</v>
      </c>
      <c r="E56" s="207">
        <v>90.42</v>
      </c>
      <c r="F56" s="207">
        <v>7.2</v>
      </c>
      <c r="G56" s="207"/>
      <c r="H56" s="1145"/>
      <c r="I56" s="469"/>
      <c r="J56" s="189">
        <f t="shared" ref="J56" si="280">K56+L56+M56+N56</f>
        <v>116.22999999999999</v>
      </c>
      <c r="K56" s="383">
        <v>69.465999999999994</v>
      </c>
      <c r="L56" s="383">
        <v>44.637</v>
      </c>
      <c r="M56" s="1501"/>
      <c r="N56" s="1501">
        <v>2.1269999999999998</v>
      </c>
      <c r="O56" s="500"/>
      <c r="P56" s="189">
        <f t="shared" si="200"/>
        <v>98.8</v>
      </c>
      <c r="Q56" s="207">
        <f>96+2.8</f>
        <v>98.8</v>
      </c>
      <c r="R56" s="207"/>
      <c r="S56" s="207"/>
      <c r="T56" s="1145"/>
      <c r="U56" s="469"/>
      <c r="V56" s="189">
        <f t="shared" ref="V56" si="281">W56+X56+Y56+Z56</f>
        <v>0</v>
      </c>
      <c r="W56" s="383"/>
      <c r="X56" s="383"/>
      <c r="Y56" s="1501"/>
      <c r="Z56" s="1501"/>
      <c r="AA56" s="500"/>
      <c r="AB56" s="189">
        <f t="shared" si="202"/>
        <v>101.13758029930563</v>
      </c>
      <c r="AC56" s="207">
        <f t="shared" ref="AC56:AC58" si="282">IF($AC$21&gt;0,Q56/$Q$21*$AC$21,0)</f>
        <v>101.13758029930563</v>
      </c>
      <c r="AD56" s="207">
        <f t="shared" ref="AD56:AD58" si="283">IF($AD$21&gt;0,R56/$R$21*$AD$21,0)</f>
        <v>0</v>
      </c>
      <c r="AE56" s="207">
        <f t="shared" ref="AE56:AE58" si="284">IF($AE$21&gt;0,S56/$S$21*$AE$21,0)</f>
        <v>0</v>
      </c>
      <c r="AF56" s="1145">
        <f t="shared" ref="AF56:AF58" si="285">IF($AF$21&gt;0,T56/$T$21*$AF$21,0)</f>
        <v>0</v>
      </c>
      <c r="AG56" s="469">
        <f t="shared" ref="AG56:AG58" si="286">IF($AG$21&gt;0,U56/$U$21*$AG$21,0)</f>
        <v>0</v>
      </c>
      <c r="AH56" s="189">
        <f t="shared" ref="AH56" si="287">AI56+AJ56+AK56+AL56</f>
        <v>0</v>
      </c>
      <c r="AI56" s="383"/>
      <c r="AJ56" s="383"/>
      <c r="AK56" s="1501"/>
      <c r="AL56" s="1501"/>
      <c r="AM56" s="500"/>
      <c r="AN56" s="189">
        <f t="shared" si="209"/>
        <v>104.13123589538566</v>
      </c>
      <c r="AO56" s="207">
        <f t="shared" ref="AO56:AO58" si="288">IF($AO$21&gt;0,AC56/$AC$21*$AO$21,0)</f>
        <v>104.13123589538566</v>
      </c>
      <c r="AP56" s="207">
        <f t="shared" ref="AP56:AP58" si="289">IF($AP$21&gt;0,AD56/$AD$21*$AP$21,0)</f>
        <v>0</v>
      </c>
      <c r="AQ56" s="207">
        <f t="shared" ref="AQ56:AQ58" si="290">IF($AQ$21&gt;0,AE56/$AE$21*$AQ$21,0)</f>
        <v>0</v>
      </c>
      <c r="AR56" s="1145">
        <f t="shared" ref="AR56:AR58" si="291">IF($AR$21&gt;0,AF56/$AF$21*$AR$21,0)</f>
        <v>0</v>
      </c>
      <c r="AS56" s="469">
        <f t="shared" ref="AS56:AS58" si="292">IF($AS$21&gt;0,AG56/$AG$21*$AS$21,0)</f>
        <v>0</v>
      </c>
      <c r="AT56" s="189">
        <f t="shared" ref="AT56" si="293">AU56+AV56+AW56+AX56</f>
        <v>0</v>
      </c>
      <c r="AU56" s="383"/>
      <c r="AV56" s="383"/>
      <c r="AW56" s="1501"/>
      <c r="AX56" s="1501"/>
      <c r="AY56" s="500"/>
      <c r="AZ56" s="189">
        <f t="shared" si="215"/>
        <v>107.21352236868111</v>
      </c>
      <c r="BA56" s="207">
        <f t="shared" ref="BA56:BA58" si="294">IF($BA$21&gt;0,AO56/$AO$21*$BA$21,0)</f>
        <v>107.21352236868111</v>
      </c>
      <c r="BB56" s="207">
        <f t="shared" ref="BB56:BB57" si="295">IF($BB$21&gt;0,AP56/$AP$21*$BB$21,0)</f>
        <v>0</v>
      </c>
      <c r="BC56" s="207">
        <f t="shared" ref="BC56:BC58" si="296">IF($BC$21&gt;0,AQ56/$AQ$21*$BC$21,0)</f>
        <v>0</v>
      </c>
      <c r="BD56" s="1145">
        <f t="shared" ref="BD56:BD58" si="297">IF($BD$21&gt;0,AR56/$AR$21*$BD$21,0)</f>
        <v>0</v>
      </c>
      <c r="BE56" s="469">
        <f t="shared" ref="BE56:BE58" si="298">IF($BE$21&gt;0,AS56/$AS$21*$BE$21,0)</f>
        <v>0</v>
      </c>
      <c r="BF56" s="189">
        <f t="shared" ref="BF56" si="299">BG56+BH56+BI56+BJ56</f>
        <v>0</v>
      </c>
      <c r="BG56" s="383"/>
      <c r="BH56" s="383"/>
      <c r="BI56" s="1501"/>
      <c r="BJ56" s="1501"/>
      <c r="BK56" s="500"/>
      <c r="BL56" s="189">
        <f t="shared" si="227"/>
        <v>110.38709864550847</v>
      </c>
      <c r="BM56" s="207">
        <f t="shared" ref="BM56:BM58" si="300">IF($BM$21&gt;0,BA56/$BA$21*$BM$21,0)</f>
        <v>110.38709864550847</v>
      </c>
      <c r="BN56" s="207">
        <f t="shared" ref="BN56:BN58" si="301">IF($BN$21&gt;0,BB56/$BB$21*$BN$21,0)</f>
        <v>0</v>
      </c>
      <c r="BO56" s="207">
        <f t="shared" ref="BO56:BO58" si="302">IF($BO$21&gt;0,BC56/$BC$21*$BO$21,0)</f>
        <v>0</v>
      </c>
      <c r="BP56" s="1145">
        <f t="shared" ref="BP56:BP58" si="303">IF($BP$21&gt;0,BD56/$BD$21*$BP$21,0)</f>
        <v>0</v>
      </c>
      <c r="BQ56" s="811">
        <f t="shared" ref="BQ56:BQ58" si="304">IF($BQ$21&gt;0,BE56/$BE$21*$BQ$21,0)</f>
        <v>0</v>
      </c>
      <c r="BR56" s="940">
        <f t="shared" si="8"/>
        <v>0.85003871633829486</v>
      </c>
      <c r="BS56" s="542">
        <f t="shared" si="9"/>
        <v>1.0120876869493955</v>
      </c>
      <c r="BT56" s="942">
        <f t="shared" si="4"/>
        <v>1.0236597196285995</v>
      </c>
      <c r="BU56" s="324">
        <f t="shared" si="59"/>
        <v>1.0295998340796828</v>
      </c>
      <c r="BV56" s="324">
        <f t="shared" si="60"/>
        <v>1.0296000181577796</v>
      </c>
      <c r="BW56" s="201">
        <f t="shared" si="61"/>
        <v>1.0296005224594171</v>
      </c>
      <c r="BX56" s="970"/>
    </row>
    <row r="57" spans="1:77" s="83" customFormat="1" ht="18.75" outlineLevel="1">
      <c r="A57" s="1508"/>
      <c r="B57" s="1509" t="s">
        <v>282</v>
      </c>
      <c r="C57" s="1510" t="s">
        <v>1</v>
      </c>
      <c r="D57" s="189">
        <f t="shared" si="198"/>
        <v>11.44</v>
      </c>
      <c r="E57" s="1511">
        <v>10.57</v>
      </c>
      <c r="F57" s="1511">
        <v>0.87</v>
      </c>
      <c r="G57" s="1511"/>
      <c r="H57" s="1512"/>
      <c r="I57" s="1513"/>
      <c r="J57" s="1136">
        <f>K57+L57+M57+N57</f>
        <v>11.78</v>
      </c>
      <c r="K57" s="1514">
        <v>7.04</v>
      </c>
      <c r="L57" s="1514">
        <v>4.524</v>
      </c>
      <c r="M57" s="1515"/>
      <c r="N57" s="1515">
        <v>0.216</v>
      </c>
      <c r="O57" s="1516"/>
      <c r="P57" s="189">
        <f t="shared" si="200"/>
        <v>11.78</v>
      </c>
      <c r="Q57" s="1511">
        <f>J57</f>
        <v>11.78</v>
      </c>
      <c r="R57" s="1511"/>
      <c r="S57" s="1511"/>
      <c r="T57" s="1512"/>
      <c r="U57" s="1513"/>
      <c r="V57" s="1136">
        <f>W57+X57+Y57+Z57</f>
        <v>0</v>
      </c>
      <c r="W57" s="1514"/>
      <c r="X57" s="1514"/>
      <c r="Y57" s="1515"/>
      <c r="Z57" s="1515"/>
      <c r="AA57" s="1516"/>
      <c r="AB57" s="189">
        <f t="shared" si="202"/>
        <v>12.058711497224902</v>
      </c>
      <c r="AC57" s="207">
        <f t="shared" si="282"/>
        <v>12.058711497224902</v>
      </c>
      <c r="AD57" s="207">
        <f t="shared" si="283"/>
        <v>0</v>
      </c>
      <c r="AE57" s="207">
        <f t="shared" si="284"/>
        <v>0</v>
      </c>
      <c r="AF57" s="1145">
        <f t="shared" si="285"/>
        <v>0</v>
      </c>
      <c r="AG57" s="469">
        <f t="shared" si="286"/>
        <v>0</v>
      </c>
      <c r="AH57" s="1136">
        <f>AI57+AJ57+AK57+AL57</f>
        <v>0</v>
      </c>
      <c r="AI57" s="1514"/>
      <c r="AJ57" s="1514"/>
      <c r="AK57" s="1515"/>
      <c r="AL57" s="1515"/>
      <c r="AM57" s="1516"/>
      <c r="AN57" s="189">
        <f t="shared" si="209"/>
        <v>12.415647356757521</v>
      </c>
      <c r="AO57" s="207">
        <f t="shared" si="288"/>
        <v>12.415647356757521</v>
      </c>
      <c r="AP57" s="207">
        <f t="shared" si="289"/>
        <v>0</v>
      </c>
      <c r="AQ57" s="207">
        <f t="shared" si="290"/>
        <v>0</v>
      </c>
      <c r="AR57" s="1145">
        <f t="shared" si="291"/>
        <v>0</v>
      </c>
      <c r="AS57" s="469">
        <f t="shared" si="292"/>
        <v>0</v>
      </c>
      <c r="AT57" s="1136">
        <f>AU57+AV57+AW57+AX57</f>
        <v>0</v>
      </c>
      <c r="AU57" s="1514"/>
      <c r="AV57" s="1514"/>
      <c r="AW57" s="1515"/>
      <c r="AX57" s="1515"/>
      <c r="AY57" s="1516"/>
      <c r="AZ57" s="189">
        <f t="shared" si="215"/>
        <v>12.783150743958135</v>
      </c>
      <c r="BA57" s="207">
        <f t="shared" si="294"/>
        <v>12.783150743958135</v>
      </c>
      <c r="BB57" s="207">
        <f t="shared" si="295"/>
        <v>0</v>
      </c>
      <c r="BC57" s="207">
        <f t="shared" si="296"/>
        <v>0</v>
      </c>
      <c r="BD57" s="1145">
        <f t="shared" si="297"/>
        <v>0</v>
      </c>
      <c r="BE57" s="469">
        <f t="shared" si="298"/>
        <v>0</v>
      </c>
      <c r="BF57" s="1136">
        <f>BG57+BH57+BI57+BJ57</f>
        <v>0</v>
      </c>
      <c r="BG57" s="1514"/>
      <c r="BH57" s="1514"/>
      <c r="BI57" s="1515"/>
      <c r="BJ57" s="1515"/>
      <c r="BK57" s="1516"/>
      <c r="BL57" s="189">
        <f t="shared" si="227"/>
        <v>13.161538684656781</v>
      </c>
      <c r="BM57" s="207">
        <f t="shared" si="300"/>
        <v>13.161538684656781</v>
      </c>
      <c r="BN57" s="207">
        <f t="shared" si="301"/>
        <v>0</v>
      </c>
      <c r="BO57" s="207">
        <f t="shared" si="302"/>
        <v>0</v>
      </c>
      <c r="BP57" s="1145">
        <f t="shared" si="303"/>
        <v>0</v>
      </c>
      <c r="BQ57" s="811">
        <f t="shared" si="304"/>
        <v>0</v>
      </c>
      <c r="BR57" s="940">
        <f t="shared" si="8"/>
        <v>1</v>
      </c>
      <c r="BS57" s="542">
        <f t="shared" si="9"/>
        <v>1.0297202797202798</v>
      </c>
      <c r="BT57" s="942">
        <f t="shared" si="4"/>
        <v>1.0236597196285995</v>
      </c>
      <c r="BU57" s="324">
        <f t="shared" si="59"/>
        <v>1.0295998340796828</v>
      </c>
      <c r="BV57" s="324">
        <f t="shared" si="60"/>
        <v>1.0296000181577798</v>
      </c>
      <c r="BW57" s="201">
        <f t="shared" si="61"/>
        <v>1.0296005224594169</v>
      </c>
      <c r="BX57" s="970"/>
    </row>
    <row r="58" spans="1:77" s="1519" customFormat="1" ht="19.5" outlineLevel="1" thickBot="1">
      <c r="A58" s="576"/>
      <c r="B58" s="1517" t="s">
        <v>296</v>
      </c>
      <c r="C58" s="1510" t="s">
        <v>1</v>
      </c>
      <c r="D58" s="189">
        <f t="shared" si="198"/>
        <v>23.58</v>
      </c>
      <c r="E58" s="1511">
        <v>21.84</v>
      </c>
      <c r="F58" s="1511">
        <v>1.74</v>
      </c>
      <c r="G58" s="1511"/>
      <c r="H58" s="1512"/>
      <c r="I58" s="528"/>
      <c r="J58" s="1136">
        <f>K58+L58+M58+N58</f>
        <v>30.16</v>
      </c>
      <c r="K58" s="1514">
        <v>18.026631999999999</v>
      </c>
      <c r="L58" s="1514">
        <v>11.581440000000001</v>
      </c>
      <c r="M58" s="1515"/>
      <c r="N58" s="1515">
        <v>0.55192799999999997</v>
      </c>
      <c r="O58" s="1516"/>
      <c r="P58" s="189">
        <f t="shared" si="200"/>
        <v>28.45</v>
      </c>
      <c r="Q58" s="1511">
        <v>28.45</v>
      </c>
      <c r="R58" s="1511"/>
      <c r="S58" s="1511"/>
      <c r="T58" s="1512"/>
      <c r="U58" s="528"/>
      <c r="V58" s="1136">
        <f>W58+X58+Y58+Z58</f>
        <v>0</v>
      </c>
      <c r="W58" s="1514"/>
      <c r="X58" s="1514"/>
      <c r="Y58" s="1515"/>
      <c r="Z58" s="1515"/>
      <c r="AA58" s="1516"/>
      <c r="AB58" s="189">
        <f t="shared" si="202"/>
        <v>29.123119023433659</v>
      </c>
      <c r="AC58" s="207">
        <f t="shared" si="282"/>
        <v>29.123119023433659</v>
      </c>
      <c r="AD58" s="207">
        <f t="shared" si="283"/>
        <v>0</v>
      </c>
      <c r="AE58" s="207">
        <f t="shared" si="284"/>
        <v>0</v>
      </c>
      <c r="AF58" s="1145">
        <f t="shared" si="285"/>
        <v>0</v>
      </c>
      <c r="AG58" s="528">
        <f t="shared" si="286"/>
        <v>0</v>
      </c>
      <c r="AH58" s="1136">
        <f>AI58+AJ58+AK58+AL58</f>
        <v>0</v>
      </c>
      <c r="AI58" s="1514"/>
      <c r="AJ58" s="1514"/>
      <c r="AK58" s="1515"/>
      <c r="AL58" s="1515"/>
      <c r="AM58" s="1516"/>
      <c r="AN58" s="189">
        <f t="shared" si="209"/>
        <v>29.985158514410145</v>
      </c>
      <c r="AO58" s="207">
        <f t="shared" si="288"/>
        <v>29.985158514410145</v>
      </c>
      <c r="AP58" s="207">
        <f t="shared" si="289"/>
        <v>0</v>
      </c>
      <c r="AQ58" s="207">
        <f t="shared" si="290"/>
        <v>0</v>
      </c>
      <c r="AR58" s="1145">
        <f t="shared" si="291"/>
        <v>0</v>
      </c>
      <c r="AS58" s="810">
        <f t="shared" si="292"/>
        <v>0</v>
      </c>
      <c r="AT58" s="1136">
        <f>AU58+AV58+AW58+AX58</f>
        <v>0</v>
      </c>
      <c r="AU58" s="1514"/>
      <c r="AV58" s="1514"/>
      <c r="AW58" s="1515"/>
      <c r="AX58" s="1515"/>
      <c r="AY58" s="1516"/>
      <c r="AZ58" s="189">
        <f t="shared" si="215"/>
        <v>30.87271975090059</v>
      </c>
      <c r="BA58" s="207">
        <f t="shared" si="294"/>
        <v>30.87271975090059</v>
      </c>
      <c r="BB58" s="207">
        <f>IF($BB$21&gt;0,AP58/$AP$21*$BB$21,0)</f>
        <v>0</v>
      </c>
      <c r="BC58" s="207">
        <f t="shared" si="296"/>
        <v>0</v>
      </c>
      <c r="BD58" s="1145">
        <f t="shared" si="297"/>
        <v>0</v>
      </c>
      <c r="BE58" s="528">
        <f t="shared" si="298"/>
        <v>0</v>
      </c>
      <c r="BF58" s="1136">
        <f>BG58+BH58+BI58+BJ58</f>
        <v>0</v>
      </c>
      <c r="BG58" s="1514"/>
      <c r="BH58" s="1514"/>
      <c r="BI58" s="1515"/>
      <c r="BJ58" s="1515"/>
      <c r="BK58" s="1516"/>
      <c r="BL58" s="189">
        <f t="shared" si="227"/>
        <v>31.78656838527041</v>
      </c>
      <c r="BM58" s="207">
        <f t="shared" si="300"/>
        <v>31.78656838527041</v>
      </c>
      <c r="BN58" s="207">
        <f t="shared" si="301"/>
        <v>0</v>
      </c>
      <c r="BO58" s="207">
        <f t="shared" si="302"/>
        <v>0</v>
      </c>
      <c r="BP58" s="1145">
        <f t="shared" si="303"/>
        <v>0</v>
      </c>
      <c r="BQ58" s="812">
        <f t="shared" si="304"/>
        <v>0</v>
      </c>
      <c r="BR58" s="1484">
        <f t="shared" si="8"/>
        <v>0.9433023872679045</v>
      </c>
      <c r="BS58" s="1485">
        <f t="shared" si="9"/>
        <v>1.2065309584393555</v>
      </c>
      <c r="BT58" s="1496">
        <f t="shared" si="4"/>
        <v>1.0236597196285997</v>
      </c>
      <c r="BU58" s="1497">
        <f t="shared" si="59"/>
        <v>1.0295998340796826</v>
      </c>
      <c r="BV58" s="1497">
        <f t="shared" si="60"/>
        <v>1.0296000181577798</v>
      </c>
      <c r="BW58" s="1498">
        <f t="shared" si="61"/>
        <v>1.0296005224594171</v>
      </c>
      <c r="BX58" s="1518"/>
    </row>
    <row r="59" spans="1:77" s="88" customFormat="1" ht="19.5" thickBot="1">
      <c r="A59" s="1587" t="s">
        <v>128</v>
      </c>
      <c r="B59" s="1584"/>
      <c r="C59" s="84" t="s">
        <v>1</v>
      </c>
      <c r="D59" s="186">
        <f>E59+F59+G59+H59</f>
        <v>495.01645129999997</v>
      </c>
      <c r="E59" s="184">
        <f>SUM(E60,E63,E72:E75,E79,E82:E84,E80,E81)</f>
        <v>354.17200000000003</v>
      </c>
      <c r="F59" s="184">
        <f t="shared" ref="F59:I59" si="305">SUM(F60,F63,F72:F75,F79,F82:F84)</f>
        <v>140.84445129999997</v>
      </c>
      <c r="G59" s="184">
        <f t="shared" si="305"/>
        <v>0</v>
      </c>
      <c r="H59" s="185">
        <f t="shared" si="305"/>
        <v>0</v>
      </c>
      <c r="I59" s="462">
        <f t="shared" si="305"/>
        <v>0</v>
      </c>
      <c r="J59" s="186">
        <f>K59+L59+M59+N59</f>
        <v>985.96500000000003</v>
      </c>
      <c r="K59" s="184">
        <f>SUM(K60,K63,K72:K75,K79,K80:K84)</f>
        <v>761.58799999999997</v>
      </c>
      <c r="L59" s="184">
        <f t="shared" ref="L59:N59" si="306">SUM(L60,L63,L72:L75,L79,L80:L84)</f>
        <v>214.17000000000002</v>
      </c>
      <c r="M59" s="184">
        <f t="shared" si="306"/>
        <v>0</v>
      </c>
      <c r="N59" s="184">
        <f t="shared" si="306"/>
        <v>10.207000000000001</v>
      </c>
      <c r="O59" s="462">
        <f t="shared" ref="O59" si="307">SUM(O60,O63,O72:O75,O79,O82:O84)</f>
        <v>0</v>
      </c>
      <c r="P59" s="186">
        <f>Q59+R59+S59+T59</f>
        <v>617.3900000000001</v>
      </c>
      <c r="Q59" s="184">
        <f>SUM(Q60,Q63,Q72:Q75,Q79,Q82:Q84)</f>
        <v>434.14000000000004</v>
      </c>
      <c r="R59" s="184">
        <f t="shared" ref="R59:U59" si="308">SUM(R60,R63,R72:R75,R79,R82:R84)</f>
        <v>183.25</v>
      </c>
      <c r="S59" s="184">
        <f t="shared" si="308"/>
        <v>0</v>
      </c>
      <c r="T59" s="185">
        <f t="shared" si="308"/>
        <v>0</v>
      </c>
      <c r="U59" s="462">
        <f t="shared" si="308"/>
        <v>0</v>
      </c>
      <c r="V59" s="186">
        <f>W59+X59+Y59+Z59</f>
        <v>1141.1401547839998</v>
      </c>
      <c r="W59" s="184">
        <f>SUM(W60,W63,W72:W75,W79,W82:W84)</f>
        <v>1128.1207931199999</v>
      </c>
      <c r="X59" s="184">
        <f t="shared" ref="X59:AA59" si="309">SUM(X60,X63,X72:X75,X79,X82:X84)</f>
        <v>0</v>
      </c>
      <c r="Y59" s="184">
        <f t="shared" si="309"/>
        <v>0</v>
      </c>
      <c r="Z59" s="185">
        <f t="shared" si="309"/>
        <v>13.019361664000002</v>
      </c>
      <c r="AA59" s="462">
        <f t="shared" si="309"/>
        <v>0</v>
      </c>
      <c r="AB59" s="186">
        <f>AC59+AD59+AE59+AF59</f>
        <v>627.65000000000009</v>
      </c>
      <c r="AC59" s="184">
        <f>SUM(AC60,AC63,AC72:AC75,AC79,AC82:AC84)</f>
        <v>440.06000000000006</v>
      </c>
      <c r="AD59" s="184">
        <f t="shared" ref="AD59:AG59" si="310">SUM(AD60,AD63,AD72:AD75,AD79,AD82:AD84)</f>
        <v>187.59</v>
      </c>
      <c r="AE59" s="184">
        <f t="shared" si="310"/>
        <v>0</v>
      </c>
      <c r="AF59" s="185">
        <f t="shared" si="310"/>
        <v>0</v>
      </c>
      <c r="AG59" s="462">
        <f t="shared" si="310"/>
        <v>0</v>
      </c>
      <c r="AH59" s="186">
        <f>AI59+AJ59+AK59+AL59</f>
        <v>1143.4223099576066</v>
      </c>
      <c r="AI59" s="184">
        <f>SUM(AI60,AI63,AI72:AI75,AI79,AI82:AI84)</f>
        <v>1128.6048459564304</v>
      </c>
      <c r="AJ59" s="184">
        <f t="shared" ref="AJ59:AM59" si="311">SUM(AJ60,AJ63,AJ72:AJ75,AJ79,AJ82:AJ84)</f>
        <v>0</v>
      </c>
      <c r="AK59" s="184">
        <f t="shared" si="311"/>
        <v>0</v>
      </c>
      <c r="AL59" s="185">
        <f t="shared" si="311"/>
        <v>14.81746400117617</v>
      </c>
      <c r="AM59" s="462">
        <f t="shared" si="311"/>
        <v>0</v>
      </c>
      <c r="AN59" s="186">
        <f>AO59+AP59+AQ59+AR59</f>
        <v>544.29999999999995</v>
      </c>
      <c r="AO59" s="184">
        <f>SUM(AO60,AO63,AO72:AO75,AO79,AO82:AO84)</f>
        <v>351.16</v>
      </c>
      <c r="AP59" s="184">
        <f>SUM(AP60,AP63,AP72:AP75,AP79,AP82:AP84)</f>
        <v>193.14</v>
      </c>
      <c r="AQ59" s="184">
        <f t="shared" ref="AQ59:AS59" si="312">SUM(AQ60,AQ63,AQ72:AQ75,AQ79,AQ82:AQ84)</f>
        <v>0</v>
      </c>
      <c r="AR59" s="185">
        <f t="shared" si="312"/>
        <v>0</v>
      </c>
      <c r="AS59" s="462">
        <f t="shared" si="312"/>
        <v>0</v>
      </c>
      <c r="AT59" s="186">
        <f>AU59+AV59+AW59+AX59</f>
        <v>1085.272185984908</v>
      </c>
      <c r="AU59" s="184">
        <f>SUM(AU60,AU63,AU72:AU75,AU79,AU82:AU84)</f>
        <v>1071.5543906793293</v>
      </c>
      <c r="AV59" s="184">
        <f t="shared" ref="AV59:AY59" si="313">SUM(AV60,AV63,AV72:AV75,AV79,AV82:AV84)</f>
        <v>0</v>
      </c>
      <c r="AW59" s="184">
        <f t="shared" si="313"/>
        <v>0</v>
      </c>
      <c r="AX59" s="185">
        <f t="shared" si="313"/>
        <v>13.717795305578729</v>
      </c>
      <c r="AY59" s="462">
        <f t="shared" si="313"/>
        <v>0</v>
      </c>
      <c r="AZ59" s="186">
        <f>BA59+BB59+BC59+BD59</f>
        <v>559.80999999999995</v>
      </c>
      <c r="BA59" s="184">
        <f>SUM(BA60,BA63,BA72:BA75,BA79,BA82:BA84)</f>
        <v>360.95</v>
      </c>
      <c r="BB59" s="184">
        <f t="shared" ref="BB59:BE59" si="314">SUM(BB60,BB63,BB72:BB75,BB79,BB82:BB84)</f>
        <v>198.86</v>
      </c>
      <c r="BC59" s="184">
        <f t="shared" si="314"/>
        <v>0</v>
      </c>
      <c r="BD59" s="185">
        <f t="shared" si="314"/>
        <v>0</v>
      </c>
      <c r="BE59" s="462">
        <f t="shared" si="314"/>
        <v>0</v>
      </c>
      <c r="BF59" s="186">
        <f>BG59+BH59+BI59+BJ59</f>
        <v>1107.9941816247206</v>
      </c>
      <c r="BG59" s="184">
        <f>SUM(BG60,BG63,BG72:BG75,BG79,BG82:BG84)</f>
        <v>1093.9000280338655</v>
      </c>
      <c r="BH59" s="184">
        <f t="shared" ref="BH59:BK59" si="315">SUM(BH60,BH63,BH72:BH75,BH79,BH82:BH84)</f>
        <v>0</v>
      </c>
      <c r="BI59" s="184">
        <f t="shared" si="315"/>
        <v>0</v>
      </c>
      <c r="BJ59" s="185">
        <f t="shared" si="315"/>
        <v>14.094153590855102</v>
      </c>
      <c r="BK59" s="462">
        <f t="shared" si="315"/>
        <v>0</v>
      </c>
      <c r="BL59" s="186">
        <f>BM59+BN59+BO59+BP59</f>
        <v>575.79</v>
      </c>
      <c r="BM59" s="184">
        <f>SUM(BM60,BM63,BM72:BM75,BM79,BM82:BM84)</f>
        <v>371.05</v>
      </c>
      <c r="BN59" s="184">
        <f>SUM(BN60,BN63,BN72:BN75,BN79,BN82:BN84)</f>
        <v>204.74</v>
      </c>
      <c r="BO59" s="184">
        <f t="shared" ref="BO59:BQ59" si="316">SUM(BO60,BO63,BO72:BO75,BO79,BO82:BO84)</f>
        <v>0</v>
      </c>
      <c r="BP59" s="185">
        <f t="shared" si="316"/>
        <v>0</v>
      </c>
      <c r="BQ59" s="462">
        <f t="shared" si="316"/>
        <v>0</v>
      </c>
      <c r="BR59" s="826">
        <f t="shared" si="8"/>
        <v>0.62617841404106644</v>
      </c>
      <c r="BS59" s="330">
        <f t="shared" si="9"/>
        <v>1.2472110742554632</v>
      </c>
      <c r="BT59" s="826">
        <f t="shared" si="4"/>
        <v>1.0166183449683344</v>
      </c>
      <c r="BU59" s="330">
        <f t="shared" si="59"/>
        <v>0.86720305902971384</v>
      </c>
      <c r="BV59" s="330">
        <f t="shared" si="60"/>
        <v>1.0284953150835936</v>
      </c>
      <c r="BW59" s="196">
        <f t="shared" si="61"/>
        <v>1.0285453993319162</v>
      </c>
      <c r="BX59" s="967"/>
    </row>
    <row r="60" spans="1:77" s="111" customFormat="1" ht="31.5">
      <c r="A60" s="136" t="s">
        <v>42</v>
      </c>
      <c r="B60" s="137" t="s">
        <v>129</v>
      </c>
      <c r="C60" s="1010" t="s">
        <v>1</v>
      </c>
      <c r="D60" s="187">
        <f>E60+F60+G60+H60</f>
        <v>12.82</v>
      </c>
      <c r="E60" s="206">
        <f>SUM(E61:E62)</f>
        <v>12.82</v>
      </c>
      <c r="F60" s="206">
        <f>SUM(F61:F62)</f>
        <v>0</v>
      </c>
      <c r="G60" s="445">
        <f t="shared" ref="G60:H60" si="317">SUM(G61:G62)</f>
        <v>0</v>
      </c>
      <c r="H60" s="445">
        <f t="shared" si="317"/>
        <v>0</v>
      </c>
      <c r="I60" s="509">
        <f>SUM(I61:I62)</f>
        <v>0</v>
      </c>
      <c r="J60" s="187">
        <f>K60+L60+M60+N60</f>
        <v>12.81</v>
      </c>
      <c r="K60" s="206">
        <f>SUM(K61:K62)</f>
        <v>12.81</v>
      </c>
      <c r="L60" s="206">
        <f>SUM(L61:L62)</f>
        <v>0</v>
      </c>
      <c r="M60" s="445">
        <f t="shared" ref="M60" si="318">SUM(M61:M62)</f>
        <v>0</v>
      </c>
      <c r="N60" s="445"/>
      <c r="O60" s="471"/>
      <c r="P60" s="187">
        <f>Q60+R60+S60+T60</f>
        <v>14.139999999999999</v>
      </c>
      <c r="Q60" s="206">
        <f>SUM(Q61:Q62)</f>
        <v>14.139999999999999</v>
      </c>
      <c r="R60" s="206">
        <f>SUM(R61:R62)</f>
        <v>0</v>
      </c>
      <c r="S60" s="445">
        <f t="shared" ref="S60:T60" si="319">SUM(S61:S62)</f>
        <v>0</v>
      </c>
      <c r="T60" s="445">
        <f t="shared" si="319"/>
        <v>0</v>
      </c>
      <c r="U60" s="509">
        <f>SUM(U61:U62)</f>
        <v>0</v>
      </c>
      <c r="V60" s="187">
        <f>W60+X60+Y60+Z60</f>
        <v>14.352</v>
      </c>
      <c r="W60" s="206">
        <f>SUM(W61:W62)</f>
        <v>14.352</v>
      </c>
      <c r="X60" s="206">
        <f>SUM(X61:X62)</f>
        <v>0</v>
      </c>
      <c r="Y60" s="445">
        <f t="shared" ref="Y60" si="320">SUM(Y61:Y62)</f>
        <v>0</v>
      </c>
      <c r="Z60" s="445"/>
      <c r="AA60" s="471"/>
      <c r="AB60" s="187">
        <f>AC60+AD60+AE60+AF60</f>
        <v>15.27</v>
      </c>
      <c r="AC60" s="206">
        <f>SUM(AC61:AC62)</f>
        <v>15.27</v>
      </c>
      <c r="AD60" s="206">
        <f t="shared" ref="AD60:AG60" si="321">SUM(AD61:AD62)</f>
        <v>0</v>
      </c>
      <c r="AE60" s="206">
        <f t="shared" si="321"/>
        <v>0</v>
      </c>
      <c r="AF60" s="445">
        <f t="shared" si="321"/>
        <v>0</v>
      </c>
      <c r="AG60" s="471">
        <f t="shared" si="321"/>
        <v>0</v>
      </c>
      <c r="AH60" s="187">
        <f>AI60+AJ60+AK60+AL60</f>
        <v>16.074000000000002</v>
      </c>
      <c r="AI60" s="206">
        <f>SUM(AI61:AI62)</f>
        <v>16.074000000000002</v>
      </c>
      <c r="AJ60" s="206">
        <f>SUM(AJ61:AJ62)</f>
        <v>0</v>
      </c>
      <c r="AK60" s="445">
        <f t="shared" ref="AK60" si="322">SUM(AK61:AK62)</f>
        <v>0</v>
      </c>
      <c r="AL60" s="445"/>
      <c r="AM60" s="471"/>
      <c r="AN60" s="187">
        <f>AO60+AP60+AQ60+AR60</f>
        <v>16.23</v>
      </c>
      <c r="AO60" s="206">
        <f>SUM(AO61:AO62)</f>
        <v>16.23</v>
      </c>
      <c r="AP60" s="206">
        <f t="shared" ref="AP60:AS60" si="323">SUM(AP61:AP62)</f>
        <v>0</v>
      </c>
      <c r="AQ60" s="206">
        <f t="shared" si="323"/>
        <v>0</v>
      </c>
      <c r="AR60" s="445">
        <f t="shared" si="323"/>
        <v>0</v>
      </c>
      <c r="AS60" s="471">
        <f t="shared" si="323"/>
        <v>0</v>
      </c>
      <c r="AT60" s="187">
        <f>AU60+AV60+AW60+AX60</f>
        <v>18.003</v>
      </c>
      <c r="AU60" s="206">
        <f>SUM(AU61:AU62)</f>
        <v>18.003</v>
      </c>
      <c r="AV60" s="206">
        <f>SUM(AV61:AV62)</f>
        <v>0</v>
      </c>
      <c r="AW60" s="445">
        <f t="shared" ref="AW60" si="324">SUM(AW61:AW62)</f>
        <v>0</v>
      </c>
      <c r="AX60" s="445"/>
      <c r="AY60" s="471"/>
      <c r="AZ60" s="187">
        <f>BA60+BB60+BC60+BD60</f>
        <v>16.88</v>
      </c>
      <c r="BA60" s="206">
        <f>SUM(BA61:BA62)</f>
        <v>16.88</v>
      </c>
      <c r="BB60" s="206">
        <f t="shared" ref="BB60:BE60" si="325">SUM(BB61:BB62)</f>
        <v>0</v>
      </c>
      <c r="BC60" s="206">
        <f t="shared" si="325"/>
        <v>0</v>
      </c>
      <c r="BD60" s="445">
        <f t="shared" si="325"/>
        <v>0</v>
      </c>
      <c r="BE60" s="471">
        <f t="shared" si="325"/>
        <v>0</v>
      </c>
      <c r="BF60" s="187">
        <f>BG60+BH60+BI60+BJ60</f>
        <v>20.163</v>
      </c>
      <c r="BG60" s="206">
        <f>SUM(BG61:BG62)</f>
        <v>20.163</v>
      </c>
      <c r="BH60" s="206">
        <f>SUM(BH61:BH62)</f>
        <v>0</v>
      </c>
      <c r="BI60" s="445">
        <f t="shared" ref="BI60" si="326">SUM(BI61:BI62)</f>
        <v>0</v>
      </c>
      <c r="BJ60" s="445"/>
      <c r="BK60" s="471"/>
      <c r="BL60" s="187">
        <f>BM60+BN60+BO60+BP60</f>
        <v>17.559999999999999</v>
      </c>
      <c r="BM60" s="206">
        <f>SUM(BM61:BM62)</f>
        <v>17.559999999999999</v>
      </c>
      <c r="BN60" s="206">
        <f t="shared" ref="BN60:BQ60" si="327">SUM(BN61:BN62)</f>
        <v>0</v>
      </c>
      <c r="BO60" s="206">
        <f t="shared" si="327"/>
        <v>0</v>
      </c>
      <c r="BP60" s="445">
        <f t="shared" si="327"/>
        <v>0</v>
      </c>
      <c r="BQ60" s="471">
        <f t="shared" si="327"/>
        <v>0</v>
      </c>
      <c r="BR60" s="844">
        <f t="shared" si="8"/>
        <v>1.1038251366120218</v>
      </c>
      <c r="BS60" s="840">
        <f t="shared" si="9"/>
        <v>1.1029641185647425</v>
      </c>
      <c r="BT60" s="830">
        <f t="shared" si="4"/>
        <v>1.07991513437058</v>
      </c>
      <c r="BU60" s="332">
        <f t="shared" si="59"/>
        <v>1.0628683693516701</v>
      </c>
      <c r="BV60" s="332">
        <f t="shared" si="60"/>
        <v>1.040049291435613</v>
      </c>
      <c r="BW60" s="200">
        <f t="shared" si="61"/>
        <v>1.0402843601895735</v>
      </c>
      <c r="BX60" s="967"/>
    </row>
    <row r="61" spans="1:77" s="83" customFormat="1" ht="18.75">
      <c r="A61" s="133" t="s">
        <v>43</v>
      </c>
      <c r="B61" s="138" t="s">
        <v>130</v>
      </c>
      <c r="C61" s="1520" t="s">
        <v>1</v>
      </c>
      <c r="D61" s="187">
        <f>E61+F61+G61+H61</f>
        <v>12.82</v>
      </c>
      <c r="E61" s="207">
        <v>12.82</v>
      </c>
      <c r="F61" s="207"/>
      <c r="G61" s="207"/>
      <c r="H61" s="1145"/>
      <c r="I61" s="469"/>
      <c r="J61" s="187">
        <f t="shared" ref="J61:J84" si="328">K61+L61+M61+N61</f>
        <v>12.81</v>
      </c>
      <c r="K61" s="383">
        <v>12.81</v>
      </c>
      <c r="L61" s="383"/>
      <c r="M61" s="383"/>
      <c r="N61" s="1501"/>
      <c r="O61" s="500"/>
      <c r="P61" s="187">
        <f t="shared" ref="P61:P84" si="329">Q61+R61+S61+T61</f>
        <v>14.139999999999999</v>
      </c>
      <c r="Q61" s="207">
        <f>'[184]переменные на 5 лет'!F110</f>
        <v>14.139999999999999</v>
      </c>
      <c r="R61" s="207"/>
      <c r="S61" s="207"/>
      <c r="T61" s="1145"/>
      <c r="U61" s="469"/>
      <c r="V61" s="187">
        <f t="shared" ref="V61:V79" si="330">W61+X61+Y61+Z61</f>
        <v>14.352</v>
      </c>
      <c r="W61" s="383">
        <v>14.352</v>
      </c>
      <c r="X61" s="383"/>
      <c r="Y61" s="383"/>
      <c r="Z61" s="1501"/>
      <c r="AA61" s="500"/>
      <c r="AB61" s="189">
        <f t="shared" ref="AB61:AB84" si="331">AC61+AD61+AE61+AF61</f>
        <v>15.27</v>
      </c>
      <c r="AC61" s="207">
        <f>'[184]переменные на 5 лет'!I110</f>
        <v>15.27</v>
      </c>
      <c r="AD61" s="207"/>
      <c r="AE61" s="1145"/>
      <c r="AF61" s="1145"/>
      <c r="AG61" s="469"/>
      <c r="AH61" s="187">
        <f t="shared" ref="AH61:AH79" si="332">AI61+AJ61+AK61+AL61</f>
        <v>16.074000000000002</v>
      </c>
      <c r="AI61" s="383">
        <v>16.074000000000002</v>
      </c>
      <c r="AJ61" s="383"/>
      <c r="AK61" s="383"/>
      <c r="AL61" s="1501"/>
      <c r="AM61" s="500"/>
      <c r="AN61" s="189">
        <f t="shared" ref="AN61:AN84" si="333">AO61+AP61+AQ61+AR61</f>
        <v>16.23</v>
      </c>
      <c r="AO61" s="207">
        <f>'[184]переменные на 5 лет'!L110</f>
        <v>16.23</v>
      </c>
      <c r="AP61" s="207"/>
      <c r="AQ61" s="1145"/>
      <c r="AR61" s="1145"/>
      <c r="AS61" s="469"/>
      <c r="AT61" s="187">
        <f t="shared" ref="AT61:AT79" si="334">AU61+AV61+AW61+AX61</f>
        <v>18.003</v>
      </c>
      <c r="AU61" s="383">
        <v>18.003</v>
      </c>
      <c r="AV61" s="383"/>
      <c r="AW61" s="383"/>
      <c r="AX61" s="1501"/>
      <c r="AY61" s="500"/>
      <c r="AZ61" s="189">
        <f t="shared" ref="AZ61:AZ84" si="335">BA61+BB61+BC61+BD61</f>
        <v>16.88</v>
      </c>
      <c r="BA61" s="207">
        <f>'[184]переменные на 5 лет'!O110</f>
        <v>16.88</v>
      </c>
      <c r="BB61" s="207"/>
      <c r="BC61" s="1145"/>
      <c r="BD61" s="1145"/>
      <c r="BE61" s="469"/>
      <c r="BF61" s="187">
        <f t="shared" ref="BF61:BF79" si="336">BG61+BH61+BI61+BJ61</f>
        <v>20.163</v>
      </c>
      <c r="BG61" s="383">
        <v>20.163</v>
      </c>
      <c r="BH61" s="383"/>
      <c r="BI61" s="383"/>
      <c r="BJ61" s="1501"/>
      <c r="BK61" s="500"/>
      <c r="BL61" s="189">
        <f t="shared" ref="BL61:BL84" si="337">BM61+BN61+BO61+BP61</f>
        <v>17.559999999999999</v>
      </c>
      <c r="BM61" s="207">
        <f>'[184]переменные на 5 лет'!R110</f>
        <v>17.559999999999999</v>
      </c>
      <c r="BN61" s="207"/>
      <c r="BO61" s="1145"/>
      <c r="BP61" s="1145"/>
      <c r="BQ61" s="469"/>
      <c r="BR61" s="940">
        <f t="shared" si="8"/>
        <v>1.1038251366120218</v>
      </c>
      <c r="BS61" s="542">
        <f t="shared" si="9"/>
        <v>1.1029641185647425</v>
      </c>
      <c r="BT61" s="1502">
        <f t="shared" si="4"/>
        <v>1.07991513437058</v>
      </c>
      <c r="BU61" s="323">
        <f t="shared" si="59"/>
        <v>1.0628683693516701</v>
      </c>
      <c r="BV61" s="323">
        <f t="shared" si="60"/>
        <v>1.040049291435613</v>
      </c>
      <c r="BW61" s="198">
        <f t="shared" si="61"/>
        <v>1.0402843601895735</v>
      </c>
      <c r="BX61" s="967"/>
    </row>
    <row r="62" spans="1:77" s="83" customFormat="1" ht="18.75">
      <c r="A62" s="133" t="s">
        <v>44</v>
      </c>
      <c r="B62" s="138" t="s">
        <v>67</v>
      </c>
      <c r="C62" s="1520" t="s">
        <v>1</v>
      </c>
      <c r="D62" s="187">
        <f t="shared" ref="D62:D84" si="338">E62+F62+G62+H62</f>
        <v>0</v>
      </c>
      <c r="E62" s="207"/>
      <c r="F62" s="207"/>
      <c r="G62" s="207"/>
      <c r="H62" s="1145"/>
      <c r="I62" s="469"/>
      <c r="J62" s="187">
        <f t="shared" si="328"/>
        <v>0</v>
      </c>
      <c r="K62" s="383"/>
      <c r="L62" s="383"/>
      <c r="M62" s="383"/>
      <c r="N62" s="1501"/>
      <c r="O62" s="500"/>
      <c r="P62" s="187">
        <f t="shared" si="329"/>
        <v>0</v>
      </c>
      <c r="Q62" s="207"/>
      <c r="R62" s="207"/>
      <c r="S62" s="207"/>
      <c r="T62" s="1145"/>
      <c r="U62" s="469"/>
      <c r="V62" s="187">
        <f t="shared" si="330"/>
        <v>0</v>
      </c>
      <c r="W62" s="383"/>
      <c r="X62" s="383"/>
      <c r="Y62" s="383"/>
      <c r="Z62" s="1501"/>
      <c r="AA62" s="500"/>
      <c r="AB62" s="189">
        <f t="shared" si="331"/>
        <v>0</v>
      </c>
      <c r="AC62" s="207"/>
      <c r="AD62" s="207"/>
      <c r="AE62" s="1145"/>
      <c r="AF62" s="1145"/>
      <c r="AG62" s="469"/>
      <c r="AH62" s="187">
        <f t="shared" si="332"/>
        <v>0</v>
      </c>
      <c r="AI62" s="383"/>
      <c r="AJ62" s="383"/>
      <c r="AK62" s="383"/>
      <c r="AL62" s="1501"/>
      <c r="AM62" s="500"/>
      <c r="AN62" s="189">
        <f t="shared" si="333"/>
        <v>0</v>
      </c>
      <c r="AO62" s="207"/>
      <c r="AP62" s="207"/>
      <c r="AQ62" s="1145"/>
      <c r="AR62" s="1145"/>
      <c r="AS62" s="469"/>
      <c r="AT62" s="187">
        <f t="shared" si="334"/>
        <v>0</v>
      </c>
      <c r="AU62" s="383"/>
      <c r="AV62" s="383"/>
      <c r="AW62" s="383"/>
      <c r="AX62" s="1501"/>
      <c r="AY62" s="500"/>
      <c r="AZ62" s="189">
        <f t="shared" si="335"/>
        <v>0</v>
      </c>
      <c r="BA62" s="207"/>
      <c r="BB62" s="207"/>
      <c r="BC62" s="1145"/>
      <c r="BD62" s="1145"/>
      <c r="BE62" s="469"/>
      <c r="BF62" s="187">
        <f t="shared" si="336"/>
        <v>0</v>
      </c>
      <c r="BG62" s="383"/>
      <c r="BH62" s="383"/>
      <c r="BI62" s="383"/>
      <c r="BJ62" s="1501"/>
      <c r="BK62" s="500"/>
      <c r="BL62" s="189">
        <f t="shared" si="337"/>
        <v>0</v>
      </c>
      <c r="BM62" s="207"/>
      <c r="BN62" s="207"/>
      <c r="BO62" s="1145"/>
      <c r="BP62" s="1145"/>
      <c r="BQ62" s="469"/>
      <c r="BR62" s="940" t="str">
        <f t="shared" si="8"/>
        <v xml:space="preserve"> </v>
      </c>
      <c r="BS62" s="542" t="str">
        <f t="shared" si="9"/>
        <v xml:space="preserve"> </v>
      </c>
      <c r="BT62" s="1502" t="str">
        <f t="shared" si="4"/>
        <v xml:space="preserve"> </v>
      </c>
      <c r="BU62" s="323" t="str">
        <f t="shared" si="59"/>
        <v xml:space="preserve"> </v>
      </c>
      <c r="BV62" s="323" t="str">
        <f t="shared" si="60"/>
        <v xml:space="preserve"> </v>
      </c>
      <c r="BW62" s="198" t="str">
        <f t="shared" si="61"/>
        <v xml:space="preserve"> </v>
      </c>
      <c r="BX62" s="967"/>
    </row>
    <row r="63" spans="1:77" s="111" customFormat="1" ht="31.5">
      <c r="A63" s="114" t="s">
        <v>45</v>
      </c>
      <c r="B63" s="139" t="s">
        <v>131</v>
      </c>
      <c r="C63" s="1521" t="s">
        <v>1</v>
      </c>
      <c r="D63" s="187">
        <f t="shared" si="338"/>
        <v>13.6964513</v>
      </c>
      <c r="E63" s="208">
        <f>SUM(E64:E71)</f>
        <v>13.042000000000002</v>
      </c>
      <c r="F63" s="208">
        <f t="shared" ref="F63:I63" si="339">SUM(F64:F71)</f>
        <v>0.65445129999999885</v>
      </c>
      <c r="G63" s="208">
        <f t="shared" si="339"/>
        <v>0</v>
      </c>
      <c r="H63" s="1151">
        <f t="shared" si="339"/>
        <v>0</v>
      </c>
      <c r="I63" s="468">
        <f t="shared" si="339"/>
        <v>0</v>
      </c>
      <c r="J63" s="187">
        <f t="shared" si="328"/>
        <v>65.058999999999997</v>
      </c>
      <c r="K63" s="232">
        <f>SUM(K64:K71)</f>
        <v>38.882999999999996</v>
      </c>
      <c r="L63" s="232">
        <f t="shared" ref="L63:O63" si="340">SUM(L64:L71)</f>
        <v>24.986000000000004</v>
      </c>
      <c r="M63" s="232">
        <f t="shared" si="340"/>
        <v>0</v>
      </c>
      <c r="N63" s="1141">
        <f t="shared" si="340"/>
        <v>1.19</v>
      </c>
      <c r="O63" s="470">
        <f t="shared" si="340"/>
        <v>0</v>
      </c>
      <c r="P63" s="187">
        <f>Q63+R63+S63+T63</f>
        <v>13.88</v>
      </c>
      <c r="Q63" s="208">
        <f>SUM(Q64:Q71)</f>
        <v>13.88</v>
      </c>
      <c r="R63" s="208">
        <f t="shared" ref="R63:U63" si="341">SUM(R64:R71)</f>
        <v>0</v>
      </c>
      <c r="S63" s="208">
        <f t="shared" si="341"/>
        <v>0</v>
      </c>
      <c r="T63" s="1151">
        <f t="shared" si="341"/>
        <v>0</v>
      </c>
      <c r="U63" s="468">
        <f t="shared" si="341"/>
        <v>0</v>
      </c>
      <c r="V63" s="187">
        <f t="shared" si="330"/>
        <v>203.94800000000001</v>
      </c>
      <c r="W63" s="232">
        <f>SUM(W64:W71)</f>
        <v>200.20400000000001</v>
      </c>
      <c r="X63" s="232">
        <f t="shared" ref="X63:AA63" si="342">SUM(X64:X71)</f>
        <v>0</v>
      </c>
      <c r="Y63" s="232">
        <f t="shared" si="342"/>
        <v>0</v>
      </c>
      <c r="Z63" s="1141">
        <f t="shared" si="342"/>
        <v>3.7440000000000002</v>
      </c>
      <c r="AA63" s="470">
        <f t="shared" si="342"/>
        <v>0</v>
      </c>
      <c r="AB63" s="189">
        <f t="shared" si="331"/>
        <v>11.73</v>
      </c>
      <c r="AC63" s="208">
        <f>SUM(AC64:AC71)</f>
        <v>11.73</v>
      </c>
      <c r="AD63" s="208">
        <f t="shared" ref="AD63:AG63" si="343">SUM(AD64:AD71)</f>
        <v>0</v>
      </c>
      <c r="AE63" s="208">
        <f t="shared" si="343"/>
        <v>0</v>
      </c>
      <c r="AF63" s="1151">
        <f t="shared" si="343"/>
        <v>0</v>
      </c>
      <c r="AG63" s="468">
        <f t="shared" si="343"/>
        <v>0</v>
      </c>
      <c r="AH63" s="187">
        <f t="shared" si="332"/>
        <v>286.99596659200012</v>
      </c>
      <c r="AI63" s="232">
        <f>SUM(AI64:AI71)</f>
        <v>281.72003816007833</v>
      </c>
      <c r="AJ63" s="232">
        <f t="shared" ref="AJ63:AM63" si="344">SUM(AJ64:AJ71)</f>
        <v>0</v>
      </c>
      <c r="AK63" s="232">
        <f t="shared" si="344"/>
        <v>0</v>
      </c>
      <c r="AL63" s="1141">
        <f t="shared" si="344"/>
        <v>5.2759284319217681</v>
      </c>
      <c r="AM63" s="470">
        <f t="shared" si="344"/>
        <v>0</v>
      </c>
      <c r="AN63" s="189">
        <f t="shared" si="333"/>
        <v>10.66</v>
      </c>
      <c r="AO63" s="208">
        <f>SUM(AO64:AO71)</f>
        <v>10.66</v>
      </c>
      <c r="AP63" s="208">
        <f t="shared" ref="AP63:AS63" si="345">SUM(AP64:AP71)</f>
        <v>0</v>
      </c>
      <c r="AQ63" s="208">
        <f t="shared" si="345"/>
        <v>0</v>
      </c>
      <c r="AR63" s="1151">
        <f t="shared" si="345"/>
        <v>0</v>
      </c>
      <c r="AS63" s="468">
        <f t="shared" si="345"/>
        <v>0</v>
      </c>
      <c r="AT63" s="187">
        <f t="shared" si="334"/>
        <v>211.2742052556797</v>
      </c>
      <c r="AU63" s="232">
        <f>SUM(AU64:AU71)</f>
        <v>207.08899817220529</v>
      </c>
      <c r="AV63" s="232">
        <f t="shared" ref="AV63:AY63" si="346">SUM(AV64:AV71)</f>
        <v>0</v>
      </c>
      <c r="AW63" s="232">
        <f t="shared" si="346"/>
        <v>0</v>
      </c>
      <c r="AX63" s="1141">
        <f t="shared" si="346"/>
        <v>4.1852070834743955</v>
      </c>
      <c r="AY63" s="470">
        <f t="shared" si="346"/>
        <v>0</v>
      </c>
      <c r="AZ63" s="189">
        <f t="shared" si="335"/>
        <v>10.66</v>
      </c>
      <c r="BA63" s="208">
        <f>SUM(BA64:BA71)</f>
        <v>10.66</v>
      </c>
      <c r="BB63" s="208">
        <f t="shared" ref="BB63:BE63" si="347">SUM(BB64:BB71)</f>
        <v>0</v>
      </c>
      <c r="BC63" s="208">
        <f t="shared" si="347"/>
        <v>0</v>
      </c>
      <c r="BD63" s="1151">
        <f t="shared" si="347"/>
        <v>0</v>
      </c>
      <c r="BE63" s="468">
        <f t="shared" si="347"/>
        <v>0</v>
      </c>
      <c r="BF63" s="187">
        <f t="shared" si="336"/>
        <v>215.72037346590704</v>
      </c>
      <c r="BG63" s="232">
        <f>SUM(BG64:BG71)</f>
        <v>211.44097270853055</v>
      </c>
      <c r="BH63" s="232">
        <f t="shared" ref="BH63:BK63" si="348">SUM(BH64:BH71)</f>
        <v>0</v>
      </c>
      <c r="BI63" s="232">
        <f t="shared" si="348"/>
        <v>0</v>
      </c>
      <c r="BJ63" s="1141">
        <f t="shared" si="348"/>
        <v>4.2794007573764805</v>
      </c>
      <c r="BK63" s="470">
        <f t="shared" si="348"/>
        <v>0</v>
      </c>
      <c r="BL63" s="189">
        <f>BM63+BN63+BO63+BP63</f>
        <v>10.66</v>
      </c>
      <c r="BM63" s="208">
        <f>SUM(BM64:BM71)</f>
        <v>10.66</v>
      </c>
      <c r="BN63" s="208">
        <f t="shared" ref="BN63:BQ63" si="349">SUM(BN64:BN71)</f>
        <v>0</v>
      </c>
      <c r="BO63" s="208">
        <f t="shared" si="349"/>
        <v>0</v>
      </c>
      <c r="BP63" s="1151">
        <f t="shared" si="349"/>
        <v>0</v>
      </c>
      <c r="BQ63" s="468">
        <f t="shared" si="349"/>
        <v>0</v>
      </c>
      <c r="BR63" s="940">
        <f t="shared" si="8"/>
        <v>0.21334481009545184</v>
      </c>
      <c r="BS63" s="542">
        <f t="shared" si="9"/>
        <v>1.0134011866270791</v>
      </c>
      <c r="BT63" s="942">
        <f t="shared" si="4"/>
        <v>0.84510086455331412</v>
      </c>
      <c r="BU63" s="324">
        <f t="shared" si="59"/>
        <v>0.9087809036658141</v>
      </c>
      <c r="BV63" s="324">
        <f t="shared" si="60"/>
        <v>1</v>
      </c>
      <c r="BW63" s="201">
        <f t="shared" si="61"/>
        <v>1</v>
      </c>
      <c r="BX63" s="967"/>
    </row>
    <row r="64" spans="1:77" s="83" customFormat="1" ht="47.25" outlineLevel="1">
      <c r="A64" s="133"/>
      <c r="B64" s="140" t="s">
        <v>294</v>
      </c>
      <c r="C64" s="1507" t="s">
        <v>1</v>
      </c>
      <c r="D64" s="187">
        <f t="shared" si="338"/>
        <v>1.03</v>
      </c>
      <c r="E64" s="984">
        <v>0.91</v>
      </c>
      <c r="F64" s="984">
        <v>0.12</v>
      </c>
      <c r="G64" s="984"/>
      <c r="H64" s="1154"/>
      <c r="I64" s="986"/>
      <c r="J64" s="187">
        <f t="shared" si="328"/>
        <v>4.28</v>
      </c>
      <c r="K64" s="983">
        <v>2.5579999999999998</v>
      </c>
      <c r="L64" s="983">
        <v>1.6440000000000003</v>
      </c>
      <c r="M64" s="983"/>
      <c r="N64" s="1522">
        <v>7.8E-2</v>
      </c>
      <c r="O64" s="987"/>
      <c r="P64" s="187">
        <f>Q64+R64+S64+T64</f>
        <v>3.96</v>
      </c>
      <c r="Q64" s="984">
        <v>3.96</v>
      </c>
      <c r="R64" s="984"/>
      <c r="S64" s="984"/>
      <c r="T64" s="1154"/>
      <c r="U64" s="986"/>
      <c r="V64" s="187">
        <f t="shared" si="330"/>
        <v>4.4510000000000005</v>
      </c>
      <c r="W64" s="983">
        <v>4.37</v>
      </c>
      <c r="X64" s="983"/>
      <c r="Y64" s="983"/>
      <c r="Z64" s="1522">
        <v>8.1000000000000003E-2</v>
      </c>
      <c r="AA64" s="987"/>
      <c r="AB64" s="189">
        <f>AC64+AD64+AE64+AF64</f>
        <v>3.96</v>
      </c>
      <c r="AC64" s="984">
        <f>Q64</f>
        <v>3.96</v>
      </c>
      <c r="AD64" s="984"/>
      <c r="AE64" s="1154"/>
      <c r="AF64" s="1154"/>
      <c r="AG64" s="986"/>
      <c r="AH64" s="187">
        <f t="shared" si="332"/>
        <v>4.6292480000000005</v>
      </c>
      <c r="AI64" s="983">
        <v>4.5445158539233717</v>
      </c>
      <c r="AJ64" s="983"/>
      <c r="AK64" s="983"/>
      <c r="AL64" s="1522">
        <v>8.4732146076628531E-2</v>
      </c>
      <c r="AM64" s="987"/>
      <c r="AN64" s="189">
        <f t="shared" si="333"/>
        <v>3.96</v>
      </c>
      <c r="AO64" s="984">
        <f>Q64</f>
        <v>3.96</v>
      </c>
      <c r="AP64" s="984"/>
      <c r="AQ64" s="1154"/>
      <c r="AR64" s="1154"/>
      <c r="AS64" s="986"/>
      <c r="AT64" s="187">
        <f t="shared" si="334"/>
        <v>4.8144179200000004</v>
      </c>
      <c r="AU64" s="983">
        <v>4.7262964880803064</v>
      </c>
      <c r="AV64" s="983"/>
      <c r="AW64" s="983"/>
      <c r="AX64" s="1522">
        <v>8.8121431919693669E-2</v>
      </c>
      <c r="AY64" s="987"/>
      <c r="AZ64" s="189">
        <f t="shared" si="335"/>
        <v>3.96</v>
      </c>
      <c r="BA64" s="984">
        <f>AO64</f>
        <v>3.96</v>
      </c>
      <c r="BB64" s="984"/>
      <c r="BC64" s="1154"/>
      <c r="BD64" s="1154"/>
      <c r="BE64" s="986"/>
      <c r="BF64" s="187">
        <f t="shared" si="336"/>
        <v>5.0069946368000009</v>
      </c>
      <c r="BG64" s="983">
        <v>4.9153483476035191</v>
      </c>
      <c r="BH64" s="983"/>
      <c r="BI64" s="983"/>
      <c r="BJ64" s="1522">
        <v>9.1646289196481434E-2</v>
      </c>
      <c r="BK64" s="987"/>
      <c r="BL64" s="189">
        <f t="shared" si="337"/>
        <v>3.96</v>
      </c>
      <c r="BM64" s="984">
        <f>BA64</f>
        <v>3.96</v>
      </c>
      <c r="BN64" s="984"/>
      <c r="BO64" s="1154"/>
      <c r="BP64" s="1154"/>
      <c r="BQ64" s="986"/>
      <c r="BR64" s="940">
        <f t="shared" si="8"/>
        <v>0.92523364485981308</v>
      </c>
      <c r="BS64" s="542">
        <f t="shared" si="9"/>
        <v>3.8446601941747574</v>
      </c>
      <c r="BT64" s="1502">
        <f t="shared" si="4"/>
        <v>1</v>
      </c>
      <c r="BU64" s="323">
        <f t="shared" si="59"/>
        <v>1</v>
      </c>
      <c r="BV64" s="323">
        <f t="shared" si="60"/>
        <v>1</v>
      </c>
      <c r="BW64" s="198">
        <f t="shared" si="61"/>
        <v>1</v>
      </c>
      <c r="BX64" s="969" t="s">
        <v>489</v>
      </c>
    </row>
    <row r="65" spans="1:77" s="83" customFormat="1" ht="18.75">
      <c r="A65" s="133"/>
      <c r="B65" s="140" t="s">
        <v>132</v>
      </c>
      <c r="C65" s="1507" t="s">
        <v>1</v>
      </c>
      <c r="D65" s="187">
        <f t="shared" si="338"/>
        <v>7.2744512999999991</v>
      </c>
      <c r="E65" s="207">
        <v>6.74</v>
      </c>
      <c r="F65" s="207">
        <v>0.53445129999999885</v>
      </c>
      <c r="G65" s="207"/>
      <c r="H65" s="1145"/>
      <c r="I65" s="469"/>
      <c r="J65" s="187">
        <f t="shared" si="328"/>
        <v>7.5589999999999993</v>
      </c>
      <c r="K65" s="383">
        <v>4.5179999999999998</v>
      </c>
      <c r="L65" s="383">
        <v>2.903</v>
      </c>
      <c r="M65" s="383"/>
      <c r="N65" s="1501">
        <v>0.13800000000000001</v>
      </c>
      <c r="O65" s="500"/>
      <c r="P65" s="187">
        <f t="shared" si="329"/>
        <v>6.7</v>
      </c>
      <c r="Q65" s="207">
        <v>6.7</v>
      </c>
      <c r="R65" s="207"/>
      <c r="S65" s="207"/>
      <c r="T65" s="1145"/>
      <c r="U65" s="469"/>
      <c r="V65" s="187">
        <f t="shared" si="330"/>
        <v>7.86</v>
      </c>
      <c r="W65" s="383">
        <v>7.86</v>
      </c>
      <c r="X65" s="383"/>
      <c r="Y65" s="383"/>
      <c r="Z65" s="1501"/>
      <c r="AA65" s="500"/>
      <c r="AB65" s="189">
        <f t="shared" si="331"/>
        <v>6.7</v>
      </c>
      <c r="AC65" s="207">
        <f>Q65</f>
        <v>6.7</v>
      </c>
      <c r="AD65" s="207"/>
      <c r="AE65" s="1145"/>
      <c r="AF65" s="1145"/>
      <c r="AG65" s="469"/>
      <c r="AH65" s="187">
        <f t="shared" si="332"/>
        <v>8.18</v>
      </c>
      <c r="AI65" s="383">
        <v>8.18</v>
      </c>
      <c r="AJ65" s="383"/>
      <c r="AK65" s="383"/>
      <c r="AL65" s="1501"/>
      <c r="AM65" s="500"/>
      <c r="AN65" s="189">
        <f t="shared" si="333"/>
        <v>6.7</v>
      </c>
      <c r="AO65" s="207">
        <f>AC65</f>
        <v>6.7</v>
      </c>
      <c r="AP65" s="207"/>
      <c r="AQ65" s="1145"/>
      <c r="AR65" s="1145"/>
      <c r="AS65" s="469"/>
      <c r="AT65" s="187">
        <f t="shared" si="334"/>
        <v>8.5</v>
      </c>
      <c r="AU65" s="383">
        <v>8.5</v>
      </c>
      <c r="AV65" s="383"/>
      <c r="AW65" s="383"/>
      <c r="AX65" s="1501"/>
      <c r="AY65" s="500"/>
      <c r="AZ65" s="189">
        <f t="shared" si="335"/>
        <v>6.7</v>
      </c>
      <c r="BA65" s="207">
        <f>AO65</f>
        <v>6.7</v>
      </c>
      <c r="BB65" s="207"/>
      <c r="BC65" s="1145"/>
      <c r="BD65" s="1145"/>
      <c r="BE65" s="469"/>
      <c r="BF65" s="187">
        <f t="shared" si="336"/>
        <v>8.85</v>
      </c>
      <c r="BG65" s="383">
        <v>8.85</v>
      </c>
      <c r="BH65" s="383"/>
      <c r="BI65" s="383"/>
      <c r="BJ65" s="1501"/>
      <c r="BK65" s="500"/>
      <c r="BL65" s="189">
        <f t="shared" si="337"/>
        <v>6.7</v>
      </c>
      <c r="BM65" s="207">
        <f>BA65</f>
        <v>6.7</v>
      </c>
      <c r="BN65" s="207"/>
      <c r="BO65" s="1145"/>
      <c r="BP65" s="1145"/>
      <c r="BQ65" s="469"/>
      <c r="BR65" s="940">
        <f t="shared" si="8"/>
        <v>0.88636062971292506</v>
      </c>
      <c r="BS65" s="542">
        <f t="shared" si="9"/>
        <v>0.92103166598970854</v>
      </c>
      <c r="BT65" s="1502">
        <f t="shared" si="4"/>
        <v>1</v>
      </c>
      <c r="BU65" s="323">
        <f t="shared" si="59"/>
        <v>1</v>
      </c>
      <c r="BV65" s="323">
        <f t="shared" si="60"/>
        <v>1</v>
      </c>
      <c r="BW65" s="198">
        <f t="shared" si="61"/>
        <v>1</v>
      </c>
      <c r="BX65" s="967" t="s">
        <v>494</v>
      </c>
    </row>
    <row r="66" spans="1:77" s="83" customFormat="1" ht="26.25">
      <c r="A66" s="133"/>
      <c r="B66" s="140" t="s">
        <v>133</v>
      </c>
      <c r="C66" s="1507" t="s">
        <v>1</v>
      </c>
      <c r="D66" s="187">
        <f t="shared" si="338"/>
        <v>5.3920000000000003</v>
      </c>
      <c r="E66" s="207">
        <v>5.3920000000000003</v>
      </c>
      <c r="F66" s="207"/>
      <c r="G66" s="207"/>
      <c r="H66" s="1145"/>
      <c r="I66" s="469"/>
      <c r="J66" s="187">
        <f t="shared" si="328"/>
        <v>3.22</v>
      </c>
      <c r="K66" s="383">
        <v>1.9239999999999999</v>
      </c>
      <c r="L66" s="383">
        <v>1.2370000000000001</v>
      </c>
      <c r="M66" s="383"/>
      <c r="N66" s="1501">
        <v>5.8999999999999997E-2</v>
      </c>
      <c r="O66" s="500"/>
      <c r="P66" s="187">
        <f t="shared" si="329"/>
        <v>3.22</v>
      </c>
      <c r="Q66" s="207">
        <f>J66</f>
        <v>3.22</v>
      </c>
      <c r="R66" s="207"/>
      <c r="S66" s="207"/>
      <c r="T66" s="1145"/>
      <c r="U66" s="469"/>
      <c r="V66" s="187">
        <f t="shared" si="330"/>
        <v>1.07</v>
      </c>
      <c r="W66" s="383">
        <v>1.07</v>
      </c>
      <c r="X66" s="383"/>
      <c r="Y66" s="383"/>
      <c r="Z66" s="1501"/>
      <c r="AA66" s="500"/>
      <c r="AB66" s="189">
        <f t="shared" si="331"/>
        <v>1.07</v>
      </c>
      <c r="AC66" s="207">
        <f>W66</f>
        <v>1.07</v>
      </c>
      <c r="AD66" s="207"/>
      <c r="AE66" s="1145"/>
      <c r="AF66" s="1145"/>
      <c r="AG66" s="469"/>
      <c r="AH66" s="187">
        <f t="shared" si="332"/>
        <v>0</v>
      </c>
      <c r="AI66" s="383"/>
      <c r="AJ66" s="383"/>
      <c r="AK66" s="383"/>
      <c r="AL66" s="1501"/>
      <c r="AM66" s="500"/>
      <c r="AN66" s="189">
        <f t="shared" si="333"/>
        <v>0</v>
      </c>
      <c r="AO66" s="207"/>
      <c r="AP66" s="207"/>
      <c r="AQ66" s="1145"/>
      <c r="AR66" s="1145"/>
      <c r="AS66" s="469"/>
      <c r="AT66" s="187">
        <f t="shared" si="334"/>
        <v>0</v>
      </c>
      <c r="AU66" s="383"/>
      <c r="AV66" s="383"/>
      <c r="AW66" s="383"/>
      <c r="AX66" s="1501"/>
      <c r="AY66" s="500"/>
      <c r="AZ66" s="189">
        <f t="shared" si="335"/>
        <v>0</v>
      </c>
      <c r="BA66" s="207"/>
      <c r="BB66" s="207"/>
      <c r="BC66" s="1145"/>
      <c r="BD66" s="1145"/>
      <c r="BE66" s="469"/>
      <c r="BF66" s="187">
        <f t="shared" si="336"/>
        <v>0</v>
      </c>
      <c r="BG66" s="383"/>
      <c r="BH66" s="383"/>
      <c r="BI66" s="383"/>
      <c r="BJ66" s="1501"/>
      <c r="BK66" s="500"/>
      <c r="BL66" s="189">
        <f t="shared" si="337"/>
        <v>0</v>
      </c>
      <c r="BM66" s="207">
        <f>BA66</f>
        <v>0</v>
      </c>
      <c r="BN66" s="207"/>
      <c r="BO66" s="1145"/>
      <c r="BP66" s="1145"/>
      <c r="BQ66" s="469"/>
      <c r="BR66" s="940">
        <f t="shared" si="8"/>
        <v>1</v>
      </c>
      <c r="BS66" s="542">
        <f t="shared" si="9"/>
        <v>0.59718100890207715</v>
      </c>
      <c r="BT66" s="1502">
        <f t="shared" si="4"/>
        <v>0.33229813664596275</v>
      </c>
      <c r="BU66" s="323">
        <f t="shared" si="59"/>
        <v>0</v>
      </c>
      <c r="BV66" s="323" t="str">
        <f t="shared" si="60"/>
        <v xml:space="preserve"> </v>
      </c>
      <c r="BW66" s="198" t="str">
        <f t="shared" si="61"/>
        <v xml:space="preserve"> </v>
      </c>
      <c r="BX66" s="967" t="s">
        <v>487</v>
      </c>
    </row>
    <row r="67" spans="1:77" s="83" customFormat="1" ht="18.75">
      <c r="A67" s="133"/>
      <c r="B67" s="140" t="s">
        <v>137</v>
      </c>
      <c r="C67" s="1507" t="s">
        <v>1</v>
      </c>
      <c r="D67" s="187">
        <f t="shared" si="338"/>
        <v>0</v>
      </c>
      <c r="E67" s="207"/>
      <c r="F67" s="207"/>
      <c r="G67" s="207"/>
      <c r="H67" s="1145"/>
      <c r="I67" s="469"/>
      <c r="J67" s="187">
        <f t="shared" si="328"/>
        <v>0</v>
      </c>
      <c r="K67" s="383"/>
      <c r="L67" s="383"/>
      <c r="M67" s="383"/>
      <c r="N67" s="1501"/>
      <c r="O67" s="500"/>
      <c r="P67" s="187">
        <f t="shared" si="329"/>
        <v>0</v>
      </c>
      <c r="Q67" s="207"/>
      <c r="R67" s="207"/>
      <c r="S67" s="207"/>
      <c r="T67" s="1145"/>
      <c r="U67" s="469"/>
      <c r="V67" s="187">
        <f t="shared" si="330"/>
        <v>0</v>
      </c>
      <c r="W67" s="383"/>
      <c r="X67" s="383"/>
      <c r="Y67" s="383"/>
      <c r="Z67" s="1501"/>
      <c r="AA67" s="500"/>
      <c r="AB67" s="189">
        <f t="shared" si="331"/>
        <v>0</v>
      </c>
      <c r="AC67" s="207"/>
      <c r="AD67" s="207"/>
      <c r="AE67" s="1145"/>
      <c r="AF67" s="1145"/>
      <c r="AG67" s="469"/>
      <c r="AH67" s="187">
        <f t="shared" si="332"/>
        <v>0</v>
      </c>
      <c r="AI67" s="383"/>
      <c r="AJ67" s="383"/>
      <c r="AK67" s="383"/>
      <c r="AL67" s="1501"/>
      <c r="AM67" s="500"/>
      <c r="AN67" s="189">
        <f t="shared" si="333"/>
        <v>0</v>
      </c>
      <c r="AO67" s="207"/>
      <c r="AP67" s="207"/>
      <c r="AQ67" s="1145"/>
      <c r="AR67" s="1145"/>
      <c r="AS67" s="469"/>
      <c r="AT67" s="187">
        <f t="shared" si="334"/>
        <v>0</v>
      </c>
      <c r="AU67" s="383"/>
      <c r="AV67" s="383"/>
      <c r="AW67" s="383"/>
      <c r="AX67" s="1501"/>
      <c r="AY67" s="500"/>
      <c r="AZ67" s="189">
        <f t="shared" si="335"/>
        <v>0</v>
      </c>
      <c r="BA67" s="207"/>
      <c r="BB67" s="207"/>
      <c r="BC67" s="1145"/>
      <c r="BD67" s="1145"/>
      <c r="BE67" s="469"/>
      <c r="BF67" s="187">
        <f t="shared" si="336"/>
        <v>0</v>
      </c>
      <c r="BG67" s="383"/>
      <c r="BH67" s="383"/>
      <c r="BI67" s="383"/>
      <c r="BJ67" s="1501"/>
      <c r="BK67" s="500"/>
      <c r="BL67" s="189">
        <f t="shared" si="337"/>
        <v>0</v>
      </c>
      <c r="BM67" s="207"/>
      <c r="BN67" s="207"/>
      <c r="BO67" s="1145"/>
      <c r="BP67" s="1145"/>
      <c r="BQ67" s="469"/>
      <c r="BR67" s="940" t="str">
        <f t="shared" si="8"/>
        <v xml:space="preserve"> </v>
      </c>
      <c r="BS67" s="542" t="str">
        <f t="shared" si="9"/>
        <v xml:space="preserve"> </v>
      </c>
      <c r="BT67" s="1502" t="str">
        <f t="shared" si="4"/>
        <v xml:space="preserve"> </v>
      </c>
      <c r="BU67" s="323" t="str">
        <f t="shared" si="59"/>
        <v xml:space="preserve"> </v>
      </c>
      <c r="BV67" s="323" t="str">
        <f t="shared" si="60"/>
        <v xml:space="preserve"> </v>
      </c>
      <c r="BW67" s="198" t="str">
        <f t="shared" si="61"/>
        <v xml:space="preserve"> </v>
      </c>
      <c r="BX67" s="967"/>
    </row>
    <row r="68" spans="1:77" s="83" customFormat="1" ht="18.75">
      <c r="A68" s="133"/>
      <c r="B68" s="140" t="s">
        <v>136</v>
      </c>
      <c r="C68" s="1507" t="s">
        <v>1</v>
      </c>
      <c r="D68" s="187">
        <f t="shared" si="338"/>
        <v>0</v>
      </c>
      <c r="E68" s="207"/>
      <c r="F68" s="207"/>
      <c r="G68" s="207"/>
      <c r="H68" s="1145"/>
      <c r="I68" s="469"/>
      <c r="J68" s="187">
        <f t="shared" si="328"/>
        <v>0</v>
      </c>
      <c r="K68" s="383"/>
      <c r="L68" s="383"/>
      <c r="M68" s="383"/>
      <c r="N68" s="1501"/>
      <c r="O68" s="500"/>
      <c r="P68" s="187">
        <f t="shared" si="329"/>
        <v>0</v>
      </c>
      <c r="Q68" s="207"/>
      <c r="R68" s="207"/>
      <c r="S68" s="207"/>
      <c r="T68" s="1145"/>
      <c r="U68" s="469"/>
      <c r="V68" s="187">
        <f t="shared" si="330"/>
        <v>0</v>
      </c>
      <c r="W68" s="383"/>
      <c r="X68" s="383"/>
      <c r="Y68" s="383"/>
      <c r="Z68" s="1501"/>
      <c r="AA68" s="500"/>
      <c r="AB68" s="189">
        <f t="shared" si="331"/>
        <v>0</v>
      </c>
      <c r="AC68" s="207"/>
      <c r="AD68" s="207"/>
      <c r="AE68" s="1145"/>
      <c r="AF68" s="1145"/>
      <c r="AG68" s="469"/>
      <c r="AH68" s="187">
        <f t="shared" si="332"/>
        <v>0</v>
      </c>
      <c r="AI68" s="383"/>
      <c r="AJ68" s="383"/>
      <c r="AK68" s="383"/>
      <c r="AL68" s="1501"/>
      <c r="AM68" s="500"/>
      <c r="AN68" s="189">
        <f t="shared" si="333"/>
        <v>0</v>
      </c>
      <c r="AO68" s="207"/>
      <c r="AP68" s="207"/>
      <c r="AQ68" s="1145"/>
      <c r="AR68" s="1145"/>
      <c r="AS68" s="469"/>
      <c r="AT68" s="187">
        <f t="shared" si="334"/>
        <v>0</v>
      </c>
      <c r="AU68" s="383"/>
      <c r="AV68" s="383"/>
      <c r="AW68" s="383"/>
      <c r="AX68" s="1501"/>
      <c r="AY68" s="500"/>
      <c r="AZ68" s="189">
        <f t="shared" si="335"/>
        <v>0</v>
      </c>
      <c r="BA68" s="207"/>
      <c r="BB68" s="207"/>
      <c r="BC68" s="1145"/>
      <c r="BD68" s="1145"/>
      <c r="BE68" s="469"/>
      <c r="BF68" s="187">
        <f t="shared" si="336"/>
        <v>0</v>
      </c>
      <c r="BG68" s="383"/>
      <c r="BH68" s="383"/>
      <c r="BI68" s="383"/>
      <c r="BJ68" s="1501"/>
      <c r="BK68" s="500"/>
      <c r="BL68" s="189">
        <f t="shared" si="337"/>
        <v>0</v>
      </c>
      <c r="BM68" s="207"/>
      <c r="BN68" s="207"/>
      <c r="BO68" s="1145"/>
      <c r="BP68" s="1145"/>
      <c r="BQ68" s="469"/>
      <c r="BR68" s="940" t="str">
        <f t="shared" si="8"/>
        <v xml:space="preserve"> </v>
      </c>
      <c r="BS68" s="542" t="str">
        <f t="shared" si="9"/>
        <v xml:space="preserve"> </v>
      </c>
      <c r="BT68" s="1502" t="str">
        <f t="shared" si="4"/>
        <v xml:space="preserve"> </v>
      </c>
      <c r="BU68" s="323" t="str">
        <f t="shared" si="59"/>
        <v xml:space="preserve"> </v>
      </c>
      <c r="BV68" s="323" t="str">
        <f t="shared" si="60"/>
        <v xml:space="preserve"> </v>
      </c>
      <c r="BW68" s="198" t="str">
        <f t="shared" si="61"/>
        <v xml:space="preserve"> </v>
      </c>
      <c r="BX68" s="967"/>
    </row>
    <row r="69" spans="1:77" s="83" customFormat="1" ht="15.75" customHeight="1" outlineLevel="1">
      <c r="A69" s="133"/>
      <c r="B69" s="140" t="s">
        <v>134</v>
      </c>
      <c r="C69" s="1507" t="s">
        <v>1</v>
      </c>
      <c r="D69" s="187">
        <f t="shared" si="338"/>
        <v>0</v>
      </c>
      <c r="E69" s="207"/>
      <c r="F69" s="207"/>
      <c r="G69" s="207"/>
      <c r="H69" s="1145"/>
      <c r="I69" s="469"/>
      <c r="J69" s="187">
        <f t="shared" si="328"/>
        <v>0</v>
      </c>
      <c r="K69" s="383"/>
      <c r="L69" s="383"/>
      <c r="M69" s="383"/>
      <c r="N69" s="1501"/>
      <c r="O69" s="500"/>
      <c r="P69" s="187">
        <f t="shared" si="329"/>
        <v>0</v>
      </c>
      <c r="Q69" s="207"/>
      <c r="R69" s="207"/>
      <c r="S69" s="207"/>
      <c r="T69" s="1145"/>
      <c r="U69" s="469"/>
      <c r="V69" s="187">
        <f t="shared" si="330"/>
        <v>0</v>
      </c>
      <c r="W69" s="383"/>
      <c r="X69" s="383"/>
      <c r="Y69" s="383"/>
      <c r="Z69" s="1501"/>
      <c r="AA69" s="500"/>
      <c r="AB69" s="189">
        <f t="shared" si="331"/>
        <v>0</v>
      </c>
      <c r="AC69" s="207"/>
      <c r="AD69" s="207"/>
      <c r="AE69" s="1145"/>
      <c r="AF69" s="1145"/>
      <c r="AG69" s="469"/>
      <c r="AH69" s="187">
        <f t="shared" si="332"/>
        <v>0</v>
      </c>
      <c r="AI69" s="383"/>
      <c r="AJ69" s="383"/>
      <c r="AK69" s="383"/>
      <c r="AL69" s="1501"/>
      <c r="AM69" s="500"/>
      <c r="AN69" s="189">
        <f t="shared" si="333"/>
        <v>0</v>
      </c>
      <c r="AO69" s="207"/>
      <c r="AP69" s="207"/>
      <c r="AQ69" s="1145"/>
      <c r="AR69" s="1145"/>
      <c r="AS69" s="469"/>
      <c r="AT69" s="187">
        <f t="shared" si="334"/>
        <v>0</v>
      </c>
      <c r="AU69" s="383"/>
      <c r="AV69" s="383"/>
      <c r="AW69" s="383"/>
      <c r="AX69" s="1501"/>
      <c r="AY69" s="500"/>
      <c r="AZ69" s="189">
        <f t="shared" si="335"/>
        <v>0</v>
      </c>
      <c r="BA69" s="207"/>
      <c r="BB69" s="207"/>
      <c r="BC69" s="1145"/>
      <c r="BD69" s="1145"/>
      <c r="BE69" s="469"/>
      <c r="BF69" s="187">
        <f t="shared" si="336"/>
        <v>0</v>
      </c>
      <c r="BG69" s="383"/>
      <c r="BH69" s="383"/>
      <c r="BI69" s="383"/>
      <c r="BJ69" s="1501"/>
      <c r="BK69" s="500"/>
      <c r="BL69" s="189">
        <f t="shared" si="337"/>
        <v>0</v>
      </c>
      <c r="BM69" s="207"/>
      <c r="BN69" s="207"/>
      <c r="BO69" s="1145"/>
      <c r="BP69" s="1145"/>
      <c r="BQ69" s="469"/>
      <c r="BR69" s="940" t="str">
        <f t="shared" si="8"/>
        <v xml:space="preserve"> </v>
      </c>
      <c r="BS69" s="542" t="str">
        <f t="shared" si="9"/>
        <v xml:space="preserve"> </v>
      </c>
      <c r="BT69" s="1502" t="str">
        <f t="shared" si="4"/>
        <v xml:space="preserve"> </v>
      </c>
      <c r="BU69" s="323" t="str">
        <f t="shared" si="59"/>
        <v xml:space="preserve"> </v>
      </c>
      <c r="BV69" s="323" t="str">
        <f t="shared" si="60"/>
        <v xml:space="preserve"> </v>
      </c>
      <c r="BW69" s="198" t="str">
        <f t="shared" si="61"/>
        <v xml:space="preserve"> </v>
      </c>
      <c r="BX69" s="967"/>
    </row>
    <row r="70" spans="1:77" s="83" customFormat="1" ht="18.75">
      <c r="A70" s="133"/>
      <c r="B70" s="140" t="s">
        <v>135</v>
      </c>
      <c r="C70" s="1507" t="s">
        <v>1</v>
      </c>
      <c r="D70" s="187">
        <f t="shared" si="338"/>
        <v>0</v>
      </c>
      <c r="E70" s="207"/>
      <c r="F70" s="207"/>
      <c r="G70" s="207"/>
      <c r="H70" s="1145"/>
      <c r="I70" s="469"/>
      <c r="J70" s="187">
        <f t="shared" si="328"/>
        <v>0</v>
      </c>
      <c r="K70" s="383"/>
      <c r="L70" s="383"/>
      <c r="M70" s="383"/>
      <c r="N70" s="1501"/>
      <c r="O70" s="500"/>
      <c r="P70" s="187">
        <f t="shared" si="329"/>
        <v>0</v>
      </c>
      <c r="Q70" s="984"/>
      <c r="R70" s="207"/>
      <c r="S70" s="207"/>
      <c r="T70" s="1145"/>
      <c r="U70" s="469"/>
      <c r="V70" s="187">
        <f t="shared" si="330"/>
        <v>0</v>
      </c>
      <c r="W70" s="383"/>
      <c r="X70" s="383"/>
      <c r="Y70" s="383"/>
      <c r="Z70" s="1501"/>
      <c r="AA70" s="500"/>
      <c r="AB70" s="189">
        <f t="shared" si="331"/>
        <v>0</v>
      </c>
      <c r="AC70" s="984">
        <f>ROUND(AC90*20/80,2)</f>
        <v>0</v>
      </c>
      <c r="AD70" s="207"/>
      <c r="AE70" s="1145"/>
      <c r="AF70" s="1145"/>
      <c r="AG70" s="469"/>
      <c r="AH70" s="187">
        <f t="shared" si="332"/>
        <v>0</v>
      </c>
      <c r="AI70" s="383"/>
      <c r="AJ70" s="383"/>
      <c r="AK70" s="383"/>
      <c r="AL70" s="1501"/>
      <c r="AM70" s="500"/>
      <c r="AN70" s="189">
        <f t="shared" si="333"/>
        <v>0</v>
      </c>
      <c r="AO70" s="984">
        <f>ROUND(AO90*20/80,2)</f>
        <v>0</v>
      </c>
      <c r="AP70" s="207"/>
      <c r="AQ70" s="1145"/>
      <c r="AR70" s="1145"/>
      <c r="AS70" s="469"/>
      <c r="AT70" s="187">
        <f t="shared" si="334"/>
        <v>0</v>
      </c>
      <c r="AU70" s="383"/>
      <c r="AV70" s="383"/>
      <c r="AW70" s="383"/>
      <c r="AX70" s="1501"/>
      <c r="AY70" s="500"/>
      <c r="AZ70" s="189">
        <f t="shared" si="335"/>
        <v>0</v>
      </c>
      <c r="BA70" s="984">
        <f>ROUND(BA90*20/80,2)</f>
        <v>0</v>
      </c>
      <c r="BB70" s="207"/>
      <c r="BC70" s="1145"/>
      <c r="BD70" s="1145"/>
      <c r="BE70" s="469"/>
      <c r="BF70" s="187">
        <f t="shared" si="336"/>
        <v>0</v>
      </c>
      <c r="BG70" s="383"/>
      <c r="BH70" s="383"/>
      <c r="BI70" s="383"/>
      <c r="BJ70" s="1501"/>
      <c r="BK70" s="500"/>
      <c r="BL70" s="189">
        <f t="shared" si="337"/>
        <v>0</v>
      </c>
      <c r="BM70" s="984">
        <f>ROUND(BM90*20/80,2)</f>
        <v>0</v>
      </c>
      <c r="BN70" s="207"/>
      <c r="BO70" s="1145"/>
      <c r="BP70" s="1145"/>
      <c r="BQ70" s="469"/>
      <c r="BR70" s="940" t="str">
        <f t="shared" si="8"/>
        <v xml:space="preserve"> </v>
      </c>
      <c r="BS70" s="542" t="str">
        <f t="shared" si="9"/>
        <v xml:space="preserve"> </v>
      </c>
      <c r="BT70" s="1502" t="str">
        <f t="shared" si="4"/>
        <v xml:space="preserve"> </v>
      </c>
      <c r="BU70" s="323" t="str">
        <f t="shared" si="59"/>
        <v xml:space="preserve"> </v>
      </c>
      <c r="BV70" s="323" t="str">
        <f t="shared" si="60"/>
        <v xml:space="preserve"> </v>
      </c>
      <c r="BW70" s="198" t="str">
        <f t="shared" si="61"/>
        <v xml:space="preserve"> </v>
      </c>
      <c r="BX70" s="967"/>
    </row>
    <row r="71" spans="1:77" s="83" customFormat="1" ht="18.75">
      <c r="A71" s="133"/>
      <c r="B71" s="140" t="s">
        <v>138</v>
      </c>
      <c r="C71" s="1507" t="s">
        <v>1</v>
      </c>
      <c r="D71" s="187">
        <f t="shared" si="338"/>
        <v>0</v>
      </c>
      <c r="E71" s="207"/>
      <c r="F71" s="207"/>
      <c r="G71" s="207"/>
      <c r="H71" s="1145"/>
      <c r="I71" s="469"/>
      <c r="J71" s="1250">
        <f t="shared" si="328"/>
        <v>50</v>
      </c>
      <c r="K71" s="383">
        <v>29.882999999999999</v>
      </c>
      <c r="L71" s="383">
        <v>19.202000000000002</v>
      </c>
      <c r="M71" s="1501"/>
      <c r="N71" s="1501">
        <v>0.91500000000000004</v>
      </c>
      <c r="O71" s="500"/>
      <c r="P71" s="187">
        <f t="shared" si="329"/>
        <v>0</v>
      </c>
      <c r="Q71" s="207"/>
      <c r="R71" s="207"/>
      <c r="S71" s="207"/>
      <c r="T71" s="1145"/>
      <c r="U71" s="469"/>
      <c r="V71" s="187">
        <f t="shared" si="330"/>
        <v>190.56700000000001</v>
      </c>
      <c r="W71" s="383">
        <f>1.05+210.571-W73-W65-W66</f>
        <v>186.904</v>
      </c>
      <c r="X71" s="383"/>
      <c r="Y71" s="1501"/>
      <c r="Z71" s="1501">
        <f>0.02+3.926-Z73</f>
        <v>3.6630000000000003</v>
      </c>
      <c r="AA71" s="500"/>
      <c r="AB71" s="189">
        <f t="shared" si="331"/>
        <v>0</v>
      </c>
      <c r="AC71" s="207"/>
      <c r="AD71" s="207"/>
      <c r="AE71" s="1145"/>
      <c r="AF71" s="1145"/>
      <c r="AG71" s="469"/>
      <c r="AH71" s="187">
        <f t="shared" si="332"/>
        <v>274.18671859200009</v>
      </c>
      <c r="AI71" s="383">
        <f>293.602522306155-AI73-AI65</f>
        <v>268.99552230615495</v>
      </c>
      <c r="AJ71" s="383"/>
      <c r="AK71" s="1501"/>
      <c r="AL71" s="1501">
        <f>5.47419628584514-AL73</f>
        <v>5.1911962858451393</v>
      </c>
      <c r="AM71" s="500"/>
      <c r="AN71" s="189">
        <f t="shared" si="333"/>
        <v>0</v>
      </c>
      <c r="AO71" s="207"/>
      <c r="AP71" s="207"/>
      <c r="AQ71" s="1145"/>
      <c r="AR71" s="1145"/>
      <c r="AS71" s="469"/>
      <c r="AT71" s="187">
        <f t="shared" si="334"/>
        <v>197.95978733567969</v>
      </c>
      <c r="AU71" s="383">
        <f>219.742701684125-AU65-AU73</f>
        <v>193.862701684125</v>
      </c>
      <c r="AV71" s="383"/>
      <c r="AW71" s="1501"/>
      <c r="AX71" s="1501">
        <v>4.0970856515547016</v>
      </c>
      <c r="AY71" s="500"/>
      <c r="AZ71" s="189">
        <f t="shared" si="335"/>
        <v>0</v>
      </c>
      <c r="BA71" s="207"/>
      <c r="BB71" s="207"/>
      <c r="BC71" s="1145"/>
      <c r="BD71" s="1145"/>
      <c r="BE71" s="469"/>
      <c r="BF71" s="187">
        <f t="shared" si="336"/>
        <v>201.86337882910703</v>
      </c>
      <c r="BG71" s="383">
        <f>224.605624360927-BG65-BG73</f>
        <v>197.67562436092703</v>
      </c>
      <c r="BH71" s="383"/>
      <c r="BI71" s="1501"/>
      <c r="BJ71" s="1501">
        <v>4.1877544681799987</v>
      </c>
      <c r="BK71" s="500"/>
      <c r="BL71" s="189">
        <f t="shared" si="337"/>
        <v>0</v>
      </c>
      <c r="BM71" s="207"/>
      <c r="BN71" s="207"/>
      <c r="BO71" s="1145"/>
      <c r="BP71" s="1145"/>
      <c r="BQ71" s="469"/>
      <c r="BR71" s="940">
        <f t="shared" si="8"/>
        <v>0</v>
      </c>
      <c r="BS71" s="542" t="str">
        <f t="shared" si="9"/>
        <v xml:space="preserve"> </v>
      </c>
      <c r="BT71" s="1502" t="str">
        <f t="shared" si="4"/>
        <v xml:space="preserve"> </v>
      </c>
      <c r="BU71" s="323" t="str">
        <f t="shared" si="59"/>
        <v xml:space="preserve"> </v>
      </c>
      <c r="BV71" s="323" t="str">
        <f t="shared" si="60"/>
        <v xml:space="preserve"> </v>
      </c>
      <c r="BW71" s="198" t="str">
        <f t="shared" si="61"/>
        <v xml:space="preserve"> </v>
      </c>
      <c r="BX71" s="967"/>
    </row>
    <row r="72" spans="1:77" s="111" customFormat="1" ht="18.75">
      <c r="A72" s="114" t="s">
        <v>46</v>
      </c>
      <c r="B72" s="139" t="s">
        <v>139</v>
      </c>
      <c r="C72" s="1489" t="s">
        <v>1</v>
      </c>
      <c r="D72" s="187">
        <f t="shared" si="338"/>
        <v>0</v>
      </c>
      <c r="E72" s="190"/>
      <c r="F72" s="190"/>
      <c r="G72" s="190"/>
      <c r="H72" s="1135"/>
      <c r="I72" s="464"/>
      <c r="J72" s="187">
        <f t="shared" si="328"/>
        <v>0</v>
      </c>
      <c r="K72" s="232"/>
      <c r="L72" s="232"/>
      <c r="M72" s="1141"/>
      <c r="N72" s="1141"/>
      <c r="O72" s="470"/>
      <c r="P72" s="187">
        <f t="shared" si="329"/>
        <v>0</v>
      </c>
      <c r="Q72" s="190"/>
      <c r="R72" s="190"/>
      <c r="S72" s="190"/>
      <c r="T72" s="1135"/>
      <c r="U72" s="464"/>
      <c r="V72" s="187">
        <f t="shared" si="330"/>
        <v>0</v>
      </c>
      <c r="W72" s="232"/>
      <c r="X72" s="232"/>
      <c r="Y72" s="1141"/>
      <c r="Z72" s="1141"/>
      <c r="AA72" s="470"/>
      <c r="AB72" s="189">
        <f t="shared" si="331"/>
        <v>0</v>
      </c>
      <c r="AC72" s="190"/>
      <c r="AD72" s="190"/>
      <c r="AE72" s="1135"/>
      <c r="AF72" s="1135"/>
      <c r="AG72" s="464"/>
      <c r="AH72" s="187">
        <f t="shared" si="332"/>
        <v>0</v>
      </c>
      <c r="AI72" s="232"/>
      <c r="AJ72" s="232"/>
      <c r="AK72" s="1141"/>
      <c r="AL72" s="1141"/>
      <c r="AM72" s="470"/>
      <c r="AN72" s="189">
        <f t="shared" si="333"/>
        <v>0</v>
      </c>
      <c r="AO72" s="190"/>
      <c r="AP72" s="190"/>
      <c r="AQ72" s="1135"/>
      <c r="AR72" s="1135"/>
      <c r="AS72" s="464"/>
      <c r="AT72" s="187">
        <f t="shared" si="334"/>
        <v>0</v>
      </c>
      <c r="AU72" s="232"/>
      <c r="AV72" s="232"/>
      <c r="AW72" s="1141"/>
      <c r="AX72" s="1141"/>
      <c r="AY72" s="470"/>
      <c r="AZ72" s="189">
        <f t="shared" si="335"/>
        <v>0</v>
      </c>
      <c r="BA72" s="190"/>
      <c r="BB72" s="190"/>
      <c r="BC72" s="1135"/>
      <c r="BD72" s="1135"/>
      <c r="BE72" s="464"/>
      <c r="BF72" s="187">
        <f t="shared" si="336"/>
        <v>0</v>
      </c>
      <c r="BG72" s="232"/>
      <c r="BH72" s="232"/>
      <c r="BI72" s="1141"/>
      <c r="BJ72" s="1141"/>
      <c r="BK72" s="470"/>
      <c r="BL72" s="189">
        <f t="shared" si="337"/>
        <v>0</v>
      </c>
      <c r="BM72" s="190"/>
      <c r="BN72" s="190"/>
      <c r="BO72" s="1135"/>
      <c r="BP72" s="1135"/>
      <c r="BQ72" s="464"/>
      <c r="BR72" s="940" t="str">
        <f t="shared" si="8"/>
        <v xml:space="preserve"> </v>
      </c>
      <c r="BS72" s="542" t="str">
        <f t="shared" si="9"/>
        <v xml:space="preserve"> </v>
      </c>
      <c r="BT72" s="942" t="str">
        <f t="shared" ref="BT72:BT90" si="350">IF(ISERROR(AB72/P72)," ",AB72/P72)</f>
        <v xml:space="preserve"> </v>
      </c>
      <c r="BU72" s="324" t="str">
        <f t="shared" si="59"/>
        <v xml:space="preserve"> </v>
      </c>
      <c r="BV72" s="324" t="str">
        <f t="shared" si="60"/>
        <v xml:space="preserve"> </v>
      </c>
      <c r="BW72" s="201" t="str">
        <f t="shared" si="61"/>
        <v xml:space="preserve"> </v>
      </c>
      <c r="BX72" s="967"/>
    </row>
    <row r="73" spans="1:77" s="111" customFormat="1" ht="36.75" customHeight="1">
      <c r="A73" s="114" t="s">
        <v>48</v>
      </c>
      <c r="B73" s="139" t="s">
        <v>295</v>
      </c>
      <c r="C73" s="1489" t="s">
        <v>1</v>
      </c>
      <c r="D73" s="187">
        <f t="shared" si="338"/>
        <v>14.5</v>
      </c>
      <c r="E73" s="1184">
        <v>12.76</v>
      </c>
      <c r="F73" s="1184">
        <v>1.74</v>
      </c>
      <c r="G73" s="1184"/>
      <c r="H73" s="1191"/>
      <c r="I73" s="1186"/>
      <c r="J73" s="187">
        <f t="shared" si="328"/>
        <v>15.45</v>
      </c>
      <c r="K73" s="1187">
        <v>9.234</v>
      </c>
      <c r="L73" s="1187">
        <v>5.9329999999999998</v>
      </c>
      <c r="M73" s="1523"/>
      <c r="N73" s="1523">
        <v>0.28299999999999997</v>
      </c>
      <c r="O73" s="1189"/>
      <c r="P73" s="187">
        <f t="shared" si="329"/>
        <v>15.35</v>
      </c>
      <c r="Q73" s="1184">
        <f>ROUND(14.29*[184]индексы!G8*[184]индексы!H8,2)</f>
        <v>15.35</v>
      </c>
      <c r="R73" s="1184"/>
      <c r="S73" s="1184"/>
      <c r="T73" s="1191"/>
      <c r="U73" s="1186"/>
      <c r="V73" s="187">
        <f t="shared" si="330"/>
        <v>16.07</v>
      </c>
      <c r="W73" s="1187">
        <f>16.07-Z73</f>
        <v>15.787000000000001</v>
      </c>
      <c r="X73" s="1187"/>
      <c r="Y73" s="1523"/>
      <c r="Z73" s="1523">
        <v>0.28299999999999997</v>
      </c>
      <c r="AA73" s="1189"/>
      <c r="AB73" s="189">
        <f t="shared" si="331"/>
        <v>15.35</v>
      </c>
      <c r="AC73" s="1184">
        <f>Q73</f>
        <v>15.35</v>
      </c>
      <c r="AD73" s="1184"/>
      <c r="AE73" s="1191"/>
      <c r="AF73" s="1191"/>
      <c r="AG73" s="1186"/>
      <c r="AH73" s="187">
        <f t="shared" si="332"/>
        <v>16.71</v>
      </c>
      <c r="AI73" s="1187">
        <f>16.71-AL73</f>
        <v>16.427</v>
      </c>
      <c r="AJ73" s="1187"/>
      <c r="AK73" s="1523"/>
      <c r="AL73" s="1523">
        <v>0.28299999999999997</v>
      </c>
      <c r="AM73" s="1189"/>
      <c r="AN73" s="189">
        <f t="shared" si="333"/>
        <v>15.35</v>
      </c>
      <c r="AO73" s="1184">
        <f>AC73</f>
        <v>15.35</v>
      </c>
      <c r="AP73" s="1184"/>
      <c r="AQ73" s="1191"/>
      <c r="AR73" s="1191"/>
      <c r="AS73" s="1186"/>
      <c r="AT73" s="187">
        <f t="shared" si="334"/>
        <v>17.38</v>
      </c>
      <c r="AU73" s="1187">
        <v>17.38</v>
      </c>
      <c r="AV73" s="1187"/>
      <c r="AW73" s="1523"/>
      <c r="AX73" s="1523"/>
      <c r="AY73" s="1189"/>
      <c r="AZ73" s="189">
        <f t="shared" si="335"/>
        <v>15.35</v>
      </c>
      <c r="BA73" s="1184">
        <f>AO73</f>
        <v>15.35</v>
      </c>
      <c r="BB73" s="1184"/>
      <c r="BC73" s="1191"/>
      <c r="BD73" s="1191"/>
      <c r="BE73" s="1186"/>
      <c r="BF73" s="187">
        <f t="shared" si="336"/>
        <v>18.079999999999998</v>
      </c>
      <c r="BG73" s="1187">
        <v>18.079999999999998</v>
      </c>
      <c r="BH73" s="1187"/>
      <c r="BI73" s="1523"/>
      <c r="BJ73" s="1523"/>
      <c r="BK73" s="1189"/>
      <c r="BL73" s="189">
        <f t="shared" si="337"/>
        <v>15.35</v>
      </c>
      <c r="BM73" s="1184">
        <f>BA73</f>
        <v>15.35</v>
      </c>
      <c r="BN73" s="1184"/>
      <c r="BO73" s="1191"/>
      <c r="BP73" s="1191"/>
      <c r="BQ73" s="1186"/>
      <c r="BR73" s="940">
        <f t="shared" ref="BR73:BR126" si="351">IF(ISERROR(P73/J73)," ",P73/J73)</f>
        <v>0.99352750809061496</v>
      </c>
      <c r="BS73" s="542">
        <f t="shared" ref="BS73:BS126" si="352">IF(ISERROR(P73/D73)," ",P73/D73)</f>
        <v>1.0586206896551724</v>
      </c>
      <c r="BT73" s="942">
        <f t="shared" si="350"/>
        <v>1</v>
      </c>
      <c r="BU73" s="324">
        <f t="shared" si="59"/>
        <v>1</v>
      </c>
      <c r="BV73" s="324">
        <f t="shared" si="60"/>
        <v>1</v>
      </c>
      <c r="BW73" s="201">
        <f t="shared" si="61"/>
        <v>1</v>
      </c>
      <c r="BX73" s="967" t="s">
        <v>496</v>
      </c>
    </row>
    <row r="74" spans="1:77" s="111" customFormat="1" ht="18.75">
      <c r="A74" s="114" t="s">
        <v>47</v>
      </c>
      <c r="B74" s="139" t="s">
        <v>140</v>
      </c>
      <c r="C74" s="1489" t="s">
        <v>1</v>
      </c>
      <c r="D74" s="187">
        <f t="shared" si="338"/>
        <v>0</v>
      </c>
      <c r="E74" s="190"/>
      <c r="F74" s="190"/>
      <c r="G74" s="190"/>
      <c r="H74" s="1135"/>
      <c r="I74" s="464"/>
      <c r="J74" s="187">
        <f t="shared" si="328"/>
        <v>0</v>
      </c>
      <c r="K74" s="232"/>
      <c r="L74" s="232"/>
      <c r="M74" s="1141"/>
      <c r="N74" s="1141"/>
      <c r="O74" s="470"/>
      <c r="P74" s="187">
        <f t="shared" si="329"/>
        <v>0</v>
      </c>
      <c r="Q74" s="190"/>
      <c r="R74" s="190"/>
      <c r="S74" s="190"/>
      <c r="T74" s="1135"/>
      <c r="U74" s="464"/>
      <c r="V74" s="187">
        <f t="shared" si="330"/>
        <v>0</v>
      </c>
      <c r="W74" s="232"/>
      <c r="X74" s="232"/>
      <c r="Y74" s="1141"/>
      <c r="Z74" s="1141"/>
      <c r="AA74" s="470"/>
      <c r="AB74" s="189">
        <f t="shared" si="331"/>
        <v>0</v>
      </c>
      <c r="AC74" s="190"/>
      <c r="AD74" s="190"/>
      <c r="AE74" s="1135"/>
      <c r="AF74" s="1135"/>
      <c r="AG74" s="464"/>
      <c r="AH74" s="187">
        <f t="shared" si="332"/>
        <v>0</v>
      </c>
      <c r="AI74" s="232"/>
      <c r="AJ74" s="232"/>
      <c r="AK74" s="1141"/>
      <c r="AL74" s="1141"/>
      <c r="AM74" s="470"/>
      <c r="AN74" s="189">
        <f t="shared" si="333"/>
        <v>0</v>
      </c>
      <c r="AO74" s="190"/>
      <c r="AP74" s="190"/>
      <c r="AQ74" s="1135"/>
      <c r="AR74" s="1135"/>
      <c r="AS74" s="464"/>
      <c r="AT74" s="187">
        <f t="shared" si="334"/>
        <v>0</v>
      </c>
      <c r="AU74" s="232"/>
      <c r="AV74" s="232"/>
      <c r="AW74" s="1141"/>
      <c r="AX74" s="1141"/>
      <c r="AY74" s="470"/>
      <c r="AZ74" s="189">
        <f t="shared" si="335"/>
        <v>0</v>
      </c>
      <c r="BA74" s="190"/>
      <c r="BB74" s="190"/>
      <c r="BC74" s="1135"/>
      <c r="BD74" s="1135"/>
      <c r="BE74" s="464"/>
      <c r="BF74" s="187">
        <f t="shared" si="336"/>
        <v>0</v>
      </c>
      <c r="BG74" s="232"/>
      <c r="BH74" s="232"/>
      <c r="BI74" s="1141"/>
      <c r="BJ74" s="1141"/>
      <c r="BK74" s="470"/>
      <c r="BL74" s="189">
        <f>BM74+BN74+BO74+BP74</f>
        <v>0</v>
      </c>
      <c r="BM74" s="190"/>
      <c r="BN74" s="190"/>
      <c r="BO74" s="1135"/>
      <c r="BP74" s="1135"/>
      <c r="BQ74" s="464"/>
      <c r="BR74" s="940" t="str">
        <f t="shared" si="351"/>
        <v xml:space="preserve"> </v>
      </c>
      <c r="BS74" s="542" t="str">
        <f t="shared" si="352"/>
        <v xml:space="preserve"> </v>
      </c>
      <c r="BT74" s="942" t="str">
        <f t="shared" si="350"/>
        <v xml:space="preserve"> </v>
      </c>
      <c r="BU74" s="324" t="str">
        <f t="shared" si="59"/>
        <v xml:space="preserve"> </v>
      </c>
      <c r="BV74" s="324" t="str">
        <f t="shared" si="60"/>
        <v xml:space="preserve"> </v>
      </c>
      <c r="BW74" s="201" t="str">
        <f t="shared" si="61"/>
        <v xml:space="preserve"> </v>
      </c>
      <c r="BX74" s="973"/>
    </row>
    <row r="75" spans="1:77" s="111" customFormat="1" ht="18.75">
      <c r="A75" s="114" t="s">
        <v>39</v>
      </c>
      <c r="B75" s="139" t="s">
        <v>141</v>
      </c>
      <c r="C75" s="1489" t="s">
        <v>1</v>
      </c>
      <c r="D75" s="187">
        <f>E75+F75+G75+H75</f>
        <v>344.21</v>
      </c>
      <c r="E75" s="232">
        <f>SUM(E76:E78)</f>
        <v>205.76</v>
      </c>
      <c r="F75" s="232">
        <f t="shared" ref="F75:I75" si="353">SUM(F76:F78)</f>
        <v>138.44999999999999</v>
      </c>
      <c r="G75" s="232">
        <f t="shared" si="353"/>
        <v>0</v>
      </c>
      <c r="H75" s="1141">
        <f t="shared" si="353"/>
        <v>0</v>
      </c>
      <c r="I75" s="470">
        <f t="shared" si="353"/>
        <v>0</v>
      </c>
      <c r="J75" s="187">
        <f>K75+L75+M75+N75</f>
        <v>477.166</v>
      </c>
      <c r="K75" s="232">
        <f>SUM(K76:K78)</f>
        <v>285.18099999999998</v>
      </c>
      <c r="L75" s="232">
        <f t="shared" ref="L75:O75" si="354">SUM(L76:L78)</f>
        <v>183.251</v>
      </c>
      <c r="M75" s="232">
        <f t="shared" si="354"/>
        <v>0</v>
      </c>
      <c r="N75" s="1141">
        <f t="shared" si="354"/>
        <v>8.734</v>
      </c>
      <c r="O75" s="470">
        <f t="shared" si="354"/>
        <v>0</v>
      </c>
      <c r="P75" s="187">
        <f t="shared" si="329"/>
        <v>476.35</v>
      </c>
      <c r="Q75" s="232">
        <f>SUM(Q76:Q78)</f>
        <v>293.10000000000002</v>
      </c>
      <c r="R75" s="232">
        <f t="shared" ref="R75:U75" si="355">SUM(R76:R78)</f>
        <v>183.25</v>
      </c>
      <c r="S75" s="232">
        <f t="shared" si="355"/>
        <v>0</v>
      </c>
      <c r="T75" s="1141">
        <f t="shared" si="355"/>
        <v>0</v>
      </c>
      <c r="U75" s="470">
        <f t="shared" si="355"/>
        <v>0</v>
      </c>
      <c r="V75" s="187">
        <f t="shared" si="330"/>
        <v>491.29015478399998</v>
      </c>
      <c r="W75" s="232">
        <f>SUM(W76:W78)</f>
        <v>482.29779311999999</v>
      </c>
      <c r="X75" s="232">
        <f t="shared" ref="X75:AA75" si="356">SUM(X76:X78)</f>
        <v>0</v>
      </c>
      <c r="Y75" s="232">
        <f t="shared" si="356"/>
        <v>0</v>
      </c>
      <c r="Z75" s="1141">
        <f t="shared" si="356"/>
        <v>8.9923616640000006</v>
      </c>
      <c r="AA75" s="470">
        <f t="shared" si="356"/>
        <v>0</v>
      </c>
      <c r="AB75" s="189">
        <f t="shared" si="331"/>
        <v>487.63</v>
      </c>
      <c r="AC75" s="232">
        <f>SUM(AC76:AC78)</f>
        <v>300.04000000000002</v>
      </c>
      <c r="AD75" s="232">
        <f t="shared" ref="AD75:AG75" si="357">SUM(AD76:AD78)</f>
        <v>187.59</v>
      </c>
      <c r="AE75" s="232">
        <f t="shared" si="357"/>
        <v>0</v>
      </c>
      <c r="AF75" s="1141">
        <f t="shared" si="357"/>
        <v>0</v>
      </c>
      <c r="AG75" s="470">
        <f t="shared" si="357"/>
        <v>0</v>
      </c>
      <c r="AH75" s="187">
        <f t="shared" si="332"/>
        <v>505.83234336560639</v>
      </c>
      <c r="AI75" s="232">
        <f>SUM(AI76:AI78)</f>
        <v>496.57380779635201</v>
      </c>
      <c r="AJ75" s="232">
        <f t="shared" ref="AJ75:AM75" si="358">SUM(AJ76:AJ78)</f>
        <v>0</v>
      </c>
      <c r="AK75" s="232">
        <f t="shared" si="358"/>
        <v>0</v>
      </c>
      <c r="AL75" s="1141">
        <f t="shared" si="358"/>
        <v>9.258535569254402</v>
      </c>
      <c r="AM75" s="470">
        <f t="shared" si="358"/>
        <v>0</v>
      </c>
      <c r="AN75" s="189">
        <f t="shared" si="333"/>
        <v>502.06</v>
      </c>
      <c r="AO75" s="232">
        <f>SUM(AO76:AO78)</f>
        <v>308.92</v>
      </c>
      <c r="AP75" s="232">
        <f t="shared" ref="AP75:AS75" si="359">SUM(AP76:AP78)</f>
        <v>193.14</v>
      </c>
      <c r="AQ75" s="232">
        <f t="shared" si="359"/>
        <v>0</v>
      </c>
      <c r="AR75" s="1141">
        <f t="shared" si="359"/>
        <v>0</v>
      </c>
      <c r="AS75" s="470">
        <f t="shared" si="359"/>
        <v>0</v>
      </c>
      <c r="AT75" s="187">
        <f t="shared" si="334"/>
        <v>520.80498072922842</v>
      </c>
      <c r="AU75" s="232">
        <f>SUM(AU76:AU78)</f>
        <v>511.27239250712404</v>
      </c>
      <c r="AV75" s="232">
        <f t="shared" ref="AV75:AY75" si="360">SUM(AV76:AV78)</f>
        <v>0</v>
      </c>
      <c r="AW75" s="232">
        <f t="shared" si="360"/>
        <v>0</v>
      </c>
      <c r="AX75" s="1141">
        <f t="shared" si="360"/>
        <v>9.5325882221043337</v>
      </c>
      <c r="AY75" s="470">
        <f t="shared" si="360"/>
        <v>0</v>
      </c>
      <c r="AZ75" s="189">
        <f t="shared" si="335"/>
        <v>516.92000000000007</v>
      </c>
      <c r="BA75" s="232">
        <f>SUM(BA76:BA78)</f>
        <v>318.06</v>
      </c>
      <c r="BB75" s="232">
        <f t="shared" ref="BB75:BE75" si="361">SUM(BB76:BB78)</f>
        <v>198.86</v>
      </c>
      <c r="BC75" s="232">
        <f t="shared" si="361"/>
        <v>0</v>
      </c>
      <c r="BD75" s="1141">
        <f t="shared" si="361"/>
        <v>0</v>
      </c>
      <c r="BE75" s="470">
        <f t="shared" si="361"/>
        <v>0</v>
      </c>
      <c r="BF75" s="187">
        <f t="shared" si="336"/>
        <v>536.2208081588135</v>
      </c>
      <c r="BG75" s="232">
        <f>SUM(BG76:BG78)</f>
        <v>526.40605532533493</v>
      </c>
      <c r="BH75" s="232">
        <f t="shared" ref="BH75:BK75" si="362">SUM(BH76:BH78)</f>
        <v>0</v>
      </c>
      <c r="BI75" s="232">
        <f t="shared" si="362"/>
        <v>0</v>
      </c>
      <c r="BJ75" s="1141">
        <f t="shared" si="362"/>
        <v>9.8147528334786216</v>
      </c>
      <c r="BK75" s="470">
        <f t="shared" si="362"/>
        <v>0</v>
      </c>
      <c r="BL75" s="189">
        <f>BM75+BN75+BO75+BP75</f>
        <v>532.22</v>
      </c>
      <c r="BM75" s="232">
        <f>SUM(BM76:BM78)</f>
        <v>327.48</v>
      </c>
      <c r="BN75" s="232">
        <f t="shared" ref="BN75:BQ75" si="363">SUM(BN76:BN78)</f>
        <v>204.74</v>
      </c>
      <c r="BO75" s="232">
        <f t="shared" si="363"/>
        <v>0</v>
      </c>
      <c r="BP75" s="1141">
        <f t="shared" si="363"/>
        <v>0</v>
      </c>
      <c r="BQ75" s="470">
        <f t="shared" si="363"/>
        <v>0</v>
      </c>
      <c r="BR75" s="940">
        <f t="shared" si="351"/>
        <v>0.99828990330409129</v>
      </c>
      <c r="BS75" s="542">
        <f t="shared" si="352"/>
        <v>1.3838935533540573</v>
      </c>
      <c r="BT75" s="942">
        <f t="shared" si="350"/>
        <v>1.0236800671774955</v>
      </c>
      <c r="BU75" s="324">
        <f t="shared" si="59"/>
        <v>1.0295921087709945</v>
      </c>
      <c r="BV75" s="324">
        <f t="shared" si="60"/>
        <v>1.0295980560092421</v>
      </c>
      <c r="BW75" s="201">
        <f t="shared" si="61"/>
        <v>1.0295983904666097</v>
      </c>
      <c r="BX75" s="973"/>
      <c r="BY75" s="141"/>
    </row>
    <row r="76" spans="1:77" s="125" customFormat="1" ht="18.75" outlineLevel="1">
      <c r="A76" s="142"/>
      <c r="B76" s="126" t="s">
        <v>142</v>
      </c>
      <c r="C76" s="1503" t="s">
        <v>1</v>
      </c>
      <c r="D76" s="187">
        <f t="shared" si="338"/>
        <v>0</v>
      </c>
      <c r="E76" s="210"/>
      <c r="F76" s="210"/>
      <c r="G76" s="210"/>
      <c r="H76" s="1149"/>
      <c r="I76" s="467"/>
      <c r="J76" s="187">
        <f t="shared" si="328"/>
        <v>0</v>
      </c>
      <c r="K76" s="498"/>
      <c r="L76" s="498"/>
      <c r="M76" s="498"/>
      <c r="N76" s="1505"/>
      <c r="O76" s="499"/>
      <c r="P76" s="187">
        <f t="shared" si="329"/>
        <v>0</v>
      </c>
      <c r="Q76" s="988">
        <f>ROUND(Q31*0.302,2)</f>
        <v>0</v>
      </c>
      <c r="R76" s="988">
        <f>ROUND(R31*0.302,2)</f>
        <v>0</v>
      </c>
      <c r="S76" s="210"/>
      <c r="T76" s="1149"/>
      <c r="U76" s="467"/>
      <c r="V76" s="187">
        <f t="shared" si="330"/>
        <v>0</v>
      </c>
      <c r="W76" s="498"/>
      <c r="X76" s="498"/>
      <c r="Y76" s="498"/>
      <c r="Z76" s="1505"/>
      <c r="AA76" s="499"/>
      <c r="AB76" s="209">
        <f t="shared" si="331"/>
        <v>0</v>
      </c>
      <c r="AC76" s="988">
        <f>ROUND(AC31*0.302,2)</f>
        <v>0</v>
      </c>
      <c r="AD76" s="988">
        <f>ROUND(AD31*0.302,2)</f>
        <v>0</v>
      </c>
      <c r="AE76" s="1149"/>
      <c r="AF76" s="1149"/>
      <c r="AG76" s="467"/>
      <c r="AH76" s="187">
        <f t="shared" si="332"/>
        <v>0</v>
      </c>
      <c r="AI76" s="498"/>
      <c r="AJ76" s="498"/>
      <c r="AK76" s="498"/>
      <c r="AL76" s="1505"/>
      <c r="AM76" s="499"/>
      <c r="AN76" s="209">
        <f t="shared" si="333"/>
        <v>0</v>
      </c>
      <c r="AO76" s="988">
        <f>ROUND(AO31*0.302,2)</f>
        <v>0</v>
      </c>
      <c r="AP76" s="988">
        <f>ROUND(AP31*0.302,2)</f>
        <v>0</v>
      </c>
      <c r="AQ76" s="1149"/>
      <c r="AR76" s="1149"/>
      <c r="AS76" s="467"/>
      <c r="AT76" s="187">
        <f t="shared" si="334"/>
        <v>520.80498072922842</v>
      </c>
      <c r="AU76" s="498">
        <v>511.27239250712404</v>
      </c>
      <c r="AV76" s="498"/>
      <c r="AW76" s="498"/>
      <c r="AX76" s="1505">
        <v>9.5325882221043337</v>
      </c>
      <c r="AY76" s="499"/>
      <c r="AZ76" s="209">
        <f t="shared" si="335"/>
        <v>0</v>
      </c>
      <c r="BA76" s="988">
        <f>ROUND(BA31*0.302,2)</f>
        <v>0</v>
      </c>
      <c r="BB76" s="988">
        <f>ROUND(BB31*0.302,2)</f>
        <v>0</v>
      </c>
      <c r="BC76" s="1149"/>
      <c r="BD76" s="1149"/>
      <c r="BE76" s="467"/>
      <c r="BF76" s="187">
        <f t="shared" si="336"/>
        <v>536.2208081588135</v>
      </c>
      <c r="BG76" s="498">
        <v>526.40605532533493</v>
      </c>
      <c r="BH76" s="498"/>
      <c r="BI76" s="498"/>
      <c r="BJ76" s="1505">
        <v>9.8147528334786216</v>
      </c>
      <c r="BK76" s="499"/>
      <c r="BL76" s="209">
        <f t="shared" si="337"/>
        <v>0</v>
      </c>
      <c r="BM76" s="988">
        <f>ROUND(BM31*0.302,2)</f>
        <v>0</v>
      </c>
      <c r="BN76" s="988">
        <f>ROUND(BN31*0.302,2)</f>
        <v>0</v>
      </c>
      <c r="BO76" s="1149"/>
      <c r="BP76" s="1149"/>
      <c r="BQ76" s="467"/>
      <c r="BR76" s="940" t="str">
        <f t="shared" si="351"/>
        <v xml:space="preserve"> </v>
      </c>
      <c r="BS76" s="542" t="str">
        <f t="shared" si="352"/>
        <v xml:space="preserve"> </v>
      </c>
      <c r="BT76" s="1506" t="str">
        <f t="shared" si="350"/>
        <v xml:space="preserve"> </v>
      </c>
      <c r="BU76" s="325" t="str">
        <f t="shared" si="59"/>
        <v xml:space="preserve"> </v>
      </c>
      <c r="BV76" s="325" t="str">
        <f t="shared" si="60"/>
        <v xml:space="preserve"> </v>
      </c>
      <c r="BW76" s="203" t="str">
        <f t="shared" si="61"/>
        <v xml:space="preserve"> </v>
      </c>
      <c r="BX76" s="974"/>
      <c r="BY76" s="143"/>
    </row>
    <row r="77" spans="1:77" s="125" customFormat="1" ht="18.75" outlineLevel="1">
      <c r="A77" s="142"/>
      <c r="B77" s="126" t="s">
        <v>143</v>
      </c>
      <c r="C77" s="1503" t="s">
        <v>1</v>
      </c>
      <c r="D77" s="187">
        <f t="shared" si="338"/>
        <v>0</v>
      </c>
      <c r="E77" s="210"/>
      <c r="F77" s="210"/>
      <c r="G77" s="210"/>
      <c r="H77" s="1149"/>
      <c r="I77" s="467"/>
      <c r="J77" s="187">
        <f t="shared" si="328"/>
        <v>0</v>
      </c>
      <c r="K77" s="498"/>
      <c r="L77" s="498"/>
      <c r="M77" s="498"/>
      <c r="N77" s="1505"/>
      <c r="O77" s="499"/>
      <c r="P77" s="187">
        <f t="shared" si="329"/>
        <v>0</v>
      </c>
      <c r="Q77" s="988"/>
      <c r="R77" s="988"/>
      <c r="S77" s="210"/>
      <c r="T77" s="1149"/>
      <c r="U77" s="467"/>
      <c r="V77" s="187">
        <f t="shared" si="330"/>
        <v>0</v>
      </c>
      <c r="W77" s="498"/>
      <c r="X77" s="498"/>
      <c r="Y77" s="498"/>
      <c r="Z77" s="1505"/>
      <c r="AA77" s="499"/>
      <c r="AB77" s="209">
        <f t="shared" si="331"/>
        <v>0</v>
      </c>
      <c r="AC77" s="988"/>
      <c r="AD77" s="988"/>
      <c r="AE77" s="1149"/>
      <c r="AF77" s="1149"/>
      <c r="AG77" s="467"/>
      <c r="AH77" s="187">
        <f t="shared" si="332"/>
        <v>0</v>
      </c>
      <c r="AI77" s="498"/>
      <c r="AJ77" s="498"/>
      <c r="AK77" s="498"/>
      <c r="AL77" s="1505"/>
      <c r="AM77" s="499"/>
      <c r="AN77" s="209">
        <f t="shared" si="333"/>
        <v>0</v>
      </c>
      <c r="AO77" s="988"/>
      <c r="AP77" s="988"/>
      <c r="AQ77" s="1149"/>
      <c r="AR77" s="1149"/>
      <c r="AS77" s="467"/>
      <c r="AT77" s="187">
        <f t="shared" si="334"/>
        <v>0</v>
      </c>
      <c r="AU77" s="498"/>
      <c r="AV77" s="498"/>
      <c r="AW77" s="498"/>
      <c r="AX77" s="1505"/>
      <c r="AY77" s="499"/>
      <c r="AZ77" s="209">
        <f t="shared" si="335"/>
        <v>0</v>
      </c>
      <c r="BA77" s="988"/>
      <c r="BB77" s="988"/>
      <c r="BC77" s="1149"/>
      <c r="BD77" s="1149"/>
      <c r="BE77" s="467"/>
      <c r="BF77" s="187">
        <f t="shared" si="336"/>
        <v>0</v>
      </c>
      <c r="BG77" s="498"/>
      <c r="BH77" s="498"/>
      <c r="BI77" s="498"/>
      <c r="BJ77" s="1505"/>
      <c r="BK77" s="499"/>
      <c r="BL77" s="209">
        <f t="shared" si="337"/>
        <v>0</v>
      </c>
      <c r="BM77" s="988"/>
      <c r="BN77" s="988"/>
      <c r="BO77" s="1149"/>
      <c r="BP77" s="1149"/>
      <c r="BQ77" s="467"/>
      <c r="BR77" s="940" t="str">
        <f t="shared" si="351"/>
        <v xml:space="preserve"> </v>
      </c>
      <c r="BS77" s="542" t="str">
        <f t="shared" si="352"/>
        <v xml:space="preserve"> </v>
      </c>
      <c r="BT77" s="1506" t="str">
        <f t="shared" si="350"/>
        <v xml:space="preserve"> </v>
      </c>
      <c r="BU77" s="325" t="str">
        <f t="shared" si="59"/>
        <v xml:space="preserve"> </v>
      </c>
      <c r="BV77" s="325" t="str">
        <f t="shared" si="60"/>
        <v xml:space="preserve"> </v>
      </c>
      <c r="BW77" s="203" t="str">
        <f t="shared" si="61"/>
        <v xml:space="preserve"> </v>
      </c>
      <c r="BX77" s="974"/>
      <c r="BY77" s="143"/>
    </row>
    <row r="78" spans="1:77" s="125" customFormat="1" ht="18.75" outlineLevel="1">
      <c r="A78" s="142"/>
      <c r="B78" s="126" t="s">
        <v>68</v>
      </c>
      <c r="C78" s="1503" t="s">
        <v>1</v>
      </c>
      <c r="D78" s="187">
        <f t="shared" si="338"/>
        <v>344.21</v>
      </c>
      <c r="E78" s="210">
        <v>205.76</v>
      </c>
      <c r="F78" s="210">
        <v>138.44999999999999</v>
      </c>
      <c r="G78" s="210"/>
      <c r="H78" s="1149"/>
      <c r="I78" s="467"/>
      <c r="J78" s="187">
        <f t="shared" si="328"/>
        <v>477.166</v>
      </c>
      <c r="K78" s="498">
        <v>285.18099999999998</v>
      </c>
      <c r="L78" s="498">
        <v>183.251</v>
      </c>
      <c r="M78" s="498"/>
      <c r="N78" s="1505">
        <v>8.734</v>
      </c>
      <c r="O78" s="499"/>
      <c r="P78" s="187">
        <f t="shared" si="329"/>
        <v>476.35</v>
      </c>
      <c r="Q78" s="988">
        <f>ROUND(Q33*0.302,2)</f>
        <v>293.10000000000002</v>
      </c>
      <c r="R78" s="988">
        <f>ROUND(R33*0.302,2)</f>
        <v>183.25</v>
      </c>
      <c r="S78" s="210"/>
      <c r="T78" s="1149"/>
      <c r="U78" s="467"/>
      <c r="V78" s="187">
        <f t="shared" si="330"/>
        <v>491.29015478399998</v>
      </c>
      <c r="W78" s="498">
        <v>482.29779311999999</v>
      </c>
      <c r="X78" s="498"/>
      <c r="Y78" s="498"/>
      <c r="Z78" s="1505">
        <v>8.9923616640000006</v>
      </c>
      <c r="AA78" s="499"/>
      <c r="AB78" s="209">
        <f t="shared" si="331"/>
        <v>487.63</v>
      </c>
      <c r="AC78" s="988">
        <f>ROUND(AC33*0.302,2)</f>
        <v>300.04000000000002</v>
      </c>
      <c r="AD78" s="988">
        <f>ROUND(AD33*0.302,2)</f>
        <v>187.59</v>
      </c>
      <c r="AE78" s="1149"/>
      <c r="AF78" s="1149"/>
      <c r="AG78" s="467"/>
      <c r="AH78" s="187">
        <f t="shared" si="332"/>
        <v>505.83234336560639</v>
      </c>
      <c r="AI78" s="498">
        <v>496.57380779635201</v>
      </c>
      <c r="AJ78" s="498"/>
      <c r="AK78" s="498"/>
      <c r="AL78" s="1505">
        <v>9.258535569254402</v>
      </c>
      <c r="AM78" s="499"/>
      <c r="AN78" s="209">
        <f t="shared" si="333"/>
        <v>502.06</v>
      </c>
      <c r="AO78" s="988">
        <f>ROUND(AO33*0.302,2)</f>
        <v>308.92</v>
      </c>
      <c r="AP78" s="988">
        <f>ROUND(AP33*0.302,2)</f>
        <v>193.14</v>
      </c>
      <c r="AQ78" s="1149"/>
      <c r="AR78" s="1149"/>
      <c r="AS78" s="467"/>
      <c r="AT78" s="187">
        <f t="shared" si="334"/>
        <v>0</v>
      </c>
      <c r="AU78" s="498"/>
      <c r="AV78" s="498"/>
      <c r="AW78" s="498"/>
      <c r="AX78" s="1505"/>
      <c r="AY78" s="499"/>
      <c r="AZ78" s="209">
        <f t="shared" si="335"/>
        <v>516.92000000000007</v>
      </c>
      <c r="BA78" s="988">
        <f>ROUND(BA33*0.302,2)</f>
        <v>318.06</v>
      </c>
      <c r="BB78" s="988">
        <f>ROUND(BB33*0.302,2)</f>
        <v>198.86</v>
      </c>
      <c r="BC78" s="1149"/>
      <c r="BD78" s="1149"/>
      <c r="BE78" s="467"/>
      <c r="BF78" s="187">
        <f t="shared" si="336"/>
        <v>0</v>
      </c>
      <c r="BG78" s="498"/>
      <c r="BH78" s="498"/>
      <c r="BI78" s="498"/>
      <c r="BJ78" s="1505"/>
      <c r="BK78" s="499"/>
      <c r="BL78" s="209">
        <f t="shared" si="337"/>
        <v>532.22</v>
      </c>
      <c r="BM78" s="988">
        <f>ROUND(BM33*0.302,2)</f>
        <v>327.48</v>
      </c>
      <c r="BN78" s="988">
        <f>ROUND(BN33*0.302,2)</f>
        <v>204.74</v>
      </c>
      <c r="BO78" s="1149"/>
      <c r="BP78" s="1149"/>
      <c r="BQ78" s="467"/>
      <c r="BR78" s="940">
        <f t="shared" si="351"/>
        <v>0.99828990330409129</v>
      </c>
      <c r="BS78" s="542">
        <f t="shared" si="352"/>
        <v>1.3838935533540573</v>
      </c>
      <c r="BT78" s="1506">
        <f t="shared" si="350"/>
        <v>1.0236800671774955</v>
      </c>
      <c r="BU78" s="325">
        <f t="shared" si="59"/>
        <v>1.0295921087709945</v>
      </c>
      <c r="BV78" s="325">
        <f t="shared" si="60"/>
        <v>1.0295980560092421</v>
      </c>
      <c r="BW78" s="203">
        <f t="shared" si="61"/>
        <v>1.0295983904666097</v>
      </c>
      <c r="BX78" s="974"/>
      <c r="BY78" s="143"/>
    </row>
    <row r="79" spans="1:77" s="111" customFormat="1" ht="26.25">
      <c r="A79" s="114" t="s">
        <v>37</v>
      </c>
      <c r="B79" s="139" t="s">
        <v>77</v>
      </c>
      <c r="C79" s="1489" t="s">
        <v>1</v>
      </c>
      <c r="D79" s="187">
        <f t="shared" si="338"/>
        <v>109.79</v>
      </c>
      <c r="E79" s="210">
        <v>109.79</v>
      </c>
      <c r="F79" s="210"/>
      <c r="G79" s="210"/>
      <c r="H79" s="1149"/>
      <c r="I79" s="467"/>
      <c r="J79" s="187">
        <f t="shared" si="328"/>
        <v>97.67</v>
      </c>
      <c r="K79" s="232">
        <v>97.67</v>
      </c>
      <c r="L79" s="232"/>
      <c r="M79" s="232"/>
      <c r="N79" s="1141"/>
      <c r="O79" s="470"/>
      <c r="P79" s="187">
        <f t="shared" si="329"/>
        <v>97.67</v>
      </c>
      <c r="Q79" s="1183">
        <f>ROUND([184]амор!K6/1000,2)</f>
        <v>97.67</v>
      </c>
      <c r="R79" s="965"/>
      <c r="S79" s="210"/>
      <c r="T79" s="1149"/>
      <c r="U79" s="467"/>
      <c r="V79" s="187">
        <f t="shared" si="330"/>
        <v>97.67</v>
      </c>
      <c r="W79" s="232">
        <v>97.67</v>
      </c>
      <c r="X79" s="232"/>
      <c r="Y79" s="232"/>
      <c r="Z79" s="1141"/>
      <c r="AA79" s="470"/>
      <c r="AB79" s="189">
        <f t="shared" si="331"/>
        <v>97.67</v>
      </c>
      <c r="AC79" s="965">
        <f>ROUND([184]амор!M6/1000,2)</f>
        <v>97.67</v>
      </c>
      <c r="AD79" s="965"/>
      <c r="AE79" s="1149"/>
      <c r="AF79" s="1149"/>
      <c r="AG79" s="467"/>
      <c r="AH79" s="187">
        <f t="shared" si="332"/>
        <v>0</v>
      </c>
      <c r="AI79" s="232"/>
      <c r="AJ79" s="232"/>
      <c r="AK79" s="232"/>
      <c r="AL79" s="1141"/>
      <c r="AM79" s="470"/>
      <c r="AN79" s="189">
        <f t="shared" si="333"/>
        <v>0</v>
      </c>
      <c r="AO79" s="965"/>
      <c r="AP79" s="965"/>
      <c r="AQ79" s="1149"/>
      <c r="AR79" s="1149"/>
      <c r="AS79" s="467"/>
      <c r="AT79" s="187">
        <f t="shared" si="334"/>
        <v>0</v>
      </c>
      <c r="AU79" s="232"/>
      <c r="AV79" s="232"/>
      <c r="AW79" s="232"/>
      <c r="AX79" s="1141"/>
      <c r="AY79" s="470"/>
      <c r="AZ79" s="189">
        <f t="shared" si="335"/>
        <v>0</v>
      </c>
      <c r="BA79" s="965"/>
      <c r="BB79" s="965"/>
      <c r="BC79" s="1149"/>
      <c r="BD79" s="1149"/>
      <c r="BE79" s="467"/>
      <c r="BF79" s="187">
        <f t="shared" si="336"/>
        <v>0</v>
      </c>
      <c r="BG79" s="232"/>
      <c r="BH79" s="232"/>
      <c r="BI79" s="232"/>
      <c r="BJ79" s="1141"/>
      <c r="BK79" s="470"/>
      <c r="BL79" s="189">
        <f t="shared" si="337"/>
        <v>0</v>
      </c>
      <c r="BM79" s="965"/>
      <c r="BN79" s="965"/>
      <c r="BO79" s="1149"/>
      <c r="BP79" s="1149"/>
      <c r="BQ79" s="467"/>
      <c r="BR79" s="940">
        <f t="shared" si="351"/>
        <v>1</v>
      </c>
      <c r="BS79" s="542">
        <f t="shared" si="352"/>
        <v>0.88960743237088979</v>
      </c>
      <c r="BT79" s="942">
        <f>IF(ISERROR(AB79/P79)," ",AB79/P79)</f>
        <v>1</v>
      </c>
      <c r="BU79" s="324">
        <f>IF(ISERROR(AN79/AB79)," ",AN79/AB79)</f>
        <v>0</v>
      </c>
      <c r="BV79" s="324" t="str">
        <f>IF(ISERROR(AZ79/AN79)," ",AZ79/AN79)</f>
        <v xml:space="preserve"> </v>
      </c>
      <c r="BW79" s="201" t="str">
        <f>IF(ISERROR(BL79/AZ79)," ",BL79/AZ79)</f>
        <v xml:space="preserve"> </v>
      </c>
      <c r="BX79" s="967" t="s">
        <v>487</v>
      </c>
    </row>
    <row r="80" spans="1:77" s="111" customFormat="1" ht="31.5">
      <c r="A80" s="114" t="s">
        <v>60</v>
      </c>
      <c r="B80" s="139" t="s">
        <v>479</v>
      </c>
      <c r="C80" s="1489" t="s">
        <v>1</v>
      </c>
      <c r="D80" s="187">
        <f t="shared" si="338"/>
        <v>0</v>
      </c>
      <c r="E80" s="965"/>
      <c r="F80" s="210"/>
      <c r="G80" s="210"/>
      <c r="H80" s="1149"/>
      <c r="I80" s="467"/>
      <c r="J80" s="187">
        <f t="shared" si="328"/>
        <v>0</v>
      </c>
      <c r="K80" s="232"/>
      <c r="L80" s="232"/>
      <c r="M80" s="1141"/>
      <c r="N80" s="1141"/>
      <c r="O80" s="470"/>
      <c r="P80" s="187">
        <f t="shared" si="329"/>
        <v>0</v>
      </c>
      <c r="Q80" s="210"/>
      <c r="R80" s="210"/>
      <c r="S80" s="210"/>
      <c r="T80" s="1149"/>
      <c r="U80" s="467"/>
      <c r="V80" s="187"/>
      <c r="W80" s="232"/>
      <c r="X80" s="232"/>
      <c r="Y80" s="1141"/>
      <c r="Z80" s="1141"/>
      <c r="AA80" s="470"/>
      <c r="AB80" s="189"/>
      <c r="AC80" s="210"/>
      <c r="AD80" s="210"/>
      <c r="AE80" s="1149"/>
      <c r="AF80" s="1149"/>
      <c r="AG80" s="467"/>
      <c r="AH80" s="187"/>
      <c r="AI80" s="232"/>
      <c r="AJ80" s="232"/>
      <c r="AK80" s="1141"/>
      <c r="AL80" s="1141"/>
      <c r="AM80" s="470"/>
      <c r="AN80" s="189"/>
      <c r="AO80" s="210"/>
      <c r="AP80" s="210"/>
      <c r="AQ80" s="1149"/>
      <c r="AR80" s="1149"/>
      <c r="AS80" s="467"/>
      <c r="AT80" s="187"/>
      <c r="AU80" s="232"/>
      <c r="AV80" s="232"/>
      <c r="AW80" s="1141"/>
      <c r="AX80" s="1141"/>
      <c r="AY80" s="470"/>
      <c r="AZ80" s="189"/>
      <c r="BA80" s="210"/>
      <c r="BB80" s="210"/>
      <c r="BC80" s="1149"/>
      <c r="BD80" s="1149"/>
      <c r="BE80" s="467"/>
      <c r="BF80" s="187"/>
      <c r="BG80" s="232"/>
      <c r="BH80" s="232"/>
      <c r="BI80" s="1141"/>
      <c r="BJ80" s="1141"/>
      <c r="BK80" s="470"/>
      <c r="BL80" s="189"/>
      <c r="BM80" s="210"/>
      <c r="BN80" s="210"/>
      <c r="BO80" s="1149"/>
      <c r="BP80" s="1149"/>
      <c r="BQ80" s="467"/>
      <c r="BR80" s="940"/>
      <c r="BS80" s="542"/>
      <c r="BT80" s="942"/>
      <c r="BU80" s="324"/>
      <c r="BV80" s="324"/>
      <c r="BW80" s="201"/>
      <c r="BX80" s="967"/>
    </row>
    <row r="81" spans="1:77" s="111" customFormat="1" ht="47.25">
      <c r="A81" s="114" t="s">
        <v>73</v>
      </c>
      <c r="B81" s="139" t="s">
        <v>480</v>
      </c>
      <c r="C81" s="1489" t="s">
        <v>1</v>
      </c>
      <c r="D81" s="187">
        <f t="shared" si="338"/>
        <v>0</v>
      </c>
      <c r="E81" s="965"/>
      <c r="F81" s="210"/>
      <c r="G81" s="210"/>
      <c r="H81" s="1149"/>
      <c r="I81" s="467"/>
      <c r="J81" s="187"/>
      <c r="K81" s="232"/>
      <c r="L81" s="232"/>
      <c r="M81" s="1141"/>
      <c r="N81" s="1141"/>
      <c r="O81" s="470"/>
      <c r="P81" s="187"/>
      <c r="Q81" s="210"/>
      <c r="R81" s="210"/>
      <c r="S81" s="210"/>
      <c r="T81" s="1149"/>
      <c r="U81" s="467"/>
      <c r="V81" s="187"/>
      <c r="W81" s="232"/>
      <c r="X81" s="232"/>
      <c r="Y81" s="1141"/>
      <c r="Z81" s="1141"/>
      <c r="AA81" s="470"/>
      <c r="AB81" s="189"/>
      <c r="AC81" s="210"/>
      <c r="AD81" s="210"/>
      <c r="AE81" s="1149"/>
      <c r="AF81" s="1149"/>
      <c r="AG81" s="467"/>
      <c r="AH81" s="187"/>
      <c r="AI81" s="232"/>
      <c r="AJ81" s="232"/>
      <c r="AK81" s="1141"/>
      <c r="AL81" s="1141"/>
      <c r="AM81" s="470"/>
      <c r="AN81" s="189"/>
      <c r="AO81" s="210"/>
      <c r="AP81" s="210"/>
      <c r="AQ81" s="1149"/>
      <c r="AR81" s="1149"/>
      <c r="AS81" s="467"/>
      <c r="AT81" s="187"/>
      <c r="AU81" s="232"/>
      <c r="AV81" s="232"/>
      <c r="AW81" s="1141"/>
      <c r="AX81" s="1141"/>
      <c r="AY81" s="470"/>
      <c r="AZ81" s="189"/>
      <c r="BA81" s="210"/>
      <c r="BB81" s="210"/>
      <c r="BC81" s="1149"/>
      <c r="BD81" s="1149"/>
      <c r="BE81" s="467"/>
      <c r="BF81" s="187"/>
      <c r="BG81" s="232"/>
      <c r="BH81" s="232"/>
      <c r="BI81" s="1141"/>
      <c r="BJ81" s="1141"/>
      <c r="BK81" s="470"/>
      <c r="BL81" s="189"/>
      <c r="BM81" s="210"/>
      <c r="BN81" s="210"/>
      <c r="BO81" s="1149"/>
      <c r="BP81" s="1149"/>
      <c r="BQ81" s="467"/>
      <c r="BR81" s="940"/>
      <c r="BS81" s="542"/>
      <c r="BT81" s="942"/>
      <c r="BU81" s="324"/>
      <c r="BV81" s="324"/>
      <c r="BW81" s="201"/>
      <c r="BX81" s="967"/>
    </row>
    <row r="82" spans="1:77" s="111" customFormat="1" ht="35.25" customHeight="1">
      <c r="A82" s="114" t="s">
        <v>74</v>
      </c>
      <c r="B82" s="144" t="s">
        <v>144</v>
      </c>
      <c r="C82" s="1489" t="s">
        <v>1</v>
      </c>
      <c r="D82" s="187">
        <f t="shared" si="338"/>
        <v>0</v>
      </c>
      <c r="E82" s="190"/>
      <c r="F82" s="190"/>
      <c r="G82" s="190"/>
      <c r="H82" s="1135"/>
      <c r="I82" s="464"/>
      <c r="J82" s="187">
        <f t="shared" si="328"/>
        <v>0</v>
      </c>
      <c r="K82" s="232"/>
      <c r="L82" s="232"/>
      <c r="M82" s="1141"/>
      <c r="N82" s="1141"/>
      <c r="O82" s="470"/>
      <c r="P82" s="187">
        <f t="shared" si="329"/>
        <v>0</v>
      </c>
      <c r="Q82" s="989"/>
      <c r="R82" s="190"/>
      <c r="S82" s="190"/>
      <c r="T82" s="1135"/>
      <c r="U82" s="464"/>
      <c r="V82" s="187">
        <f t="shared" ref="V82:V84" si="364">W82+X82+Y82+Z82</f>
        <v>0</v>
      </c>
      <c r="W82" s="232"/>
      <c r="X82" s="232"/>
      <c r="Y82" s="1141"/>
      <c r="Z82" s="1141"/>
      <c r="AA82" s="470"/>
      <c r="AB82" s="189">
        <f t="shared" si="331"/>
        <v>0</v>
      </c>
      <c r="AC82" s="190"/>
      <c r="AD82" s="190"/>
      <c r="AE82" s="1135"/>
      <c r="AF82" s="1135"/>
      <c r="AG82" s="464"/>
      <c r="AH82" s="187">
        <f t="shared" ref="AH82:AH84" si="365">AI82+AJ82+AK82+AL82</f>
        <v>0</v>
      </c>
      <c r="AI82" s="232"/>
      <c r="AJ82" s="232"/>
      <c r="AK82" s="1141"/>
      <c r="AL82" s="1141"/>
      <c r="AM82" s="470"/>
      <c r="AN82" s="189">
        <f t="shared" si="333"/>
        <v>0</v>
      </c>
      <c r="AO82" s="190"/>
      <c r="AP82" s="190"/>
      <c r="AQ82" s="1135"/>
      <c r="AR82" s="1135"/>
      <c r="AS82" s="464"/>
      <c r="AT82" s="187">
        <f t="shared" ref="AT82:AT84" si="366">AU82+AV82+AW82+AX82</f>
        <v>0</v>
      </c>
      <c r="AU82" s="232"/>
      <c r="AV82" s="232"/>
      <c r="AW82" s="1141"/>
      <c r="AX82" s="1141"/>
      <c r="AY82" s="470"/>
      <c r="AZ82" s="189">
        <f t="shared" si="335"/>
        <v>0</v>
      </c>
      <c r="BA82" s="190"/>
      <c r="BB82" s="190"/>
      <c r="BC82" s="1135"/>
      <c r="BD82" s="1135"/>
      <c r="BE82" s="464"/>
      <c r="BF82" s="187">
        <f t="shared" ref="BF82:BF84" si="367">BG82+BH82+BI82+BJ82</f>
        <v>0</v>
      </c>
      <c r="BG82" s="232"/>
      <c r="BH82" s="232"/>
      <c r="BI82" s="1141"/>
      <c r="BJ82" s="1141"/>
      <c r="BK82" s="470"/>
      <c r="BL82" s="189">
        <f t="shared" si="337"/>
        <v>0</v>
      </c>
      <c r="BM82" s="190"/>
      <c r="BN82" s="190"/>
      <c r="BO82" s="1135"/>
      <c r="BP82" s="1135"/>
      <c r="BQ82" s="464"/>
      <c r="BR82" s="940" t="str">
        <f t="shared" si="351"/>
        <v xml:space="preserve"> </v>
      </c>
      <c r="BS82" s="542" t="str">
        <f t="shared" si="352"/>
        <v xml:space="preserve"> </v>
      </c>
      <c r="BT82" s="942" t="str">
        <f t="shared" si="350"/>
        <v xml:space="preserve"> </v>
      </c>
      <c r="BU82" s="324" t="str">
        <f t="shared" si="59"/>
        <v xml:space="preserve"> </v>
      </c>
      <c r="BV82" s="324" t="str">
        <f t="shared" si="60"/>
        <v xml:space="preserve"> </v>
      </c>
      <c r="BW82" s="201" t="str">
        <f t="shared" si="61"/>
        <v xml:space="preserve"> </v>
      </c>
      <c r="BX82" s="967"/>
    </row>
    <row r="83" spans="1:77" s="111" customFormat="1" ht="31.5">
      <c r="A83" s="114" t="s">
        <v>481</v>
      </c>
      <c r="B83" s="1524" t="s">
        <v>234</v>
      </c>
      <c r="C83" s="1489" t="s">
        <v>1</v>
      </c>
      <c r="D83" s="187">
        <f t="shared" si="338"/>
        <v>0</v>
      </c>
      <c r="E83" s="1137"/>
      <c r="F83" s="1137"/>
      <c r="G83" s="1138"/>
      <c r="H83" s="1138"/>
      <c r="I83" s="1139"/>
      <c r="J83" s="187">
        <f t="shared" si="328"/>
        <v>0</v>
      </c>
      <c r="K83" s="1493"/>
      <c r="L83" s="1493"/>
      <c r="M83" s="1494"/>
      <c r="N83" s="1494"/>
      <c r="O83" s="1495"/>
      <c r="P83" s="187">
        <f t="shared" si="329"/>
        <v>0</v>
      </c>
      <c r="Q83" s="1137"/>
      <c r="R83" s="1137"/>
      <c r="S83" s="1138"/>
      <c r="T83" s="1138"/>
      <c r="U83" s="1139"/>
      <c r="V83" s="187">
        <f t="shared" si="364"/>
        <v>0</v>
      </c>
      <c r="W83" s="1493"/>
      <c r="X83" s="1493"/>
      <c r="Y83" s="1494"/>
      <c r="Z83" s="1494"/>
      <c r="AA83" s="1495"/>
      <c r="AB83" s="1136">
        <f t="shared" si="331"/>
        <v>0</v>
      </c>
      <c r="AC83" s="1137"/>
      <c r="AD83" s="1137"/>
      <c r="AE83" s="1138"/>
      <c r="AF83" s="1138"/>
      <c r="AG83" s="1139"/>
      <c r="AH83" s="187">
        <f t="shared" si="365"/>
        <v>0</v>
      </c>
      <c r="AI83" s="1493"/>
      <c r="AJ83" s="1493"/>
      <c r="AK83" s="1494"/>
      <c r="AL83" s="1494"/>
      <c r="AM83" s="1495"/>
      <c r="AN83" s="1136">
        <f t="shared" si="333"/>
        <v>0</v>
      </c>
      <c r="AO83" s="1137"/>
      <c r="AP83" s="1137"/>
      <c r="AQ83" s="1138"/>
      <c r="AR83" s="1138"/>
      <c r="AS83" s="1139"/>
      <c r="AT83" s="187">
        <f t="shared" si="366"/>
        <v>0</v>
      </c>
      <c r="AU83" s="1493"/>
      <c r="AV83" s="1493"/>
      <c r="AW83" s="1494"/>
      <c r="AX83" s="1494"/>
      <c r="AY83" s="1495"/>
      <c r="AZ83" s="1136">
        <f t="shared" si="335"/>
        <v>0</v>
      </c>
      <c r="BA83" s="1137"/>
      <c r="BB83" s="1137"/>
      <c r="BC83" s="1138"/>
      <c r="BD83" s="1138"/>
      <c r="BE83" s="1139"/>
      <c r="BF83" s="187">
        <f t="shared" si="367"/>
        <v>0</v>
      </c>
      <c r="BG83" s="1493"/>
      <c r="BH83" s="1493"/>
      <c r="BI83" s="1494"/>
      <c r="BJ83" s="1494"/>
      <c r="BK83" s="1495"/>
      <c r="BL83" s="1136">
        <f t="shared" si="337"/>
        <v>0</v>
      </c>
      <c r="BM83" s="1137"/>
      <c r="BN83" s="1137"/>
      <c r="BO83" s="1138"/>
      <c r="BP83" s="1138"/>
      <c r="BQ83" s="1139"/>
      <c r="BR83" s="940" t="str">
        <f t="shared" si="351"/>
        <v xml:space="preserve"> </v>
      </c>
      <c r="BS83" s="542" t="str">
        <f t="shared" si="352"/>
        <v xml:space="preserve"> </v>
      </c>
      <c r="BT83" s="942" t="str">
        <f t="shared" si="350"/>
        <v xml:space="preserve"> </v>
      </c>
      <c r="BU83" s="324" t="str">
        <f t="shared" si="59"/>
        <v xml:space="preserve"> </v>
      </c>
      <c r="BV83" s="324" t="str">
        <f t="shared" si="60"/>
        <v xml:space="preserve"> </v>
      </c>
      <c r="BW83" s="201" t="str">
        <f t="shared" si="61"/>
        <v xml:space="preserve"> </v>
      </c>
      <c r="BX83" s="967"/>
    </row>
    <row r="84" spans="1:77" s="111" customFormat="1" ht="69" customHeight="1" thickBot="1">
      <c r="A84" s="114" t="s">
        <v>482</v>
      </c>
      <c r="B84" s="1524" t="s">
        <v>297</v>
      </c>
      <c r="C84" s="1489" t="s">
        <v>1</v>
      </c>
      <c r="D84" s="187">
        <f t="shared" si="338"/>
        <v>0</v>
      </c>
      <c r="E84" s="1137"/>
      <c r="F84" s="1137"/>
      <c r="G84" s="1138"/>
      <c r="H84" s="1138"/>
      <c r="I84" s="510"/>
      <c r="J84" s="187">
        <f t="shared" si="328"/>
        <v>317.81</v>
      </c>
      <c r="K84" s="1493">
        <v>317.81</v>
      </c>
      <c r="L84" s="1493"/>
      <c r="M84" s="1494"/>
      <c r="N84" s="1494"/>
      <c r="O84" s="1495"/>
      <c r="P84" s="187">
        <f t="shared" si="329"/>
        <v>0</v>
      </c>
      <c r="Q84" s="1137"/>
      <c r="R84" s="1137"/>
      <c r="S84" s="1138"/>
      <c r="T84" s="1138"/>
      <c r="U84" s="510"/>
      <c r="V84" s="187">
        <f t="shared" si="364"/>
        <v>317.81</v>
      </c>
      <c r="W84" s="1493">
        <v>317.81</v>
      </c>
      <c r="X84" s="1493"/>
      <c r="Y84" s="1494"/>
      <c r="Z84" s="1494"/>
      <c r="AA84" s="1495"/>
      <c r="AB84" s="1136">
        <f t="shared" si="331"/>
        <v>0</v>
      </c>
      <c r="AC84" s="1137"/>
      <c r="AD84" s="1137"/>
      <c r="AE84" s="1138"/>
      <c r="AF84" s="1138"/>
      <c r="AG84" s="510"/>
      <c r="AH84" s="187">
        <f t="shared" si="365"/>
        <v>317.81</v>
      </c>
      <c r="AI84" s="1493">
        <v>317.81</v>
      </c>
      <c r="AJ84" s="1493"/>
      <c r="AK84" s="1494"/>
      <c r="AL84" s="1494"/>
      <c r="AM84" s="1495"/>
      <c r="AN84" s="1136">
        <f t="shared" si="333"/>
        <v>0</v>
      </c>
      <c r="AO84" s="1137"/>
      <c r="AP84" s="1137"/>
      <c r="AQ84" s="1138"/>
      <c r="AR84" s="1138"/>
      <c r="AS84" s="1139"/>
      <c r="AT84" s="187">
        <f t="shared" si="366"/>
        <v>317.81</v>
      </c>
      <c r="AU84" s="1493">
        <v>317.81</v>
      </c>
      <c r="AV84" s="1493"/>
      <c r="AW84" s="1494"/>
      <c r="AX84" s="1494"/>
      <c r="AY84" s="1495"/>
      <c r="AZ84" s="1136">
        <f t="shared" si="335"/>
        <v>0</v>
      </c>
      <c r="BA84" s="1137"/>
      <c r="BB84" s="1137"/>
      <c r="BC84" s="1138"/>
      <c r="BD84" s="1138"/>
      <c r="BE84" s="1139"/>
      <c r="BF84" s="187">
        <f t="shared" si="367"/>
        <v>317.81</v>
      </c>
      <c r="BG84" s="1493">
        <v>317.81</v>
      </c>
      <c r="BH84" s="1493"/>
      <c r="BI84" s="1494"/>
      <c r="BJ84" s="1494"/>
      <c r="BK84" s="1495"/>
      <c r="BL84" s="1136">
        <f t="shared" si="337"/>
        <v>0</v>
      </c>
      <c r="BM84" s="1137"/>
      <c r="BN84" s="1137"/>
      <c r="BO84" s="1138"/>
      <c r="BP84" s="1138"/>
      <c r="BQ84" s="1139"/>
      <c r="BR84" s="1484">
        <f t="shared" si="351"/>
        <v>0</v>
      </c>
      <c r="BS84" s="1485" t="str">
        <f t="shared" si="352"/>
        <v xml:space="preserve"> </v>
      </c>
      <c r="BT84" s="1496" t="str">
        <f t="shared" si="350"/>
        <v xml:space="preserve"> </v>
      </c>
      <c r="BU84" s="1497" t="str">
        <f t="shared" si="59"/>
        <v xml:space="preserve"> </v>
      </c>
      <c r="BV84" s="1497" t="str">
        <f t="shared" si="60"/>
        <v xml:space="preserve"> </v>
      </c>
      <c r="BW84" s="1498" t="str">
        <f t="shared" si="61"/>
        <v xml:space="preserve"> </v>
      </c>
      <c r="BX84" s="967"/>
    </row>
    <row r="85" spans="1:77" s="88" customFormat="1" ht="19.5" thickBot="1">
      <c r="A85" s="1588" t="s">
        <v>244</v>
      </c>
      <c r="B85" s="1584"/>
      <c r="C85" s="84" t="s">
        <v>1</v>
      </c>
      <c r="D85" s="186">
        <f>E85+F85+G85+H85</f>
        <v>0</v>
      </c>
      <c r="E85" s="184">
        <f t="shared" ref="E85:H85" si="368">E86+E87</f>
        <v>0</v>
      </c>
      <c r="F85" s="184">
        <f t="shared" si="368"/>
        <v>0</v>
      </c>
      <c r="G85" s="184">
        <f t="shared" si="368"/>
        <v>0</v>
      </c>
      <c r="H85" s="185">
        <f t="shared" si="368"/>
        <v>0</v>
      </c>
      <c r="I85" s="462">
        <f>I86+I87</f>
        <v>0</v>
      </c>
      <c r="J85" s="186">
        <f>K85+L85+M85+N85</f>
        <v>0</v>
      </c>
      <c r="K85" s="184"/>
      <c r="L85" s="184"/>
      <c r="M85" s="184">
        <f t="shared" ref="M85:N85" si="369">M86+M87</f>
        <v>0</v>
      </c>
      <c r="N85" s="185">
        <f t="shared" si="369"/>
        <v>0</v>
      </c>
      <c r="O85" s="462">
        <f>O86+O87</f>
        <v>0</v>
      </c>
      <c r="P85" s="186">
        <f>Q85+R85+S85+T85</f>
        <v>0</v>
      </c>
      <c r="Q85" s="184">
        <f t="shared" ref="Q85:T85" si="370">Q86+Q87</f>
        <v>0</v>
      </c>
      <c r="R85" s="184">
        <f t="shared" si="370"/>
        <v>0</v>
      </c>
      <c r="S85" s="184">
        <f t="shared" si="370"/>
        <v>0</v>
      </c>
      <c r="T85" s="185">
        <f t="shared" si="370"/>
        <v>0</v>
      </c>
      <c r="U85" s="462">
        <f>U86+U87</f>
        <v>0</v>
      </c>
      <c r="V85" s="186">
        <f>W85+X85+Y85+Z85</f>
        <v>0</v>
      </c>
      <c r="W85" s="184">
        <f t="shared" ref="W85:Z85" si="371">W86+W87</f>
        <v>0</v>
      </c>
      <c r="X85" s="184">
        <f t="shared" si="371"/>
        <v>0</v>
      </c>
      <c r="Y85" s="184">
        <f t="shared" si="371"/>
        <v>0</v>
      </c>
      <c r="Z85" s="185">
        <f t="shared" si="371"/>
        <v>0</v>
      </c>
      <c r="AA85" s="462">
        <f>AA86+AA87</f>
        <v>0</v>
      </c>
      <c r="AB85" s="186">
        <f>AC85+AD85+AE85+AF85</f>
        <v>0</v>
      </c>
      <c r="AC85" s="184">
        <f t="shared" ref="AC85:AF85" si="372">AC86+AC87</f>
        <v>0</v>
      </c>
      <c r="AD85" s="184">
        <f t="shared" si="372"/>
        <v>0</v>
      </c>
      <c r="AE85" s="184">
        <f t="shared" si="372"/>
        <v>0</v>
      </c>
      <c r="AF85" s="185">
        <f t="shared" si="372"/>
        <v>0</v>
      </c>
      <c r="AG85" s="462">
        <f>AG86+AG87</f>
        <v>0</v>
      </c>
      <c r="AH85" s="186">
        <f>AI85+AJ85+AK85+AL85</f>
        <v>0</v>
      </c>
      <c r="AI85" s="184">
        <f t="shared" ref="AI85:AL85" si="373">AI86+AI87</f>
        <v>0</v>
      </c>
      <c r="AJ85" s="184">
        <f t="shared" si="373"/>
        <v>0</v>
      </c>
      <c r="AK85" s="184">
        <f t="shared" si="373"/>
        <v>0</v>
      </c>
      <c r="AL85" s="185">
        <f t="shared" si="373"/>
        <v>0</v>
      </c>
      <c r="AM85" s="462">
        <f>AM86+AM87</f>
        <v>0</v>
      </c>
      <c r="AN85" s="186">
        <f>AO85+AP85+AQ85+AR85</f>
        <v>0</v>
      </c>
      <c r="AO85" s="184">
        <f t="shared" ref="AO85:AR85" si="374">AO86+AO87</f>
        <v>0</v>
      </c>
      <c r="AP85" s="184">
        <f t="shared" si="374"/>
        <v>0</v>
      </c>
      <c r="AQ85" s="184">
        <f t="shared" si="374"/>
        <v>0</v>
      </c>
      <c r="AR85" s="185">
        <f t="shared" si="374"/>
        <v>0</v>
      </c>
      <c r="AS85" s="462">
        <f>AS86+AS87</f>
        <v>0</v>
      </c>
      <c r="AT85" s="186">
        <f>AU85+AV85+AW85+AX85</f>
        <v>0</v>
      </c>
      <c r="AU85" s="184">
        <f t="shared" ref="AU85:AX85" si="375">AU86+AU87</f>
        <v>0</v>
      </c>
      <c r="AV85" s="184">
        <f t="shared" si="375"/>
        <v>0</v>
      </c>
      <c r="AW85" s="184">
        <f t="shared" si="375"/>
        <v>0</v>
      </c>
      <c r="AX85" s="185">
        <f t="shared" si="375"/>
        <v>0</v>
      </c>
      <c r="AY85" s="462">
        <f>AY86+AY87</f>
        <v>0</v>
      </c>
      <c r="AZ85" s="186">
        <f>BA85+BB85+BC85+BD85</f>
        <v>0</v>
      </c>
      <c r="BA85" s="184">
        <f t="shared" ref="BA85:BD85" si="376">BA86+BA87</f>
        <v>0</v>
      </c>
      <c r="BB85" s="184">
        <f t="shared" si="376"/>
        <v>0</v>
      </c>
      <c r="BC85" s="184">
        <f t="shared" si="376"/>
        <v>0</v>
      </c>
      <c r="BD85" s="185">
        <f t="shared" si="376"/>
        <v>0</v>
      </c>
      <c r="BE85" s="462">
        <f>BE86+BE87</f>
        <v>0</v>
      </c>
      <c r="BF85" s="186">
        <f>BG85+BH85+BI85+BJ85</f>
        <v>0</v>
      </c>
      <c r="BG85" s="184">
        <f t="shared" ref="BG85:BJ85" si="377">BG86+BG87</f>
        <v>0</v>
      </c>
      <c r="BH85" s="184">
        <f t="shared" si="377"/>
        <v>0</v>
      </c>
      <c r="BI85" s="184">
        <f t="shared" si="377"/>
        <v>0</v>
      </c>
      <c r="BJ85" s="185">
        <f t="shared" si="377"/>
        <v>0</v>
      </c>
      <c r="BK85" s="462">
        <f>BK86+BK87</f>
        <v>0</v>
      </c>
      <c r="BL85" s="186">
        <f>BM85+BN85+BO85+BP85</f>
        <v>0</v>
      </c>
      <c r="BM85" s="184">
        <f t="shared" ref="BM85:BP85" si="378">BM86+BM87</f>
        <v>0</v>
      </c>
      <c r="BN85" s="184">
        <f t="shared" si="378"/>
        <v>0</v>
      </c>
      <c r="BO85" s="184">
        <f t="shared" si="378"/>
        <v>0</v>
      </c>
      <c r="BP85" s="185">
        <f t="shared" si="378"/>
        <v>0</v>
      </c>
      <c r="BQ85" s="462">
        <f>BQ86+BQ87</f>
        <v>0</v>
      </c>
      <c r="BR85" s="826" t="str">
        <f t="shared" si="351"/>
        <v xml:space="preserve"> </v>
      </c>
      <c r="BS85" s="330" t="str">
        <f t="shared" si="352"/>
        <v xml:space="preserve"> </v>
      </c>
      <c r="BT85" s="826" t="str">
        <f t="shared" si="350"/>
        <v xml:space="preserve"> </v>
      </c>
      <c r="BU85" s="330" t="str">
        <f t="shared" si="59"/>
        <v xml:space="preserve"> </v>
      </c>
      <c r="BV85" s="330" t="str">
        <f t="shared" si="60"/>
        <v xml:space="preserve"> </v>
      </c>
      <c r="BW85" s="196" t="str">
        <f t="shared" si="61"/>
        <v xml:space="preserve"> </v>
      </c>
      <c r="BX85" s="967"/>
    </row>
    <row r="86" spans="1:77" s="535" customFormat="1" ht="78.75">
      <c r="A86" s="536" t="s">
        <v>251</v>
      </c>
      <c r="B86" s="537" t="s">
        <v>289</v>
      </c>
      <c r="C86" s="1002" t="s">
        <v>1</v>
      </c>
      <c r="D86" s="211">
        <f t="shared" ref="D86:D87" si="379">E86+F86+G86+H86</f>
        <v>0</v>
      </c>
      <c r="E86" s="188"/>
      <c r="F86" s="188"/>
      <c r="G86" s="188"/>
      <c r="H86" s="415"/>
      <c r="I86" s="522"/>
      <c r="J86" s="211">
        <f t="shared" ref="J86:J87" si="380">K86+L86+M86+N86</f>
        <v>0</v>
      </c>
      <c r="K86" s="532"/>
      <c r="L86" s="532"/>
      <c r="M86" s="532"/>
      <c r="N86" s="533"/>
      <c r="O86" s="534"/>
      <c r="P86" s="211">
        <f t="shared" ref="P86:P87" si="381">Q86+R86+S86+T86</f>
        <v>0</v>
      </c>
      <c r="Q86" s="188"/>
      <c r="R86" s="188"/>
      <c r="S86" s="188"/>
      <c r="T86" s="415"/>
      <c r="U86" s="522"/>
      <c r="V86" s="211">
        <f t="shared" ref="V86:V87" si="382">W86+X86+Y86+Z86</f>
        <v>0</v>
      </c>
      <c r="W86" s="532"/>
      <c r="X86" s="532"/>
      <c r="Y86" s="532"/>
      <c r="Z86" s="533"/>
      <c r="AA86" s="534"/>
      <c r="AB86" s="211">
        <f t="shared" ref="AB86:AB87" si="383">AC86+AD86+AE86+AF86</f>
        <v>0</v>
      </c>
      <c r="AC86" s="188"/>
      <c r="AD86" s="188"/>
      <c r="AE86" s="188"/>
      <c r="AF86" s="415"/>
      <c r="AG86" s="463"/>
      <c r="AH86" s="211">
        <f t="shared" ref="AH86:AH87" si="384">AI86+AJ86+AK86+AL86</f>
        <v>0</v>
      </c>
      <c r="AI86" s="532"/>
      <c r="AJ86" s="532"/>
      <c r="AK86" s="532"/>
      <c r="AL86" s="533"/>
      <c r="AM86" s="534"/>
      <c r="AN86" s="211">
        <f t="shared" ref="AN86:AN87" si="385">AO86+AP86+AQ86+AR86</f>
        <v>0</v>
      </c>
      <c r="AO86" s="188"/>
      <c r="AP86" s="188"/>
      <c r="AQ86" s="188"/>
      <c r="AR86" s="415"/>
      <c r="AS86" s="463"/>
      <c r="AT86" s="211">
        <f t="shared" ref="AT86:AT87" si="386">AU86+AV86+AW86+AX86</f>
        <v>0</v>
      </c>
      <c r="AU86" s="532"/>
      <c r="AV86" s="532"/>
      <c r="AW86" s="532"/>
      <c r="AX86" s="533"/>
      <c r="AY86" s="534"/>
      <c r="AZ86" s="211">
        <f t="shared" ref="AZ86:AZ87" si="387">BA86+BB86+BC86+BD86</f>
        <v>0</v>
      </c>
      <c r="BA86" s="188"/>
      <c r="BB86" s="188"/>
      <c r="BC86" s="188"/>
      <c r="BD86" s="415"/>
      <c r="BE86" s="463"/>
      <c r="BF86" s="211">
        <f t="shared" ref="BF86:BF87" si="388">BG86+BH86+BI86+BJ86</f>
        <v>0</v>
      </c>
      <c r="BG86" s="532"/>
      <c r="BH86" s="532"/>
      <c r="BI86" s="532"/>
      <c r="BJ86" s="533"/>
      <c r="BK86" s="534"/>
      <c r="BL86" s="211">
        <f t="shared" ref="BL86:BL87" si="389">BM86+BN86+BO86+BP86</f>
        <v>0</v>
      </c>
      <c r="BM86" s="188"/>
      <c r="BN86" s="188"/>
      <c r="BO86" s="188"/>
      <c r="BP86" s="415"/>
      <c r="BQ86" s="463"/>
      <c r="BR86" s="844" t="str">
        <f t="shared" si="351"/>
        <v xml:space="preserve"> </v>
      </c>
      <c r="BS86" s="840" t="str">
        <f t="shared" si="352"/>
        <v xml:space="preserve"> </v>
      </c>
      <c r="BT86" s="841" t="str">
        <f t="shared" si="350"/>
        <v xml:space="preserve"> </v>
      </c>
      <c r="BU86" s="842" t="str">
        <f t="shared" si="59"/>
        <v xml:space="preserve"> </v>
      </c>
      <c r="BV86" s="842" t="str">
        <f t="shared" si="60"/>
        <v xml:space="preserve"> </v>
      </c>
      <c r="BW86" s="843" t="str">
        <f t="shared" si="61"/>
        <v xml:space="preserve"> </v>
      </c>
      <c r="BX86" s="975"/>
    </row>
    <row r="87" spans="1:77" s="539" customFormat="1" ht="18.75">
      <c r="A87" s="538" t="s">
        <v>290</v>
      </c>
      <c r="B87" s="537" t="s">
        <v>291</v>
      </c>
      <c r="C87" s="1002" t="s">
        <v>1</v>
      </c>
      <c r="D87" s="211">
        <f t="shared" si="379"/>
        <v>0</v>
      </c>
      <c r="E87" s="493">
        <f>E88+E89+E90+E91</f>
        <v>0</v>
      </c>
      <c r="F87" s="493">
        <f t="shared" ref="F87:H87" si="390">F88+F89+F90</f>
        <v>0</v>
      </c>
      <c r="G87" s="493">
        <f t="shared" si="390"/>
        <v>0</v>
      </c>
      <c r="H87" s="494">
        <f t="shared" si="390"/>
        <v>0</v>
      </c>
      <c r="I87" s="495">
        <f>I88+I89+I90</f>
        <v>0</v>
      </c>
      <c r="J87" s="211">
        <f t="shared" si="380"/>
        <v>0</v>
      </c>
      <c r="K87" s="532">
        <f t="shared" ref="K87:N87" si="391">K88+K89+K90</f>
        <v>0</v>
      </c>
      <c r="L87" s="532">
        <f t="shared" si="391"/>
        <v>0</v>
      </c>
      <c r="M87" s="532">
        <f t="shared" si="391"/>
        <v>0</v>
      </c>
      <c r="N87" s="533">
        <f t="shared" si="391"/>
        <v>0</v>
      </c>
      <c r="O87" s="534">
        <f>O88+O89+O90</f>
        <v>0</v>
      </c>
      <c r="P87" s="211">
        <f t="shared" si="381"/>
        <v>0</v>
      </c>
      <c r="Q87" s="493">
        <f t="shared" ref="Q87:T87" si="392">Q88+Q89+Q90</f>
        <v>0</v>
      </c>
      <c r="R87" s="493">
        <f t="shared" si="392"/>
        <v>0</v>
      </c>
      <c r="S87" s="493">
        <f t="shared" si="392"/>
        <v>0</v>
      </c>
      <c r="T87" s="494">
        <f t="shared" si="392"/>
        <v>0</v>
      </c>
      <c r="U87" s="495">
        <f>U88+U89+U90</f>
        <v>0</v>
      </c>
      <c r="V87" s="211">
        <f t="shared" si="382"/>
        <v>0</v>
      </c>
      <c r="W87" s="532">
        <f t="shared" ref="W87:Z87" si="393">W88+W89+W90</f>
        <v>0</v>
      </c>
      <c r="X87" s="532">
        <f t="shared" si="393"/>
        <v>0</v>
      </c>
      <c r="Y87" s="532">
        <f t="shared" si="393"/>
        <v>0</v>
      </c>
      <c r="Z87" s="533">
        <f t="shared" si="393"/>
        <v>0</v>
      </c>
      <c r="AA87" s="534">
        <f>AA88+AA89+AA90</f>
        <v>0</v>
      </c>
      <c r="AB87" s="211">
        <f t="shared" si="383"/>
        <v>0</v>
      </c>
      <c r="AC87" s="493">
        <f t="shared" ref="AC87:AF87" si="394">AC88+AC89+AC90</f>
        <v>0</v>
      </c>
      <c r="AD87" s="493">
        <f t="shared" si="394"/>
        <v>0</v>
      </c>
      <c r="AE87" s="493">
        <f t="shared" si="394"/>
        <v>0</v>
      </c>
      <c r="AF87" s="494">
        <f t="shared" si="394"/>
        <v>0</v>
      </c>
      <c r="AG87" s="495">
        <f>AG88+AG89+AG90</f>
        <v>0</v>
      </c>
      <c r="AH87" s="211">
        <f t="shared" si="384"/>
        <v>0</v>
      </c>
      <c r="AI87" s="532">
        <f t="shared" ref="AI87:AL87" si="395">AI88+AI89+AI90</f>
        <v>0</v>
      </c>
      <c r="AJ87" s="532">
        <f t="shared" si="395"/>
        <v>0</v>
      </c>
      <c r="AK87" s="532">
        <f t="shared" si="395"/>
        <v>0</v>
      </c>
      <c r="AL87" s="533">
        <f t="shared" si="395"/>
        <v>0</v>
      </c>
      <c r="AM87" s="534">
        <f>AM88+AM89+AM90</f>
        <v>0</v>
      </c>
      <c r="AN87" s="211">
        <f t="shared" si="385"/>
        <v>0</v>
      </c>
      <c r="AO87" s="493">
        <f t="shared" ref="AO87:AR87" si="396">AO88+AO89+AO90</f>
        <v>0</v>
      </c>
      <c r="AP87" s="493">
        <f t="shared" si="396"/>
        <v>0</v>
      </c>
      <c r="AQ87" s="493">
        <f t="shared" si="396"/>
        <v>0</v>
      </c>
      <c r="AR87" s="494">
        <f t="shared" si="396"/>
        <v>0</v>
      </c>
      <c r="AS87" s="495">
        <f>AS88+AS89+AS90</f>
        <v>0</v>
      </c>
      <c r="AT87" s="211">
        <f t="shared" si="386"/>
        <v>0</v>
      </c>
      <c r="AU87" s="532">
        <f t="shared" ref="AU87:AX87" si="397">AU88+AU89+AU90</f>
        <v>0</v>
      </c>
      <c r="AV87" s="532">
        <f t="shared" si="397"/>
        <v>0</v>
      </c>
      <c r="AW87" s="532">
        <f t="shared" si="397"/>
        <v>0</v>
      </c>
      <c r="AX87" s="533">
        <f t="shared" si="397"/>
        <v>0</v>
      </c>
      <c r="AY87" s="534">
        <f>AY88+AY89+AY90</f>
        <v>0</v>
      </c>
      <c r="AZ87" s="211">
        <f t="shared" si="387"/>
        <v>0</v>
      </c>
      <c r="BA87" s="493">
        <f t="shared" ref="BA87:BD87" si="398">BA88+BA89+BA90</f>
        <v>0</v>
      </c>
      <c r="BB87" s="493">
        <f t="shared" si="398"/>
        <v>0</v>
      </c>
      <c r="BC87" s="493">
        <f t="shared" si="398"/>
        <v>0</v>
      </c>
      <c r="BD87" s="494">
        <f t="shared" si="398"/>
        <v>0</v>
      </c>
      <c r="BE87" s="495">
        <f>BE88+BE89+BE90</f>
        <v>0</v>
      </c>
      <c r="BF87" s="211">
        <f t="shared" si="388"/>
        <v>0</v>
      </c>
      <c r="BG87" s="532">
        <f t="shared" ref="BG87:BJ87" si="399">BG88+BG89+BG90</f>
        <v>0</v>
      </c>
      <c r="BH87" s="532">
        <f t="shared" si="399"/>
        <v>0</v>
      </c>
      <c r="BI87" s="532">
        <f t="shared" si="399"/>
        <v>0</v>
      </c>
      <c r="BJ87" s="533">
        <f t="shared" si="399"/>
        <v>0</v>
      </c>
      <c r="BK87" s="534">
        <f>BK88+BK89+BK90</f>
        <v>0</v>
      </c>
      <c r="BL87" s="211">
        <f t="shared" si="389"/>
        <v>0</v>
      </c>
      <c r="BM87" s="493">
        <f t="shared" ref="BM87:BP87" si="400">BM88+BM89+BM90</f>
        <v>0</v>
      </c>
      <c r="BN87" s="493">
        <f t="shared" si="400"/>
        <v>0</v>
      </c>
      <c r="BO87" s="493">
        <f t="shared" si="400"/>
        <v>0</v>
      </c>
      <c r="BP87" s="494">
        <f t="shared" si="400"/>
        <v>0</v>
      </c>
      <c r="BQ87" s="495">
        <f>BQ88+BQ89+BQ90</f>
        <v>0</v>
      </c>
      <c r="BR87" s="940" t="str">
        <f t="shared" si="351"/>
        <v xml:space="preserve"> </v>
      </c>
      <c r="BS87" s="542" t="str">
        <f t="shared" si="352"/>
        <v xml:space="preserve"> </v>
      </c>
      <c r="BT87" s="1484" t="str">
        <f t="shared" si="350"/>
        <v xml:space="preserve"> </v>
      </c>
      <c r="BU87" s="1485" t="str">
        <f t="shared" si="59"/>
        <v xml:space="preserve"> </v>
      </c>
      <c r="BV87" s="1485" t="str">
        <f t="shared" si="60"/>
        <v xml:space="preserve"> </v>
      </c>
      <c r="BW87" s="1525" t="str">
        <f t="shared" si="61"/>
        <v xml:space="preserve"> </v>
      </c>
      <c r="BX87" s="976"/>
    </row>
    <row r="88" spans="1:77" s="83" customFormat="1" ht="18.75">
      <c r="A88" s="146"/>
      <c r="B88" s="147" t="s">
        <v>80</v>
      </c>
      <c r="C88" s="1013" t="s">
        <v>1</v>
      </c>
      <c r="D88" s="559">
        <f>E88+F88+G88+H88</f>
        <v>0</v>
      </c>
      <c r="E88" s="560"/>
      <c r="F88" s="560"/>
      <c r="G88" s="560"/>
      <c r="H88" s="561"/>
      <c r="I88" s="519"/>
      <c r="J88" s="559">
        <f>K88+L88+M88+N88</f>
        <v>0</v>
      </c>
      <c r="K88" s="562"/>
      <c r="L88" s="562"/>
      <c r="M88" s="562"/>
      <c r="N88" s="563"/>
      <c r="O88" s="530"/>
      <c r="P88" s="559">
        <f>Q88+R88+S88+T88</f>
        <v>0</v>
      </c>
      <c r="Q88" s="560"/>
      <c r="R88" s="560"/>
      <c r="S88" s="560"/>
      <c r="T88" s="561"/>
      <c r="U88" s="519"/>
      <c r="V88" s="559">
        <f>W88+X88+Y88+Z88</f>
        <v>0</v>
      </c>
      <c r="W88" s="562"/>
      <c r="X88" s="562"/>
      <c r="Y88" s="562"/>
      <c r="Z88" s="563"/>
      <c r="AA88" s="530"/>
      <c r="AB88" s="559">
        <f>AC88+AD88+AE88+AF88</f>
        <v>0</v>
      </c>
      <c r="AC88" s="560"/>
      <c r="AD88" s="560"/>
      <c r="AE88" s="561"/>
      <c r="AF88" s="561"/>
      <c r="AG88" s="519"/>
      <c r="AH88" s="559">
        <f>AI88+AJ88+AK88+AL88</f>
        <v>0</v>
      </c>
      <c r="AI88" s="562"/>
      <c r="AJ88" s="562"/>
      <c r="AK88" s="562"/>
      <c r="AL88" s="563"/>
      <c r="AM88" s="530"/>
      <c r="AN88" s="559">
        <f>AO88+AP88+AQ88+AR88</f>
        <v>0</v>
      </c>
      <c r="AO88" s="560"/>
      <c r="AP88" s="560"/>
      <c r="AQ88" s="561"/>
      <c r="AR88" s="561"/>
      <c r="AS88" s="519"/>
      <c r="AT88" s="559">
        <f>AU88+AV88+AW88+AX88</f>
        <v>0</v>
      </c>
      <c r="AU88" s="562"/>
      <c r="AV88" s="562"/>
      <c r="AW88" s="562"/>
      <c r="AX88" s="563"/>
      <c r="AY88" s="530"/>
      <c r="AZ88" s="559">
        <f>BA88+BB88+BC88+BD88</f>
        <v>0</v>
      </c>
      <c r="BA88" s="560"/>
      <c r="BB88" s="560"/>
      <c r="BC88" s="561"/>
      <c r="BD88" s="561"/>
      <c r="BE88" s="519"/>
      <c r="BF88" s="559">
        <f>BG88+BH88+BI88+BJ88</f>
        <v>0</v>
      </c>
      <c r="BG88" s="562"/>
      <c r="BH88" s="562"/>
      <c r="BI88" s="562"/>
      <c r="BJ88" s="563"/>
      <c r="BK88" s="530"/>
      <c r="BL88" s="559">
        <f>BM88+BN88+BO88+BP88</f>
        <v>0</v>
      </c>
      <c r="BM88" s="560"/>
      <c r="BN88" s="560"/>
      <c r="BO88" s="561"/>
      <c r="BP88" s="561"/>
      <c r="BQ88" s="519"/>
      <c r="BR88" s="940" t="str">
        <f t="shared" si="351"/>
        <v xml:space="preserve"> </v>
      </c>
      <c r="BS88" s="542" t="str">
        <f t="shared" si="352"/>
        <v xml:space="preserve"> </v>
      </c>
      <c r="BT88" s="940" t="str">
        <f t="shared" si="350"/>
        <v xml:space="preserve"> </v>
      </c>
      <c r="BU88" s="542" t="str">
        <f t="shared" si="59"/>
        <v xml:space="preserve"> </v>
      </c>
      <c r="BV88" s="542" t="str">
        <f t="shared" si="60"/>
        <v xml:space="preserve"> </v>
      </c>
      <c r="BW88" s="543" t="str">
        <f t="shared" si="61"/>
        <v xml:space="preserve"> </v>
      </c>
      <c r="BX88" s="967"/>
    </row>
    <row r="89" spans="1:77" s="83" customFormat="1" ht="31.5">
      <c r="A89" s="133"/>
      <c r="B89" s="148" t="s">
        <v>249</v>
      </c>
      <c r="C89" s="1013" t="s">
        <v>1</v>
      </c>
      <c r="D89" s="559">
        <f t="shared" ref="D89:D90" si="401">E89+F89+G89+H89</f>
        <v>0</v>
      </c>
      <c r="E89" s="560"/>
      <c r="F89" s="560"/>
      <c r="G89" s="560"/>
      <c r="H89" s="561"/>
      <c r="I89" s="519"/>
      <c r="J89" s="559">
        <f t="shared" ref="J89:J90" si="402">K89+L89+M89+N89</f>
        <v>0</v>
      </c>
      <c r="K89" s="383"/>
      <c r="L89" s="383"/>
      <c r="M89" s="1501"/>
      <c r="N89" s="1501"/>
      <c r="O89" s="500"/>
      <c r="P89" s="559">
        <f t="shared" ref="P89:P90" si="403">Q89+R89+S89+T89</f>
        <v>0</v>
      </c>
      <c r="Q89" s="560"/>
      <c r="R89" s="560"/>
      <c r="S89" s="560"/>
      <c r="T89" s="561"/>
      <c r="U89" s="519"/>
      <c r="V89" s="559">
        <f t="shared" ref="V89:V90" si="404">W89+X89+Y89+Z89</f>
        <v>0</v>
      </c>
      <c r="W89" s="383"/>
      <c r="X89" s="383"/>
      <c r="Y89" s="1501"/>
      <c r="Z89" s="1501"/>
      <c r="AA89" s="500"/>
      <c r="AB89" s="564">
        <f t="shared" ref="AB89:AB90" si="405">AC89+AD89+AE89+AF89</f>
        <v>0</v>
      </c>
      <c r="AC89" s="207"/>
      <c r="AD89" s="207"/>
      <c r="AE89" s="1145"/>
      <c r="AF89" s="1145"/>
      <c r="AG89" s="469"/>
      <c r="AH89" s="559">
        <f t="shared" ref="AH89:AH90" si="406">AI89+AJ89+AK89+AL89</f>
        <v>0</v>
      </c>
      <c r="AI89" s="383"/>
      <c r="AJ89" s="383"/>
      <c r="AK89" s="1501"/>
      <c r="AL89" s="1501"/>
      <c r="AM89" s="500"/>
      <c r="AN89" s="564">
        <f t="shared" ref="AN89:AN90" si="407">AO89+AP89+AQ89+AR89</f>
        <v>0</v>
      </c>
      <c r="AO89" s="207"/>
      <c r="AP89" s="207"/>
      <c r="AQ89" s="1145"/>
      <c r="AR89" s="1145"/>
      <c r="AS89" s="469"/>
      <c r="AT89" s="559">
        <f t="shared" ref="AT89:AT90" si="408">AU89+AV89+AW89+AX89</f>
        <v>0</v>
      </c>
      <c r="AU89" s="383"/>
      <c r="AV89" s="383"/>
      <c r="AW89" s="1501"/>
      <c r="AX89" s="1501"/>
      <c r="AY89" s="500"/>
      <c r="AZ89" s="564">
        <f t="shared" ref="AZ89:AZ90" si="409">BA89+BB89+BC89+BD89</f>
        <v>0</v>
      </c>
      <c r="BA89" s="207"/>
      <c r="BB89" s="207"/>
      <c r="BC89" s="1145"/>
      <c r="BD89" s="1145"/>
      <c r="BE89" s="469"/>
      <c r="BF89" s="559">
        <f t="shared" ref="BF89:BF90" si="410">BG89+BH89+BI89+BJ89</f>
        <v>0</v>
      </c>
      <c r="BG89" s="383"/>
      <c r="BH89" s="383"/>
      <c r="BI89" s="1501"/>
      <c r="BJ89" s="1501"/>
      <c r="BK89" s="500"/>
      <c r="BL89" s="564">
        <f t="shared" ref="BL89:BL90" si="411">BM89+BN89+BO89+BP89</f>
        <v>0</v>
      </c>
      <c r="BM89" s="207"/>
      <c r="BN89" s="207"/>
      <c r="BO89" s="1145"/>
      <c r="BP89" s="1145"/>
      <c r="BQ89" s="469"/>
      <c r="BR89" s="940" t="str">
        <f t="shared" si="351"/>
        <v xml:space="preserve"> </v>
      </c>
      <c r="BS89" s="542" t="str">
        <f t="shared" si="352"/>
        <v xml:space="preserve"> </v>
      </c>
      <c r="BT89" s="827" t="str">
        <f t="shared" si="350"/>
        <v xml:space="preserve"> </v>
      </c>
      <c r="BU89" s="329" t="str">
        <f t="shared" si="59"/>
        <v xml:space="preserve"> </v>
      </c>
      <c r="BV89" s="329" t="str">
        <f t="shared" si="60"/>
        <v xml:space="preserve"> </v>
      </c>
      <c r="BW89" s="197" t="str">
        <f t="shared" si="61"/>
        <v xml:space="preserve"> </v>
      </c>
      <c r="BX89" s="967"/>
      <c r="BY89" s="565"/>
    </row>
    <row r="90" spans="1:77" s="83" customFormat="1" ht="19.5" thickBot="1">
      <c r="A90" s="133"/>
      <c r="B90" s="148" t="s">
        <v>250</v>
      </c>
      <c r="C90" s="1013" t="s">
        <v>1</v>
      </c>
      <c r="D90" s="559">
        <f t="shared" si="401"/>
        <v>0</v>
      </c>
      <c r="E90" s="560"/>
      <c r="F90" s="560"/>
      <c r="G90" s="560"/>
      <c r="H90" s="561"/>
      <c r="I90" s="566"/>
      <c r="J90" s="559">
        <f t="shared" si="402"/>
        <v>0</v>
      </c>
      <c r="K90" s="383"/>
      <c r="L90" s="383"/>
      <c r="M90" s="383"/>
      <c r="N90" s="1501"/>
      <c r="O90" s="500"/>
      <c r="P90" s="559">
        <f t="shared" si="403"/>
        <v>0</v>
      </c>
      <c r="Q90" s="995"/>
      <c r="R90" s="560"/>
      <c r="S90" s="560"/>
      <c r="T90" s="561"/>
      <c r="U90" s="566"/>
      <c r="V90" s="559">
        <f t="shared" si="404"/>
        <v>0</v>
      </c>
      <c r="W90" s="383"/>
      <c r="X90" s="383"/>
      <c r="Y90" s="383"/>
      <c r="Z90" s="1501"/>
      <c r="AA90" s="500"/>
      <c r="AB90" s="564">
        <f t="shared" si="405"/>
        <v>0</v>
      </c>
      <c r="AC90" s="207">
        <f>ROUND(Q90*[184]индексы!I8,2)</f>
        <v>0</v>
      </c>
      <c r="AD90" s="207"/>
      <c r="AE90" s="1145"/>
      <c r="AF90" s="1145"/>
      <c r="AG90" s="469"/>
      <c r="AH90" s="559">
        <f t="shared" si="406"/>
        <v>0</v>
      </c>
      <c r="AI90" s="383"/>
      <c r="AJ90" s="383"/>
      <c r="AK90" s="383"/>
      <c r="AL90" s="1501"/>
      <c r="AM90" s="500"/>
      <c r="AN90" s="564">
        <f t="shared" si="407"/>
        <v>0</v>
      </c>
      <c r="AO90" s="207">
        <f>ROUND(AC90*[184]индексы!J8,2)</f>
        <v>0</v>
      </c>
      <c r="AP90" s="207"/>
      <c r="AQ90" s="1145"/>
      <c r="AR90" s="1145"/>
      <c r="AS90" s="469"/>
      <c r="AT90" s="559">
        <f t="shared" si="408"/>
        <v>0</v>
      </c>
      <c r="AU90" s="383"/>
      <c r="AV90" s="383"/>
      <c r="AW90" s="383"/>
      <c r="AX90" s="1501"/>
      <c r="AY90" s="500"/>
      <c r="AZ90" s="564">
        <f t="shared" si="409"/>
        <v>0</v>
      </c>
      <c r="BA90" s="207">
        <f>ROUND(AO90*[184]индексы!K8,2)</f>
        <v>0</v>
      </c>
      <c r="BB90" s="207"/>
      <c r="BC90" s="1145"/>
      <c r="BD90" s="1145"/>
      <c r="BE90" s="469"/>
      <c r="BF90" s="559">
        <f t="shared" si="410"/>
        <v>0</v>
      </c>
      <c r="BG90" s="383"/>
      <c r="BH90" s="383"/>
      <c r="BI90" s="383"/>
      <c r="BJ90" s="1501"/>
      <c r="BK90" s="500"/>
      <c r="BL90" s="564">
        <f t="shared" si="411"/>
        <v>0</v>
      </c>
      <c r="BM90" s="207">
        <f>ROUND(BA90*[184]индексы!L8,2)</f>
        <v>0</v>
      </c>
      <c r="BN90" s="207"/>
      <c r="BO90" s="1145"/>
      <c r="BP90" s="1145"/>
      <c r="BQ90" s="469"/>
      <c r="BR90" s="1484" t="str">
        <f t="shared" si="351"/>
        <v xml:space="preserve"> </v>
      </c>
      <c r="BS90" s="1485" t="str">
        <f t="shared" si="352"/>
        <v xml:space="preserve"> </v>
      </c>
      <c r="BT90" s="1486" t="str">
        <f t="shared" si="350"/>
        <v xml:space="preserve"> </v>
      </c>
      <c r="BU90" s="1487" t="str">
        <f t="shared" si="59"/>
        <v xml:space="preserve"> </v>
      </c>
      <c r="BV90" s="1487" t="str">
        <f t="shared" si="60"/>
        <v xml:space="preserve"> </v>
      </c>
      <c r="BW90" s="1488" t="str">
        <f t="shared" si="61"/>
        <v xml:space="preserve"> </v>
      </c>
      <c r="BX90" s="967"/>
    </row>
    <row r="91" spans="1:77" s="83" customFormat="1" ht="19.5" thickBot="1">
      <c r="A91" s="133"/>
      <c r="B91" s="148" t="s">
        <v>483</v>
      </c>
      <c r="C91" s="1013" t="s">
        <v>1</v>
      </c>
      <c r="D91" s="945"/>
      <c r="E91" s="946"/>
      <c r="F91" s="946"/>
      <c r="G91" s="946"/>
      <c r="H91" s="947"/>
      <c r="I91" s="566"/>
      <c r="J91" s="945"/>
      <c r="K91" s="948"/>
      <c r="L91" s="948"/>
      <c r="M91" s="948"/>
      <c r="N91" s="949"/>
      <c r="O91" s="950"/>
      <c r="P91" s="945"/>
      <c r="Q91" s="946"/>
      <c r="R91" s="946"/>
      <c r="S91" s="946"/>
      <c r="T91" s="947"/>
      <c r="U91" s="566"/>
      <c r="V91" s="945"/>
      <c r="W91" s="948"/>
      <c r="X91" s="948"/>
      <c r="Y91" s="948"/>
      <c r="Z91" s="949"/>
      <c r="AA91" s="950"/>
      <c r="AB91" s="945"/>
      <c r="AC91" s="946"/>
      <c r="AD91" s="946"/>
      <c r="AE91" s="947"/>
      <c r="AF91" s="947"/>
      <c r="AG91" s="951"/>
      <c r="AH91" s="945"/>
      <c r="AI91" s="948"/>
      <c r="AJ91" s="948"/>
      <c r="AK91" s="948"/>
      <c r="AL91" s="949"/>
      <c r="AM91" s="950"/>
      <c r="AN91" s="945"/>
      <c r="AO91" s="946"/>
      <c r="AP91" s="946"/>
      <c r="AQ91" s="947"/>
      <c r="AR91" s="947"/>
      <c r="AS91" s="951"/>
      <c r="AT91" s="945"/>
      <c r="AU91" s="948"/>
      <c r="AV91" s="948"/>
      <c r="AW91" s="948"/>
      <c r="AX91" s="949"/>
      <c r="AY91" s="950"/>
      <c r="AZ91" s="945"/>
      <c r="BA91" s="946"/>
      <c r="BB91" s="946"/>
      <c r="BC91" s="947"/>
      <c r="BD91" s="947"/>
      <c r="BE91" s="951"/>
      <c r="BF91" s="945"/>
      <c r="BG91" s="948"/>
      <c r="BH91" s="948"/>
      <c r="BI91" s="948"/>
      <c r="BJ91" s="949"/>
      <c r="BK91" s="950"/>
      <c r="BL91" s="945"/>
      <c r="BM91" s="946"/>
      <c r="BN91" s="946"/>
      <c r="BO91" s="947"/>
      <c r="BP91" s="947"/>
      <c r="BQ91" s="951"/>
      <c r="BR91" s="841"/>
      <c r="BS91" s="842"/>
      <c r="BT91" s="952"/>
      <c r="BU91" s="953"/>
      <c r="BV91" s="953"/>
      <c r="BW91" s="954"/>
      <c r="BX91" s="967"/>
    </row>
    <row r="92" spans="1:77" s="88" customFormat="1" ht="19.5" thickBot="1">
      <c r="A92" s="1583" t="s">
        <v>215</v>
      </c>
      <c r="B92" s="1584"/>
      <c r="C92" s="84" t="s">
        <v>1</v>
      </c>
      <c r="D92" s="186">
        <f>E92+F92+G92+H92</f>
        <v>556.14</v>
      </c>
      <c r="E92" s="184">
        <v>556.14</v>
      </c>
      <c r="F92" s="184"/>
      <c r="G92" s="184"/>
      <c r="H92" s="185"/>
      <c r="I92" s="462"/>
      <c r="J92" s="186">
        <f>K92+L92+M92+N92</f>
        <v>644.03</v>
      </c>
      <c r="K92" s="184">
        <v>384.93673100000001</v>
      </c>
      <c r="L92" s="184">
        <v>247.30751999999998</v>
      </c>
      <c r="M92" s="184"/>
      <c r="N92" s="185">
        <v>11.785748999999999</v>
      </c>
      <c r="O92" s="462"/>
      <c r="P92" s="184">
        <f>ROUND((P15-P16+P21+P59)*0.05,2)</f>
        <v>622.75</v>
      </c>
      <c r="Q92" s="184">
        <f>ROUND((P15-P16+P21+P59)*0.05,2)</f>
        <v>622.75</v>
      </c>
      <c r="R92" s="184"/>
      <c r="S92" s="184">
        <f t="shared" ref="S92" si="412">ROUND((S15-S16+S21+S59)*0.05,2)</f>
        <v>0</v>
      </c>
      <c r="T92" s="1228"/>
      <c r="U92" s="462"/>
      <c r="V92" s="186">
        <f>W92+X92+Y92+Z92</f>
        <v>711.72879421344373</v>
      </c>
      <c r="W92" s="184">
        <v>698.70155779011191</v>
      </c>
      <c r="X92" s="184"/>
      <c r="Y92" s="184"/>
      <c r="Z92" s="185">
        <v>13.027236423331868</v>
      </c>
      <c r="AA92" s="462"/>
      <c r="AB92" s="186">
        <f>AC92+AD92+AE92+AF92</f>
        <v>649.70000000000005</v>
      </c>
      <c r="AC92" s="184">
        <f>ROUND((AB15-AB16+AB21+AB59)*0.05,2)</f>
        <v>649.70000000000005</v>
      </c>
      <c r="AD92" s="184">
        <f t="shared" ref="AD92:AG92" si="413">IF(R92&gt;0,(AD15-AD16-AD18-AD20+AD21+AD59-AD62-AD82)*5%,0)</f>
        <v>0</v>
      </c>
      <c r="AE92" s="184">
        <f t="shared" si="413"/>
        <v>0</v>
      </c>
      <c r="AF92" s="185">
        <f t="shared" si="413"/>
        <v>0</v>
      </c>
      <c r="AG92" s="462">
        <f t="shared" si="413"/>
        <v>0</v>
      </c>
      <c r="AH92" s="186">
        <f>AI92+AJ92+AK92+AL92</f>
        <v>748.78002642186652</v>
      </c>
      <c r="AI92" s="184">
        <v>735.07461712471081</v>
      </c>
      <c r="AJ92" s="184"/>
      <c r="AK92" s="184"/>
      <c r="AL92" s="185">
        <v>13.705409297155683</v>
      </c>
      <c r="AM92" s="462"/>
      <c r="AN92" s="186">
        <f>AO92+AP92+AQ92+AR92</f>
        <v>671.67</v>
      </c>
      <c r="AO92" s="184">
        <f>ROUND((AN15-AN16+AN21+AN59)*0.05,2)</f>
        <v>671.67</v>
      </c>
      <c r="AP92" s="184">
        <f t="shared" ref="AP92:AS92" si="414">IF(AD92&gt;0,(AP15-AP16-AP18-AP20+AP21+AP59-AP62-AP82)*5%,0)</f>
        <v>0</v>
      </c>
      <c r="AQ92" s="185">
        <f t="shared" si="414"/>
        <v>0</v>
      </c>
      <c r="AR92" s="185">
        <f t="shared" si="414"/>
        <v>0</v>
      </c>
      <c r="AS92" s="462">
        <f t="shared" si="414"/>
        <v>0</v>
      </c>
      <c r="AT92" s="186">
        <f>AU92+AV92+AW92+AX92</f>
        <v>785.90759104089943</v>
      </c>
      <c r="AU92" s="184">
        <v>771.52261170801239</v>
      </c>
      <c r="AV92" s="184"/>
      <c r="AW92" s="184"/>
      <c r="AX92" s="185">
        <v>14.384979332887054</v>
      </c>
      <c r="AY92" s="462"/>
      <c r="AZ92" s="186">
        <f>BA92+BB92+BC92+BD92</f>
        <v>695.03</v>
      </c>
      <c r="BA92" s="184">
        <f>ROUND((AZ15-AZ16+AZ21+AZ59)*0.05,2)</f>
        <v>695.03</v>
      </c>
      <c r="BB92" s="184">
        <f t="shared" ref="BB92:BE92" si="415">IF(AP92&gt;0,(BB15-BB16-BB18-BB20+BB21+BB59-BB62-BB82)*5%,0)</f>
        <v>0</v>
      </c>
      <c r="BC92" s="185">
        <f t="shared" si="415"/>
        <v>0</v>
      </c>
      <c r="BD92" s="185">
        <f t="shared" si="415"/>
        <v>0</v>
      </c>
      <c r="BE92" s="462">
        <f t="shared" si="415"/>
        <v>0</v>
      </c>
      <c r="BF92" s="186">
        <f>BG92+BH92+BI92+BJ92</f>
        <v>830.50463449049425</v>
      </c>
      <c r="BG92" s="184">
        <v>815.30336637805669</v>
      </c>
      <c r="BH92" s="184"/>
      <c r="BI92" s="184"/>
      <c r="BJ92" s="185">
        <v>15.201268112437601</v>
      </c>
      <c r="BK92" s="462"/>
      <c r="BL92" s="186">
        <f>BM92+BN92+BO92+BP92</f>
        <v>719.1</v>
      </c>
      <c r="BM92" s="184">
        <f>ROUND((BL15-BL16+BL21+BL59)*0.05,2)</f>
        <v>719.1</v>
      </c>
      <c r="BN92" s="184">
        <f t="shared" ref="BN92:BQ92" si="416">IF(BB92&gt;0,(BN15-BN16-BN18-BN20+BN21+BN59-BN62-BN82)*5%,0)</f>
        <v>0</v>
      </c>
      <c r="BO92" s="185">
        <f t="shared" si="416"/>
        <v>0</v>
      </c>
      <c r="BP92" s="185">
        <f t="shared" si="416"/>
        <v>0</v>
      </c>
      <c r="BQ92" s="462">
        <f t="shared" si="416"/>
        <v>0</v>
      </c>
      <c r="BR92" s="826">
        <f t="shared" si="351"/>
        <v>0.96695806095989323</v>
      </c>
      <c r="BS92" s="330">
        <f t="shared" si="352"/>
        <v>1.1197719998561513</v>
      </c>
      <c r="BT92" s="826">
        <f t="shared" ref="BT92:BT126" si="417">IF(ISERROR(AB92/P92)," ",AB92/P92)</f>
        <v>1.0432757928542755</v>
      </c>
      <c r="BU92" s="330">
        <f t="shared" ref="BU92:BU126" si="418">IF(ISERROR(AN92/AB92)," ",AN92/AB92)</f>
        <v>1.0338156072033244</v>
      </c>
      <c r="BV92" s="330">
        <f t="shared" ref="BV92:BV126" si="419">IF(ISERROR(AZ92/AN92)," ",AZ92/AN92)</f>
        <v>1.034778983727128</v>
      </c>
      <c r="BW92" s="196">
        <f t="shared" ref="BW92:BW126" si="420">IF(ISERROR(BL92/AZ92)," ",BL92/AZ92)</f>
        <v>1.0346315986360302</v>
      </c>
      <c r="BX92" s="967"/>
    </row>
    <row r="93" spans="1:77" s="88" customFormat="1" ht="36" customHeight="1" thickBot="1">
      <c r="A93" s="1583" t="s">
        <v>216</v>
      </c>
      <c r="B93" s="1584"/>
      <c r="C93" s="84" t="s">
        <v>1</v>
      </c>
      <c r="D93" s="186">
        <f>E93+F93+G93+H93</f>
        <v>0</v>
      </c>
      <c r="E93" s="184"/>
      <c r="F93" s="184"/>
      <c r="G93" s="184"/>
      <c r="H93" s="185"/>
      <c r="I93" s="462"/>
      <c r="J93" s="186">
        <f t="shared" ref="J93:J98" si="421">K93+L93+M93+N93</f>
        <v>0</v>
      </c>
      <c r="K93" s="184"/>
      <c r="L93" s="184"/>
      <c r="M93" s="184"/>
      <c r="N93" s="185"/>
      <c r="O93" s="462"/>
      <c r="P93" s="186">
        <f>Q93+R93+S93+T93</f>
        <v>0</v>
      </c>
      <c r="Q93" s="184"/>
      <c r="R93" s="184"/>
      <c r="S93" s="184"/>
      <c r="T93" s="185"/>
      <c r="U93" s="462"/>
      <c r="V93" s="186">
        <f t="shared" ref="V93:V98" si="422">W93+X93+Y93+Z93</f>
        <v>0</v>
      </c>
      <c r="W93" s="184"/>
      <c r="X93" s="184"/>
      <c r="Y93" s="184"/>
      <c r="Z93" s="185"/>
      <c r="AA93" s="462"/>
      <c r="AB93" s="186">
        <f t="shared" ref="AB93:AB98" si="423">AC93+AD93+AE93+AF93</f>
        <v>0</v>
      </c>
      <c r="AC93" s="184"/>
      <c r="AD93" s="184"/>
      <c r="AE93" s="185"/>
      <c r="AF93" s="185"/>
      <c r="AG93" s="462"/>
      <c r="AH93" s="186">
        <f t="shared" ref="AH93:AH98" si="424">AI93+AJ93+AK93+AL93</f>
        <v>0</v>
      </c>
      <c r="AI93" s="184"/>
      <c r="AJ93" s="184"/>
      <c r="AK93" s="184"/>
      <c r="AL93" s="185"/>
      <c r="AM93" s="462"/>
      <c r="AN93" s="186">
        <f t="shared" ref="AN93:AN94" si="425">AO93+AP93+AQ93+AR93</f>
        <v>0</v>
      </c>
      <c r="AO93" s="184"/>
      <c r="AP93" s="184"/>
      <c r="AQ93" s="185"/>
      <c r="AR93" s="185"/>
      <c r="AS93" s="462"/>
      <c r="AT93" s="186">
        <f t="shared" ref="AT93:AT98" si="426">AU93+AV93+AW93+AX93</f>
        <v>0</v>
      </c>
      <c r="AU93" s="184"/>
      <c r="AV93" s="184"/>
      <c r="AW93" s="184"/>
      <c r="AX93" s="185"/>
      <c r="AY93" s="462"/>
      <c r="AZ93" s="186">
        <f t="shared" ref="AZ93:AZ94" si="427">BA93+BB93+BC93+BD93</f>
        <v>0</v>
      </c>
      <c r="BA93" s="184"/>
      <c r="BB93" s="184"/>
      <c r="BC93" s="185"/>
      <c r="BD93" s="185"/>
      <c r="BE93" s="462"/>
      <c r="BF93" s="186">
        <f t="shared" ref="BF93:BF98" si="428">BG93+BH93+BI93+BJ93</f>
        <v>0</v>
      </c>
      <c r="BG93" s="184"/>
      <c r="BH93" s="184"/>
      <c r="BI93" s="184"/>
      <c r="BJ93" s="185"/>
      <c r="BK93" s="462"/>
      <c r="BL93" s="186">
        <f t="shared" ref="BL93:BL94" si="429">BM93+BN93+BO93+BP93</f>
        <v>0</v>
      </c>
      <c r="BM93" s="184"/>
      <c r="BN93" s="184"/>
      <c r="BO93" s="185"/>
      <c r="BP93" s="185"/>
      <c r="BQ93" s="462"/>
      <c r="BR93" s="826" t="str">
        <f t="shared" si="351"/>
        <v xml:space="preserve"> </v>
      </c>
      <c r="BS93" s="330" t="str">
        <f t="shared" si="352"/>
        <v xml:space="preserve"> </v>
      </c>
      <c r="BT93" s="826" t="str">
        <f t="shared" si="417"/>
        <v xml:space="preserve"> </v>
      </c>
      <c r="BU93" s="330" t="str">
        <f t="shared" si="418"/>
        <v xml:space="preserve"> </v>
      </c>
      <c r="BV93" s="330" t="str">
        <f t="shared" si="419"/>
        <v xml:space="preserve"> </v>
      </c>
      <c r="BW93" s="196" t="str">
        <f t="shared" si="420"/>
        <v xml:space="preserve"> </v>
      </c>
      <c r="BX93" s="967"/>
    </row>
    <row r="94" spans="1:77" s="88" customFormat="1" ht="19.5" thickBot="1">
      <c r="A94" s="1583" t="s">
        <v>217</v>
      </c>
      <c r="B94" s="1584"/>
      <c r="C94" s="84" t="s">
        <v>1</v>
      </c>
      <c r="D94" s="555">
        <f>E94+F94+G94+H94</f>
        <v>0</v>
      </c>
      <c r="E94" s="549">
        <f>SUM(E95:E98)</f>
        <v>0</v>
      </c>
      <c r="F94" s="549">
        <f t="shared" ref="F94:I94" si="430">SUM(F95:F98)</f>
        <v>0</v>
      </c>
      <c r="G94" s="549">
        <f t="shared" si="430"/>
        <v>0</v>
      </c>
      <c r="H94" s="550">
        <f t="shared" si="430"/>
        <v>0</v>
      </c>
      <c r="I94" s="551">
        <f t="shared" si="430"/>
        <v>0</v>
      </c>
      <c r="J94" s="186">
        <f t="shared" si="421"/>
        <v>0</v>
      </c>
      <c r="K94" s="184">
        <f>SUM(K95:K98)</f>
        <v>0</v>
      </c>
      <c r="L94" s="184">
        <f t="shared" ref="L94:O94" si="431">SUM(L95:L98)</f>
        <v>0</v>
      </c>
      <c r="M94" s="184">
        <f t="shared" si="431"/>
        <v>0</v>
      </c>
      <c r="N94" s="185">
        <f t="shared" si="431"/>
        <v>0</v>
      </c>
      <c r="O94" s="462">
        <f t="shared" si="431"/>
        <v>0</v>
      </c>
      <c r="P94" s="555">
        <f>Q94+R94+S94+T94</f>
        <v>0</v>
      </c>
      <c r="Q94" s="549">
        <f>SUM(Q95:Q98)</f>
        <v>0</v>
      </c>
      <c r="R94" s="549">
        <f t="shared" ref="R94:U94" si="432">SUM(R95:R98)</f>
        <v>0</v>
      </c>
      <c r="S94" s="549">
        <f t="shared" si="432"/>
        <v>0</v>
      </c>
      <c r="T94" s="550">
        <f t="shared" si="432"/>
        <v>0</v>
      </c>
      <c r="U94" s="551">
        <f t="shared" si="432"/>
        <v>0</v>
      </c>
      <c r="V94" s="186">
        <f t="shared" si="422"/>
        <v>0</v>
      </c>
      <c r="W94" s="184">
        <f>SUM(W95:W98)</f>
        <v>0</v>
      </c>
      <c r="X94" s="184">
        <f t="shared" ref="X94:AA94" si="433">SUM(X95:X98)</f>
        <v>0</v>
      </c>
      <c r="Y94" s="184">
        <f t="shared" si="433"/>
        <v>0</v>
      </c>
      <c r="Z94" s="185">
        <f t="shared" si="433"/>
        <v>0</v>
      </c>
      <c r="AA94" s="462">
        <f t="shared" si="433"/>
        <v>0</v>
      </c>
      <c r="AB94" s="186">
        <f t="shared" si="423"/>
        <v>0</v>
      </c>
      <c r="AC94" s="184">
        <f>SUM(AC95:AC98)</f>
        <v>0</v>
      </c>
      <c r="AD94" s="184">
        <f t="shared" ref="AD94" si="434">SUM(AD95:AD98)</f>
        <v>0</v>
      </c>
      <c r="AE94" s="185">
        <f>SUM(AE95:AE98)</f>
        <v>0</v>
      </c>
      <c r="AF94" s="185">
        <f t="shared" ref="AF94:AG94" si="435">SUM(AF95:AF98)</f>
        <v>0</v>
      </c>
      <c r="AG94" s="462">
        <f t="shared" si="435"/>
        <v>0</v>
      </c>
      <c r="AH94" s="186">
        <f t="shared" si="424"/>
        <v>0</v>
      </c>
      <c r="AI94" s="184">
        <f>SUM(AI95:AI98)</f>
        <v>0</v>
      </c>
      <c r="AJ94" s="184">
        <f t="shared" ref="AJ94:AM94" si="436">SUM(AJ95:AJ98)</f>
        <v>0</v>
      </c>
      <c r="AK94" s="184">
        <f t="shared" si="436"/>
        <v>0</v>
      </c>
      <c r="AL94" s="185">
        <f t="shared" si="436"/>
        <v>0</v>
      </c>
      <c r="AM94" s="462">
        <f t="shared" si="436"/>
        <v>0</v>
      </c>
      <c r="AN94" s="186">
        <f t="shared" si="425"/>
        <v>-159.78</v>
      </c>
      <c r="AO94" s="184">
        <f>SUM(AO95:AO98)</f>
        <v>-159.78</v>
      </c>
      <c r="AP94" s="184">
        <f t="shared" ref="AP94" si="437">SUM(AP95:AP98)</f>
        <v>0</v>
      </c>
      <c r="AQ94" s="185">
        <f>SUM(AQ95:AQ98)</f>
        <v>0</v>
      </c>
      <c r="AR94" s="185">
        <f t="shared" ref="AR94:AS94" si="438">SUM(AR95:AR98)</f>
        <v>0</v>
      </c>
      <c r="AS94" s="462">
        <f t="shared" si="438"/>
        <v>0</v>
      </c>
      <c r="AT94" s="186">
        <f t="shared" si="426"/>
        <v>0</v>
      </c>
      <c r="AU94" s="184">
        <f>SUM(AU95:AU98)</f>
        <v>0</v>
      </c>
      <c r="AV94" s="184">
        <f t="shared" ref="AV94:AY94" si="439">SUM(AV95:AV98)</f>
        <v>0</v>
      </c>
      <c r="AW94" s="184">
        <f t="shared" si="439"/>
        <v>0</v>
      </c>
      <c r="AX94" s="185">
        <f t="shared" si="439"/>
        <v>0</v>
      </c>
      <c r="AY94" s="462">
        <f t="shared" si="439"/>
        <v>0</v>
      </c>
      <c r="AZ94" s="186">
        <f t="shared" si="427"/>
        <v>0</v>
      </c>
      <c r="BA94" s="184">
        <f>SUM(BA95:BA98)</f>
        <v>0</v>
      </c>
      <c r="BB94" s="184">
        <f t="shared" ref="BB94" si="440">SUM(BB95:BB98)</f>
        <v>0</v>
      </c>
      <c r="BC94" s="185">
        <f>SUM(BC95:BC98)</f>
        <v>0</v>
      </c>
      <c r="BD94" s="185">
        <f t="shared" ref="BD94:BE94" si="441">SUM(BD95:BD98)</f>
        <v>0</v>
      </c>
      <c r="BE94" s="462">
        <f t="shared" si="441"/>
        <v>0</v>
      </c>
      <c r="BF94" s="186">
        <f t="shared" si="428"/>
        <v>0</v>
      </c>
      <c r="BG94" s="184">
        <f>SUM(BG95:BG98)</f>
        <v>0</v>
      </c>
      <c r="BH94" s="184">
        <f t="shared" ref="BH94:BK94" si="442">SUM(BH95:BH98)</f>
        <v>0</v>
      </c>
      <c r="BI94" s="184">
        <f t="shared" si="442"/>
        <v>0</v>
      </c>
      <c r="BJ94" s="185">
        <f t="shared" si="442"/>
        <v>0</v>
      </c>
      <c r="BK94" s="462">
        <f t="shared" si="442"/>
        <v>0</v>
      </c>
      <c r="BL94" s="186">
        <f t="shared" si="429"/>
        <v>0</v>
      </c>
      <c r="BM94" s="184">
        <f>SUM(BM95:BM98)</f>
        <v>0</v>
      </c>
      <c r="BN94" s="184">
        <f t="shared" ref="BN94" si="443">SUM(BN95:BN98)</f>
        <v>0</v>
      </c>
      <c r="BO94" s="185">
        <f>SUM(BO95:BO98)</f>
        <v>0</v>
      </c>
      <c r="BP94" s="185">
        <f t="shared" ref="BP94:BQ94" si="444">SUM(BP95:BP98)</f>
        <v>0</v>
      </c>
      <c r="BQ94" s="462">
        <f t="shared" si="444"/>
        <v>0</v>
      </c>
      <c r="BR94" s="826" t="str">
        <f t="shared" si="351"/>
        <v xml:space="preserve"> </v>
      </c>
      <c r="BS94" s="330" t="str">
        <f t="shared" si="352"/>
        <v xml:space="preserve"> </v>
      </c>
      <c r="BT94" s="826" t="str">
        <f t="shared" si="417"/>
        <v xml:space="preserve"> </v>
      </c>
      <c r="BU94" s="330" t="str">
        <f t="shared" si="418"/>
        <v xml:space="preserve"> </v>
      </c>
      <c r="BV94" s="330">
        <f t="shared" si="419"/>
        <v>0</v>
      </c>
      <c r="BW94" s="196" t="str">
        <f t="shared" si="420"/>
        <v xml:space="preserve"> </v>
      </c>
      <c r="BX94" s="967"/>
    </row>
    <row r="95" spans="1:77" s="83" customFormat="1" ht="32.25" customHeight="1" outlineLevel="1">
      <c r="A95" s="146" t="s">
        <v>42</v>
      </c>
      <c r="B95" s="147" t="s">
        <v>245</v>
      </c>
      <c r="C95" s="1013" t="s">
        <v>1</v>
      </c>
      <c r="D95" s="557">
        <f t="shared" ref="D95:D98" si="445">E95+F95+G95+H95</f>
        <v>0</v>
      </c>
      <c r="E95" s="544"/>
      <c r="F95" s="544"/>
      <c r="G95" s="544"/>
      <c r="H95" s="544"/>
      <c r="I95" s="545"/>
      <c r="J95" s="211">
        <f t="shared" si="421"/>
        <v>0</v>
      </c>
      <c r="K95" s="213"/>
      <c r="L95" s="213"/>
      <c r="M95" s="213"/>
      <c r="N95" s="446"/>
      <c r="O95" s="472"/>
      <c r="P95" s="557">
        <f t="shared" ref="P95:P98" si="446">Q95+R95+S95+T95</f>
        <v>0</v>
      </c>
      <c r="Q95" s="544">
        <f>'[184]учет итогов'!I28</f>
        <v>0</v>
      </c>
      <c r="R95" s="544"/>
      <c r="S95" s="544"/>
      <c r="T95" s="544"/>
      <c r="U95" s="545"/>
      <c r="V95" s="211">
        <f t="shared" si="422"/>
        <v>0</v>
      </c>
      <c r="W95" s="213"/>
      <c r="X95" s="213"/>
      <c r="Y95" s="213"/>
      <c r="Z95" s="446"/>
      <c r="AA95" s="472"/>
      <c r="AB95" s="212">
        <f>AC95+AD95+AE95+AF95</f>
        <v>0</v>
      </c>
      <c r="AC95" s="213"/>
      <c r="AD95" s="213"/>
      <c r="AE95" s="446"/>
      <c r="AF95" s="446"/>
      <c r="AG95" s="472"/>
      <c r="AH95" s="211">
        <f t="shared" si="424"/>
        <v>0</v>
      </c>
      <c r="AI95" s="213"/>
      <c r="AJ95" s="213"/>
      <c r="AK95" s="213"/>
      <c r="AL95" s="446"/>
      <c r="AM95" s="472"/>
      <c r="AN95" s="212">
        <f>AO95+AP95+AQ95+AR95</f>
        <v>-159.78</v>
      </c>
      <c r="AO95" s="213">
        <f>'[184]учет итогов'!K21</f>
        <v>-159.78</v>
      </c>
      <c r="AP95" s="213"/>
      <c r="AQ95" s="446"/>
      <c r="AR95" s="446"/>
      <c r="AS95" s="472"/>
      <c r="AT95" s="211">
        <f t="shared" si="426"/>
        <v>0</v>
      </c>
      <c r="AU95" s="213"/>
      <c r="AV95" s="213"/>
      <c r="AW95" s="213"/>
      <c r="AX95" s="446"/>
      <c r="AY95" s="472"/>
      <c r="AZ95" s="212">
        <f>BA95+BB95+BC95+BD95</f>
        <v>0</v>
      </c>
      <c r="BA95" s="213"/>
      <c r="BB95" s="213"/>
      <c r="BC95" s="446"/>
      <c r="BD95" s="446"/>
      <c r="BE95" s="472"/>
      <c r="BF95" s="211">
        <f t="shared" si="428"/>
        <v>0</v>
      </c>
      <c r="BG95" s="213"/>
      <c r="BH95" s="213"/>
      <c r="BI95" s="213"/>
      <c r="BJ95" s="446"/>
      <c r="BK95" s="472"/>
      <c r="BL95" s="212">
        <f>BM95+BN95+BO95+BP95</f>
        <v>0</v>
      </c>
      <c r="BM95" s="213"/>
      <c r="BN95" s="213"/>
      <c r="BO95" s="446"/>
      <c r="BP95" s="446"/>
      <c r="BQ95" s="472"/>
      <c r="BR95" s="844" t="str">
        <f t="shared" si="351"/>
        <v xml:space="preserve"> </v>
      </c>
      <c r="BS95" s="840" t="str">
        <f t="shared" si="352"/>
        <v xml:space="preserve"> </v>
      </c>
      <c r="BT95" s="827" t="str">
        <f t="shared" si="417"/>
        <v xml:space="preserve"> </v>
      </c>
      <c r="BU95" s="329" t="str">
        <f t="shared" si="418"/>
        <v xml:space="preserve"> </v>
      </c>
      <c r="BV95" s="329">
        <f t="shared" si="419"/>
        <v>0</v>
      </c>
      <c r="BW95" s="197" t="str">
        <f t="shared" si="420"/>
        <v xml:space="preserve"> </v>
      </c>
      <c r="BX95" s="967"/>
    </row>
    <row r="96" spans="1:77" s="83" customFormat="1" ht="78.75" outlineLevel="1">
      <c r="A96" s="133" t="s">
        <v>45</v>
      </c>
      <c r="B96" s="148" t="s">
        <v>246</v>
      </c>
      <c r="C96" s="1013" t="s">
        <v>1</v>
      </c>
      <c r="D96" s="211">
        <f t="shared" si="445"/>
        <v>0</v>
      </c>
      <c r="E96" s="215"/>
      <c r="F96" s="215"/>
      <c r="G96" s="215"/>
      <c r="H96" s="215"/>
      <c r="I96" s="546"/>
      <c r="J96" s="211">
        <f t="shared" si="421"/>
        <v>0</v>
      </c>
      <c r="K96" s="215"/>
      <c r="L96" s="215"/>
      <c r="M96" s="215"/>
      <c r="N96" s="1158"/>
      <c r="O96" s="473"/>
      <c r="P96" s="211">
        <f t="shared" si="446"/>
        <v>0</v>
      </c>
      <c r="Q96" s="215"/>
      <c r="R96" s="215"/>
      <c r="S96" s="215"/>
      <c r="T96" s="215"/>
      <c r="U96" s="546"/>
      <c r="V96" s="211">
        <f t="shared" si="422"/>
        <v>0</v>
      </c>
      <c r="W96" s="215"/>
      <c r="X96" s="215"/>
      <c r="Y96" s="215"/>
      <c r="Z96" s="1158"/>
      <c r="AA96" s="473"/>
      <c r="AB96" s="214">
        <f t="shared" si="423"/>
        <v>0</v>
      </c>
      <c r="AC96" s="215"/>
      <c r="AD96" s="215"/>
      <c r="AE96" s="1158"/>
      <c r="AF96" s="1158"/>
      <c r="AG96" s="473"/>
      <c r="AH96" s="211">
        <f t="shared" si="424"/>
        <v>0</v>
      </c>
      <c r="AI96" s="215"/>
      <c r="AJ96" s="215"/>
      <c r="AK96" s="215"/>
      <c r="AL96" s="1158"/>
      <c r="AM96" s="473"/>
      <c r="AN96" s="214">
        <f t="shared" ref="AN96:AN98" si="447">AO96+AP96+AQ96+AR96</f>
        <v>0</v>
      </c>
      <c r="AO96" s="215"/>
      <c r="AP96" s="215"/>
      <c r="AQ96" s="1158"/>
      <c r="AR96" s="1158"/>
      <c r="AS96" s="473"/>
      <c r="AT96" s="211">
        <f t="shared" si="426"/>
        <v>0</v>
      </c>
      <c r="AU96" s="215"/>
      <c r="AV96" s="215"/>
      <c r="AW96" s="215"/>
      <c r="AX96" s="1158"/>
      <c r="AY96" s="473"/>
      <c r="AZ96" s="214">
        <f t="shared" ref="AZ96:AZ98" si="448">BA96+BB96+BC96+BD96</f>
        <v>0</v>
      </c>
      <c r="BA96" s="215"/>
      <c r="BB96" s="215"/>
      <c r="BC96" s="1158"/>
      <c r="BD96" s="1158"/>
      <c r="BE96" s="473"/>
      <c r="BF96" s="211">
        <f t="shared" si="428"/>
        <v>0</v>
      </c>
      <c r="BG96" s="215"/>
      <c r="BH96" s="215"/>
      <c r="BI96" s="215"/>
      <c r="BJ96" s="1158"/>
      <c r="BK96" s="473"/>
      <c r="BL96" s="214">
        <f t="shared" ref="BL96:BL98" si="449">BM96+BN96+BO96+BP96</f>
        <v>0</v>
      </c>
      <c r="BM96" s="215"/>
      <c r="BN96" s="215"/>
      <c r="BO96" s="1158"/>
      <c r="BP96" s="1158"/>
      <c r="BQ96" s="473"/>
      <c r="BR96" s="940" t="str">
        <f t="shared" si="351"/>
        <v xml:space="preserve"> </v>
      </c>
      <c r="BS96" s="542" t="str">
        <f t="shared" si="352"/>
        <v xml:space="preserve"> </v>
      </c>
      <c r="BT96" s="1502" t="str">
        <f t="shared" si="417"/>
        <v xml:space="preserve"> </v>
      </c>
      <c r="BU96" s="323" t="str">
        <f t="shared" si="418"/>
        <v xml:space="preserve"> </v>
      </c>
      <c r="BV96" s="323" t="str">
        <f t="shared" si="419"/>
        <v xml:space="preserve"> </v>
      </c>
      <c r="BW96" s="198" t="str">
        <f t="shared" si="420"/>
        <v xml:space="preserve"> </v>
      </c>
      <c r="BX96" s="967"/>
    </row>
    <row r="97" spans="1:77" s="83" customFormat="1" ht="32.25" customHeight="1" outlineLevel="1">
      <c r="A97" s="133" t="s">
        <v>46</v>
      </c>
      <c r="B97" s="148" t="s">
        <v>247</v>
      </c>
      <c r="C97" s="1013" t="s">
        <v>1</v>
      </c>
      <c r="D97" s="211">
        <f t="shared" si="445"/>
        <v>0</v>
      </c>
      <c r="E97" s="215"/>
      <c r="F97" s="215"/>
      <c r="G97" s="215"/>
      <c r="H97" s="215"/>
      <c r="I97" s="546"/>
      <c r="J97" s="211">
        <f t="shared" si="421"/>
        <v>0</v>
      </c>
      <c r="K97" s="215"/>
      <c r="L97" s="215"/>
      <c r="M97" s="215"/>
      <c r="N97" s="1158"/>
      <c r="O97" s="473"/>
      <c r="P97" s="211">
        <f t="shared" si="446"/>
        <v>0</v>
      </c>
      <c r="Q97" s="215"/>
      <c r="R97" s="215"/>
      <c r="S97" s="215"/>
      <c r="T97" s="215"/>
      <c r="U97" s="546"/>
      <c r="V97" s="211">
        <f t="shared" si="422"/>
        <v>0</v>
      </c>
      <c r="W97" s="215"/>
      <c r="X97" s="215"/>
      <c r="Y97" s="215"/>
      <c r="Z97" s="1158"/>
      <c r="AA97" s="473"/>
      <c r="AB97" s="214">
        <f t="shared" si="423"/>
        <v>0</v>
      </c>
      <c r="AC97" s="215"/>
      <c r="AD97" s="215"/>
      <c r="AE97" s="1158"/>
      <c r="AF97" s="1158"/>
      <c r="AG97" s="473"/>
      <c r="AH97" s="211">
        <f t="shared" si="424"/>
        <v>0</v>
      </c>
      <c r="AI97" s="215"/>
      <c r="AJ97" s="215"/>
      <c r="AK97" s="215"/>
      <c r="AL97" s="1158"/>
      <c r="AM97" s="473"/>
      <c r="AN97" s="214">
        <f t="shared" si="447"/>
        <v>0</v>
      </c>
      <c r="AO97" s="215"/>
      <c r="AP97" s="215"/>
      <c r="AQ97" s="1158"/>
      <c r="AR97" s="1158"/>
      <c r="AS97" s="473"/>
      <c r="AT97" s="211">
        <f t="shared" si="426"/>
        <v>0</v>
      </c>
      <c r="AU97" s="215"/>
      <c r="AV97" s="215"/>
      <c r="AW97" s="215"/>
      <c r="AX97" s="1158"/>
      <c r="AY97" s="473"/>
      <c r="AZ97" s="214">
        <f t="shared" si="448"/>
        <v>0</v>
      </c>
      <c r="BA97" s="215"/>
      <c r="BB97" s="215"/>
      <c r="BC97" s="1158"/>
      <c r="BD97" s="1158"/>
      <c r="BE97" s="473"/>
      <c r="BF97" s="211">
        <f t="shared" si="428"/>
        <v>0</v>
      </c>
      <c r="BG97" s="215"/>
      <c r="BH97" s="215"/>
      <c r="BI97" s="215"/>
      <c r="BJ97" s="1158"/>
      <c r="BK97" s="473"/>
      <c r="BL97" s="214">
        <f t="shared" si="449"/>
        <v>0</v>
      </c>
      <c r="BM97" s="215"/>
      <c r="BN97" s="215"/>
      <c r="BO97" s="1158"/>
      <c r="BP97" s="1158"/>
      <c r="BQ97" s="473"/>
      <c r="BR97" s="940" t="str">
        <f t="shared" si="351"/>
        <v xml:space="preserve"> </v>
      </c>
      <c r="BS97" s="542" t="str">
        <f t="shared" si="352"/>
        <v xml:space="preserve"> </v>
      </c>
      <c r="BT97" s="1502" t="str">
        <f t="shared" si="417"/>
        <v xml:space="preserve"> </v>
      </c>
      <c r="BU97" s="323" t="str">
        <f t="shared" si="418"/>
        <v xml:space="preserve"> </v>
      </c>
      <c r="BV97" s="323" t="str">
        <f t="shared" si="419"/>
        <v xml:space="preserve"> </v>
      </c>
      <c r="BW97" s="198" t="str">
        <f t="shared" si="420"/>
        <v xml:space="preserve"> </v>
      </c>
      <c r="BX97" s="967"/>
    </row>
    <row r="98" spans="1:77" s="83" customFormat="1" ht="97.5" customHeight="1" outlineLevel="1" thickBot="1">
      <c r="A98" s="1508" t="s">
        <v>48</v>
      </c>
      <c r="B98" s="1526" t="s">
        <v>248</v>
      </c>
      <c r="C98" s="1013" t="s">
        <v>1</v>
      </c>
      <c r="D98" s="558">
        <f t="shared" si="445"/>
        <v>0</v>
      </c>
      <c r="E98" s="547"/>
      <c r="F98" s="547"/>
      <c r="G98" s="547"/>
      <c r="H98" s="547"/>
      <c r="I98" s="548"/>
      <c r="J98" s="211">
        <f t="shared" si="421"/>
        <v>0</v>
      </c>
      <c r="K98" s="1160"/>
      <c r="L98" s="1160"/>
      <c r="M98" s="1160"/>
      <c r="N98" s="1161"/>
      <c r="O98" s="1162"/>
      <c r="P98" s="558">
        <f t="shared" si="446"/>
        <v>0</v>
      </c>
      <c r="Q98" s="547"/>
      <c r="R98" s="547"/>
      <c r="S98" s="547"/>
      <c r="T98" s="547"/>
      <c r="U98" s="548"/>
      <c r="V98" s="211">
        <f t="shared" si="422"/>
        <v>0</v>
      </c>
      <c r="W98" s="1160"/>
      <c r="X98" s="1160"/>
      <c r="Y98" s="1160"/>
      <c r="Z98" s="1161"/>
      <c r="AA98" s="1162"/>
      <c r="AB98" s="1159">
        <f t="shared" si="423"/>
        <v>0</v>
      </c>
      <c r="AC98" s="1160"/>
      <c r="AD98" s="1160"/>
      <c r="AE98" s="1161"/>
      <c r="AF98" s="1161"/>
      <c r="AG98" s="1162"/>
      <c r="AH98" s="211">
        <f t="shared" si="424"/>
        <v>0</v>
      </c>
      <c r="AI98" s="1160"/>
      <c r="AJ98" s="1160"/>
      <c r="AK98" s="1160"/>
      <c r="AL98" s="1161"/>
      <c r="AM98" s="1162"/>
      <c r="AN98" s="1159">
        <f t="shared" si="447"/>
        <v>0</v>
      </c>
      <c r="AO98" s="1160"/>
      <c r="AP98" s="1160"/>
      <c r="AQ98" s="1161"/>
      <c r="AR98" s="1161"/>
      <c r="AS98" s="1162"/>
      <c r="AT98" s="211">
        <f t="shared" si="426"/>
        <v>0</v>
      </c>
      <c r="AU98" s="1160"/>
      <c r="AV98" s="1160"/>
      <c r="AW98" s="1160"/>
      <c r="AX98" s="1161"/>
      <c r="AY98" s="1162"/>
      <c r="AZ98" s="1159">
        <f t="shared" si="448"/>
        <v>0</v>
      </c>
      <c r="BA98" s="1160"/>
      <c r="BB98" s="1160"/>
      <c r="BC98" s="1161"/>
      <c r="BD98" s="1161"/>
      <c r="BE98" s="1162"/>
      <c r="BF98" s="211">
        <f t="shared" si="428"/>
        <v>0</v>
      </c>
      <c r="BG98" s="1160"/>
      <c r="BH98" s="1160"/>
      <c r="BI98" s="1160"/>
      <c r="BJ98" s="1161"/>
      <c r="BK98" s="1162"/>
      <c r="BL98" s="1159">
        <f t="shared" si="449"/>
        <v>0</v>
      </c>
      <c r="BM98" s="1160"/>
      <c r="BN98" s="1160"/>
      <c r="BO98" s="1161"/>
      <c r="BP98" s="1161"/>
      <c r="BQ98" s="1162"/>
      <c r="BR98" s="1484" t="str">
        <f t="shared" si="351"/>
        <v xml:space="preserve"> </v>
      </c>
      <c r="BS98" s="1485" t="str">
        <f t="shared" si="352"/>
        <v xml:space="preserve"> </v>
      </c>
      <c r="BT98" s="1486" t="str">
        <f t="shared" si="417"/>
        <v xml:space="preserve"> </v>
      </c>
      <c r="BU98" s="1487" t="str">
        <f t="shared" si="418"/>
        <v xml:space="preserve"> </v>
      </c>
      <c r="BV98" s="1487" t="str">
        <f t="shared" si="419"/>
        <v xml:space="preserve"> </v>
      </c>
      <c r="BW98" s="1488" t="str">
        <f t="shared" si="420"/>
        <v xml:space="preserve"> </v>
      </c>
      <c r="BX98" s="967"/>
    </row>
    <row r="99" spans="1:77" s="88" customFormat="1" ht="19.5" thickBot="1">
      <c r="A99" s="1583" t="s">
        <v>218</v>
      </c>
      <c r="B99" s="1584"/>
      <c r="C99" s="84" t="s">
        <v>1</v>
      </c>
      <c r="D99" s="556">
        <f>E99+F99+G99+H99</f>
        <v>30934.646451300003</v>
      </c>
      <c r="E99" s="552">
        <f>SUM(E101:E107)</f>
        <v>26220.452000000001</v>
      </c>
      <c r="F99" s="552">
        <f t="shared" ref="F99:I99" si="450">SUM(F101:F107)</f>
        <v>2201.2444513</v>
      </c>
      <c r="G99" s="552">
        <f t="shared" si="450"/>
        <v>0</v>
      </c>
      <c r="H99" s="553">
        <f t="shared" si="450"/>
        <v>2512.9499999999998</v>
      </c>
      <c r="I99" s="554">
        <f t="shared" si="450"/>
        <v>0</v>
      </c>
      <c r="J99" s="186">
        <f>K99+L99+M99+N99</f>
        <v>33667.60686599859</v>
      </c>
      <c r="K99" s="184">
        <f>SUM(K101:K107)</f>
        <v>29987.450431783924</v>
      </c>
      <c r="L99" s="184">
        <f t="shared" ref="L99:O99" si="451">SUM(L101:L107)</f>
        <v>3285.7367572146686</v>
      </c>
      <c r="M99" s="184">
        <f t="shared" si="451"/>
        <v>0</v>
      </c>
      <c r="N99" s="185">
        <f t="shared" si="451"/>
        <v>394.41967700000004</v>
      </c>
      <c r="O99" s="462">
        <f t="shared" si="451"/>
        <v>0</v>
      </c>
      <c r="P99" s="556">
        <f>Q99+R99+S99+T99</f>
        <v>32729.009000000002</v>
      </c>
      <c r="Q99" s="552">
        <f>SUM(Q101:Q107)</f>
        <v>27382.267</v>
      </c>
      <c r="R99" s="552">
        <f>SUM(R101:R107)</f>
        <v>2653.4720000000002</v>
      </c>
      <c r="S99" s="552">
        <f t="shared" ref="S99:U99" si="452">SUM(S101:S107)</f>
        <v>0</v>
      </c>
      <c r="T99" s="553">
        <f t="shared" si="452"/>
        <v>2693.27</v>
      </c>
      <c r="U99" s="554">
        <f t="shared" si="452"/>
        <v>0</v>
      </c>
      <c r="V99" s="186">
        <f>W99+X99+Y99+Z99</f>
        <v>35088.107376617372</v>
      </c>
      <c r="W99" s="184">
        <f>SUM(W101:W107)</f>
        <v>31789.269292930039</v>
      </c>
      <c r="X99" s="184">
        <f t="shared" ref="X99:AA99" si="453">SUM(X101:X107)</f>
        <v>2861.5055040000007</v>
      </c>
      <c r="Y99" s="184">
        <f t="shared" si="453"/>
        <v>0</v>
      </c>
      <c r="Z99" s="185">
        <f t="shared" si="453"/>
        <v>437.33257968733187</v>
      </c>
      <c r="AA99" s="462">
        <f t="shared" si="453"/>
        <v>0</v>
      </c>
      <c r="AB99" s="186">
        <f>AC99+AD99+AE99+AF99</f>
        <v>33674.99</v>
      </c>
      <c r="AC99" s="184">
        <f>SUM(AC101:AC107)</f>
        <v>28038.629999999997</v>
      </c>
      <c r="AD99" s="184">
        <f>SUM(AD101:AD107)</f>
        <v>2716.26</v>
      </c>
      <c r="AE99" s="184">
        <f t="shared" ref="AE99:AG99" si="454">SUM(AE101:AE107)</f>
        <v>0</v>
      </c>
      <c r="AF99" s="185">
        <f t="shared" si="454"/>
        <v>2920.1</v>
      </c>
      <c r="AG99" s="462">
        <f t="shared" si="454"/>
        <v>0</v>
      </c>
      <c r="AH99" s="186">
        <f>AI99+AJ99+AK99+AL99</f>
        <v>36509.074875856953</v>
      </c>
      <c r="AI99" s="184">
        <f>SUM(AI101:AI107)</f>
        <v>33077.22979138486</v>
      </c>
      <c r="AJ99" s="184">
        <f t="shared" ref="AJ99:AM99" si="455">SUM(AJ101:AJ107)</f>
        <v>2946.2060669184007</v>
      </c>
      <c r="AK99" s="184">
        <f t="shared" si="455"/>
        <v>0</v>
      </c>
      <c r="AL99" s="185">
        <f t="shared" si="455"/>
        <v>485.63901755369193</v>
      </c>
      <c r="AM99" s="462">
        <f t="shared" si="455"/>
        <v>0</v>
      </c>
      <c r="AN99" s="186">
        <f>AO99+AP99+AQ99+AR99</f>
        <v>34552.79</v>
      </c>
      <c r="AO99" s="184">
        <f>SUM(AO101:AO107)</f>
        <v>28667.37</v>
      </c>
      <c r="AP99" s="184">
        <f t="shared" ref="AP99:AS99" si="456">SUM(AP101:AP107)</f>
        <v>2796.66</v>
      </c>
      <c r="AQ99" s="184">
        <f t="shared" si="456"/>
        <v>0</v>
      </c>
      <c r="AR99" s="185">
        <f t="shared" si="456"/>
        <v>3088.76</v>
      </c>
      <c r="AS99" s="462">
        <f t="shared" si="456"/>
        <v>0</v>
      </c>
      <c r="AT99" s="186">
        <f>AU99+AV99+AW99+AX99</f>
        <v>37952.466774871813</v>
      </c>
      <c r="AU99" s="184">
        <f>SUM(AU101:AU107)</f>
        <v>34382.609763608845</v>
      </c>
      <c r="AV99" s="184">
        <f t="shared" ref="AV99:AY99" si="457">SUM(AV101:AV107)</f>
        <v>3033.4137664991858</v>
      </c>
      <c r="AW99" s="184">
        <f t="shared" si="457"/>
        <v>0</v>
      </c>
      <c r="AX99" s="185">
        <f t="shared" si="457"/>
        <v>536.44324476378438</v>
      </c>
      <c r="AY99" s="462">
        <f t="shared" si="457"/>
        <v>0</v>
      </c>
      <c r="AZ99" s="186">
        <f>BA99+BB99+BC99+BD99</f>
        <v>35795.949999999997</v>
      </c>
      <c r="BA99" s="184">
        <f>SUM(BA101:BA107)</f>
        <v>29704.289999999997</v>
      </c>
      <c r="BB99" s="184">
        <f t="shared" ref="BB99:BE99" si="458">SUM(BB101:BB107)</f>
        <v>2879.44</v>
      </c>
      <c r="BC99" s="184">
        <f t="shared" si="458"/>
        <v>0</v>
      </c>
      <c r="BD99" s="185">
        <f t="shared" si="458"/>
        <v>3212.2200000000003</v>
      </c>
      <c r="BE99" s="462">
        <f t="shared" si="458"/>
        <v>0</v>
      </c>
      <c r="BF99" s="186">
        <f>BG99+BH99+BI99+BJ99</f>
        <v>39574.221879145436</v>
      </c>
      <c r="BG99" s="184">
        <f>SUM(BG101:BG107)</f>
        <v>35856.130582165591</v>
      </c>
      <c r="BH99" s="184">
        <f t="shared" ref="BH99:BK99" si="459">SUM(BH101:BH107)</f>
        <v>3123.2028139875615</v>
      </c>
      <c r="BI99" s="184">
        <f t="shared" si="459"/>
        <v>0</v>
      </c>
      <c r="BJ99" s="185">
        <f t="shared" si="459"/>
        <v>594.88848299228573</v>
      </c>
      <c r="BK99" s="462">
        <f t="shared" si="459"/>
        <v>0</v>
      </c>
      <c r="BL99" s="186">
        <f>BM99+BN99+BO99+BP99</f>
        <v>36911.069999999992</v>
      </c>
      <c r="BM99" s="184">
        <f>SUM(BM101:BM107)</f>
        <v>30606.089999999993</v>
      </c>
      <c r="BN99" s="184">
        <f t="shared" ref="BN99:BQ99" si="460">SUM(BN101:BN107)</f>
        <v>2964.67</v>
      </c>
      <c r="BO99" s="184">
        <f t="shared" si="460"/>
        <v>0</v>
      </c>
      <c r="BP99" s="185">
        <f t="shared" si="460"/>
        <v>3340.31</v>
      </c>
      <c r="BQ99" s="462">
        <f t="shared" si="460"/>
        <v>0</v>
      </c>
      <c r="BR99" s="826">
        <f t="shared" si="351"/>
        <v>0.97212163401650942</v>
      </c>
      <c r="BS99" s="330">
        <f t="shared" si="352"/>
        <v>1.05800494767331</v>
      </c>
      <c r="BT99" s="826">
        <f t="shared" si="417"/>
        <v>1.0289034415921361</v>
      </c>
      <c r="BU99" s="330">
        <f t="shared" si="418"/>
        <v>1.0260668228854708</v>
      </c>
      <c r="BV99" s="330">
        <f>IF(ISERROR(AZ99/AN99)," ",AZ99/AN99)</f>
        <v>1.035978570760856</v>
      </c>
      <c r="BW99" s="196">
        <f t="shared" si="420"/>
        <v>1.0311521275451552</v>
      </c>
      <c r="BX99" s="967"/>
    </row>
    <row r="100" spans="1:77" s="152" customFormat="1" ht="18.75" outlineLevel="1">
      <c r="A100" s="150"/>
      <c r="B100" s="151" t="s">
        <v>123</v>
      </c>
      <c r="C100" s="1014"/>
      <c r="D100" s="220">
        <f>E100+F100+G100+H100</f>
        <v>0</v>
      </c>
      <c r="E100" s="218"/>
      <c r="F100" s="218"/>
      <c r="G100" s="218"/>
      <c r="H100" s="219"/>
      <c r="I100" s="511"/>
      <c r="J100" s="220">
        <f>K100+L100+M100+N100</f>
        <v>0</v>
      </c>
      <c r="K100" s="218"/>
      <c r="L100" s="218"/>
      <c r="M100" s="219"/>
      <c r="N100" s="219"/>
      <c r="O100" s="475"/>
      <c r="P100" s="220">
        <f>Q100+R100+S100+T100</f>
        <v>0</v>
      </c>
      <c r="Q100" s="218"/>
      <c r="R100" s="218"/>
      <c r="S100" s="218"/>
      <c r="T100" s="219"/>
      <c r="U100" s="511"/>
      <c r="V100" s="220">
        <f>W100+X100+Y100+Z100</f>
        <v>0</v>
      </c>
      <c r="W100" s="218"/>
      <c r="X100" s="218"/>
      <c r="Y100" s="219"/>
      <c r="Z100" s="219"/>
      <c r="AA100" s="475"/>
      <c r="AB100" s="220">
        <f>AC100+AD100+AE100+AF100</f>
        <v>0</v>
      </c>
      <c r="AC100" s="218"/>
      <c r="AD100" s="218"/>
      <c r="AE100" s="219"/>
      <c r="AF100" s="219"/>
      <c r="AG100" s="475"/>
      <c r="AH100" s="220">
        <f>AI100+AJ100+AK100+AL100</f>
        <v>0</v>
      </c>
      <c r="AI100" s="218"/>
      <c r="AJ100" s="218"/>
      <c r="AK100" s="219"/>
      <c r="AL100" s="219"/>
      <c r="AM100" s="475"/>
      <c r="AN100" s="220">
        <f>AO100+AP100+AQ100+AR100</f>
        <v>0</v>
      </c>
      <c r="AO100" s="218"/>
      <c r="AP100" s="218"/>
      <c r="AQ100" s="219"/>
      <c r="AR100" s="219"/>
      <c r="AS100" s="475"/>
      <c r="AT100" s="220">
        <f>AU100+AV100+AW100+AX100</f>
        <v>0</v>
      </c>
      <c r="AU100" s="218"/>
      <c r="AV100" s="218"/>
      <c r="AW100" s="219"/>
      <c r="AX100" s="219"/>
      <c r="AY100" s="475"/>
      <c r="AZ100" s="220">
        <f>BA100+BB100+BC100+BD100</f>
        <v>0</v>
      </c>
      <c r="BA100" s="218"/>
      <c r="BB100" s="218"/>
      <c r="BC100" s="219"/>
      <c r="BD100" s="219"/>
      <c r="BE100" s="475"/>
      <c r="BF100" s="220">
        <f>BG100+BH100+BI100+BJ100</f>
        <v>0</v>
      </c>
      <c r="BG100" s="218"/>
      <c r="BH100" s="218"/>
      <c r="BI100" s="219"/>
      <c r="BJ100" s="219"/>
      <c r="BK100" s="475"/>
      <c r="BL100" s="220">
        <f>BM100+BN100+BO100+BP100</f>
        <v>0</v>
      </c>
      <c r="BM100" s="218"/>
      <c r="BN100" s="218"/>
      <c r="BO100" s="219"/>
      <c r="BP100" s="219"/>
      <c r="BQ100" s="475"/>
      <c r="BR100" s="844" t="str">
        <f t="shared" si="351"/>
        <v xml:space="preserve"> </v>
      </c>
      <c r="BS100" s="840" t="str">
        <f t="shared" si="352"/>
        <v xml:space="preserve"> </v>
      </c>
      <c r="BT100" s="836" t="str">
        <f t="shared" si="417"/>
        <v xml:space="preserve"> </v>
      </c>
      <c r="BU100" s="334" t="str">
        <f t="shared" si="418"/>
        <v xml:space="preserve"> </v>
      </c>
      <c r="BV100" s="334" t="str">
        <f t="shared" si="419"/>
        <v xml:space="preserve"> </v>
      </c>
      <c r="BW100" s="204" t="str">
        <f t="shared" si="420"/>
        <v xml:space="preserve"> </v>
      </c>
      <c r="BX100" s="977"/>
    </row>
    <row r="101" spans="1:77" s="83" customFormat="1" ht="18.75">
      <c r="A101" s="153"/>
      <c r="B101" s="154" t="s">
        <v>145</v>
      </c>
      <c r="C101" s="1527" t="s">
        <v>1</v>
      </c>
      <c r="D101" s="189">
        <f>E101+F101+G101+H101</f>
        <v>5281.12</v>
      </c>
      <c r="E101" s="221">
        <f>E21</f>
        <v>3220.72</v>
      </c>
      <c r="F101" s="221">
        <f>F21</f>
        <v>2060.4</v>
      </c>
      <c r="G101" s="1164">
        <f>G21</f>
        <v>0</v>
      </c>
      <c r="H101" s="1164">
        <f>H21</f>
        <v>0</v>
      </c>
      <c r="I101" s="476">
        <f>I21</f>
        <v>0</v>
      </c>
      <c r="J101" s="189">
        <f>K101+L101+M101+N101</f>
        <v>6078.2068659985916</v>
      </c>
      <c r="K101" s="221">
        <f>K21</f>
        <v>3213.9307007839229</v>
      </c>
      <c r="L101" s="221">
        <f>L21</f>
        <v>2824.2592372146687</v>
      </c>
      <c r="M101" s="1164">
        <f>M21</f>
        <v>0</v>
      </c>
      <c r="N101" s="1164">
        <f>N21</f>
        <v>40.016928000000007</v>
      </c>
      <c r="O101" s="476">
        <f>O21</f>
        <v>0</v>
      </c>
      <c r="P101" s="189">
        <f>Q101+R101+S101+T101</f>
        <v>5814.4290000000001</v>
      </c>
      <c r="Q101" s="221">
        <f>Q21</f>
        <v>3344.2069999999999</v>
      </c>
      <c r="R101" s="221">
        <f>R21</f>
        <v>2470.2220000000002</v>
      </c>
      <c r="S101" s="1164">
        <f>S21</f>
        <v>0</v>
      </c>
      <c r="T101" s="1164">
        <f>T21</f>
        <v>0</v>
      </c>
      <c r="U101" s="476">
        <f>U21</f>
        <v>0</v>
      </c>
      <c r="V101" s="189">
        <f>W101+X101+Y101+Z101</f>
        <v>6137.4024276199279</v>
      </c>
      <c r="W101" s="221">
        <f>W21</f>
        <v>3236.9049420199271</v>
      </c>
      <c r="X101" s="221">
        <f>X21</f>
        <v>2861.5055040000007</v>
      </c>
      <c r="Y101" s="1164">
        <f>Y21</f>
        <v>0</v>
      </c>
      <c r="Z101" s="1164">
        <f>Z21</f>
        <v>38.991981600000017</v>
      </c>
      <c r="AA101" s="476">
        <f>AA21</f>
        <v>0</v>
      </c>
      <c r="AB101" s="189">
        <f>AC101+AD101+AE101+AF101</f>
        <v>5952</v>
      </c>
      <c r="AC101" s="221">
        <f>AC21</f>
        <v>3423.33</v>
      </c>
      <c r="AD101" s="221">
        <f>AD21</f>
        <v>2528.67</v>
      </c>
      <c r="AE101" s="221">
        <f>AE21</f>
        <v>0</v>
      </c>
      <c r="AF101" s="1164">
        <f>AF21</f>
        <v>0</v>
      </c>
      <c r="AG101" s="476">
        <f>AG21</f>
        <v>0</v>
      </c>
      <c r="AH101" s="189">
        <f>AI101+AJ101+AK101+AL101</f>
        <v>6319.0695394774775</v>
      </c>
      <c r="AI101" s="221">
        <f>AI21</f>
        <v>3332.7173283037168</v>
      </c>
      <c r="AJ101" s="221">
        <f>AJ21</f>
        <v>2946.2060669184007</v>
      </c>
      <c r="AK101" s="1164">
        <f>AK21</f>
        <v>0</v>
      </c>
      <c r="AL101" s="1164">
        <f>AL21</f>
        <v>40.146144255360007</v>
      </c>
      <c r="AM101" s="476">
        <f>AM21</f>
        <v>0</v>
      </c>
      <c r="AN101" s="189">
        <f>AO101+AP101+AQ101+AR101</f>
        <v>6128.18</v>
      </c>
      <c r="AO101" s="221">
        <f>AO21</f>
        <v>3524.66</v>
      </c>
      <c r="AP101" s="221">
        <f>AP21</f>
        <v>2603.52</v>
      </c>
      <c r="AQ101" s="221">
        <f>AQ21</f>
        <v>0</v>
      </c>
      <c r="AR101" s="1164">
        <f>AR21</f>
        <v>0</v>
      </c>
      <c r="AS101" s="476">
        <f>AS21</f>
        <v>0</v>
      </c>
      <c r="AT101" s="189">
        <f>AU101+AV101+AW101+AX101</f>
        <v>6506.1139978460124</v>
      </c>
      <c r="AU101" s="221">
        <f>AU21</f>
        <v>3431.3657612215075</v>
      </c>
      <c r="AV101" s="221">
        <f>AV21</f>
        <v>3033.4137664991858</v>
      </c>
      <c r="AW101" s="1164">
        <f>AW21</f>
        <v>0</v>
      </c>
      <c r="AX101" s="1164">
        <f>AX21</f>
        <v>41.334470125318674</v>
      </c>
      <c r="AY101" s="476">
        <f>AY21</f>
        <v>0</v>
      </c>
      <c r="AZ101" s="189">
        <f>BA101+BB101+BC101+BD101</f>
        <v>6309.57</v>
      </c>
      <c r="BA101" s="221">
        <f>BA21</f>
        <v>3628.99</v>
      </c>
      <c r="BB101" s="221">
        <f>BB21</f>
        <v>2680.58</v>
      </c>
      <c r="BC101" s="221">
        <f>BC21</f>
        <v>0</v>
      </c>
      <c r="BD101" s="1164">
        <f>BD21</f>
        <v>0</v>
      </c>
      <c r="BE101" s="476">
        <f>BE21</f>
        <v>0</v>
      </c>
      <c r="BF101" s="189">
        <f>BG101+BH101+BI101+BJ101</f>
        <v>6698.6830630302184</v>
      </c>
      <c r="BG101" s="221">
        <f>BG21</f>
        <v>3532.934187753664</v>
      </c>
      <c r="BH101" s="221">
        <f>BH21</f>
        <v>3123.2028139875615</v>
      </c>
      <c r="BI101" s="1164">
        <f>BI21</f>
        <v>0</v>
      </c>
      <c r="BJ101" s="1164">
        <f>BJ21</f>
        <v>42.546061288993037</v>
      </c>
      <c r="BK101" s="476">
        <f>BK21</f>
        <v>0</v>
      </c>
      <c r="BL101" s="189">
        <f>BM101+BN101+BO101+BP101</f>
        <v>6496.34</v>
      </c>
      <c r="BM101" s="221">
        <f>BM21</f>
        <v>3736.41</v>
      </c>
      <c r="BN101" s="221">
        <f>BN21</f>
        <v>2759.93</v>
      </c>
      <c r="BO101" s="221">
        <f>BO21</f>
        <v>0</v>
      </c>
      <c r="BP101" s="1164">
        <f>BP21</f>
        <v>0</v>
      </c>
      <c r="BQ101" s="476">
        <f>BQ21</f>
        <v>0</v>
      </c>
      <c r="BR101" s="940">
        <f t="shared" si="351"/>
        <v>0.95660268368387369</v>
      </c>
      <c r="BS101" s="542">
        <f t="shared" si="352"/>
        <v>1.1009840715605781</v>
      </c>
      <c r="BT101" s="1502">
        <f t="shared" si="417"/>
        <v>1.023660276873275</v>
      </c>
      <c r="BU101" s="323">
        <f t="shared" si="418"/>
        <v>1.0296001344086021</v>
      </c>
      <c r="BV101" s="323">
        <f t="shared" si="419"/>
        <v>1.0295993263905432</v>
      </c>
      <c r="BW101" s="198">
        <f t="shared" si="420"/>
        <v>1.0296010663167221</v>
      </c>
      <c r="BX101" s="967"/>
    </row>
    <row r="102" spans="1:77" s="83" customFormat="1" ht="18.75">
      <c r="A102" s="153"/>
      <c r="B102" s="154" t="s">
        <v>146</v>
      </c>
      <c r="C102" s="1527" t="s">
        <v>1</v>
      </c>
      <c r="D102" s="189">
        <f t="shared" ref="D102:D107" si="461">E102+F102+G102+H102</f>
        <v>495.01645129999997</v>
      </c>
      <c r="E102" s="221">
        <f>E59</f>
        <v>354.17200000000003</v>
      </c>
      <c r="F102" s="221">
        <f>F59</f>
        <v>140.84445129999997</v>
      </c>
      <c r="G102" s="1164">
        <f>G59</f>
        <v>0</v>
      </c>
      <c r="H102" s="1164">
        <f>H59</f>
        <v>0</v>
      </c>
      <c r="I102" s="476">
        <f>I59</f>
        <v>0</v>
      </c>
      <c r="J102" s="189">
        <f t="shared" ref="J102:J107" si="462">K102+L102+M102+N102</f>
        <v>985.96500000000003</v>
      </c>
      <c r="K102" s="221">
        <f>K59</f>
        <v>761.58799999999997</v>
      </c>
      <c r="L102" s="221">
        <f>L59</f>
        <v>214.17000000000002</v>
      </c>
      <c r="M102" s="1164">
        <f>M59</f>
        <v>0</v>
      </c>
      <c r="N102" s="1164">
        <f>N59</f>
        <v>10.207000000000001</v>
      </c>
      <c r="O102" s="476">
        <f>O59</f>
        <v>0</v>
      </c>
      <c r="P102" s="189">
        <f>Q102+R102+S102+T102</f>
        <v>617.3900000000001</v>
      </c>
      <c r="Q102" s="221">
        <f>Q59</f>
        <v>434.14000000000004</v>
      </c>
      <c r="R102" s="221">
        <f>R59</f>
        <v>183.25</v>
      </c>
      <c r="S102" s="1164">
        <f>S59</f>
        <v>0</v>
      </c>
      <c r="T102" s="1164">
        <f>T59</f>
        <v>0</v>
      </c>
      <c r="U102" s="476">
        <f>U59</f>
        <v>0</v>
      </c>
      <c r="V102" s="189">
        <f t="shared" ref="V102:V107" si="463">W102+X102+Y102+Z102</f>
        <v>1141.1401547839998</v>
      </c>
      <c r="W102" s="221">
        <f>W59</f>
        <v>1128.1207931199999</v>
      </c>
      <c r="X102" s="221">
        <f>X59</f>
        <v>0</v>
      </c>
      <c r="Y102" s="1164">
        <f>Y59</f>
        <v>0</v>
      </c>
      <c r="Z102" s="1164">
        <f>Z59</f>
        <v>13.019361664000002</v>
      </c>
      <c r="AA102" s="476">
        <f>AA59</f>
        <v>0</v>
      </c>
      <c r="AB102" s="189">
        <f t="shared" ref="AB102:AB111" si="464">AC102+AD102+AE102+AF102</f>
        <v>627.65000000000009</v>
      </c>
      <c r="AC102" s="221">
        <f>AC59</f>
        <v>440.06000000000006</v>
      </c>
      <c r="AD102" s="221">
        <f>AD59</f>
        <v>187.59</v>
      </c>
      <c r="AE102" s="221">
        <f>AE59</f>
        <v>0</v>
      </c>
      <c r="AF102" s="1164">
        <f>AF59</f>
        <v>0</v>
      </c>
      <c r="AG102" s="476">
        <f>AG59</f>
        <v>0</v>
      </c>
      <c r="AH102" s="189">
        <f t="shared" ref="AH102:AH107" si="465">AI102+AJ102+AK102+AL102</f>
        <v>1143.4223099576066</v>
      </c>
      <c r="AI102" s="221">
        <f>AI59</f>
        <v>1128.6048459564304</v>
      </c>
      <c r="AJ102" s="221">
        <f>AJ59</f>
        <v>0</v>
      </c>
      <c r="AK102" s="1164">
        <f>AK59</f>
        <v>0</v>
      </c>
      <c r="AL102" s="1164">
        <f>AL59</f>
        <v>14.81746400117617</v>
      </c>
      <c r="AM102" s="476">
        <f>AM59</f>
        <v>0</v>
      </c>
      <c r="AN102" s="189">
        <f t="shared" ref="AN102:AN107" si="466">AO102+AP102+AQ102+AR102</f>
        <v>544.29999999999995</v>
      </c>
      <c r="AO102" s="221">
        <f>AO59</f>
        <v>351.16</v>
      </c>
      <c r="AP102" s="221">
        <f>AP59</f>
        <v>193.14</v>
      </c>
      <c r="AQ102" s="221">
        <f>AQ59</f>
        <v>0</v>
      </c>
      <c r="AR102" s="1164">
        <f>AR59</f>
        <v>0</v>
      </c>
      <c r="AS102" s="476">
        <f>AS59</f>
        <v>0</v>
      </c>
      <c r="AT102" s="189">
        <f t="shared" ref="AT102:AT107" si="467">AU102+AV102+AW102+AX102</f>
        <v>1085.272185984908</v>
      </c>
      <c r="AU102" s="221">
        <f>AU59</f>
        <v>1071.5543906793293</v>
      </c>
      <c r="AV102" s="221">
        <f>AV59</f>
        <v>0</v>
      </c>
      <c r="AW102" s="1164">
        <f>AW59</f>
        <v>0</v>
      </c>
      <c r="AX102" s="1164">
        <f>AX59</f>
        <v>13.717795305578729</v>
      </c>
      <c r="AY102" s="476">
        <f>AY59</f>
        <v>0</v>
      </c>
      <c r="AZ102" s="189">
        <f t="shared" ref="AZ102:AZ107" si="468">BA102+BB102+BC102+BD102</f>
        <v>559.80999999999995</v>
      </c>
      <c r="BA102" s="221">
        <f>BA59</f>
        <v>360.95</v>
      </c>
      <c r="BB102" s="221">
        <f>BB59</f>
        <v>198.86</v>
      </c>
      <c r="BC102" s="221">
        <f>BC59</f>
        <v>0</v>
      </c>
      <c r="BD102" s="1164">
        <f>BD59</f>
        <v>0</v>
      </c>
      <c r="BE102" s="476">
        <f>BE59</f>
        <v>0</v>
      </c>
      <c r="BF102" s="189">
        <f t="shared" ref="BF102:BF107" si="469">BG102+BH102+BI102+BJ102</f>
        <v>1107.9941816247206</v>
      </c>
      <c r="BG102" s="221">
        <f>BG59</f>
        <v>1093.9000280338655</v>
      </c>
      <c r="BH102" s="221">
        <f>BH59</f>
        <v>0</v>
      </c>
      <c r="BI102" s="1164">
        <f>BI59</f>
        <v>0</v>
      </c>
      <c r="BJ102" s="1164">
        <f>BJ59</f>
        <v>14.094153590855102</v>
      </c>
      <c r="BK102" s="476">
        <f>BK59</f>
        <v>0</v>
      </c>
      <c r="BL102" s="189">
        <f t="shared" ref="BL102:BL107" si="470">BM102+BN102+BO102+BP102</f>
        <v>575.79</v>
      </c>
      <c r="BM102" s="221">
        <f>BM59</f>
        <v>371.05</v>
      </c>
      <c r="BN102" s="221">
        <f>BN59</f>
        <v>204.74</v>
      </c>
      <c r="BO102" s="221">
        <f>BO59</f>
        <v>0</v>
      </c>
      <c r="BP102" s="1164">
        <f>BP59</f>
        <v>0</v>
      </c>
      <c r="BQ102" s="476">
        <f>BQ59</f>
        <v>0</v>
      </c>
      <c r="BR102" s="940">
        <f t="shared" si="351"/>
        <v>0.62617841404106644</v>
      </c>
      <c r="BS102" s="542">
        <f t="shared" si="352"/>
        <v>1.2472110742554632</v>
      </c>
      <c r="BT102" s="1502">
        <f t="shared" si="417"/>
        <v>1.0166183449683344</v>
      </c>
      <c r="BU102" s="323">
        <f t="shared" si="418"/>
        <v>0.86720305902971384</v>
      </c>
      <c r="BV102" s="323">
        <f t="shared" si="419"/>
        <v>1.0284953150835936</v>
      </c>
      <c r="BW102" s="198">
        <f t="shared" si="420"/>
        <v>1.0285453993319162</v>
      </c>
      <c r="BX102" s="967"/>
    </row>
    <row r="103" spans="1:77" s="83" customFormat="1" ht="18.75">
      <c r="A103" s="153"/>
      <c r="B103" s="154" t="s">
        <v>147</v>
      </c>
      <c r="C103" s="1527" t="s">
        <v>1</v>
      </c>
      <c r="D103" s="189">
        <f t="shared" si="461"/>
        <v>24602.370000000003</v>
      </c>
      <c r="E103" s="221">
        <f>E15</f>
        <v>22089.420000000002</v>
      </c>
      <c r="F103" s="221">
        <f>F15</f>
        <v>0</v>
      </c>
      <c r="G103" s="1164">
        <f>G15</f>
        <v>0</v>
      </c>
      <c r="H103" s="1164">
        <f>H15</f>
        <v>2512.9499999999998</v>
      </c>
      <c r="I103" s="476">
        <f>I15</f>
        <v>0</v>
      </c>
      <c r="J103" s="189">
        <f t="shared" si="462"/>
        <v>25959.404999999999</v>
      </c>
      <c r="K103" s="221">
        <f>K15</f>
        <v>25626.994999999999</v>
      </c>
      <c r="L103" s="221">
        <f>L15</f>
        <v>0</v>
      </c>
      <c r="M103" s="1164">
        <f>M15</f>
        <v>0</v>
      </c>
      <c r="N103" s="1164">
        <f>N15</f>
        <v>332.41</v>
      </c>
      <c r="O103" s="476">
        <f>O15</f>
        <v>0</v>
      </c>
      <c r="P103" s="189">
        <f t="shared" ref="P103:P111" si="471">Q103+R103+S103+T103</f>
        <v>25674.44</v>
      </c>
      <c r="Q103" s="221">
        <f>Q15</f>
        <v>22981.17</v>
      </c>
      <c r="R103" s="221">
        <f>R15</f>
        <v>0</v>
      </c>
      <c r="S103" s="1164">
        <f>S15</f>
        <v>0</v>
      </c>
      <c r="T103" s="1164">
        <f>T15</f>
        <v>2693.27</v>
      </c>
      <c r="U103" s="476">
        <f>U15</f>
        <v>0</v>
      </c>
      <c r="V103" s="189">
        <f t="shared" si="463"/>
        <v>27097.836000000003</v>
      </c>
      <c r="W103" s="221">
        <f>W15</f>
        <v>26725.542000000001</v>
      </c>
      <c r="X103" s="221">
        <f>X15</f>
        <v>0</v>
      </c>
      <c r="Y103" s="1164">
        <f>Y15</f>
        <v>0</v>
      </c>
      <c r="Z103" s="1164">
        <f>Z15</f>
        <v>372.29399999999998</v>
      </c>
      <c r="AA103" s="476">
        <f>AA15</f>
        <v>0</v>
      </c>
      <c r="AB103" s="189">
        <f t="shared" si="464"/>
        <v>26445.639999999996</v>
      </c>
      <c r="AC103" s="221">
        <f>AC15</f>
        <v>23525.539999999997</v>
      </c>
      <c r="AD103" s="221">
        <f>AD15</f>
        <v>0</v>
      </c>
      <c r="AE103" s="221">
        <f>AE15</f>
        <v>0</v>
      </c>
      <c r="AF103" s="1164">
        <f>AF15</f>
        <v>2920.1</v>
      </c>
      <c r="AG103" s="476">
        <f>AG15</f>
        <v>0</v>
      </c>
      <c r="AH103" s="189">
        <f t="shared" si="465"/>
        <v>28297.803000000004</v>
      </c>
      <c r="AI103" s="221">
        <f>AI15</f>
        <v>27880.833000000002</v>
      </c>
      <c r="AJ103" s="221">
        <f>AJ15</f>
        <v>0</v>
      </c>
      <c r="AK103" s="1164">
        <f>AK15</f>
        <v>0</v>
      </c>
      <c r="AL103" s="1164">
        <f>AL15</f>
        <v>416.97</v>
      </c>
      <c r="AM103" s="476">
        <f>AM15</f>
        <v>0</v>
      </c>
      <c r="AN103" s="189">
        <f t="shared" si="466"/>
        <v>27368.42</v>
      </c>
      <c r="AO103" s="221">
        <f>AO15</f>
        <v>24279.66</v>
      </c>
      <c r="AP103" s="221">
        <f>AP15</f>
        <v>0</v>
      </c>
      <c r="AQ103" s="221">
        <f>AQ15</f>
        <v>0</v>
      </c>
      <c r="AR103" s="1164">
        <f>AR15</f>
        <v>3088.76</v>
      </c>
      <c r="AS103" s="476">
        <f>AS15</f>
        <v>0</v>
      </c>
      <c r="AT103" s="189">
        <f t="shared" si="467"/>
        <v>29575.173000000003</v>
      </c>
      <c r="AU103" s="221">
        <f>AU15</f>
        <v>29108.167000000001</v>
      </c>
      <c r="AV103" s="221">
        <f>AV15</f>
        <v>0</v>
      </c>
      <c r="AW103" s="1164">
        <f>AW15</f>
        <v>0</v>
      </c>
      <c r="AX103" s="1164">
        <f>AX15</f>
        <v>467.00599999999997</v>
      </c>
      <c r="AY103" s="476">
        <f>AY15</f>
        <v>0</v>
      </c>
      <c r="AZ103" s="189">
        <f t="shared" si="468"/>
        <v>28231.54</v>
      </c>
      <c r="BA103" s="221">
        <f>BA15</f>
        <v>25019.32</v>
      </c>
      <c r="BB103" s="221">
        <f>BB15</f>
        <v>0</v>
      </c>
      <c r="BC103" s="221">
        <f>BC15</f>
        <v>0</v>
      </c>
      <c r="BD103" s="1164">
        <f>BD15</f>
        <v>3212.2200000000003</v>
      </c>
      <c r="BE103" s="476">
        <f>BE15</f>
        <v>0</v>
      </c>
      <c r="BF103" s="189">
        <f t="shared" si="469"/>
        <v>30937.040000000001</v>
      </c>
      <c r="BG103" s="221">
        <f>BG15</f>
        <v>30413.993000000002</v>
      </c>
      <c r="BH103" s="221">
        <f>BH15</f>
        <v>0</v>
      </c>
      <c r="BI103" s="1164">
        <f>BI15</f>
        <v>0</v>
      </c>
      <c r="BJ103" s="1164">
        <f>BJ15</f>
        <v>523.04700000000003</v>
      </c>
      <c r="BK103" s="476">
        <f>BK15</f>
        <v>0</v>
      </c>
      <c r="BL103" s="189">
        <f t="shared" si="470"/>
        <v>29119.839999999997</v>
      </c>
      <c r="BM103" s="221">
        <f>BM15</f>
        <v>25779.529999999995</v>
      </c>
      <c r="BN103" s="221">
        <f>BN15</f>
        <v>0</v>
      </c>
      <c r="BO103" s="221">
        <f>BO15</f>
        <v>0</v>
      </c>
      <c r="BP103" s="1164">
        <f>BP15</f>
        <v>3340.31</v>
      </c>
      <c r="BQ103" s="476">
        <f>BQ15</f>
        <v>0</v>
      </c>
      <c r="BR103" s="940">
        <f t="shared" si="351"/>
        <v>0.98902266827764351</v>
      </c>
      <c r="BS103" s="542">
        <f t="shared" si="352"/>
        <v>1.0435758831364619</v>
      </c>
      <c r="BT103" s="1502">
        <f t="shared" si="417"/>
        <v>1.03003765612804</v>
      </c>
      <c r="BU103" s="323">
        <f t="shared" si="418"/>
        <v>1.0348934644803454</v>
      </c>
      <c r="BV103" s="323">
        <f t="shared" si="419"/>
        <v>1.0315370781360416</v>
      </c>
      <c r="BW103" s="198">
        <f t="shared" si="420"/>
        <v>1.0314648085084979</v>
      </c>
      <c r="BX103" s="967"/>
    </row>
    <row r="104" spans="1:77" s="83" customFormat="1" ht="18.75">
      <c r="A104" s="153"/>
      <c r="B104" s="154" t="s">
        <v>148</v>
      </c>
      <c r="C104" s="1527" t="s">
        <v>1</v>
      </c>
      <c r="D104" s="189">
        <f t="shared" si="461"/>
        <v>0</v>
      </c>
      <c r="E104" s="221">
        <f>E85</f>
        <v>0</v>
      </c>
      <c r="F104" s="221">
        <f>F85</f>
        <v>0</v>
      </c>
      <c r="G104" s="1164">
        <f>G85</f>
        <v>0</v>
      </c>
      <c r="H104" s="1164">
        <f>H85</f>
        <v>0</v>
      </c>
      <c r="I104" s="476">
        <f>I85</f>
        <v>0</v>
      </c>
      <c r="J104" s="189">
        <f t="shared" si="462"/>
        <v>0</v>
      </c>
      <c r="K104" s="221">
        <f>K85</f>
        <v>0</v>
      </c>
      <c r="L104" s="221">
        <f>L85</f>
        <v>0</v>
      </c>
      <c r="M104" s="1164">
        <f>M85</f>
        <v>0</v>
      </c>
      <c r="N104" s="1164">
        <f>N85</f>
        <v>0</v>
      </c>
      <c r="O104" s="476">
        <f>O85</f>
        <v>0</v>
      </c>
      <c r="P104" s="189">
        <f t="shared" si="471"/>
        <v>0</v>
      </c>
      <c r="Q104" s="221">
        <f>Q85</f>
        <v>0</v>
      </c>
      <c r="R104" s="221">
        <f>R85</f>
        <v>0</v>
      </c>
      <c r="S104" s="1164">
        <f>S85</f>
        <v>0</v>
      </c>
      <c r="T104" s="1164">
        <f>T85</f>
        <v>0</v>
      </c>
      <c r="U104" s="476">
        <f>U85</f>
        <v>0</v>
      </c>
      <c r="V104" s="189">
        <f t="shared" si="463"/>
        <v>0</v>
      </c>
      <c r="W104" s="221">
        <f>W85</f>
        <v>0</v>
      </c>
      <c r="X104" s="221">
        <f>X85</f>
        <v>0</v>
      </c>
      <c r="Y104" s="1164">
        <f>Y85</f>
        <v>0</v>
      </c>
      <c r="Z104" s="1164">
        <f>Z85</f>
        <v>0</v>
      </c>
      <c r="AA104" s="476">
        <f>AA85</f>
        <v>0</v>
      </c>
      <c r="AB104" s="189">
        <f t="shared" si="464"/>
        <v>0</v>
      </c>
      <c r="AC104" s="221">
        <f>AC85</f>
        <v>0</v>
      </c>
      <c r="AD104" s="221">
        <f>AD85</f>
        <v>0</v>
      </c>
      <c r="AE104" s="221">
        <f>AE85</f>
        <v>0</v>
      </c>
      <c r="AF104" s="1164">
        <f>AF85</f>
        <v>0</v>
      </c>
      <c r="AG104" s="476">
        <f>AG85</f>
        <v>0</v>
      </c>
      <c r="AH104" s="189">
        <f t="shared" si="465"/>
        <v>0</v>
      </c>
      <c r="AI104" s="221">
        <f>AI85</f>
        <v>0</v>
      </c>
      <c r="AJ104" s="221">
        <f>AJ85</f>
        <v>0</v>
      </c>
      <c r="AK104" s="1164">
        <f>AK85</f>
        <v>0</v>
      </c>
      <c r="AL104" s="1164">
        <f>AL85</f>
        <v>0</v>
      </c>
      <c r="AM104" s="476">
        <f>AM85</f>
        <v>0</v>
      </c>
      <c r="AN104" s="189">
        <f t="shared" si="466"/>
        <v>0</v>
      </c>
      <c r="AO104" s="221">
        <f>AO85</f>
        <v>0</v>
      </c>
      <c r="AP104" s="221">
        <f>AP85</f>
        <v>0</v>
      </c>
      <c r="AQ104" s="221">
        <f>AQ85</f>
        <v>0</v>
      </c>
      <c r="AR104" s="1164">
        <f>AR85</f>
        <v>0</v>
      </c>
      <c r="AS104" s="476">
        <f>AS85</f>
        <v>0</v>
      </c>
      <c r="AT104" s="189">
        <f t="shared" si="467"/>
        <v>0</v>
      </c>
      <c r="AU104" s="221">
        <f>AU85</f>
        <v>0</v>
      </c>
      <c r="AV104" s="221">
        <f>AV85</f>
        <v>0</v>
      </c>
      <c r="AW104" s="1164">
        <f>AW85</f>
        <v>0</v>
      </c>
      <c r="AX104" s="1164">
        <f>AX85</f>
        <v>0</v>
      </c>
      <c r="AY104" s="476">
        <f>AY85</f>
        <v>0</v>
      </c>
      <c r="AZ104" s="189">
        <f t="shared" si="468"/>
        <v>0</v>
      </c>
      <c r="BA104" s="221">
        <f>BA85</f>
        <v>0</v>
      </c>
      <c r="BB104" s="221">
        <f>BB85</f>
        <v>0</v>
      </c>
      <c r="BC104" s="221">
        <f>BC85</f>
        <v>0</v>
      </c>
      <c r="BD104" s="1164">
        <f>BD85</f>
        <v>0</v>
      </c>
      <c r="BE104" s="476">
        <f>BE85</f>
        <v>0</v>
      </c>
      <c r="BF104" s="189">
        <f t="shared" si="469"/>
        <v>0</v>
      </c>
      <c r="BG104" s="221">
        <f>BG85</f>
        <v>0</v>
      </c>
      <c r="BH104" s="221">
        <f>BH85</f>
        <v>0</v>
      </c>
      <c r="BI104" s="1164">
        <f>BI85</f>
        <v>0</v>
      </c>
      <c r="BJ104" s="1164">
        <f>BJ85</f>
        <v>0</v>
      </c>
      <c r="BK104" s="476">
        <f>BK85</f>
        <v>0</v>
      </c>
      <c r="BL104" s="189">
        <f t="shared" si="470"/>
        <v>0</v>
      </c>
      <c r="BM104" s="221">
        <f>BM85</f>
        <v>0</v>
      </c>
      <c r="BN104" s="221">
        <f>BN85</f>
        <v>0</v>
      </c>
      <c r="BO104" s="221">
        <f>BO85</f>
        <v>0</v>
      </c>
      <c r="BP104" s="1164">
        <f>BP85</f>
        <v>0</v>
      </c>
      <c r="BQ104" s="476">
        <f>BQ85</f>
        <v>0</v>
      </c>
      <c r="BR104" s="940" t="str">
        <f t="shared" si="351"/>
        <v xml:space="preserve"> </v>
      </c>
      <c r="BS104" s="542" t="str">
        <f t="shared" si="352"/>
        <v xml:space="preserve"> </v>
      </c>
      <c r="BT104" s="1502" t="str">
        <f t="shared" si="417"/>
        <v xml:space="preserve"> </v>
      </c>
      <c r="BU104" s="323" t="str">
        <f t="shared" si="418"/>
        <v xml:space="preserve"> </v>
      </c>
      <c r="BV104" s="323" t="str">
        <f t="shared" si="419"/>
        <v xml:space="preserve"> </v>
      </c>
      <c r="BW104" s="198" t="str">
        <f t="shared" si="420"/>
        <v xml:space="preserve"> </v>
      </c>
      <c r="BX104" s="967"/>
    </row>
    <row r="105" spans="1:77" s="83" customFormat="1" ht="18.75">
      <c r="A105" s="153"/>
      <c r="B105" s="154" t="s">
        <v>207</v>
      </c>
      <c r="C105" s="1527" t="s">
        <v>1</v>
      </c>
      <c r="D105" s="189">
        <f t="shared" si="461"/>
        <v>556.14</v>
      </c>
      <c r="E105" s="221">
        <f t="shared" ref="E105:I107" si="472">E92</f>
        <v>556.14</v>
      </c>
      <c r="F105" s="221">
        <f t="shared" si="472"/>
        <v>0</v>
      </c>
      <c r="G105" s="1164">
        <f t="shared" si="472"/>
        <v>0</v>
      </c>
      <c r="H105" s="1164">
        <f t="shared" si="472"/>
        <v>0</v>
      </c>
      <c r="I105" s="476">
        <f t="shared" si="472"/>
        <v>0</v>
      </c>
      <c r="J105" s="189">
        <f t="shared" si="462"/>
        <v>644.03</v>
      </c>
      <c r="K105" s="221">
        <f t="shared" ref="K105:O107" si="473">K92</f>
        <v>384.93673100000001</v>
      </c>
      <c r="L105" s="221">
        <f t="shared" si="473"/>
        <v>247.30751999999998</v>
      </c>
      <c r="M105" s="1164">
        <f t="shared" si="473"/>
        <v>0</v>
      </c>
      <c r="N105" s="1164">
        <f t="shared" si="473"/>
        <v>11.785748999999999</v>
      </c>
      <c r="O105" s="476">
        <f t="shared" si="473"/>
        <v>0</v>
      </c>
      <c r="P105" s="189">
        <f t="shared" si="471"/>
        <v>622.75</v>
      </c>
      <c r="Q105" s="221">
        <f t="shared" ref="Q105:U107" si="474">Q92</f>
        <v>622.75</v>
      </c>
      <c r="R105" s="221">
        <f t="shared" si="474"/>
        <v>0</v>
      </c>
      <c r="S105" s="1164">
        <f t="shared" si="474"/>
        <v>0</v>
      </c>
      <c r="T105" s="1164">
        <f t="shared" si="474"/>
        <v>0</v>
      </c>
      <c r="U105" s="476">
        <f t="shared" si="474"/>
        <v>0</v>
      </c>
      <c r="V105" s="189">
        <f t="shared" si="463"/>
        <v>711.72879421344373</v>
      </c>
      <c r="W105" s="221">
        <f t="shared" ref="W105:AA107" si="475">W92</f>
        <v>698.70155779011191</v>
      </c>
      <c r="X105" s="221">
        <f t="shared" si="475"/>
        <v>0</v>
      </c>
      <c r="Y105" s="1164">
        <f t="shared" si="475"/>
        <v>0</v>
      </c>
      <c r="Z105" s="1164">
        <f t="shared" si="475"/>
        <v>13.027236423331868</v>
      </c>
      <c r="AA105" s="476">
        <f t="shared" si="475"/>
        <v>0</v>
      </c>
      <c r="AB105" s="189">
        <f t="shared" si="464"/>
        <v>649.70000000000005</v>
      </c>
      <c r="AC105" s="221">
        <f>AC92</f>
        <v>649.70000000000005</v>
      </c>
      <c r="AD105" s="221">
        <f t="shared" ref="AD105:AG107" si="476">AD92</f>
        <v>0</v>
      </c>
      <c r="AE105" s="221">
        <f t="shared" si="476"/>
        <v>0</v>
      </c>
      <c r="AF105" s="1164">
        <f t="shared" si="476"/>
        <v>0</v>
      </c>
      <c r="AG105" s="476">
        <f t="shared" si="476"/>
        <v>0</v>
      </c>
      <c r="AH105" s="189">
        <f t="shared" si="465"/>
        <v>748.78002642186652</v>
      </c>
      <c r="AI105" s="221">
        <f t="shared" ref="AI105:AM107" si="477">AI92</f>
        <v>735.07461712471081</v>
      </c>
      <c r="AJ105" s="221">
        <f t="shared" si="477"/>
        <v>0</v>
      </c>
      <c r="AK105" s="1164">
        <f t="shared" si="477"/>
        <v>0</v>
      </c>
      <c r="AL105" s="1164">
        <f t="shared" si="477"/>
        <v>13.705409297155683</v>
      </c>
      <c r="AM105" s="476">
        <f t="shared" si="477"/>
        <v>0</v>
      </c>
      <c r="AN105" s="189">
        <f t="shared" si="466"/>
        <v>671.67</v>
      </c>
      <c r="AO105" s="221">
        <f>AO92</f>
        <v>671.67</v>
      </c>
      <c r="AP105" s="221">
        <f t="shared" ref="AP105:AS105" si="478">AP92</f>
        <v>0</v>
      </c>
      <c r="AQ105" s="221">
        <f t="shared" si="478"/>
        <v>0</v>
      </c>
      <c r="AR105" s="1164">
        <f t="shared" si="478"/>
        <v>0</v>
      </c>
      <c r="AS105" s="476">
        <f t="shared" si="478"/>
        <v>0</v>
      </c>
      <c r="AT105" s="189">
        <f t="shared" si="467"/>
        <v>785.90759104089943</v>
      </c>
      <c r="AU105" s="221">
        <f t="shared" ref="AU105:AY107" si="479">AU92</f>
        <v>771.52261170801239</v>
      </c>
      <c r="AV105" s="221">
        <f t="shared" si="479"/>
        <v>0</v>
      </c>
      <c r="AW105" s="1164">
        <f t="shared" si="479"/>
        <v>0</v>
      </c>
      <c r="AX105" s="1164">
        <f t="shared" si="479"/>
        <v>14.384979332887054</v>
      </c>
      <c r="AY105" s="476">
        <f t="shared" si="479"/>
        <v>0</v>
      </c>
      <c r="AZ105" s="189">
        <f t="shared" si="468"/>
        <v>695.03</v>
      </c>
      <c r="BA105" s="221">
        <f>BA92</f>
        <v>695.03</v>
      </c>
      <c r="BB105" s="221">
        <f t="shared" ref="BB105:BE105" si="480">BB92</f>
        <v>0</v>
      </c>
      <c r="BC105" s="221">
        <f t="shared" si="480"/>
        <v>0</v>
      </c>
      <c r="BD105" s="1164">
        <f t="shared" si="480"/>
        <v>0</v>
      </c>
      <c r="BE105" s="476">
        <f t="shared" si="480"/>
        <v>0</v>
      </c>
      <c r="BF105" s="189">
        <f t="shared" si="469"/>
        <v>830.50463449049425</v>
      </c>
      <c r="BG105" s="221">
        <f t="shared" ref="BG105:BK107" si="481">BG92</f>
        <v>815.30336637805669</v>
      </c>
      <c r="BH105" s="221">
        <f t="shared" si="481"/>
        <v>0</v>
      </c>
      <c r="BI105" s="1164">
        <f t="shared" si="481"/>
        <v>0</v>
      </c>
      <c r="BJ105" s="1164">
        <f t="shared" si="481"/>
        <v>15.201268112437601</v>
      </c>
      <c r="BK105" s="476">
        <f t="shared" si="481"/>
        <v>0</v>
      </c>
      <c r="BL105" s="189">
        <f t="shared" si="470"/>
        <v>719.1</v>
      </c>
      <c r="BM105" s="221">
        <f>BM92</f>
        <v>719.1</v>
      </c>
      <c r="BN105" s="221">
        <f t="shared" ref="BN105:BQ105" si="482">BN92</f>
        <v>0</v>
      </c>
      <c r="BO105" s="221">
        <f t="shared" si="482"/>
        <v>0</v>
      </c>
      <c r="BP105" s="1164">
        <f t="shared" si="482"/>
        <v>0</v>
      </c>
      <c r="BQ105" s="476">
        <f t="shared" si="482"/>
        <v>0</v>
      </c>
      <c r="BR105" s="940">
        <f t="shared" si="351"/>
        <v>0.96695806095989323</v>
      </c>
      <c r="BS105" s="542">
        <f t="shared" si="352"/>
        <v>1.1197719998561513</v>
      </c>
      <c r="BT105" s="1502">
        <f t="shared" si="417"/>
        <v>1.0432757928542755</v>
      </c>
      <c r="BU105" s="323">
        <f t="shared" si="418"/>
        <v>1.0338156072033244</v>
      </c>
      <c r="BV105" s="323">
        <f t="shared" si="419"/>
        <v>1.034778983727128</v>
      </c>
      <c r="BW105" s="198">
        <f t="shared" si="420"/>
        <v>1.0346315986360302</v>
      </c>
      <c r="BX105" s="967"/>
    </row>
    <row r="106" spans="1:77" s="83" customFormat="1" ht="18.75">
      <c r="A106" s="153"/>
      <c r="B106" s="154" t="s">
        <v>149</v>
      </c>
      <c r="C106" s="1527" t="s">
        <v>1</v>
      </c>
      <c r="D106" s="189">
        <f t="shared" si="461"/>
        <v>0</v>
      </c>
      <c r="E106" s="221">
        <f t="shared" si="472"/>
        <v>0</v>
      </c>
      <c r="F106" s="221">
        <f t="shared" si="472"/>
        <v>0</v>
      </c>
      <c r="G106" s="1164">
        <f t="shared" si="472"/>
        <v>0</v>
      </c>
      <c r="H106" s="1164">
        <f t="shared" si="472"/>
        <v>0</v>
      </c>
      <c r="I106" s="476">
        <f t="shared" si="472"/>
        <v>0</v>
      </c>
      <c r="J106" s="189">
        <f t="shared" si="462"/>
        <v>0</v>
      </c>
      <c r="K106" s="221">
        <f t="shared" si="473"/>
        <v>0</v>
      </c>
      <c r="L106" s="221">
        <f t="shared" si="473"/>
        <v>0</v>
      </c>
      <c r="M106" s="1164">
        <f t="shared" si="473"/>
        <v>0</v>
      </c>
      <c r="N106" s="1164">
        <f t="shared" si="473"/>
        <v>0</v>
      </c>
      <c r="O106" s="476">
        <f t="shared" si="473"/>
        <v>0</v>
      </c>
      <c r="P106" s="189">
        <f t="shared" si="471"/>
        <v>0</v>
      </c>
      <c r="Q106" s="221">
        <f t="shared" si="474"/>
        <v>0</v>
      </c>
      <c r="R106" s="221">
        <f t="shared" si="474"/>
        <v>0</v>
      </c>
      <c r="S106" s="1164">
        <f t="shared" si="474"/>
        <v>0</v>
      </c>
      <c r="T106" s="1164">
        <f t="shared" si="474"/>
        <v>0</v>
      </c>
      <c r="U106" s="476">
        <f t="shared" si="474"/>
        <v>0</v>
      </c>
      <c r="V106" s="189">
        <f t="shared" si="463"/>
        <v>0</v>
      </c>
      <c r="W106" s="221">
        <f t="shared" si="475"/>
        <v>0</v>
      </c>
      <c r="X106" s="221">
        <f t="shared" si="475"/>
        <v>0</v>
      </c>
      <c r="Y106" s="1164">
        <f t="shared" si="475"/>
        <v>0</v>
      </c>
      <c r="Z106" s="1164">
        <f t="shared" si="475"/>
        <v>0</v>
      </c>
      <c r="AA106" s="476">
        <f t="shared" si="475"/>
        <v>0</v>
      </c>
      <c r="AB106" s="189">
        <f t="shared" si="464"/>
        <v>0</v>
      </c>
      <c r="AC106" s="221">
        <f t="shared" ref="AC106:AC107" si="483">AC93</f>
        <v>0</v>
      </c>
      <c r="AD106" s="221">
        <f t="shared" si="476"/>
        <v>0</v>
      </c>
      <c r="AE106" s="221">
        <f t="shared" si="476"/>
        <v>0</v>
      </c>
      <c r="AF106" s="1164">
        <f t="shared" si="476"/>
        <v>0</v>
      </c>
      <c r="AG106" s="476">
        <f t="shared" si="476"/>
        <v>0</v>
      </c>
      <c r="AH106" s="189">
        <f t="shared" si="465"/>
        <v>0</v>
      </c>
      <c r="AI106" s="221">
        <f t="shared" si="477"/>
        <v>0</v>
      </c>
      <c r="AJ106" s="221">
        <f t="shared" si="477"/>
        <v>0</v>
      </c>
      <c r="AK106" s="1164">
        <f t="shared" si="477"/>
        <v>0</v>
      </c>
      <c r="AL106" s="1164">
        <f t="shared" si="477"/>
        <v>0</v>
      </c>
      <c r="AM106" s="476">
        <f t="shared" si="477"/>
        <v>0</v>
      </c>
      <c r="AN106" s="189">
        <f t="shared" si="466"/>
        <v>0</v>
      </c>
      <c r="AO106" s="221">
        <f t="shared" ref="AO106:AS107" si="484">AO93</f>
        <v>0</v>
      </c>
      <c r="AP106" s="221">
        <f t="shared" si="484"/>
        <v>0</v>
      </c>
      <c r="AQ106" s="221">
        <f t="shared" si="484"/>
        <v>0</v>
      </c>
      <c r="AR106" s="1164">
        <f t="shared" si="484"/>
        <v>0</v>
      </c>
      <c r="AS106" s="476">
        <f t="shared" si="484"/>
        <v>0</v>
      </c>
      <c r="AT106" s="189">
        <f t="shared" si="467"/>
        <v>0</v>
      </c>
      <c r="AU106" s="221">
        <f t="shared" si="479"/>
        <v>0</v>
      </c>
      <c r="AV106" s="221">
        <f t="shared" si="479"/>
        <v>0</v>
      </c>
      <c r="AW106" s="1164">
        <f t="shared" si="479"/>
        <v>0</v>
      </c>
      <c r="AX106" s="1164">
        <f t="shared" si="479"/>
        <v>0</v>
      </c>
      <c r="AY106" s="476">
        <f t="shared" si="479"/>
        <v>0</v>
      </c>
      <c r="AZ106" s="189">
        <f t="shared" si="468"/>
        <v>0</v>
      </c>
      <c r="BA106" s="221">
        <f t="shared" ref="BA106:BE107" si="485">BA93</f>
        <v>0</v>
      </c>
      <c r="BB106" s="221">
        <f t="shared" si="485"/>
        <v>0</v>
      </c>
      <c r="BC106" s="221">
        <f t="shared" si="485"/>
        <v>0</v>
      </c>
      <c r="BD106" s="1164">
        <f t="shared" si="485"/>
        <v>0</v>
      </c>
      <c r="BE106" s="476">
        <f t="shared" si="485"/>
        <v>0</v>
      </c>
      <c r="BF106" s="189">
        <f t="shared" si="469"/>
        <v>0</v>
      </c>
      <c r="BG106" s="221">
        <f t="shared" si="481"/>
        <v>0</v>
      </c>
      <c r="BH106" s="221">
        <f t="shared" si="481"/>
        <v>0</v>
      </c>
      <c r="BI106" s="1164">
        <f t="shared" si="481"/>
        <v>0</v>
      </c>
      <c r="BJ106" s="1164">
        <f t="shared" si="481"/>
        <v>0</v>
      </c>
      <c r="BK106" s="476">
        <f t="shared" si="481"/>
        <v>0</v>
      </c>
      <c r="BL106" s="189">
        <f t="shared" si="470"/>
        <v>0</v>
      </c>
      <c r="BM106" s="221">
        <f t="shared" ref="BM106:BQ107" si="486">BM93</f>
        <v>0</v>
      </c>
      <c r="BN106" s="221">
        <f t="shared" si="486"/>
        <v>0</v>
      </c>
      <c r="BO106" s="221">
        <f t="shared" si="486"/>
        <v>0</v>
      </c>
      <c r="BP106" s="1164">
        <f t="shared" si="486"/>
        <v>0</v>
      </c>
      <c r="BQ106" s="476">
        <f t="shared" si="486"/>
        <v>0</v>
      </c>
      <c r="BR106" s="940" t="str">
        <f t="shared" si="351"/>
        <v xml:space="preserve"> </v>
      </c>
      <c r="BS106" s="542" t="str">
        <f t="shared" si="352"/>
        <v xml:space="preserve"> </v>
      </c>
      <c r="BT106" s="1502" t="str">
        <f t="shared" si="417"/>
        <v xml:space="preserve"> </v>
      </c>
      <c r="BU106" s="323" t="str">
        <f t="shared" si="418"/>
        <v xml:space="preserve"> </v>
      </c>
      <c r="BV106" s="323" t="str">
        <f t="shared" si="419"/>
        <v xml:space="preserve"> </v>
      </c>
      <c r="BW106" s="198" t="str">
        <f t="shared" si="420"/>
        <v xml:space="preserve"> </v>
      </c>
      <c r="BX106" s="967"/>
    </row>
    <row r="107" spans="1:77" s="83" customFormat="1" ht="18.75">
      <c r="A107" s="153"/>
      <c r="B107" s="155" t="s">
        <v>150</v>
      </c>
      <c r="C107" s="1527" t="s">
        <v>1</v>
      </c>
      <c r="D107" s="189">
        <f t="shared" si="461"/>
        <v>0</v>
      </c>
      <c r="E107" s="221">
        <f>E94</f>
        <v>0</v>
      </c>
      <c r="F107" s="221">
        <f t="shared" si="472"/>
        <v>0</v>
      </c>
      <c r="G107" s="1164">
        <f t="shared" si="472"/>
        <v>0</v>
      </c>
      <c r="H107" s="1164">
        <f t="shared" si="472"/>
        <v>0</v>
      </c>
      <c r="I107" s="476">
        <f t="shared" si="472"/>
        <v>0</v>
      </c>
      <c r="J107" s="189">
        <f t="shared" si="462"/>
        <v>0</v>
      </c>
      <c r="K107" s="221">
        <f>K94</f>
        <v>0</v>
      </c>
      <c r="L107" s="221">
        <f t="shared" si="473"/>
        <v>0</v>
      </c>
      <c r="M107" s="1164">
        <f t="shared" si="473"/>
        <v>0</v>
      </c>
      <c r="N107" s="1164">
        <f t="shared" si="473"/>
        <v>0</v>
      </c>
      <c r="O107" s="476">
        <f t="shared" si="473"/>
        <v>0</v>
      </c>
      <c r="P107" s="189">
        <f t="shared" si="471"/>
        <v>0</v>
      </c>
      <c r="Q107" s="221">
        <f>Q94</f>
        <v>0</v>
      </c>
      <c r="R107" s="221">
        <f t="shared" si="474"/>
        <v>0</v>
      </c>
      <c r="S107" s="1164">
        <f t="shared" si="474"/>
        <v>0</v>
      </c>
      <c r="T107" s="1164">
        <f t="shared" si="474"/>
        <v>0</v>
      </c>
      <c r="U107" s="476">
        <f t="shared" si="474"/>
        <v>0</v>
      </c>
      <c r="V107" s="189">
        <f t="shared" si="463"/>
        <v>0</v>
      </c>
      <c r="W107" s="221">
        <f>W94</f>
        <v>0</v>
      </c>
      <c r="X107" s="221">
        <f t="shared" si="475"/>
        <v>0</v>
      </c>
      <c r="Y107" s="1164">
        <f t="shared" si="475"/>
        <v>0</v>
      </c>
      <c r="Z107" s="1164">
        <f t="shared" si="475"/>
        <v>0</v>
      </c>
      <c r="AA107" s="476">
        <f t="shared" si="475"/>
        <v>0</v>
      </c>
      <c r="AB107" s="189">
        <f t="shared" si="464"/>
        <v>0</v>
      </c>
      <c r="AC107" s="221">
        <f t="shared" si="483"/>
        <v>0</v>
      </c>
      <c r="AD107" s="221">
        <f t="shared" si="476"/>
        <v>0</v>
      </c>
      <c r="AE107" s="221">
        <f t="shared" si="476"/>
        <v>0</v>
      </c>
      <c r="AF107" s="1164">
        <f t="shared" si="476"/>
        <v>0</v>
      </c>
      <c r="AG107" s="476">
        <f t="shared" si="476"/>
        <v>0</v>
      </c>
      <c r="AH107" s="189">
        <f t="shared" si="465"/>
        <v>0</v>
      </c>
      <c r="AI107" s="221">
        <f>AI94</f>
        <v>0</v>
      </c>
      <c r="AJ107" s="221">
        <f t="shared" si="477"/>
        <v>0</v>
      </c>
      <c r="AK107" s="1164">
        <f t="shared" si="477"/>
        <v>0</v>
      </c>
      <c r="AL107" s="1164">
        <f t="shared" si="477"/>
        <v>0</v>
      </c>
      <c r="AM107" s="476">
        <f t="shared" si="477"/>
        <v>0</v>
      </c>
      <c r="AN107" s="189">
        <f t="shared" si="466"/>
        <v>-159.78</v>
      </c>
      <c r="AO107" s="221">
        <f t="shared" si="484"/>
        <v>-159.78</v>
      </c>
      <c r="AP107" s="221">
        <f t="shared" si="484"/>
        <v>0</v>
      </c>
      <c r="AQ107" s="221">
        <f t="shared" si="484"/>
        <v>0</v>
      </c>
      <c r="AR107" s="1164">
        <f t="shared" si="484"/>
        <v>0</v>
      </c>
      <c r="AS107" s="476">
        <f t="shared" si="484"/>
        <v>0</v>
      </c>
      <c r="AT107" s="189">
        <f t="shared" si="467"/>
        <v>0</v>
      </c>
      <c r="AU107" s="221">
        <f>AU94</f>
        <v>0</v>
      </c>
      <c r="AV107" s="221">
        <f t="shared" si="479"/>
        <v>0</v>
      </c>
      <c r="AW107" s="1164">
        <f t="shared" si="479"/>
        <v>0</v>
      </c>
      <c r="AX107" s="1164">
        <f t="shared" si="479"/>
        <v>0</v>
      </c>
      <c r="AY107" s="476">
        <f t="shared" si="479"/>
        <v>0</v>
      </c>
      <c r="AZ107" s="189">
        <f t="shared" si="468"/>
        <v>0</v>
      </c>
      <c r="BA107" s="221">
        <f t="shared" si="485"/>
        <v>0</v>
      </c>
      <c r="BB107" s="221">
        <f t="shared" si="485"/>
        <v>0</v>
      </c>
      <c r="BC107" s="221">
        <f t="shared" si="485"/>
        <v>0</v>
      </c>
      <c r="BD107" s="1164">
        <f t="shared" si="485"/>
        <v>0</v>
      </c>
      <c r="BE107" s="476">
        <f t="shared" si="485"/>
        <v>0</v>
      </c>
      <c r="BF107" s="189">
        <f t="shared" si="469"/>
        <v>0</v>
      </c>
      <c r="BG107" s="221">
        <f>BG94</f>
        <v>0</v>
      </c>
      <c r="BH107" s="221">
        <f t="shared" si="481"/>
        <v>0</v>
      </c>
      <c r="BI107" s="1164">
        <f t="shared" si="481"/>
        <v>0</v>
      </c>
      <c r="BJ107" s="1164">
        <f t="shared" si="481"/>
        <v>0</v>
      </c>
      <c r="BK107" s="476">
        <f t="shared" si="481"/>
        <v>0</v>
      </c>
      <c r="BL107" s="189">
        <f t="shared" si="470"/>
        <v>0</v>
      </c>
      <c r="BM107" s="221">
        <f t="shared" si="486"/>
        <v>0</v>
      </c>
      <c r="BN107" s="221">
        <f t="shared" si="486"/>
        <v>0</v>
      </c>
      <c r="BO107" s="221">
        <f t="shared" si="486"/>
        <v>0</v>
      </c>
      <c r="BP107" s="1164">
        <f t="shared" si="486"/>
        <v>0</v>
      </c>
      <c r="BQ107" s="476">
        <f t="shared" si="486"/>
        <v>0</v>
      </c>
      <c r="BR107" s="940" t="str">
        <f t="shared" si="351"/>
        <v xml:space="preserve"> </v>
      </c>
      <c r="BS107" s="542" t="str">
        <f t="shared" si="352"/>
        <v xml:space="preserve"> </v>
      </c>
      <c r="BT107" s="1502" t="str">
        <f t="shared" si="417"/>
        <v xml:space="preserve"> </v>
      </c>
      <c r="BU107" s="323" t="str">
        <f t="shared" si="418"/>
        <v xml:space="preserve"> </v>
      </c>
      <c r="BV107" s="323">
        <f t="shared" si="419"/>
        <v>0</v>
      </c>
      <c r="BW107" s="198" t="str">
        <f t="shared" si="420"/>
        <v xml:space="preserve"> </v>
      </c>
      <c r="BX107" s="967"/>
    </row>
    <row r="108" spans="1:77" s="159" customFormat="1">
      <c r="A108" s="156"/>
      <c r="B108" s="157"/>
      <c r="C108" s="158"/>
      <c r="D108" s="1031"/>
      <c r="E108" s="223"/>
      <c r="F108" s="223"/>
      <c r="G108" s="223"/>
      <c r="H108" s="223"/>
      <c r="I108" s="1032"/>
      <c r="J108" s="1031"/>
      <c r="K108" s="223"/>
      <c r="L108" s="223"/>
      <c r="M108" s="223"/>
      <c r="N108" s="223"/>
      <c r="O108" s="1032"/>
      <c r="P108" s="1031"/>
      <c r="Q108" s="223"/>
      <c r="R108" s="223"/>
      <c r="S108" s="223"/>
      <c r="T108" s="223"/>
      <c r="U108" s="1032"/>
      <c r="V108" s="1031"/>
      <c r="W108" s="223"/>
      <c r="X108" s="223"/>
      <c r="Y108" s="223"/>
      <c r="Z108" s="223"/>
      <c r="AA108" s="1032"/>
      <c r="AB108" s="1031"/>
      <c r="AC108" s="223"/>
      <c r="AD108" s="223"/>
      <c r="AE108" s="223"/>
      <c r="AF108" s="455"/>
      <c r="AG108" s="477"/>
      <c r="AH108" s="1031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455"/>
      <c r="AS108" s="477"/>
      <c r="AT108" s="1031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455"/>
      <c r="BE108" s="477"/>
      <c r="BF108" s="1031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1522"/>
      <c r="BU108" s="223"/>
      <c r="BV108" s="223"/>
      <c r="BW108" s="223"/>
      <c r="BX108" s="978"/>
      <c r="BY108" s="223"/>
    </row>
    <row r="109" spans="1:77" ht="18.75">
      <c r="A109" s="160" t="s">
        <v>92</v>
      </c>
      <c r="B109" s="161" t="s">
        <v>221</v>
      </c>
      <c r="C109" s="1527" t="s">
        <v>1</v>
      </c>
      <c r="D109" s="189">
        <f>E109+F109+G109+H109</f>
        <v>30934.646451300003</v>
      </c>
      <c r="E109" s="224">
        <f>E99-E104-E111</f>
        <v>26220.452000000001</v>
      </c>
      <c r="F109" s="224">
        <f>F99-F104-F111</f>
        <v>2201.2444513</v>
      </c>
      <c r="G109" s="1166">
        <f>G99-G104-G111</f>
        <v>0</v>
      </c>
      <c r="H109" s="1166">
        <f t="shared" ref="H109:I109" si="487">H99-H104-H111</f>
        <v>2512.9499999999998</v>
      </c>
      <c r="I109" s="478">
        <f t="shared" si="487"/>
        <v>0</v>
      </c>
      <c r="J109" s="189">
        <f>K109+L109+M109+N109</f>
        <v>33667.60686599859</v>
      </c>
      <c r="K109" s="224">
        <f>K99-K104-K111</f>
        <v>29987.450431783924</v>
      </c>
      <c r="L109" s="224">
        <f>L99-L104-L111</f>
        <v>3285.7367572146686</v>
      </c>
      <c r="M109" s="1166">
        <f>M99-M104-M111</f>
        <v>0</v>
      </c>
      <c r="N109" s="1166">
        <f t="shared" ref="N109:O109" si="488">N99-N104-N111</f>
        <v>394.41967700000004</v>
      </c>
      <c r="O109" s="478">
        <f t="shared" si="488"/>
        <v>0</v>
      </c>
      <c r="P109" s="189">
        <f>Q109+R109+S109+T109</f>
        <v>32729.009000000002</v>
      </c>
      <c r="Q109" s="224">
        <f>Q99-Q104-Q111</f>
        <v>27382.267</v>
      </c>
      <c r="R109" s="224">
        <f>R99-R104-R111</f>
        <v>2653.4720000000002</v>
      </c>
      <c r="S109" s="1166">
        <f>S99-S104-S111</f>
        <v>0</v>
      </c>
      <c r="T109" s="1166">
        <f t="shared" ref="T109:U109" si="489">T99-T104-T111</f>
        <v>2693.27</v>
      </c>
      <c r="U109" s="478">
        <f t="shared" si="489"/>
        <v>0</v>
      </c>
      <c r="V109" s="189">
        <f>W109+X109+Y109+Z109</f>
        <v>35088.107376617372</v>
      </c>
      <c r="W109" s="224">
        <f>W99-W104-W111</f>
        <v>31789.269292930039</v>
      </c>
      <c r="X109" s="224">
        <f>X99-X104-X111</f>
        <v>2861.5055040000007</v>
      </c>
      <c r="Y109" s="1166">
        <f>Y99-Y104-Y111</f>
        <v>0</v>
      </c>
      <c r="Z109" s="1166">
        <f t="shared" ref="Z109:AA109" si="490">Z99-Z104-Z111</f>
        <v>437.33257968733187</v>
      </c>
      <c r="AA109" s="478">
        <f t="shared" si="490"/>
        <v>0</v>
      </c>
      <c r="AB109" s="189">
        <f>AC109+AD109+AE109+AF109</f>
        <v>33674.99</v>
      </c>
      <c r="AC109" s="224">
        <f>AC99-AC104-AC111</f>
        <v>28038.629999999997</v>
      </c>
      <c r="AD109" s="224">
        <f>AD99-AD104-AD111</f>
        <v>2716.26</v>
      </c>
      <c r="AE109" s="224">
        <f>AE99-AE104-AE111</f>
        <v>0</v>
      </c>
      <c r="AF109" s="1166">
        <f t="shared" ref="AF109:AG109" si="491">AF99-AF104-AF111</f>
        <v>2920.1</v>
      </c>
      <c r="AG109" s="478">
        <f t="shared" si="491"/>
        <v>0</v>
      </c>
      <c r="AH109" s="189">
        <f>AI109+AJ109+AK109+AL109</f>
        <v>36509.074875856953</v>
      </c>
      <c r="AI109" s="224">
        <f>AI99-AI104-AI111</f>
        <v>33077.22979138486</v>
      </c>
      <c r="AJ109" s="224">
        <f>AJ99-AJ104-AJ111</f>
        <v>2946.2060669184007</v>
      </c>
      <c r="AK109" s="1166">
        <f>AK99-AK104-AK111</f>
        <v>0</v>
      </c>
      <c r="AL109" s="1166">
        <f t="shared" ref="AL109:AM109" si="492">AL99-AL104-AL111</f>
        <v>485.63901755369193</v>
      </c>
      <c r="AM109" s="478">
        <f t="shared" si="492"/>
        <v>0</v>
      </c>
      <c r="AN109" s="189">
        <f>AO109+AP109+AQ109+AR109</f>
        <v>34552.79</v>
      </c>
      <c r="AO109" s="224">
        <f>AO99-AO104-AO111</f>
        <v>28667.37</v>
      </c>
      <c r="AP109" s="224">
        <f>AP99-AP104-AP111</f>
        <v>2796.66</v>
      </c>
      <c r="AQ109" s="224">
        <f>AQ99-AQ104-AQ111</f>
        <v>0</v>
      </c>
      <c r="AR109" s="1166">
        <f t="shared" ref="AR109:AS109" si="493">AR99-AR104-AR111</f>
        <v>3088.76</v>
      </c>
      <c r="AS109" s="478">
        <f t="shared" si="493"/>
        <v>0</v>
      </c>
      <c r="AT109" s="189">
        <f>AU109+AV109+AW109+AX109</f>
        <v>37952.466774871813</v>
      </c>
      <c r="AU109" s="224">
        <f>AU99-AU104-AU111</f>
        <v>34382.609763608845</v>
      </c>
      <c r="AV109" s="224">
        <f>AV99-AV104-AV111</f>
        <v>3033.4137664991858</v>
      </c>
      <c r="AW109" s="1166">
        <f>AW99-AW104-AW111</f>
        <v>0</v>
      </c>
      <c r="AX109" s="1166">
        <f t="shared" ref="AX109:AY109" si="494">AX99-AX104-AX111</f>
        <v>536.44324476378438</v>
      </c>
      <c r="AY109" s="478">
        <f t="shared" si="494"/>
        <v>0</v>
      </c>
      <c r="AZ109" s="189">
        <f>BA109+BB109+BC109+BD109</f>
        <v>35795.949999999997</v>
      </c>
      <c r="BA109" s="224">
        <f>BA99-BA104-BA111</f>
        <v>29704.289999999997</v>
      </c>
      <c r="BB109" s="224">
        <f>BB99-BB104-BB111</f>
        <v>2879.44</v>
      </c>
      <c r="BC109" s="224">
        <f>BC99-BC104-BC111</f>
        <v>0</v>
      </c>
      <c r="BD109" s="1166">
        <f t="shared" ref="BD109:BE109" si="495">BD99-BD104-BD111</f>
        <v>3212.2200000000003</v>
      </c>
      <c r="BE109" s="478">
        <f t="shared" si="495"/>
        <v>0</v>
      </c>
      <c r="BF109" s="189">
        <f>BG109+BH109+BI109+BJ109</f>
        <v>39574.221879145436</v>
      </c>
      <c r="BG109" s="224">
        <f>BG99-BG104-BG111</f>
        <v>35856.130582165591</v>
      </c>
      <c r="BH109" s="224">
        <f>BH99-BH104-BH111</f>
        <v>3123.2028139875615</v>
      </c>
      <c r="BI109" s="1166">
        <f>BI99-BI104-BI111</f>
        <v>0</v>
      </c>
      <c r="BJ109" s="1166">
        <f t="shared" ref="BJ109:BK109" si="496">BJ99-BJ104-BJ111</f>
        <v>594.88848299228573</v>
      </c>
      <c r="BK109" s="478">
        <f t="shared" si="496"/>
        <v>0</v>
      </c>
      <c r="BL109" s="189">
        <f>BM109+BN109+BO109+BP109</f>
        <v>36911.069999999992</v>
      </c>
      <c r="BM109" s="224">
        <f>BM99-BM104-BM111</f>
        <v>30606.089999999993</v>
      </c>
      <c r="BN109" s="224">
        <f>BN99-BN104-BN111</f>
        <v>2964.67</v>
      </c>
      <c r="BO109" s="224">
        <f>BO99-BO104-BO111</f>
        <v>0</v>
      </c>
      <c r="BP109" s="1166">
        <f t="shared" ref="BP109:BQ109" si="497">BP99-BP104-BP111</f>
        <v>3340.31</v>
      </c>
      <c r="BQ109" s="478">
        <f t="shared" si="497"/>
        <v>0</v>
      </c>
      <c r="BR109" s="940">
        <f t="shared" si="351"/>
        <v>0.97212163401650942</v>
      </c>
      <c r="BS109" s="542">
        <f t="shared" si="352"/>
        <v>1.05800494767331</v>
      </c>
      <c r="BT109" s="1502">
        <f t="shared" si="417"/>
        <v>1.0289034415921361</v>
      </c>
      <c r="BU109" s="323">
        <f t="shared" si="418"/>
        <v>1.0260668228854708</v>
      </c>
      <c r="BV109" s="323">
        <f t="shared" si="419"/>
        <v>1.035978570760856</v>
      </c>
      <c r="BW109" s="198">
        <f t="shared" si="420"/>
        <v>1.0311521275451552</v>
      </c>
    </row>
    <row r="110" spans="1:77" ht="31.5">
      <c r="A110" s="160" t="s">
        <v>93</v>
      </c>
      <c r="B110" s="161" t="s">
        <v>223</v>
      </c>
      <c r="C110" s="1527" t="s">
        <v>1</v>
      </c>
      <c r="D110" s="189">
        <f t="shared" ref="D110:D111" si="498">E110+F110+G110+H110</f>
        <v>0</v>
      </c>
      <c r="E110" s="226">
        <f>E85</f>
        <v>0</v>
      </c>
      <c r="F110" s="226">
        <f>F85</f>
        <v>0</v>
      </c>
      <c r="G110" s="1168">
        <f>G85</f>
        <v>0</v>
      </c>
      <c r="H110" s="1168">
        <f>H85</f>
        <v>0</v>
      </c>
      <c r="I110" s="479">
        <f>I85</f>
        <v>0</v>
      </c>
      <c r="J110" s="189">
        <f t="shared" ref="J110:J111" si="499">K110+L110+M110+N110</f>
        <v>0</v>
      </c>
      <c r="K110" s="226">
        <f>K85</f>
        <v>0</v>
      </c>
      <c r="L110" s="226">
        <f>L85</f>
        <v>0</v>
      </c>
      <c r="M110" s="1168">
        <f>M85</f>
        <v>0</v>
      </c>
      <c r="N110" s="1168">
        <f>N85</f>
        <v>0</v>
      </c>
      <c r="O110" s="479">
        <f>O85</f>
        <v>0</v>
      </c>
      <c r="P110" s="189">
        <f t="shared" si="471"/>
        <v>0</v>
      </c>
      <c r="Q110" s="226">
        <f>Q85</f>
        <v>0</v>
      </c>
      <c r="R110" s="226">
        <f>R85</f>
        <v>0</v>
      </c>
      <c r="S110" s="1168">
        <f>S85</f>
        <v>0</v>
      </c>
      <c r="T110" s="1168">
        <f>T85</f>
        <v>0</v>
      </c>
      <c r="U110" s="479">
        <f>U85</f>
        <v>0</v>
      </c>
      <c r="V110" s="189">
        <f t="shared" ref="V110:V111" si="500">W110+X110+Y110+Z110</f>
        <v>0</v>
      </c>
      <c r="W110" s="226">
        <f>W85</f>
        <v>0</v>
      </c>
      <c r="X110" s="226">
        <f>X85</f>
        <v>0</v>
      </c>
      <c r="Y110" s="1168">
        <f>Y85</f>
        <v>0</v>
      </c>
      <c r="Z110" s="1168">
        <f>Z85</f>
        <v>0</v>
      </c>
      <c r="AA110" s="479">
        <f>AA85</f>
        <v>0</v>
      </c>
      <c r="AB110" s="189">
        <f t="shared" si="464"/>
        <v>0</v>
      </c>
      <c r="AC110" s="226">
        <f>AC85</f>
        <v>0</v>
      </c>
      <c r="AD110" s="226">
        <f>AD85</f>
        <v>0</v>
      </c>
      <c r="AE110" s="226">
        <f>AE85</f>
        <v>0</v>
      </c>
      <c r="AF110" s="1168">
        <f>AF85</f>
        <v>0</v>
      </c>
      <c r="AG110" s="479">
        <f>AG85</f>
        <v>0</v>
      </c>
      <c r="AH110" s="189">
        <f t="shared" ref="AH110:AH111" si="501">AI110+AJ110+AK110+AL110</f>
        <v>0</v>
      </c>
      <c r="AI110" s="226">
        <f>AI85</f>
        <v>0</v>
      </c>
      <c r="AJ110" s="226">
        <f>AJ85</f>
        <v>0</v>
      </c>
      <c r="AK110" s="1168">
        <f>AK85</f>
        <v>0</v>
      </c>
      <c r="AL110" s="1168">
        <f>AL85</f>
        <v>0</v>
      </c>
      <c r="AM110" s="479">
        <f>AM85</f>
        <v>0</v>
      </c>
      <c r="AN110" s="189">
        <f t="shared" ref="AN110:AN111" si="502">AO110+AP110+AQ110+AR110</f>
        <v>0</v>
      </c>
      <c r="AO110" s="226">
        <f>AO85</f>
        <v>0</v>
      </c>
      <c r="AP110" s="226">
        <f>AP85</f>
        <v>0</v>
      </c>
      <c r="AQ110" s="226">
        <f>AQ85</f>
        <v>0</v>
      </c>
      <c r="AR110" s="1168">
        <f>AR85</f>
        <v>0</v>
      </c>
      <c r="AS110" s="479">
        <f>AS85</f>
        <v>0</v>
      </c>
      <c r="AT110" s="189">
        <f t="shared" ref="AT110:AT111" si="503">AU110+AV110+AW110+AX110</f>
        <v>0</v>
      </c>
      <c r="AU110" s="226">
        <f>AU85</f>
        <v>0</v>
      </c>
      <c r="AV110" s="226">
        <f>AV85</f>
        <v>0</v>
      </c>
      <c r="AW110" s="1168">
        <f>AW85</f>
        <v>0</v>
      </c>
      <c r="AX110" s="1168">
        <f>AX85</f>
        <v>0</v>
      </c>
      <c r="AY110" s="479">
        <f>AY85</f>
        <v>0</v>
      </c>
      <c r="AZ110" s="189">
        <f t="shared" ref="AZ110:AZ111" si="504">BA110+BB110+BC110+BD110</f>
        <v>0</v>
      </c>
      <c r="BA110" s="226">
        <f>BA85</f>
        <v>0</v>
      </c>
      <c r="BB110" s="226">
        <f>BB85</f>
        <v>0</v>
      </c>
      <c r="BC110" s="226">
        <f>BC85</f>
        <v>0</v>
      </c>
      <c r="BD110" s="1168">
        <f>BD85</f>
        <v>0</v>
      </c>
      <c r="BE110" s="479">
        <f>BE85</f>
        <v>0</v>
      </c>
      <c r="BF110" s="189">
        <f t="shared" ref="BF110:BF111" si="505">BG110+BH110+BI110+BJ110</f>
        <v>0</v>
      </c>
      <c r="BG110" s="226">
        <f>BG85</f>
        <v>0</v>
      </c>
      <c r="BH110" s="226">
        <f>BH85</f>
        <v>0</v>
      </c>
      <c r="BI110" s="1168">
        <f>BI85</f>
        <v>0</v>
      </c>
      <c r="BJ110" s="1168">
        <f>BJ85</f>
        <v>0</v>
      </c>
      <c r="BK110" s="479">
        <f>BK85</f>
        <v>0</v>
      </c>
      <c r="BL110" s="189">
        <f t="shared" ref="BL110:BL111" si="506">BM110+BN110+BO110+BP110</f>
        <v>0</v>
      </c>
      <c r="BM110" s="226">
        <f>BM85</f>
        <v>0</v>
      </c>
      <c r="BN110" s="226">
        <f>BN85</f>
        <v>0</v>
      </c>
      <c r="BO110" s="226">
        <f>BO85</f>
        <v>0</v>
      </c>
      <c r="BP110" s="1168">
        <f>BP85</f>
        <v>0</v>
      </c>
      <c r="BQ110" s="479">
        <f>BQ85</f>
        <v>0</v>
      </c>
      <c r="BR110" s="940" t="str">
        <f t="shared" si="351"/>
        <v xml:space="preserve"> </v>
      </c>
      <c r="BS110" s="542" t="str">
        <f t="shared" si="352"/>
        <v xml:space="preserve"> </v>
      </c>
      <c r="BT110" s="1502" t="str">
        <f t="shared" si="417"/>
        <v xml:space="preserve"> </v>
      </c>
      <c r="BU110" s="323" t="str">
        <f t="shared" si="418"/>
        <v xml:space="preserve"> </v>
      </c>
      <c r="BV110" s="323" t="str">
        <f t="shared" si="419"/>
        <v xml:space="preserve"> </v>
      </c>
      <c r="BW110" s="198" t="str">
        <f t="shared" si="420"/>
        <v xml:space="preserve"> </v>
      </c>
    </row>
    <row r="111" spans="1:77" ht="18.75">
      <c r="A111" s="160" t="s">
        <v>94</v>
      </c>
      <c r="B111" s="161" t="s">
        <v>222</v>
      </c>
      <c r="C111" s="1527" t="s">
        <v>1</v>
      </c>
      <c r="D111" s="189">
        <f t="shared" si="498"/>
        <v>0</v>
      </c>
      <c r="E111" s="226">
        <f>E70</f>
        <v>0</v>
      </c>
      <c r="F111" s="226">
        <f>F70</f>
        <v>0</v>
      </c>
      <c r="G111" s="1168">
        <f>G70</f>
        <v>0</v>
      </c>
      <c r="H111" s="1168">
        <f>H70</f>
        <v>0</v>
      </c>
      <c r="I111" s="479">
        <f>I70</f>
        <v>0</v>
      </c>
      <c r="J111" s="189">
        <f t="shared" si="499"/>
        <v>0</v>
      </c>
      <c r="K111" s="226">
        <f>K70</f>
        <v>0</v>
      </c>
      <c r="L111" s="226">
        <f>L70</f>
        <v>0</v>
      </c>
      <c r="M111" s="1168">
        <f>M70</f>
        <v>0</v>
      </c>
      <c r="N111" s="1168">
        <f>N70</f>
        <v>0</v>
      </c>
      <c r="O111" s="479">
        <f>O70</f>
        <v>0</v>
      </c>
      <c r="P111" s="189">
        <f t="shared" si="471"/>
        <v>0</v>
      </c>
      <c r="Q111" s="226">
        <f>Q70</f>
        <v>0</v>
      </c>
      <c r="R111" s="226">
        <f>R70</f>
        <v>0</v>
      </c>
      <c r="S111" s="1168">
        <f>S70</f>
        <v>0</v>
      </c>
      <c r="T111" s="1168">
        <f>T70</f>
        <v>0</v>
      </c>
      <c r="U111" s="479">
        <f>U70</f>
        <v>0</v>
      </c>
      <c r="V111" s="189">
        <f t="shared" si="500"/>
        <v>0</v>
      </c>
      <c r="W111" s="226">
        <f>W70</f>
        <v>0</v>
      </c>
      <c r="X111" s="226">
        <f>X70</f>
        <v>0</v>
      </c>
      <c r="Y111" s="1168">
        <f>Y70</f>
        <v>0</v>
      </c>
      <c r="Z111" s="1168">
        <f>Z70</f>
        <v>0</v>
      </c>
      <c r="AA111" s="479">
        <f>AA70</f>
        <v>0</v>
      </c>
      <c r="AB111" s="189">
        <f t="shared" si="464"/>
        <v>0</v>
      </c>
      <c r="AC111" s="226">
        <f>AC70</f>
        <v>0</v>
      </c>
      <c r="AD111" s="226">
        <f>AD70</f>
        <v>0</v>
      </c>
      <c r="AE111" s="226">
        <f>AE70</f>
        <v>0</v>
      </c>
      <c r="AF111" s="1168">
        <f>AF70</f>
        <v>0</v>
      </c>
      <c r="AG111" s="479">
        <f>AG70</f>
        <v>0</v>
      </c>
      <c r="AH111" s="189">
        <f t="shared" si="501"/>
        <v>0</v>
      </c>
      <c r="AI111" s="226">
        <f>AI70</f>
        <v>0</v>
      </c>
      <c r="AJ111" s="226">
        <f>AJ70</f>
        <v>0</v>
      </c>
      <c r="AK111" s="1168">
        <f>AK70</f>
        <v>0</v>
      </c>
      <c r="AL111" s="1168">
        <f>AL70</f>
        <v>0</v>
      </c>
      <c r="AM111" s="479">
        <f>AM70</f>
        <v>0</v>
      </c>
      <c r="AN111" s="189">
        <f t="shared" si="502"/>
        <v>0</v>
      </c>
      <c r="AO111" s="226">
        <f>AO70</f>
        <v>0</v>
      </c>
      <c r="AP111" s="226">
        <f>AP70</f>
        <v>0</v>
      </c>
      <c r="AQ111" s="226">
        <f>AQ70</f>
        <v>0</v>
      </c>
      <c r="AR111" s="1168">
        <f>AR70</f>
        <v>0</v>
      </c>
      <c r="AS111" s="479">
        <f>AS70</f>
        <v>0</v>
      </c>
      <c r="AT111" s="189">
        <f t="shared" si="503"/>
        <v>0</v>
      </c>
      <c r="AU111" s="226">
        <f>AU70</f>
        <v>0</v>
      </c>
      <c r="AV111" s="226">
        <f>AV70</f>
        <v>0</v>
      </c>
      <c r="AW111" s="1168">
        <f>AW70</f>
        <v>0</v>
      </c>
      <c r="AX111" s="1168">
        <f>AX70</f>
        <v>0</v>
      </c>
      <c r="AY111" s="479">
        <f>AY70</f>
        <v>0</v>
      </c>
      <c r="AZ111" s="189">
        <f t="shared" si="504"/>
        <v>0</v>
      </c>
      <c r="BA111" s="226">
        <f>BA70</f>
        <v>0</v>
      </c>
      <c r="BB111" s="226">
        <f>BB70</f>
        <v>0</v>
      </c>
      <c r="BC111" s="226">
        <f>BC70</f>
        <v>0</v>
      </c>
      <c r="BD111" s="1168">
        <f>BD70</f>
        <v>0</v>
      </c>
      <c r="BE111" s="479">
        <f>BE70</f>
        <v>0</v>
      </c>
      <c r="BF111" s="189">
        <f t="shared" si="505"/>
        <v>0</v>
      </c>
      <c r="BG111" s="226">
        <f>BG70</f>
        <v>0</v>
      </c>
      <c r="BH111" s="226">
        <f>BH70</f>
        <v>0</v>
      </c>
      <c r="BI111" s="1168">
        <f>BI70</f>
        <v>0</v>
      </c>
      <c r="BJ111" s="1168">
        <f>BJ70</f>
        <v>0</v>
      </c>
      <c r="BK111" s="479">
        <f>BK70</f>
        <v>0</v>
      </c>
      <c r="BL111" s="189">
        <f t="shared" si="506"/>
        <v>0</v>
      </c>
      <c r="BM111" s="226">
        <f>BM70</f>
        <v>0</v>
      </c>
      <c r="BN111" s="226">
        <f>BN70</f>
        <v>0</v>
      </c>
      <c r="BO111" s="226">
        <f>BO70</f>
        <v>0</v>
      </c>
      <c r="BP111" s="1168">
        <f>BP70</f>
        <v>0</v>
      </c>
      <c r="BQ111" s="479">
        <f>BQ70</f>
        <v>0</v>
      </c>
      <c r="BR111" s="940" t="str">
        <f t="shared" si="351"/>
        <v xml:space="preserve"> </v>
      </c>
      <c r="BS111" s="542" t="str">
        <f t="shared" si="352"/>
        <v xml:space="preserve"> </v>
      </c>
      <c r="BT111" s="1502" t="str">
        <f t="shared" si="417"/>
        <v xml:space="preserve"> </v>
      </c>
      <c r="BU111" s="323" t="str">
        <f t="shared" si="418"/>
        <v xml:space="preserve"> </v>
      </c>
      <c r="BV111" s="323" t="str">
        <f t="shared" si="419"/>
        <v xml:space="preserve"> </v>
      </c>
      <c r="BW111" s="198" t="str">
        <f t="shared" si="420"/>
        <v xml:space="preserve"> </v>
      </c>
    </row>
    <row r="112" spans="1:77" ht="18.75">
      <c r="A112" s="160" t="s">
        <v>95</v>
      </c>
      <c r="B112" s="166" t="s">
        <v>151</v>
      </c>
      <c r="C112" s="1527" t="s">
        <v>1</v>
      </c>
      <c r="D112" s="189">
        <f>E112+F112+G112+H112</f>
        <v>30934.646451300003</v>
      </c>
      <c r="E112" s="226">
        <f>E109+E110+E111</f>
        <v>26220.452000000001</v>
      </c>
      <c r="F112" s="226">
        <f t="shared" ref="F112:I112" si="507">F109+F110+F111</f>
        <v>2201.2444513</v>
      </c>
      <c r="G112" s="1168">
        <f t="shared" si="507"/>
        <v>0</v>
      </c>
      <c r="H112" s="1168">
        <f t="shared" si="507"/>
        <v>2512.9499999999998</v>
      </c>
      <c r="I112" s="479">
        <f t="shared" si="507"/>
        <v>0</v>
      </c>
      <c r="J112" s="189">
        <f>K112+L112+M112+N112</f>
        <v>33667.60686599859</v>
      </c>
      <c r="K112" s="226">
        <f>K109+K110+K111</f>
        <v>29987.450431783924</v>
      </c>
      <c r="L112" s="226">
        <f t="shared" ref="L112:O112" si="508">L109+L110+L111</f>
        <v>3285.7367572146686</v>
      </c>
      <c r="M112" s="1168">
        <f t="shared" si="508"/>
        <v>0</v>
      </c>
      <c r="N112" s="1168">
        <f t="shared" si="508"/>
        <v>394.41967700000004</v>
      </c>
      <c r="O112" s="479">
        <f t="shared" si="508"/>
        <v>0</v>
      </c>
      <c r="P112" s="189">
        <f>Q112+R112+S112+T112</f>
        <v>32729.009000000002</v>
      </c>
      <c r="Q112" s="226">
        <f>Q109+Q110+Q111</f>
        <v>27382.267</v>
      </c>
      <c r="R112" s="226">
        <f t="shared" ref="R112:U112" si="509">R109+R110+R111</f>
        <v>2653.4720000000002</v>
      </c>
      <c r="S112" s="1168">
        <f t="shared" si="509"/>
        <v>0</v>
      </c>
      <c r="T112" s="1168">
        <f t="shared" si="509"/>
        <v>2693.27</v>
      </c>
      <c r="U112" s="479">
        <f t="shared" si="509"/>
        <v>0</v>
      </c>
      <c r="V112" s="189">
        <f>W112+X112+Y112+Z112</f>
        <v>35088.107376617372</v>
      </c>
      <c r="W112" s="226">
        <f>W109+W110+W111</f>
        <v>31789.269292930039</v>
      </c>
      <c r="X112" s="226">
        <f t="shared" ref="X112:AA112" si="510">X109+X110+X111</f>
        <v>2861.5055040000007</v>
      </c>
      <c r="Y112" s="1168">
        <f t="shared" si="510"/>
        <v>0</v>
      </c>
      <c r="Z112" s="1168">
        <f t="shared" si="510"/>
        <v>437.33257968733187</v>
      </c>
      <c r="AA112" s="479">
        <f t="shared" si="510"/>
        <v>0</v>
      </c>
      <c r="AB112" s="189">
        <f>AC112+AD112+AE112+AF112</f>
        <v>33674.99</v>
      </c>
      <c r="AC112" s="226">
        <f>AC109+AC110+AC111</f>
        <v>28038.629999999997</v>
      </c>
      <c r="AD112" s="226">
        <f t="shared" ref="AD112:AG112" si="511">AD109+AD110+AD111</f>
        <v>2716.26</v>
      </c>
      <c r="AE112" s="226">
        <f t="shared" si="511"/>
        <v>0</v>
      </c>
      <c r="AF112" s="1168">
        <f t="shared" si="511"/>
        <v>2920.1</v>
      </c>
      <c r="AG112" s="479">
        <f t="shared" si="511"/>
        <v>0</v>
      </c>
      <c r="AH112" s="189">
        <f>AI112+AJ112+AK112+AL112</f>
        <v>36509.074875856953</v>
      </c>
      <c r="AI112" s="226">
        <f>AI109+AI110+AI111</f>
        <v>33077.22979138486</v>
      </c>
      <c r="AJ112" s="226">
        <f t="shared" ref="AJ112:AM112" si="512">AJ109+AJ110+AJ111</f>
        <v>2946.2060669184007</v>
      </c>
      <c r="AK112" s="1168">
        <f t="shared" si="512"/>
        <v>0</v>
      </c>
      <c r="AL112" s="1168">
        <f t="shared" si="512"/>
        <v>485.63901755369193</v>
      </c>
      <c r="AM112" s="479">
        <f t="shared" si="512"/>
        <v>0</v>
      </c>
      <c r="AN112" s="189">
        <f>AO112+AP112+AQ112+AR112</f>
        <v>34552.79</v>
      </c>
      <c r="AO112" s="226">
        <f>AO109+AO110+AO111</f>
        <v>28667.37</v>
      </c>
      <c r="AP112" s="226">
        <f t="shared" ref="AP112:AS112" si="513">AP109+AP110+AP111</f>
        <v>2796.66</v>
      </c>
      <c r="AQ112" s="226">
        <f t="shared" si="513"/>
        <v>0</v>
      </c>
      <c r="AR112" s="1168">
        <f t="shared" si="513"/>
        <v>3088.76</v>
      </c>
      <c r="AS112" s="479">
        <f t="shared" si="513"/>
        <v>0</v>
      </c>
      <c r="AT112" s="189">
        <f>AU112+AV112+AW112+AX112</f>
        <v>37952.466774871813</v>
      </c>
      <c r="AU112" s="226">
        <f>AU109+AU110+AU111</f>
        <v>34382.609763608845</v>
      </c>
      <c r="AV112" s="226">
        <f t="shared" ref="AV112:AY112" si="514">AV109+AV110+AV111</f>
        <v>3033.4137664991858</v>
      </c>
      <c r="AW112" s="1168">
        <f t="shared" si="514"/>
        <v>0</v>
      </c>
      <c r="AX112" s="1168">
        <f t="shared" si="514"/>
        <v>536.44324476378438</v>
      </c>
      <c r="AY112" s="479">
        <f t="shared" si="514"/>
        <v>0</v>
      </c>
      <c r="AZ112" s="189">
        <f>BA112+BB112+BC112+BD112</f>
        <v>35795.949999999997</v>
      </c>
      <c r="BA112" s="226">
        <f>BA109+BA110+BA111</f>
        <v>29704.289999999997</v>
      </c>
      <c r="BB112" s="226">
        <f t="shared" ref="BB112:BE112" si="515">BB109+BB110+BB111</f>
        <v>2879.44</v>
      </c>
      <c r="BC112" s="226">
        <f t="shared" si="515"/>
        <v>0</v>
      </c>
      <c r="BD112" s="1168">
        <f t="shared" si="515"/>
        <v>3212.2200000000003</v>
      </c>
      <c r="BE112" s="479">
        <f t="shared" si="515"/>
        <v>0</v>
      </c>
      <c r="BF112" s="189">
        <f>BG112+BH112+BI112+BJ112</f>
        <v>39574.221879145436</v>
      </c>
      <c r="BG112" s="226">
        <f>BG109+BG110+BG111</f>
        <v>35856.130582165591</v>
      </c>
      <c r="BH112" s="226">
        <f t="shared" ref="BH112:BK112" si="516">BH109+BH110+BH111</f>
        <v>3123.2028139875615</v>
      </c>
      <c r="BI112" s="1168">
        <f t="shared" si="516"/>
        <v>0</v>
      </c>
      <c r="BJ112" s="1168">
        <f t="shared" si="516"/>
        <v>594.88848299228573</v>
      </c>
      <c r="BK112" s="479">
        <f t="shared" si="516"/>
        <v>0</v>
      </c>
      <c r="BL112" s="189">
        <f>BM112+BN112+BO112+BP112</f>
        <v>36911.069999999992</v>
      </c>
      <c r="BM112" s="226">
        <f>BM109+BM110+BM111</f>
        <v>30606.089999999993</v>
      </c>
      <c r="BN112" s="226">
        <f t="shared" ref="BN112:BQ112" si="517">BN109+BN110+BN111</f>
        <v>2964.67</v>
      </c>
      <c r="BO112" s="226">
        <f t="shared" si="517"/>
        <v>0</v>
      </c>
      <c r="BP112" s="1168">
        <f t="shared" si="517"/>
        <v>3340.31</v>
      </c>
      <c r="BQ112" s="479">
        <f t="shared" si="517"/>
        <v>0</v>
      </c>
      <c r="BR112" s="940">
        <f t="shared" si="351"/>
        <v>0.97212163401650942</v>
      </c>
      <c r="BS112" s="542">
        <f t="shared" si="352"/>
        <v>1.05800494767331</v>
      </c>
      <c r="BT112" s="1502">
        <f t="shared" si="417"/>
        <v>1.0289034415921361</v>
      </c>
      <c r="BU112" s="323">
        <f t="shared" si="418"/>
        <v>1.0260668228854708</v>
      </c>
      <c r="BV112" s="323">
        <f t="shared" si="419"/>
        <v>1.035978570760856</v>
      </c>
      <c r="BW112" s="198">
        <f t="shared" si="420"/>
        <v>1.0311521275451552</v>
      </c>
    </row>
    <row r="113" spans="1:76" ht="18.75">
      <c r="A113" s="160"/>
      <c r="B113" s="379" t="s">
        <v>33</v>
      </c>
      <c r="C113" s="1527"/>
      <c r="D113" s="189"/>
      <c r="E113" s="226"/>
      <c r="F113" s="226"/>
      <c r="G113" s="1168"/>
      <c r="H113" s="1168"/>
      <c r="I113" s="479"/>
      <c r="J113" s="189"/>
      <c r="K113" s="226"/>
      <c r="L113" s="226"/>
      <c r="M113" s="1168"/>
      <c r="N113" s="1168"/>
      <c r="O113" s="479"/>
      <c r="P113" s="189"/>
      <c r="Q113" s="226"/>
      <c r="R113" s="226"/>
      <c r="S113" s="1168"/>
      <c r="T113" s="1168"/>
      <c r="U113" s="479"/>
      <c r="V113" s="189"/>
      <c r="W113" s="226"/>
      <c r="X113" s="226"/>
      <c r="Y113" s="1168"/>
      <c r="Z113" s="1168"/>
      <c r="AA113" s="479"/>
      <c r="AB113" s="189"/>
      <c r="AC113" s="226"/>
      <c r="AD113" s="226"/>
      <c r="AE113" s="1168"/>
      <c r="AF113" s="1168"/>
      <c r="AG113" s="479"/>
      <c r="AH113" s="189"/>
      <c r="AI113" s="226"/>
      <c r="AJ113" s="226"/>
      <c r="AK113" s="1168"/>
      <c r="AL113" s="1168"/>
      <c r="AM113" s="479"/>
      <c r="AN113" s="189"/>
      <c r="AO113" s="226"/>
      <c r="AP113" s="226"/>
      <c r="AQ113" s="1168"/>
      <c r="AR113" s="1168"/>
      <c r="AS113" s="479"/>
      <c r="AT113" s="189"/>
      <c r="AU113" s="226"/>
      <c r="AV113" s="226"/>
      <c r="AW113" s="1168"/>
      <c r="AX113" s="1168"/>
      <c r="AY113" s="479"/>
      <c r="AZ113" s="189"/>
      <c r="BA113" s="226"/>
      <c r="BB113" s="226"/>
      <c r="BC113" s="1168"/>
      <c r="BD113" s="1168"/>
      <c r="BE113" s="479"/>
      <c r="BF113" s="189"/>
      <c r="BG113" s="226"/>
      <c r="BH113" s="226"/>
      <c r="BI113" s="1168"/>
      <c r="BJ113" s="1168"/>
      <c r="BK113" s="479"/>
      <c r="BL113" s="189"/>
      <c r="BM113" s="226"/>
      <c r="BN113" s="226"/>
      <c r="BO113" s="1168"/>
      <c r="BP113" s="1168"/>
      <c r="BQ113" s="479"/>
      <c r="BR113" s="940" t="str">
        <f t="shared" si="351"/>
        <v xml:space="preserve"> </v>
      </c>
      <c r="BS113" s="542" t="str">
        <f t="shared" si="352"/>
        <v xml:space="preserve"> </v>
      </c>
      <c r="BT113" s="1502"/>
      <c r="BU113" s="323"/>
      <c r="BV113" s="323"/>
      <c r="BW113" s="198"/>
    </row>
    <row r="114" spans="1:76" s="58" customFormat="1" ht="38.25" customHeight="1">
      <c r="A114" s="167"/>
      <c r="B114" s="168" t="s">
        <v>224</v>
      </c>
      <c r="C114" s="1528" t="s">
        <v>3</v>
      </c>
      <c r="D114" s="372">
        <f>IF((E99+F99)&gt;0,D110/(E99+F99),0)</f>
        <v>0</v>
      </c>
      <c r="E114" s="373"/>
      <c r="F114" s="373"/>
      <c r="G114" s="1170"/>
      <c r="H114" s="1170"/>
      <c r="I114" s="480"/>
      <c r="J114" s="372">
        <f>IF((K99+L99)&gt;0,J110/(K99+L99),0)</f>
        <v>0</v>
      </c>
      <c r="K114" s="373"/>
      <c r="L114" s="373"/>
      <c r="M114" s="1170"/>
      <c r="N114" s="1170"/>
      <c r="O114" s="480"/>
      <c r="P114" s="372">
        <f>IF((Q99+R99)&gt;0,P110/(Q99+R99),0)</f>
        <v>0</v>
      </c>
      <c r="Q114" s="373"/>
      <c r="R114" s="373"/>
      <c r="S114" s="1170"/>
      <c r="T114" s="1170"/>
      <c r="U114" s="480"/>
      <c r="V114" s="372">
        <f>IF((W99+X99)&gt;0,V110/(W99+X99),0)</f>
        <v>0</v>
      </c>
      <c r="W114" s="373"/>
      <c r="X114" s="373"/>
      <c r="Y114" s="1170"/>
      <c r="Z114" s="1170"/>
      <c r="AA114" s="480"/>
      <c r="AB114" s="372">
        <f>IF((AC99+AD99)&gt;0,AB110/(AC99+AD99),0)</f>
        <v>0</v>
      </c>
      <c r="AC114" s="373"/>
      <c r="AD114" s="373"/>
      <c r="AE114" s="1170"/>
      <c r="AF114" s="1170"/>
      <c r="AG114" s="480"/>
      <c r="AH114" s="372">
        <f>IF((AI99+AJ99)&gt;0,AH110/(AI99+AJ99),0)</f>
        <v>0</v>
      </c>
      <c r="AI114" s="373"/>
      <c r="AJ114" s="373"/>
      <c r="AK114" s="1170"/>
      <c r="AL114" s="1170"/>
      <c r="AM114" s="480"/>
      <c r="AN114" s="372">
        <f>IF((AO99+AP99)&gt;0,AN110/(AO99+AP99),0)</f>
        <v>0</v>
      </c>
      <c r="AO114" s="373"/>
      <c r="AP114" s="373"/>
      <c r="AQ114" s="1170"/>
      <c r="AR114" s="1170"/>
      <c r="AS114" s="480"/>
      <c r="AT114" s="372">
        <f>IF((AU99+AV99)&gt;0,AT110/(AU99+AV99),0)</f>
        <v>0</v>
      </c>
      <c r="AU114" s="373"/>
      <c r="AV114" s="373"/>
      <c r="AW114" s="1170"/>
      <c r="AX114" s="1170"/>
      <c r="AY114" s="480"/>
      <c r="AZ114" s="372">
        <f>IF((BA99+BB99)&gt;0,AZ110/(BA99+BB99),0)</f>
        <v>0</v>
      </c>
      <c r="BA114" s="373"/>
      <c r="BB114" s="373"/>
      <c r="BC114" s="1170"/>
      <c r="BD114" s="1170"/>
      <c r="BE114" s="480"/>
      <c r="BF114" s="372">
        <f>IF((BG99+BH99)&gt;0,BF110/(BG99+BH99),0)</f>
        <v>0</v>
      </c>
      <c r="BG114" s="373"/>
      <c r="BH114" s="373"/>
      <c r="BI114" s="1170"/>
      <c r="BJ114" s="1170"/>
      <c r="BK114" s="480"/>
      <c r="BL114" s="372">
        <f>IF((BM99+BN99)&gt;0,BL110/(BM99+BN99),0)</f>
        <v>0</v>
      </c>
      <c r="BM114" s="373"/>
      <c r="BN114" s="373"/>
      <c r="BO114" s="1170"/>
      <c r="BP114" s="1170"/>
      <c r="BQ114" s="480"/>
      <c r="BR114" s="940" t="str">
        <f t="shared" si="351"/>
        <v xml:space="preserve"> </v>
      </c>
      <c r="BS114" s="542" t="str">
        <f t="shared" si="352"/>
        <v xml:space="preserve"> </v>
      </c>
      <c r="BT114" s="1502" t="str">
        <f t="shared" si="417"/>
        <v xml:space="preserve"> </v>
      </c>
      <c r="BU114" s="323" t="str">
        <f t="shared" si="418"/>
        <v xml:space="preserve"> </v>
      </c>
      <c r="BV114" s="323" t="str">
        <f t="shared" si="419"/>
        <v xml:space="preserve"> </v>
      </c>
      <c r="BW114" s="198" t="str">
        <f t="shared" si="420"/>
        <v xml:space="preserve"> </v>
      </c>
      <c r="BX114" s="966"/>
    </row>
    <row r="115" spans="1:76" s="58" customFormat="1" ht="63.75">
      <c r="A115" s="167"/>
      <c r="B115" s="168" t="s">
        <v>219</v>
      </c>
      <c r="C115" s="1528" t="s">
        <v>3</v>
      </c>
      <c r="D115" s="1119">
        <f>IF((D15+D21+D59-D16-D18-D20-D62-D82)&gt;0,D92/(D15+D21+D59-D16-D18-D20-D62-D82),0)</f>
        <v>4.9999970999675167E-2</v>
      </c>
      <c r="E115" s="373"/>
      <c r="F115" s="373"/>
      <c r="G115" s="1170"/>
      <c r="H115" s="1170"/>
      <c r="I115" s="480"/>
      <c r="J115" s="1119">
        <f>IF((J15+J21+J59-J16-J18-J20-J62-J82)&gt;0,J92/(J15+J21+J59-J16-J18-J20-J62-J82),0)</f>
        <v>4.9999973347534546E-2</v>
      </c>
      <c r="K115" s="373"/>
      <c r="L115" s="373"/>
      <c r="M115" s="1170"/>
      <c r="N115" s="1170"/>
      <c r="O115" s="480"/>
      <c r="P115" s="1119">
        <f>IF((P15+P21+P59-P16-P18-P20-P62-P82)&gt;0,P92/(P15+P21+P59-P16-P18-P20-P62-P82),0)</f>
        <v>4.9999602572408305E-2</v>
      </c>
      <c r="Q115" s="373"/>
      <c r="R115" s="373"/>
      <c r="S115" s="1170"/>
      <c r="T115" s="1170"/>
      <c r="U115" s="480"/>
      <c r="V115" s="1119">
        <f>IF((V15+V21+V59-V16-V18-V20-V62-V82)&gt;0,V92/(V15+V21+V59-V16-V18-V20-V62-V82),0)</f>
        <v>5.2400578665068101E-2</v>
      </c>
      <c r="W115" s="373"/>
      <c r="X115" s="373"/>
      <c r="Y115" s="1170"/>
      <c r="Z115" s="1170"/>
      <c r="AA115" s="480"/>
      <c r="AB115" s="1119">
        <f>IF((AB15+AB21+AB59-AB16-AB18-AB20-AB62-AB82)&gt;0,AB92/(AB15+AB21+AB59-AB16-AB18-AB20-AB62-AB82),0)</f>
        <v>4.9999961520731502E-2</v>
      </c>
      <c r="AC115" s="373"/>
      <c r="AD115" s="373"/>
      <c r="AE115" s="1170"/>
      <c r="AF115" s="1170"/>
      <c r="AG115" s="480"/>
      <c r="AH115" s="1119">
        <f>IF((AH15+AH21+AH59-AH16-AH18-AH20-AH62-AH82)&gt;0,AH92/(AH15+AH21+AH59-AH16-AH18-AH20-AH62-AH82),0)</f>
        <v>5.2346909471790673E-2</v>
      </c>
      <c r="AI115" s="373"/>
      <c r="AJ115" s="373"/>
      <c r="AK115" s="1170"/>
      <c r="AL115" s="1170"/>
      <c r="AM115" s="480"/>
      <c r="AN115" s="1119">
        <f>IF((AN15+AN21+AN59-AN16-AN18-AN20-AN62-AN82)&gt;0,AN92/(AN15+AN21+AN59-AN16-AN18-AN20-AN62-AN82),0)</f>
        <v>4.9999999999999989E-2</v>
      </c>
      <c r="AO115" s="373"/>
      <c r="AP115" s="373"/>
      <c r="AQ115" s="1170"/>
      <c r="AR115" s="1170"/>
      <c r="AS115" s="480"/>
      <c r="AT115" s="1119">
        <f>IF((AT15+AT21+AT59-AT16-AT18-AT20-AT62-AT82)&gt;0,AT92/(AT15+AT21+AT59-AT16-AT18-AT20-AT62-AT82),0)</f>
        <v>5.2300179600139357E-2</v>
      </c>
      <c r="AU115" s="373"/>
      <c r="AV115" s="373"/>
      <c r="AW115" s="1170"/>
      <c r="AX115" s="1170"/>
      <c r="AY115" s="480"/>
      <c r="AZ115" s="1119">
        <f>IF((AZ15+AZ21+AZ59-AZ16-AZ18-AZ20-AZ62-AZ82)&gt;0,AZ92/(AZ15+AZ21+AZ59-AZ16-AZ18-AZ20-AZ62-AZ82),0)</f>
        <v>4.9999820152295045E-2</v>
      </c>
      <c r="BA115" s="373"/>
      <c r="BB115" s="373"/>
      <c r="BC115" s="1170"/>
      <c r="BD115" s="1170"/>
      <c r="BE115" s="480"/>
      <c r="BF115" s="1119">
        <f>IF((BF15+BF21+BF59-BF16-BF18-BF20-BF62-BF82)&gt;0,BF92/(BF15+BF21+BF59-BF16-BF18-BF20-BF62-BF82),0)</f>
        <v>5.223848833097982E-2</v>
      </c>
      <c r="BG115" s="373"/>
      <c r="BH115" s="373"/>
      <c r="BI115" s="1170"/>
      <c r="BJ115" s="1170"/>
      <c r="BK115" s="480"/>
      <c r="BL115" s="1119">
        <f>IF((BL15+BL21+BL59-BL16-BL18-BL20-BL62-BL82)&gt;0,BL92/(BL15+BL21+BL59-BL16-BL18-BL20-BL62-BL82),0)</f>
        <v>5.0000312893071934E-2</v>
      </c>
      <c r="BM115" s="373"/>
      <c r="BN115" s="373"/>
      <c r="BO115" s="1170"/>
      <c r="BP115" s="1170"/>
      <c r="BQ115" s="480"/>
      <c r="BR115" s="940">
        <f t="shared" si="351"/>
        <v>0.99999258449352235</v>
      </c>
      <c r="BS115" s="542">
        <f t="shared" si="352"/>
        <v>0.99999263145038897</v>
      </c>
      <c r="BT115" s="1502">
        <f t="shared" si="417"/>
        <v>1.0000071790235268</v>
      </c>
      <c r="BU115" s="323">
        <f t="shared" si="418"/>
        <v>1.0000007695859621</v>
      </c>
      <c r="BV115" s="323">
        <f t="shared" si="419"/>
        <v>0.99999640304590109</v>
      </c>
      <c r="BW115" s="198">
        <f t="shared" si="420"/>
        <v>1.0000098548509853</v>
      </c>
      <c r="BX115" s="966"/>
    </row>
    <row r="116" spans="1:76" s="159" customFormat="1">
      <c r="A116" s="358" t="str">
        <f>IF(ISERROR(AB116/P116)," ",AB116/P116)</f>
        <v xml:space="preserve"> </v>
      </c>
      <c r="B116" s="1529"/>
      <c r="C116" s="1529"/>
      <c r="D116" s="377"/>
      <c r="E116" s="375"/>
      <c r="F116" s="375"/>
      <c r="G116" s="1172"/>
      <c r="H116" s="1172"/>
      <c r="I116" s="481"/>
      <c r="J116" s="377"/>
      <c r="K116" s="375"/>
      <c r="L116" s="375"/>
      <c r="M116" s="1172"/>
      <c r="N116" s="1172"/>
      <c r="O116" s="481"/>
      <c r="P116" s="377"/>
      <c r="Q116" s="375"/>
      <c r="R116" s="375"/>
      <c r="S116" s="1172"/>
      <c r="T116" s="1172"/>
      <c r="U116" s="481"/>
      <c r="V116" s="377"/>
      <c r="W116" s="375"/>
      <c r="X116" s="375"/>
      <c r="Y116" s="1172"/>
      <c r="Z116" s="1172"/>
      <c r="AA116" s="481"/>
      <c r="AB116" s="377"/>
      <c r="AC116" s="375"/>
      <c r="AD116" s="375"/>
      <c r="AE116" s="1172"/>
      <c r="AF116" s="1172"/>
      <c r="AG116" s="481"/>
      <c r="AH116" s="377"/>
      <c r="AI116" s="375"/>
      <c r="AJ116" s="375"/>
      <c r="AK116" s="1172"/>
      <c r="AL116" s="1172"/>
      <c r="AM116" s="481"/>
      <c r="AN116" s="377"/>
      <c r="AO116" s="375"/>
      <c r="AP116" s="375"/>
      <c r="AQ116" s="1172"/>
      <c r="AR116" s="1172"/>
      <c r="AS116" s="481"/>
      <c r="AT116" s="377"/>
      <c r="AU116" s="375"/>
      <c r="AV116" s="375"/>
      <c r="AW116" s="1172"/>
      <c r="AX116" s="1172"/>
      <c r="AY116" s="481"/>
      <c r="AZ116" s="377"/>
      <c r="BA116" s="375"/>
      <c r="BB116" s="375"/>
      <c r="BC116" s="1172"/>
      <c r="BD116" s="1172"/>
      <c r="BE116" s="481"/>
      <c r="BF116" s="377"/>
      <c r="BG116" s="375"/>
      <c r="BH116" s="375"/>
      <c r="BI116" s="1172"/>
      <c r="BJ116" s="1172"/>
      <c r="BK116" s="481"/>
      <c r="BL116" s="377"/>
      <c r="BM116" s="375"/>
      <c r="BN116" s="375"/>
      <c r="BO116" s="1172"/>
      <c r="BP116" s="1172"/>
      <c r="BQ116" s="481"/>
      <c r="BR116" s="1529"/>
      <c r="BS116" s="1529"/>
      <c r="BT116" s="1529"/>
      <c r="BU116" s="1529"/>
      <c r="BV116" s="1529"/>
      <c r="BW116" s="1530"/>
      <c r="BX116" s="979"/>
    </row>
    <row r="117" spans="1:76" ht="18.75">
      <c r="A117" s="160"/>
      <c r="B117" s="161" t="s">
        <v>152</v>
      </c>
      <c r="C117" s="1527" t="s">
        <v>13</v>
      </c>
      <c r="D117" s="169">
        <f>D118+D119</f>
        <v>26741</v>
      </c>
      <c r="E117" s="164"/>
      <c r="F117" s="164"/>
      <c r="G117" s="1174"/>
      <c r="H117" s="1174"/>
      <c r="I117" s="482"/>
      <c r="J117" s="169">
        <f>J118+J119</f>
        <v>26129.759999999998</v>
      </c>
      <c r="K117" s="164"/>
      <c r="L117" s="164"/>
      <c r="M117" s="1174"/>
      <c r="N117" s="1174"/>
      <c r="O117" s="482"/>
      <c r="P117" s="169">
        <f>P118+P119</f>
        <v>26741</v>
      </c>
      <c r="Q117" s="164"/>
      <c r="R117" s="164"/>
      <c r="S117" s="1174"/>
      <c r="T117" s="1174"/>
      <c r="U117" s="482"/>
      <c r="V117" s="169">
        <f>V118+V119</f>
        <v>26130</v>
      </c>
      <c r="W117" s="164"/>
      <c r="X117" s="164"/>
      <c r="Y117" s="1174"/>
      <c r="Z117" s="1174"/>
      <c r="AA117" s="482"/>
      <c r="AB117" s="169">
        <f>AB118+AB119</f>
        <v>26741</v>
      </c>
      <c r="AC117" s="164"/>
      <c r="AD117" s="164"/>
      <c r="AE117" s="1174"/>
      <c r="AF117" s="1174"/>
      <c r="AG117" s="482"/>
      <c r="AH117" s="169">
        <f>AH118+AH119</f>
        <v>26130</v>
      </c>
      <c r="AI117" s="164"/>
      <c r="AJ117" s="164"/>
      <c r="AK117" s="1174"/>
      <c r="AL117" s="1174"/>
      <c r="AM117" s="482"/>
      <c r="AN117" s="169">
        <f>AN118+AN119</f>
        <v>26741</v>
      </c>
      <c r="AO117" s="164"/>
      <c r="AP117" s="164"/>
      <c r="AQ117" s="1174"/>
      <c r="AR117" s="1174"/>
      <c r="AS117" s="482"/>
      <c r="AT117" s="169">
        <f>AT118+AT119</f>
        <v>26130</v>
      </c>
      <c r="AU117" s="164"/>
      <c r="AV117" s="164"/>
      <c r="AW117" s="1174"/>
      <c r="AX117" s="1174"/>
      <c r="AY117" s="482"/>
      <c r="AZ117" s="169">
        <f>AZ118+AZ119</f>
        <v>26741</v>
      </c>
      <c r="BA117" s="164"/>
      <c r="BB117" s="164"/>
      <c r="BC117" s="1174"/>
      <c r="BD117" s="1174"/>
      <c r="BE117" s="482"/>
      <c r="BF117" s="169">
        <f>BF118+BF119</f>
        <v>26130</v>
      </c>
      <c r="BG117" s="164"/>
      <c r="BH117" s="164"/>
      <c r="BI117" s="1174"/>
      <c r="BJ117" s="1174"/>
      <c r="BK117" s="482"/>
      <c r="BL117" s="169">
        <f>BL118+BL119</f>
        <v>26741</v>
      </c>
      <c r="BM117" s="164"/>
      <c r="BN117" s="164"/>
      <c r="BO117" s="1174"/>
      <c r="BP117" s="1174"/>
      <c r="BQ117" s="482"/>
      <c r="BR117" s="940">
        <f t="shared" si="351"/>
        <v>1.0233924842784625</v>
      </c>
      <c r="BS117" s="542">
        <f t="shared" si="352"/>
        <v>1</v>
      </c>
      <c r="BT117" s="1502">
        <f t="shared" si="417"/>
        <v>1</v>
      </c>
      <c r="BU117" s="323">
        <f t="shared" si="418"/>
        <v>1</v>
      </c>
      <c r="BV117" s="323">
        <f t="shared" si="419"/>
        <v>1</v>
      </c>
      <c r="BW117" s="198">
        <f t="shared" si="420"/>
        <v>1</v>
      </c>
    </row>
    <row r="118" spans="1:76" ht="18.75">
      <c r="A118" s="160"/>
      <c r="B118" s="161" t="s">
        <v>153</v>
      </c>
      <c r="C118" s="1527" t="s">
        <v>13</v>
      </c>
      <c r="D118" s="170"/>
      <c r="E118" s="162"/>
      <c r="F118" s="162"/>
      <c r="G118" s="1176"/>
      <c r="H118" s="1176"/>
      <c r="I118" s="483"/>
      <c r="J118" s="512"/>
      <c r="K118" s="162"/>
      <c r="L118" s="162"/>
      <c r="M118" s="1176"/>
      <c r="N118" s="1176"/>
      <c r="O118" s="483"/>
      <c r="P118" s="170">
        <f>[184]индексы!G83</f>
        <v>0</v>
      </c>
      <c r="Q118" s="162"/>
      <c r="R118" s="162"/>
      <c r="S118" s="1176"/>
      <c r="T118" s="1176"/>
      <c r="U118" s="483"/>
      <c r="V118" s="512"/>
      <c r="W118" s="162"/>
      <c r="X118" s="162"/>
      <c r="Y118" s="1176"/>
      <c r="Z118" s="1176"/>
      <c r="AA118" s="483"/>
      <c r="AB118" s="170">
        <f>[184]индексы!J83</f>
        <v>0</v>
      </c>
      <c r="AC118" s="162"/>
      <c r="AD118" s="162"/>
      <c r="AE118" s="1176"/>
      <c r="AF118" s="1176"/>
      <c r="AG118" s="483"/>
      <c r="AH118" s="512"/>
      <c r="AI118" s="162"/>
      <c r="AJ118" s="162"/>
      <c r="AK118" s="1176"/>
      <c r="AL118" s="1176"/>
      <c r="AM118" s="483"/>
      <c r="AN118" s="170">
        <f>[184]индексы!M83</f>
        <v>0</v>
      </c>
      <c r="AO118" s="162"/>
      <c r="AP118" s="162"/>
      <c r="AQ118" s="1176"/>
      <c r="AR118" s="1176"/>
      <c r="AS118" s="483"/>
      <c r="AT118" s="512"/>
      <c r="AU118" s="162"/>
      <c r="AV118" s="162"/>
      <c r="AW118" s="1176"/>
      <c r="AX118" s="1176"/>
      <c r="AY118" s="483"/>
      <c r="AZ118" s="170">
        <f>[184]индексы!P83</f>
        <v>0</v>
      </c>
      <c r="BA118" s="162"/>
      <c r="BB118" s="162"/>
      <c r="BC118" s="1176"/>
      <c r="BD118" s="1176"/>
      <c r="BE118" s="483"/>
      <c r="BF118" s="512"/>
      <c r="BG118" s="162"/>
      <c r="BH118" s="162"/>
      <c r="BI118" s="1176"/>
      <c r="BJ118" s="1176"/>
      <c r="BK118" s="483"/>
      <c r="BL118" s="170">
        <f>[184]индексы!S83</f>
        <v>0</v>
      </c>
      <c r="BM118" s="162"/>
      <c r="BN118" s="162"/>
      <c r="BO118" s="1176"/>
      <c r="BP118" s="1176"/>
      <c r="BQ118" s="483"/>
      <c r="BR118" s="940" t="str">
        <f t="shared" si="351"/>
        <v xml:space="preserve"> </v>
      </c>
      <c r="BS118" s="542" t="str">
        <f t="shared" si="352"/>
        <v xml:space="preserve"> </v>
      </c>
      <c r="BT118" s="1502" t="str">
        <f t="shared" si="417"/>
        <v xml:space="preserve"> </v>
      </c>
      <c r="BU118" s="323" t="str">
        <f t="shared" si="418"/>
        <v xml:space="preserve"> </v>
      </c>
      <c r="BV118" s="323" t="str">
        <f t="shared" si="419"/>
        <v xml:space="preserve"> </v>
      </c>
      <c r="BW118" s="198" t="str">
        <f t="shared" si="420"/>
        <v xml:space="preserve"> </v>
      </c>
    </row>
    <row r="119" spans="1:76" ht="18.75">
      <c r="A119" s="160"/>
      <c r="B119" s="161" t="s">
        <v>154</v>
      </c>
      <c r="C119" s="1527" t="s">
        <v>13</v>
      </c>
      <c r="D119" s="170">
        <v>26741</v>
      </c>
      <c r="E119" s="162"/>
      <c r="F119" s="162"/>
      <c r="G119" s="1176"/>
      <c r="H119" s="1176"/>
      <c r="I119" s="483"/>
      <c r="J119" s="512">
        <v>26129.759999999998</v>
      </c>
      <c r="K119" s="162"/>
      <c r="L119" s="162"/>
      <c r="M119" s="1176"/>
      <c r="N119" s="1176"/>
      <c r="O119" s="483"/>
      <c r="P119" s="170">
        <f>[184]индексы!G89</f>
        <v>26741</v>
      </c>
      <c r="Q119" s="162"/>
      <c r="R119" s="162"/>
      <c r="S119" s="1176"/>
      <c r="T119" s="1176"/>
      <c r="U119" s="483"/>
      <c r="V119" s="512">
        <v>26130</v>
      </c>
      <c r="W119" s="162"/>
      <c r="X119" s="162"/>
      <c r="Y119" s="1176"/>
      <c r="Z119" s="1176"/>
      <c r="AA119" s="483"/>
      <c r="AB119" s="170">
        <f>[184]индексы!J89</f>
        <v>26741</v>
      </c>
      <c r="AC119" s="162"/>
      <c r="AD119" s="162"/>
      <c r="AE119" s="1176"/>
      <c r="AF119" s="1176"/>
      <c r="AG119" s="483"/>
      <c r="AH119" s="512">
        <f>V119</f>
        <v>26130</v>
      </c>
      <c r="AI119" s="162"/>
      <c r="AJ119" s="162"/>
      <c r="AK119" s="1176"/>
      <c r="AL119" s="1176"/>
      <c r="AM119" s="483"/>
      <c r="AN119" s="170">
        <f>[184]индексы!M89</f>
        <v>26741</v>
      </c>
      <c r="AO119" s="162"/>
      <c r="AP119" s="162"/>
      <c r="AQ119" s="1176"/>
      <c r="AR119" s="1176"/>
      <c r="AS119" s="483"/>
      <c r="AT119" s="512">
        <v>26130</v>
      </c>
      <c r="AU119" s="162"/>
      <c r="AV119" s="162"/>
      <c r="AW119" s="1176"/>
      <c r="AX119" s="1176"/>
      <c r="AY119" s="483"/>
      <c r="AZ119" s="170">
        <f>[184]индексы!P89</f>
        <v>26741</v>
      </c>
      <c r="BA119" s="162"/>
      <c r="BB119" s="162"/>
      <c r="BC119" s="1176"/>
      <c r="BD119" s="1176"/>
      <c r="BE119" s="483"/>
      <c r="BF119" s="512">
        <f>AT119</f>
        <v>26130</v>
      </c>
      <c r="BG119" s="162"/>
      <c r="BH119" s="162"/>
      <c r="BI119" s="1176"/>
      <c r="BJ119" s="1176"/>
      <c r="BK119" s="483"/>
      <c r="BL119" s="170">
        <f>[184]индексы!S89</f>
        <v>26741</v>
      </c>
      <c r="BM119" s="162"/>
      <c r="BN119" s="162"/>
      <c r="BO119" s="1176"/>
      <c r="BP119" s="1176"/>
      <c r="BQ119" s="483"/>
      <c r="BR119" s="940">
        <f t="shared" si="351"/>
        <v>1.0233924842784625</v>
      </c>
      <c r="BS119" s="542">
        <f t="shared" si="352"/>
        <v>1</v>
      </c>
      <c r="BT119" s="1502">
        <f t="shared" si="417"/>
        <v>1</v>
      </c>
      <c r="BU119" s="323">
        <f t="shared" si="418"/>
        <v>1</v>
      </c>
      <c r="BV119" s="323">
        <f t="shared" si="419"/>
        <v>1</v>
      </c>
      <c r="BW119" s="198">
        <f t="shared" si="420"/>
        <v>1</v>
      </c>
    </row>
    <row r="120" spans="1:76" ht="18.75">
      <c r="A120" s="160"/>
      <c r="B120" s="161" t="s">
        <v>155</v>
      </c>
      <c r="C120" s="1527" t="s">
        <v>13</v>
      </c>
      <c r="D120" s="170">
        <v>272.83999999999997</v>
      </c>
      <c r="E120" s="162"/>
      <c r="F120" s="162"/>
      <c r="G120" s="1176"/>
      <c r="H120" s="1176"/>
      <c r="I120" s="483"/>
      <c r="J120" s="512">
        <v>266.55</v>
      </c>
      <c r="K120" s="162"/>
      <c r="L120" s="162"/>
      <c r="M120" s="1176"/>
      <c r="N120" s="1176"/>
      <c r="O120" s="483"/>
      <c r="P120" s="170">
        <v>272.83999999999997</v>
      </c>
      <c r="Q120" s="162"/>
      <c r="R120" s="162"/>
      <c r="S120" s="1176"/>
      <c r="T120" s="1176"/>
      <c r="U120" s="483"/>
      <c r="V120" s="512">
        <v>266</v>
      </c>
      <c r="W120" s="162"/>
      <c r="X120" s="162"/>
      <c r="Y120" s="1176"/>
      <c r="Z120" s="1176"/>
      <c r="AA120" s="483"/>
      <c r="AB120" s="170">
        <f>P120</f>
        <v>272.83999999999997</v>
      </c>
      <c r="AC120" s="162"/>
      <c r="AD120" s="162"/>
      <c r="AE120" s="1176"/>
      <c r="AF120" s="1176"/>
      <c r="AG120" s="483"/>
      <c r="AH120" s="512">
        <f>V120</f>
        <v>266</v>
      </c>
      <c r="AI120" s="162"/>
      <c r="AJ120" s="162"/>
      <c r="AK120" s="1176"/>
      <c r="AL120" s="1176"/>
      <c r="AM120" s="483"/>
      <c r="AN120" s="170">
        <f>AB120</f>
        <v>272.83999999999997</v>
      </c>
      <c r="AO120" s="162"/>
      <c r="AP120" s="162"/>
      <c r="AQ120" s="1176"/>
      <c r="AR120" s="1176"/>
      <c r="AS120" s="483"/>
      <c r="AT120" s="512">
        <v>266</v>
      </c>
      <c r="AU120" s="162"/>
      <c r="AV120" s="162"/>
      <c r="AW120" s="1176"/>
      <c r="AX120" s="1176"/>
      <c r="AY120" s="483"/>
      <c r="AZ120" s="170">
        <f>AN120</f>
        <v>272.83999999999997</v>
      </c>
      <c r="BA120" s="162"/>
      <c r="BB120" s="162"/>
      <c r="BC120" s="1176"/>
      <c r="BD120" s="1176"/>
      <c r="BE120" s="483"/>
      <c r="BF120" s="512">
        <f>AT120</f>
        <v>266</v>
      </c>
      <c r="BG120" s="162"/>
      <c r="BH120" s="162"/>
      <c r="BI120" s="1176"/>
      <c r="BJ120" s="1176"/>
      <c r="BK120" s="483"/>
      <c r="BL120" s="170">
        <f>AZ120</f>
        <v>272.83999999999997</v>
      </c>
      <c r="BM120" s="162"/>
      <c r="BN120" s="162"/>
      <c r="BO120" s="1176"/>
      <c r="BP120" s="1176"/>
      <c r="BQ120" s="483"/>
      <c r="BR120" s="940">
        <f t="shared" si="351"/>
        <v>1.0235978240480208</v>
      </c>
      <c r="BS120" s="542">
        <f t="shared" si="352"/>
        <v>1</v>
      </c>
      <c r="BT120" s="1502">
        <f t="shared" si="417"/>
        <v>1</v>
      </c>
      <c r="BU120" s="323">
        <f t="shared" si="418"/>
        <v>1</v>
      </c>
      <c r="BV120" s="323">
        <f t="shared" si="419"/>
        <v>1</v>
      </c>
      <c r="BW120" s="198">
        <f t="shared" si="420"/>
        <v>1</v>
      </c>
    </row>
    <row r="121" spans="1:76" ht="18.75" outlineLevel="1">
      <c r="A121" s="160"/>
      <c r="B121" s="161" t="s">
        <v>75</v>
      </c>
      <c r="C121" s="1527" t="s">
        <v>76</v>
      </c>
      <c r="D121" s="357"/>
      <c r="E121" s="164"/>
      <c r="F121" s="164"/>
      <c r="G121" s="1177"/>
      <c r="H121" s="1177">
        <v>101888</v>
      </c>
      <c r="I121" s="484"/>
      <c r="J121" s="513"/>
      <c r="K121" s="501"/>
      <c r="L121" s="501"/>
      <c r="M121" s="1531"/>
      <c r="N121" s="1531">
        <v>10334.290000000001</v>
      </c>
      <c r="O121" s="502"/>
      <c r="P121" s="357"/>
      <c r="Q121" s="164"/>
      <c r="R121" s="164"/>
      <c r="S121" s="1177"/>
      <c r="T121" s="1177">
        <v>101888</v>
      </c>
      <c r="U121" s="484"/>
      <c r="V121" s="513"/>
      <c r="W121" s="501"/>
      <c r="X121" s="501"/>
      <c r="Y121" s="1531"/>
      <c r="Z121" s="1531">
        <f>N121</f>
        <v>10334.290000000001</v>
      </c>
      <c r="AA121" s="502"/>
      <c r="AB121" s="357"/>
      <c r="AC121" s="164"/>
      <c r="AD121" s="164"/>
      <c r="AE121" s="1177"/>
      <c r="AF121" s="1177">
        <f>AR121</f>
        <v>101888</v>
      </c>
      <c r="AG121" s="484"/>
      <c r="AH121" s="513"/>
      <c r="AI121" s="501"/>
      <c r="AJ121" s="501"/>
      <c r="AK121" s="1531"/>
      <c r="AL121" s="1531">
        <f>Z121</f>
        <v>10334.290000000001</v>
      </c>
      <c r="AM121" s="502"/>
      <c r="AN121" s="357"/>
      <c r="AO121" s="164"/>
      <c r="AP121" s="164"/>
      <c r="AQ121" s="1177"/>
      <c r="AR121" s="1177">
        <f>BD121</f>
        <v>101888</v>
      </c>
      <c r="AS121" s="484"/>
      <c r="AT121" s="513"/>
      <c r="AU121" s="501"/>
      <c r="AV121" s="501"/>
      <c r="AW121" s="1531"/>
      <c r="AX121" s="1531">
        <f>AL121</f>
        <v>10334.290000000001</v>
      </c>
      <c r="AY121" s="502"/>
      <c r="AZ121" s="357"/>
      <c r="BA121" s="164"/>
      <c r="BB121" s="164"/>
      <c r="BC121" s="1177"/>
      <c r="BD121" s="1177">
        <f>BP121</f>
        <v>101888</v>
      </c>
      <c r="BE121" s="484"/>
      <c r="BF121" s="513"/>
      <c r="BG121" s="501"/>
      <c r="BH121" s="501"/>
      <c r="BI121" s="1531"/>
      <c r="BJ121" s="1531">
        <f>AX121</f>
        <v>10334.290000000001</v>
      </c>
      <c r="BK121" s="502"/>
      <c r="BL121" s="357"/>
      <c r="BM121" s="164"/>
      <c r="BN121" s="164"/>
      <c r="BO121" s="1177"/>
      <c r="BP121" s="1177">
        <f>T121</f>
        <v>101888</v>
      </c>
      <c r="BQ121" s="484"/>
      <c r="BR121" s="940" t="str">
        <f t="shared" si="351"/>
        <v xml:space="preserve"> </v>
      </c>
      <c r="BS121" s="542" t="str">
        <f t="shared" si="352"/>
        <v xml:space="preserve"> </v>
      </c>
      <c r="BT121" s="1502" t="str">
        <f t="shared" si="417"/>
        <v xml:space="preserve"> </v>
      </c>
      <c r="BU121" s="323" t="str">
        <f t="shared" si="418"/>
        <v xml:space="preserve"> </v>
      </c>
      <c r="BV121" s="323" t="str">
        <f t="shared" si="419"/>
        <v xml:space="preserve"> </v>
      </c>
      <c r="BW121" s="198" t="str">
        <f t="shared" si="420"/>
        <v xml:space="preserve"> </v>
      </c>
    </row>
    <row r="122" spans="1:76" ht="18.75">
      <c r="A122" s="160"/>
      <c r="B122" s="161" t="s">
        <v>156</v>
      </c>
      <c r="C122" s="1527" t="s">
        <v>1</v>
      </c>
      <c r="D122" s="171">
        <f>ROUND(E124*D120/1000,2)</f>
        <v>264.83</v>
      </c>
      <c r="E122" s="164"/>
      <c r="F122" s="164"/>
      <c r="G122" s="1174"/>
      <c r="H122" s="1174"/>
      <c r="I122" s="482"/>
      <c r="J122" s="169">
        <f>ROUND(K124*J120/1000,2)</f>
        <v>302.81</v>
      </c>
      <c r="K122" s="501"/>
      <c r="L122" s="501"/>
      <c r="M122" s="1532"/>
      <c r="N122" s="1532"/>
      <c r="O122" s="503"/>
      <c r="P122" s="171">
        <f>ROUND(Q124*P120/1000,2)</f>
        <v>276.56</v>
      </c>
      <c r="Q122" s="164"/>
      <c r="R122" s="164"/>
      <c r="S122" s="1174"/>
      <c r="T122" s="1174"/>
      <c r="U122" s="482"/>
      <c r="V122" s="169">
        <f>ROUND(W124*V120/1000,2)</f>
        <v>320.35000000000002</v>
      </c>
      <c r="W122" s="501"/>
      <c r="X122" s="501"/>
      <c r="Y122" s="1532"/>
      <c r="Z122" s="1532"/>
      <c r="AA122" s="503"/>
      <c r="AB122" s="171">
        <f>ROUND(AC124*AB120/1000,2)</f>
        <v>283.19</v>
      </c>
      <c r="AC122" s="164"/>
      <c r="AD122" s="164"/>
      <c r="AE122" s="1174"/>
      <c r="AF122" s="1174"/>
      <c r="AG122" s="482"/>
      <c r="AH122" s="169">
        <f>ROUND(AI124*AH120/1000,2)</f>
        <v>333.33</v>
      </c>
      <c r="AI122" s="501"/>
      <c r="AJ122" s="501"/>
      <c r="AK122" s="1532"/>
      <c r="AL122" s="1532"/>
      <c r="AM122" s="503"/>
      <c r="AN122" s="171">
        <f>ROUND(AO124*AN120/1000,2)</f>
        <v>289.54000000000002</v>
      </c>
      <c r="AO122" s="164"/>
      <c r="AP122" s="164"/>
      <c r="AQ122" s="1174"/>
      <c r="AR122" s="1174"/>
      <c r="AS122" s="482"/>
      <c r="AT122" s="169">
        <f>ROUND(AU124*AT120/1000,2)</f>
        <v>346.48</v>
      </c>
      <c r="AU122" s="501"/>
      <c r="AV122" s="501"/>
      <c r="AW122" s="1532"/>
      <c r="AX122" s="1532"/>
      <c r="AY122" s="503"/>
      <c r="AZ122" s="171">
        <f>ROUND(BA124*AZ120/1000,2)</f>
        <v>300.01</v>
      </c>
      <c r="BA122" s="164"/>
      <c r="BB122" s="164"/>
      <c r="BC122" s="1174"/>
      <c r="BD122" s="1174"/>
      <c r="BE122" s="482"/>
      <c r="BF122" s="169">
        <f>ROUND(BG124*BF120/1000,2)</f>
        <v>361.33</v>
      </c>
      <c r="BG122" s="501"/>
      <c r="BH122" s="501"/>
      <c r="BI122" s="1532"/>
      <c r="BJ122" s="1532"/>
      <c r="BK122" s="503"/>
      <c r="BL122" s="171">
        <f>ROUND(BM124*BL120/1000,2)</f>
        <v>309.12</v>
      </c>
      <c r="BM122" s="164"/>
      <c r="BN122" s="164"/>
      <c r="BO122" s="1174"/>
      <c r="BP122" s="1174"/>
      <c r="BQ122" s="482"/>
      <c r="BR122" s="940">
        <f t="shared" si="351"/>
        <v>0.91331197780786633</v>
      </c>
      <c r="BS122" s="542">
        <f t="shared" si="352"/>
        <v>1.044292565041725</v>
      </c>
      <c r="BT122" s="1502">
        <f t="shared" si="417"/>
        <v>1.0239730980619033</v>
      </c>
      <c r="BU122" s="323">
        <f t="shared" si="418"/>
        <v>1.022423108160599</v>
      </c>
      <c r="BV122" s="323">
        <f t="shared" si="419"/>
        <v>1.0361608067969883</v>
      </c>
      <c r="BW122" s="198">
        <f t="shared" si="420"/>
        <v>1.0303656544781841</v>
      </c>
    </row>
    <row r="123" spans="1:76" ht="18.75">
      <c r="A123" s="160"/>
      <c r="B123" s="161" t="s">
        <v>157</v>
      </c>
      <c r="C123" s="1527" t="s">
        <v>1</v>
      </c>
      <c r="D123" s="171">
        <f>F99+D122</f>
        <v>2466.0744513</v>
      </c>
      <c r="E123" s="164"/>
      <c r="F123" s="164"/>
      <c r="G123" s="1174"/>
      <c r="H123" s="1174"/>
      <c r="I123" s="482"/>
      <c r="J123" s="169">
        <f>L99+J122</f>
        <v>3588.5467572146686</v>
      </c>
      <c r="K123" s="501"/>
      <c r="L123" s="501"/>
      <c r="M123" s="1532"/>
      <c r="N123" s="1532"/>
      <c r="O123" s="503"/>
      <c r="P123" s="171">
        <f>R99+P122</f>
        <v>2930.0320000000002</v>
      </c>
      <c r="Q123" s="164"/>
      <c r="R123" s="164"/>
      <c r="S123" s="1174"/>
      <c r="T123" s="1174"/>
      <c r="U123" s="482"/>
      <c r="V123" s="169">
        <f>X99+V122</f>
        <v>3181.8555040000006</v>
      </c>
      <c r="W123" s="501"/>
      <c r="X123" s="501"/>
      <c r="Y123" s="1532"/>
      <c r="Z123" s="1532"/>
      <c r="AA123" s="503"/>
      <c r="AB123" s="171">
        <f>AD99+AB122</f>
        <v>2999.4500000000003</v>
      </c>
      <c r="AC123" s="164"/>
      <c r="AD123" s="164"/>
      <c r="AE123" s="1174"/>
      <c r="AF123" s="1174"/>
      <c r="AG123" s="482"/>
      <c r="AH123" s="169">
        <f>AJ99+AH122</f>
        <v>3279.5360669184006</v>
      </c>
      <c r="AI123" s="501"/>
      <c r="AJ123" s="501"/>
      <c r="AK123" s="1532"/>
      <c r="AL123" s="1532"/>
      <c r="AM123" s="503"/>
      <c r="AN123" s="171">
        <f>AP99+AN122</f>
        <v>3086.2</v>
      </c>
      <c r="AO123" s="164"/>
      <c r="AP123" s="164"/>
      <c r="AQ123" s="1174"/>
      <c r="AR123" s="1174"/>
      <c r="AS123" s="482"/>
      <c r="AT123" s="169">
        <f>AV99+AT122</f>
        <v>3379.8937664991859</v>
      </c>
      <c r="AU123" s="501"/>
      <c r="AV123" s="501"/>
      <c r="AW123" s="1532"/>
      <c r="AX123" s="1532"/>
      <c r="AY123" s="503"/>
      <c r="AZ123" s="171">
        <f>BB99+AZ122</f>
        <v>3179.45</v>
      </c>
      <c r="BA123" s="164"/>
      <c r="BB123" s="164"/>
      <c r="BC123" s="1174"/>
      <c r="BD123" s="1174"/>
      <c r="BE123" s="482"/>
      <c r="BF123" s="169">
        <f>BH99+BF122</f>
        <v>3484.5328139875614</v>
      </c>
      <c r="BG123" s="501"/>
      <c r="BH123" s="501"/>
      <c r="BI123" s="1532"/>
      <c r="BJ123" s="1532"/>
      <c r="BK123" s="503"/>
      <c r="BL123" s="171">
        <f>BN99+BL122</f>
        <v>3273.79</v>
      </c>
      <c r="BM123" s="164"/>
      <c r="BN123" s="164"/>
      <c r="BO123" s="1174"/>
      <c r="BP123" s="1174"/>
      <c r="BQ123" s="482"/>
      <c r="BR123" s="940">
        <f t="shared" si="351"/>
        <v>0.81649542230688688</v>
      </c>
      <c r="BS123" s="542">
        <f t="shared" si="352"/>
        <v>1.1881360672040633</v>
      </c>
      <c r="BT123" s="1502">
        <f t="shared" si="417"/>
        <v>1.023691891419616</v>
      </c>
      <c r="BU123" s="323">
        <f t="shared" si="418"/>
        <v>1.028921969027655</v>
      </c>
      <c r="BV123" s="323">
        <f t="shared" si="419"/>
        <v>1.0302151513187738</v>
      </c>
      <c r="BW123" s="198">
        <f t="shared" si="420"/>
        <v>1.0296717985815158</v>
      </c>
    </row>
    <row r="124" spans="1:76" s="176" customFormat="1" ht="20.25" thickBot="1">
      <c r="A124" s="172"/>
      <c r="B124" s="173" t="s">
        <v>158</v>
      </c>
      <c r="C124" s="1533" t="s">
        <v>12</v>
      </c>
      <c r="D124" s="1534">
        <f>E124+F124</f>
        <v>1062.8510405909969</v>
      </c>
      <c r="E124" s="1535">
        <f>IF((D117+D120)&gt;0,(E99)*1000/(D117+D120),0)</f>
        <v>970.63031394277891</v>
      </c>
      <c r="F124" s="1535">
        <f>IF(D119&gt;0,D123*1000/D119,0)</f>
        <v>92.22072664821809</v>
      </c>
      <c r="G124" s="1536"/>
      <c r="H124" s="1536"/>
      <c r="I124" s="1040"/>
      <c r="J124" s="1537">
        <f>K124+L124</f>
        <v>1273.3826810707492</v>
      </c>
      <c r="K124" s="1538">
        <f>IF((J117+J120)&gt;0,(K99)*1000/(J117+J120),0)</f>
        <v>1136.0470623274209</v>
      </c>
      <c r="L124" s="1538">
        <f>IF(J119&gt;0,J123*1000/J119,0)</f>
        <v>137.33561874332827</v>
      </c>
      <c r="M124" s="1539"/>
      <c r="N124" s="1539"/>
      <c r="O124" s="1058"/>
      <c r="P124" s="1534">
        <f>Q124+R124</f>
        <v>1123.21</v>
      </c>
      <c r="Q124" s="1535">
        <f>ROUND(IF((P117+P120)&gt;0,(Q99)*1000/(P117+P120),0),2)</f>
        <v>1013.64</v>
      </c>
      <c r="R124" s="1535">
        <f>ROUND(IF(P119&gt;0,P123*1000/P119,0),2)</f>
        <v>109.57</v>
      </c>
      <c r="S124" s="1536"/>
      <c r="T124" s="1536"/>
      <c r="U124" s="1040"/>
      <c r="V124" s="514">
        <f>W124+X124</f>
        <v>1326.09166812934</v>
      </c>
      <c r="W124" s="504">
        <f>IF((V117+V120)&gt;0,(W99)*1000/(V117+V120),2)</f>
        <v>1204.3214613172465</v>
      </c>
      <c r="X124" s="504">
        <f>IF(V119&gt;0,V123*1000/V119,0)</f>
        <v>121.77020681209341</v>
      </c>
      <c r="Y124" s="1540"/>
      <c r="Z124" s="1540"/>
      <c r="AA124" s="505"/>
      <c r="AB124" s="174">
        <f>AC124+AD124</f>
        <v>1150.102449901121</v>
      </c>
      <c r="AC124" s="175">
        <f>IF((AB117+AB120)&gt;0,(AC99)*1000/(AB117+AB120),0)</f>
        <v>1037.9357396060684</v>
      </c>
      <c r="AD124" s="175">
        <f>IF(AB119&gt;0,AB123*1000/AB119,0)</f>
        <v>112.16671029505255</v>
      </c>
      <c r="AE124" s="1179"/>
      <c r="AF124" s="1179"/>
      <c r="AG124" s="485"/>
      <c r="AH124" s="514">
        <f>AI124+AJ124</f>
        <v>1378.6236971031872</v>
      </c>
      <c r="AI124" s="504">
        <f>IF((AH117+AH120)&gt;0,(AI99)*1000/(AH117+AH120),0)</f>
        <v>1253.1152368307646</v>
      </c>
      <c r="AJ124" s="504">
        <f>IF(AH119&gt;0,AH123*1000/AH119,0)</f>
        <v>125.50846027242252</v>
      </c>
      <c r="AK124" s="1540"/>
      <c r="AL124" s="1540"/>
      <c r="AM124" s="505"/>
      <c r="AN124" s="174">
        <f>AO124+AP124</f>
        <v>1176.6212682314999</v>
      </c>
      <c r="AO124" s="175">
        <f>IF((AN117+AN120)&gt;0,(AO99)*1000/(AN117+AN120),0)</f>
        <v>1061.2104758153598</v>
      </c>
      <c r="AP124" s="175">
        <f>IF(AN119&gt;0,AN123*1000/AN119,0)</f>
        <v>115.41079241614001</v>
      </c>
      <c r="AQ124" s="1179"/>
      <c r="AR124" s="1179"/>
      <c r="AS124" s="485"/>
      <c r="AT124" s="514">
        <f>AU124+AV124</f>
        <v>1431.9181091401658</v>
      </c>
      <c r="AU124" s="504">
        <f>IF((AT117+AT120)&gt;0,(AU99)*1000/(AT117+AT120),2)</f>
        <v>1302.5689408853175</v>
      </c>
      <c r="AV124" s="504">
        <f>IF(AT119&gt;0,AT123*1000/AT119,0)</f>
        <v>129.34916825484831</v>
      </c>
      <c r="AW124" s="1540"/>
      <c r="AX124" s="1540"/>
      <c r="AY124" s="505"/>
      <c r="AZ124" s="174">
        <f>BA124+BB124</f>
        <v>1218.4931914845154</v>
      </c>
      <c r="BA124" s="175">
        <f>IF((AZ117+AZ120)&gt;0,(BA99)*1000/(AZ117+AZ120),0)</f>
        <v>1099.595244511702</v>
      </c>
      <c r="BB124" s="175">
        <f>IF(AZ119&gt;0,AZ123*1000/AZ119,0)</f>
        <v>118.89794697281329</v>
      </c>
      <c r="BC124" s="1179"/>
      <c r="BD124" s="1179"/>
      <c r="BE124" s="485"/>
      <c r="BF124" s="514">
        <f>BG124+BH124</f>
        <v>1491.7463057583302</v>
      </c>
      <c r="BG124" s="504">
        <f>IF((BF117+BF120)&gt;0,(BG99)*1000/(BF117+BF120),0)</f>
        <v>1358.3925815337775</v>
      </c>
      <c r="BH124" s="504">
        <f>IF(BF119&gt;0,BF123*1000/BF119,0)</f>
        <v>133.35372422455268</v>
      </c>
      <c r="BI124" s="1540"/>
      <c r="BJ124" s="1540"/>
      <c r="BK124" s="505"/>
      <c r="BL124" s="174">
        <f>BM124+BN124</f>
        <v>1255.4039955976482</v>
      </c>
      <c r="BM124" s="175">
        <f>IF((BL117+BL120)&gt;0,(BM99)*1000/(BL117+BL120),0)</f>
        <v>1132.978132690502</v>
      </c>
      <c r="BN124" s="175">
        <f>IF(BL119&gt;0,BL123*1000/BL119,0)</f>
        <v>122.42586290714632</v>
      </c>
      <c r="BO124" s="1179"/>
      <c r="BP124" s="1179"/>
      <c r="BQ124" s="485"/>
      <c r="BR124" s="940">
        <f t="shared" si="351"/>
        <v>0.88206790990397843</v>
      </c>
      <c r="BS124" s="542">
        <f t="shared" si="352"/>
        <v>1.0567896695810173</v>
      </c>
      <c r="BT124" s="1541">
        <f t="shared" si="417"/>
        <v>1.0239424950820604</v>
      </c>
      <c r="BU124" s="326">
        <f t="shared" si="418"/>
        <v>1.0230577878802527</v>
      </c>
      <c r="BV124" s="326">
        <f t="shared" si="419"/>
        <v>1.0355865769075807</v>
      </c>
      <c r="BW124" s="327">
        <f t="shared" si="420"/>
        <v>1.0302921709953616</v>
      </c>
      <c r="BX124" s="966"/>
    </row>
    <row r="125" spans="1:76" s="176" customFormat="1" ht="20.25" outlineLevel="1" thickBot="1">
      <c r="A125" s="172"/>
      <c r="B125" s="173" t="s">
        <v>260</v>
      </c>
      <c r="C125" s="1533" t="s">
        <v>53</v>
      </c>
      <c r="D125" s="1072"/>
      <c r="E125" s="1073"/>
      <c r="F125" s="1073"/>
      <c r="G125" s="1074">
        <f>IF(G121&gt;0,G99/G121*1000,0)</f>
        <v>0</v>
      </c>
      <c r="H125" s="1074">
        <f t="shared" ref="H125" si="518">IF(H121&gt;0,H99/H121*1000,0)</f>
        <v>24.663846576633166</v>
      </c>
      <c r="I125" s="1075">
        <f>IF(I121&gt;0,I99/I121*1000,0)</f>
        <v>0</v>
      </c>
      <c r="J125" s="1083"/>
      <c r="K125" s="1084"/>
      <c r="L125" s="1084"/>
      <c r="M125" s="1085">
        <f>IF(M121&gt;0,M99/M121*1000,0)</f>
        <v>0</v>
      </c>
      <c r="N125" s="1085">
        <f t="shared" ref="N125" si="519">IF(N121&gt;0,N99/N121*1000,0)</f>
        <v>38.166112717951599</v>
      </c>
      <c r="O125" s="1086">
        <f>IF(O121&gt;0,O99/O121*1000,0)</f>
        <v>0</v>
      </c>
      <c r="P125" s="1072"/>
      <c r="Q125" s="1073"/>
      <c r="R125" s="1073"/>
      <c r="S125" s="1074">
        <f>IF(S121&gt;0,S99/S121*1000,0)</f>
        <v>0</v>
      </c>
      <c r="T125" s="1074">
        <f t="shared" ref="T125" si="520">IF(T121&gt;0,T99/T121*1000,0)</f>
        <v>26.433633008793972</v>
      </c>
      <c r="U125" s="1075">
        <f>IF(U121&gt;0,U99/U121*1000,0)</f>
        <v>0</v>
      </c>
      <c r="V125" s="1083"/>
      <c r="W125" s="1084"/>
      <c r="X125" s="1084"/>
      <c r="Y125" s="1090">
        <f>IF(Y121&gt;0,Y99/Y121*1000,0)</f>
        <v>0</v>
      </c>
      <c r="Z125" s="1090">
        <f t="shared" ref="Z125" si="521">IF(Z121&gt;0,Z99/Z121*1000,0)</f>
        <v>42.318589829328559</v>
      </c>
      <c r="AA125" s="1091">
        <f>IF(AA121&gt;0,AA99/AA121*1000,0)</f>
        <v>0</v>
      </c>
      <c r="AB125" s="1072"/>
      <c r="AC125" s="1073"/>
      <c r="AD125" s="1073"/>
      <c r="AE125" s="1180">
        <f>IF(AE121&gt;0,AE99/AE121*1000,0)</f>
        <v>0</v>
      </c>
      <c r="AF125" s="1181">
        <f t="shared" ref="AF125" si="522">IF(AF121&gt;0,AF99/AF121*1000,0)</f>
        <v>28.659901067839193</v>
      </c>
      <c r="AG125" s="1182">
        <f>IF(AG121&gt;0,AG99/AG121*1000,0)</f>
        <v>0</v>
      </c>
      <c r="AH125" s="1083"/>
      <c r="AI125" s="1084"/>
      <c r="AJ125" s="1084"/>
      <c r="AK125" s="1090">
        <f>IF(AK121&gt;0,AK99/AK121*1000,0)</f>
        <v>0</v>
      </c>
      <c r="AL125" s="1090">
        <f t="shared" ref="AL125" si="523">IF(AL121&gt;0,AL99/AL121*1000,0)</f>
        <v>46.992973639571936</v>
      </c>
      <c r="AM125" s="571">
        <f>IF(AM121&gt;0,AM99/AM121*1000,0)</f>
        <v>0</v>
      </c>
      <c r="AN125" s="567"/>
      <c r="AO125" s="568"/>
      <c r="AP125" s="568"/>
      <c r="AQ125" s="1542">
        <f>IF(AQ121&gt;0,AQ99/AQ121*1000,0)</f>
        <v>0</v>
      </c>
      <c r="AR125" s="1543">
        <f t="shared" ref="AR125" si="524">IF(AR121&gt;0,AR99/AR121*1000,0)</f>
        <v>30.315248115577891</v>
      </c>
      <c r="AS125" s="570">
        <f>IF(AS121&gt;0,AS99/AS121*1000,0)</f>
        <v>0</v>
      </c>
      <c r="AT125" s="1083"/>
      <c r="AU125" s="1084"/>
      <c r="AV125" s="1084"/>
      <c r="AW125" s="1090">
        <f>IF(AW121&gt;0,AW99/AW121*1000,0)</f>
        <v>0</v>
      </c>
      <c r="AX125" s="1090">
        <f t="shared" ref="AX125" si="525">IF(AX121&gt;0,AX99/AX121*1000,0)</f>
        <v>51.909056622543432</v>
      </c>
      <c r="AY125" s="571">
        <f>IF(AY121&gt;0,AY99/AY121*1000,0)</f>
        <v>0</v>
      </c>
      <c r="AZ125" s="567"/>
      <c r="BA125" s="568"/>
      <c r="BB125" s="568"/>
      <c r="BC125" s="1542">
        <f>IF(BC121&gt;0,BC99/BC121*1000,0)</f>
        <v>0</v>
      </c>
      <c r="BD125" s="1543">
        <f t="shared" ref="BD125" si="526">IF(BD121&gt;0,BD99/BD121*1000,0)</f>
        <v>31.526970791457291</v>
      </c>
      <c r="BE125" s="570">
        <f>IF(BE121&gt;0,BE99/BE121*1000,0)</f>
        <v>0</v>
      </c>
      <c r="BF125" s="1083"/>
      <c r="BG125" s="1084"/>
      <c r="BH125" s="1084"/>
      <c r="BI125" s="1090">
        <f>IF(BI121&gt;0,BI99/BI121*1000,0)</f>
        <v>0</v>
      </c>
      <c r="BJ125" s="1090">
        <f t="shared" ref="BJ125" si="527">IF(BJ121&gt;0,BJ99/BJ121*1000,0)</f>
        <v>57.564523832047072</v>
      </c>
      <c r="BK125" s="571">
        <f>IF(BK121&gt;0,BK99/BK121*1000,0)</f>
        <v>0</v>
      </c>
      <c r="BL125" s="567"/>
      <c r="BM125" s="568"/>
      <c r="BN125" s="568"/>
      <c r="BO125" s="1542">
        <f>IF(BO121&gt;0,BO99/BO121*1000,0)</f>
        <v>0</v>
      </c>
      <c r="BP125" s="1543">
        <f t="shared" ref="BP125" si="528">IF(BP121&gt;0,BP99/BP121*1000,0)</f>
        <v>32.784135521356781</v>
      </c>
      <c r="BQ125" s="570">
        <f>IF(BQ121&gt;0,BQ99/BQ121*1000,0)</f>
        <v>0</v>
      </c>
      <c r="BR125" s="940" t="str">
        <f t="shared" si="351"/>
        <v xml:space="preserve"> </v>
      </c>
      <c r="BS125" s="542" t="str">
        <f t="shared" si="352"/>
        <v xml:space="preserve"> </v>
      </c>
      <c r="BT125" s="1541" t="str">
        <f t="shared" si="417"/>
        <v xml:space="preserve"> </v>
      </c>
      <c r="BU125" s="326" t="str">
        <f t="shared" si="418"/>
        <v xml:space="preserve"> </v>
      </c>
      <c r="BV125" s="326" t="str">
        <f t="shared" si="419"/>
        <v xml:space="preserve"> </v>
      </c>
      <c r="BW125" s="327" t="str">
        <f t="shared" si="420"/>
        <v xml:space="preserve"> </v>
      </c>
      <c r="BX125" s="966"/>
    </row>
    <row r="126" spans="1:76" ht="19.5" thickBot="1">
      <c r="A126" s="177"/>
      <c r="B126" s="178" t="s">
        <v>123</v>
      </c>
      <c r="C126" s="179"/>
      <c r="D126" s="1068" t="str">
        <f>IF(D118&gt;0,(E99+F99)/D117*1000,"---")</f>
        <v>---</v>
      </c>
      <c r="E126" s="1069"/>
      <c r="F126" s="1069"/>
      <c r="G126" s="1070"/>
      <c r="H126" s="1070"/>
      <c r="I126" s="1071"/>
      <c r="J126" s="1079" t="str">
        <f>IF(J118&gt;0,(K99+L99)/J117*1000,"---")</f>
        <v>---</v>
      </c>
      <c r="K126" s="1080"/>
      <c r="L126" s="1080"/>
      <c r="M126" s="1081"/>
      <c r="N126" s="1081"/>
      <c r="O126" s="1082"/>
      <c r="P126" s="1068" t="str">
        <f>IF(P118&gt;0,(Q99+R99)/P117*1000,"---")</f>
        <v>---</v>
      </c>
      <c r="Q126" s="1069"/>
      <c r="R126" s="1069"/>
      <c r="S126" s="1070"/>
      <c r="T126" s="1070"/>
      <c r="U126" s="1071"/>
      <c r="V126" s="1087" t="str">
        <f>IF(V118&gt;0,(W99+X99)/V117*1000,"---")</f>
        <v>---</v>
      </c>
      <c r="W126" s="1080"/>
      <c r="X126" s="1080"/>
      <c r="Y126" s="1081"/>
      <c r="Z126" s="1081"/>
      <c r="AA126" s="1082"/>
      <c r="AB126" s="1068" t="str">
        <f>IF(AB118&gt;0,(AC99+AD99)/AB117*1000,"---")</f>
        <v>---</v>
      </c>
      <c r="AC126" s="1069"/>
      <c r="AD126" s="1069"/>
      <c r="AE126" s="1070"/>
      <c r="AF126" s="1070"/>
      <c r="AG126" s="1071"/>
      <c r="AH126" s="515" t="str">
        <f>IF(AH118&gt;0,(AI99+AJ99)/AH117*1000,"---")</f>
        <v>---</v>
      </c>
      <c r="AI126" s="506"/>
      <c r="AJ126" s="506"/>
      <c r="AK126" s="507"/>
      <c r="AL126" s="507"/>
      <c r="AM126" s="508"/>
      <c r="AN126" s="182" t="str">
        <f>IF(AN118&gt;0,(AO99+AP99)/AN117*1000,"---")</f>
        <v>---</v>
      </c>
      <c r="AO126" s="180"/>
      <c r="AP126" s="180"/>
      <c r="AQ126" s="181"/>
      <c r="AR126" s="181"/>
      <c r="AS126" s="486"/>
      <c r="AT126" s="515" t="str">
        <f>IF(AT118&gt;0,(AU99+AV99)/AT117*1000,"---")</f>
        <v>---</v>
      </c>
      <c r="AU126" s="506"/>
      <c r="AV126" s="506"/>
      <c r="AW126" s="507"/>
      <c r="AX126" s="507"/>
      <c r="AY126" s="508"/>
      <c r="AZ126" s="182" t="str">
        <f>IF(AZ118&gt;0,(BA99+BB99)/AZ117*1000,"---")</f>
        <v>---</v>
      </c>
      <c r="BA126" s="180"/>
      <c r="BB126" s="180"/>
      <c r="BC126" s="181"/>
      <c r="BD126" s="181"/>
      <c r="BE126" s="486"/>
      <c r="BF126" s="515" t="str">
        <f>IF(BF118&gt;0,(BG99+BH99)/BF117*1000,"---")</f>
        <v>---</v>
      </c>
      <c r="BG126" s="506"/>
      <c r="BH126" s="506"/>
      <c r="BI126" s="507"/>
      <c r="BJ126" s="507"/>
      <c r="BK126" s="508"/>
      <c r="BL126" s="182" t="str">
        <f>IF(BL118&gt;0,(BM99+BN99)/BL117*1000,"---")</f>
        <v>---</v>
      </c>
      <c r="BM126" s="180"/>
      <c r="BN126" s="180"/>
      <c r="BO126" s="181"/>
      <c r="BP126" s="181"/>
      <c r="BQ126" s="486"/>
      <c r="BR126" s="940" t="str">
        <f t="shared" si="351"/>
        <v xml:space="preserve"> </v>
      </c>
      <c r="BS126" s="542" t="str">
        <f t="shared" si="352"/>
        <v xml:space="preserve"> </v>
      </c>
      <c r="BT126" s="838" t="str">
        <f t="shared" si="417"/>
        <v xml:space="preserve"> </v>
      </c>
      <c r="BU126" s="328" t="str">
        <f t="shared" si="418"/>
        <v xml:space="preserve"> </v>
      </c>
      <c r="BV126" s="328" t="str">
        <f t="shared" si="419"/>
        <v xml:space="preserve"> </v>
      </c>
      <c r="BW126" s="205" t="str">
        <f t="shared" si="420"/>
        <v xml:space="preserve"> </v>
      </c>
    </row>
    <row r="127" spans="1:76">
      <c r="T127" s="1227">
        <f>T125/H125</f>
        <v>1.0717563023538075</v>
      </c>
    </row>
    <row r="128" spans="1:76">
      <c r="AB128" s="75">
        <f>AB124/P124</f>
        <v>1.0239424950820604</v>
      </c>
    </row>
    <row r="129" spans="16:71">
      <c r="P129" s="183">
        <f>P124/D124</f>
        <v>1.0567896695810173</v>
      </c>
      <c r="Q129" s="183"/>
      <c r="R129" s="183"/>
      <c r="S129" s="183"/>
      <c r="T129" s="183"/>
      <c r="U129" s="183"/>
      <c r="AB129" s="183"/>
      <c r="AC129" s="183"/>
      <c r="AD129" s="183"/>
      <c r="AE129" s="183"/>
      <c r="AF129" s="183"/>
      <c r="AG129" s="183"/>
      <c r="AN129" s="183"/>
      <c r="AO129" s="183"/>
      <c r="AP129" s="183"/>
      <c r="AQ129" s="183"/>
      <c r="AR129" s="183"/>
      <c r="AS129" s="183"/>
      <c r="AZ129" s="183"/>
      <c r="BA129" s="183"/>
      <c r="BB129" s="183"/>
      <c r="BC129" s="183"/>
      <c r="BD129" s="183"/>
      <c r="BE129" s="183"/>
      <c r="BL129" s="183"/>
      <c r="BM129" s="183"/>
      <c r="BN129" s="183"/>
      <c r="BO129" s="183"/>
      <c r="BP129" s="183"/>
      <c r="BQ129" s="183"/>
      <c r="BR129" s="183"/>
      <c r="BS129" s="183"/>
    </row>
    <row r="131" spans="16:71">
      <c r="AB131" s="74"/>
    </row>
    <row r="132" spans="16:71">
      <c r="AB132" s="74"/>
    </row>
  </sheetData>
  <mergeCells count="73">
    <mergeCell ref="P5:U5"/>
    <mergeCell ref="P6:P7"/>
    <mergeCell ref="Q6:R6"/>
    <mergeCell ref="S6:T6"/>
    <mergeCell ref="U6:U7"/>
    <mergeCell ref="A5:A7"/>
    <mergeCell ref="B5:B7"/>
    <mergeCell ref="C5:C7"/>
    <mergeCell ref="D5:I5"/>
    <mergeCell ref="J5:O5"/>
    <mergeCell ref="BI6:BJ6"/>
    <mergeCell ref="BK6:BK7"/>
    <mergeCell ref="V5:AA5"/>
    <mergeCell ref="AB5:AG5"/>
    <mergeCell ref="AH5:AM5"/>
    <mergeCell ref="AN5:AS5"/>
    <mergeCell ref="AT5:AY5"/>
    <mergeCell ref="AZ5:BE5"/>
    <mergeCell ref="BV5:BV7"/>
    <mergeCell ref="BW5:BW7"/>
    <mergeCell ref="D6:D7"/>
    <mergeCell ref="E6:F6"/>
    <mergeCell ref="G6:H6"/>
    <mergeCell ref="I6:I7"/>
    <mergeCell ref="J6:J7"/>
    <mergeCell ref="K6:L6"/>
    <mergeCell ref="M6:N6"/>
    <mergeCell ref="O6:O7"/>
    <mergeCell ref="BF5:BK5"/>
    <mergeCell ref="BL5:BQ5"/>
    <mergeCell ref="BR5:BR7"/>
    <mergeCell ref="BS5:BS7"/>
    <mergeCell ref="BT5:BT7"/>
    <mergeCell ref="BU5:BU7"/>
    <mergeCell ref="A15:B15"/>
    <mergeCell ref="AW6:AX6"/>
    <mergeCell ref="AY6:AY7"/>
    <mergeCell ref="AZ6:AZ7"/>
    <mergeCell ref="BA6:BB6"/>
    <mergeCell ref="AN6:AN7"/>
    <mergeCell ref="AO6:AP6"/>
    <mergeCell ref="AQ6:AR6"/>
    <mergeCell ref="AS6:AS7"/>
    <mergeCell ref="AT6:AT7"/>
    <mergeCell ref="AU6:AV6"/>
    <mergeCell ref="AE6:AF6"/>
    <mergeCell ref="AG6:AG7"/>
    <mergeCell ref="AH6:AH7"/>
    <mergeCell ref="AI6:AJ6"/>
    <mergeCell ref="AK6:AL6"/>
    <mergeCell ref="BL6:BL7"/>
    <mergeCell ref="BM6:BN6"/>
    <mergeCell ref="BO6:BP6"/>
    <mergeCell ref="BQ6:BQ7"/>
    <mergeCell ref="A8:B8"/>
    <mergeCell ref="BC6:BD6"/>
    <mergeCell ref="BE6:BE7"/>
    <mergeCell ref="AM6:AM7"/>
    <mergeCell ref="V6:V7"/>
    <mergeCell ref="W6:X6"/>
    <mergeCell ref="Y6:Z6"/>
    <mergeCell ref="AA6:AA7"/>
    <mergeCell ref="AB6:AB7"/>
    <mergeCell ref="AC6:AD6"/>
    <mergeCell ref="BF6:BF7"/>
    <mergeCell ref="BG6:BH6"/>
    <mergeCell ref="A99:B99"/>
    <mergeCell ref="A21:B21"/>
    <mergeCell ref="A59:B59"/>
    <mergeCell ref="A85:B85"/>
    <mergeCell ref="A92:B92"/>
    <mergeCell ref="A93:B93"/>
    <mergeCell ref="A94:B94"/>
  </mergeCells>
  <pageMargins left="0.23622047244094491" right="0.23622047244094491" top="0.55118110236220474" bottom="0.55118110236220474" header="0.31496062992125984" footer="0.31496062992125984"/>
  <pageSetup paperSize="8" scale="47" fitToWidth="2" fitToHeight="0" orientation="landscape" blackAndWhite="1" r:id="rId1"/>
  <rowBreaks count="1" manualBreakCount="1">
    <brk id="68" max="75" man="1"/>
  </rowBreaks>
  <colBreaks count="1" manualBreakCount="1">
    <brk id="26" min="1" max="12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Z132"/>
  <sheetViews>
    <sheetView view="pageBreakPreview" zoomScale="60" zoomScaleNormal="60" workbookViewId="0">
      <pane xSplit="3" ySplit="7" topLeftCell="H104" activePane="bottomRight" state="frozen"/>
      <selection pane="topRight" activeCell="D1" sqref="D1"/>
      <selection pane="bottomLeft" activeCell="A8" sqref="A8"/>
      <selection pane="bottomRight" activeCell="T138" sqref="T138"/>
    </sheetView>
  </sheetViews>
  <sheetFormatPr defaultColWidth="9" defaultRowHeight="15.75" outlineLevelRow="1" outlineLevelCol="1"/>
  <cols>
    <col min="1" max="1" width="9" style="72"/>
    <col min="2" max="2" width="72.25" style="72" customWidth="1"/>
    <col min="3" max="3" width="11.5" style="72" customWidth="1"/>
    <col min="4" max="6" width="19" style="72" customWidth="1"/>
    <col min="7" max="7" width="19" style="72" hidden="1" customWidth="1"/>
    <col min="8" max="8" width="19" style="72" customWidth="1"/>
    <col min="9" max="9" width="19" style="72" hidden="1" customWidth="1"/>
    <col min="10" max="12" width="17.375" style="72" customWidth="1" outlineLevel="1"/>
    <col min="13" max="13" width="17.375" style="72" hidden="1" customWidth="1" outlineLevel="1"/>
    <col min="14" max="14" width="17.375" style="72" customWidth="1" outlineLevel="1"/>
    <col min="15" max="15" width="17.375" style="72" hidden="1" customWidth="1" outlineLevel="1"/>
    <col min="16" max="16" width="17.125" style="75" customWidth="1" collapsed="1"/>
    <col min="17" max="17" width="17.875" style="75" customWidth="1"/>
    <col min="18" max="18" width="15.375" style="75" customWidth="1"/>
    <col min="19" max="19" width="15.25" style="75" hidden="1" customWidth="1" outlineLevel="1"/>
    <col min="20" max="20" width="14.875" style="75" customWidth="1" outlineLevel="1"/>
    <col min="21" max="21" width="16.125" style="75" hidden="1" customWidth="1" outlineLevel="1"/>
    <col min="22" max="22" width="17.375" style="72" customWidth="1" collapsed="1"/>
    <col min="23" max="23" width="17.375" style="72" customWidth="1"/>
    <col min="24" max="24" width="15.875" style="72" customWidth="1"/>
    <col min="25" max="25" width="14.875" style="72" hidden="1" customWidth="1"/>
    <col min="26" max="26" width="16.125" style="72" customWidth="1"/>
    <col min="27" max="27" width="15.5" style="72" hidden="1" customWidth="1"/>
    <col min="28" max="28" width="17.125" style="75" customWidth="1"/>
    <col min="29" max="29" width="17.875" style="75" customWidth="1"/>
    <col min="30" max="30" width="15.375" style="75" customWidth="1"/>
    <col min="31" max="31" width="14.875" style="75" hidden="1" customWidth="1" outlineLevel="1"/>
    <col min="32" max="32" width="15.125" style="75" customWidth="1" outlineLevel="1"/>
    <col min="33" max="33" width="14.75" style="75" hidden="1" customWidth="1" outlineLevel="1"/>
    <col min="34" max="34" width="16.75" style="72" customWidth="1" collapsed="1"/>
    <col min="35" max="36" width="16.75" style="72" customWidth="1"/>
    <col min="37" max="37" width="15.125" style="72" hidden="1" customWidth="1"/>
    <col min="38" max="38" width="17.125" style="72" customWidth="1"/>
    <col min="39" max="39" width="15.25" style="72" hidden="1" customWidth="1"/>
    <col min="40" max="40" width="17.125" style="75" customWidth="1"/>
    <col min="41" max="41" width="17.875" style="75" customWidth="1"/>
    <col min="42" max="42" width="15.375" style="75" customWidth="1"/>
    <col min="43" max="43" width="14.875" style="75" hidden="1" customWidth="1" outlineLevel="1"/>
    <col min="44" max="44" width="14.75" style="75" customWidth="1" outlineLevel="1"/>
    <col min="45" max="45" width="15.375" style="75" hidden="1" customWidth="1" outlineLevel="1"/>
    <col min="46" max="46" width="16.75" style="72" customWidth="1" collapsed="1"/>
    <col min="47" max="48" width="16.75" style="72" customWidth="1"/>
    <col min="49" max="49" width="14.375" style="72" hidden="1" customWidth="1"/>
    <col min="50" max="50" width="16.5" style="72" customWidth="1"/>
    <col min="51" max="51" width="15.625" style="72" hidden="1" customWidth="1"/>
    <col min="52" max="52" width="17.125" style="75" customWidth="1"/>
    <col min="53" max="53" width="17.875" style="75" customWidth="1"/>
    <col min="54" max="54" width="15.375" style="75" customWidth="1"/>
    <col min="55" max="55" width="15.125" style="75" hidden="1" customWidth="1" outlineLevel="1"/>
    <col min="56" max="56" width="14.75" style="75" customWidth="1" outlineLevel="1"/>
    <col min="57" max="57" width="16" style="75" hidden="1" customWidth="1" outlineLevel="1"/>
    <col min="58" max="58" width="16.75" style="72" customWidth="1" collapsed="1"/>
    <col min="59" max="60" width="16.75" style="72" customWidth="1"/>
    <col min="61" max="61" width="14.875" style="72" hidden="1" customWidth="1"/>
    <col min="62" max="62" width="14.875" style="72" customWidth="1"/>
    <col min="63" max="63" width="14.875" style="72" hidden="1" customWidth="1"/>
    <col min="64" max="64" width="17.125" style="75" customWidth="1"/>
    <col min="65" max="65" width="17.875" style="75" customWidth="1"/>
    <col min="66" max="66" width="15.375" style="75" customWidth="1"/>
    <col min="67" max="67" width="14.75" style="75" hidden="1" customWidth="1" outlineLevel="1"/>
    <col min="68" max="68" width="14.75" style="75" customWidth="1" outlineLevel="1"/>
    <col min="69" max="69" width="15.125" style="75" hidden="1" customWidth="1" outlineLevel="1"/>
    <col min="70" max="70" width="12.875" style="75" customWidth="1" outlineLevel="1"/>
    <col min="71" max="71" width="11.125" style="75" customWidth="1" outlineLevel="1"/>
    <col min="72" max="72" width="11.125" style="193" customWidth="1"/>
    <col min="73" max="75" width="11" style="193" customWidth="1"/>
    <col min="76" max="76" width="38" style="966" customWidth="1"/>
    <col min="77" max="77" width="11.375" style="72" bestFit="1" customWidth="1"/>
    <col min="78" max="78" width="11.375" style="72" customWidth="1"/>
    <col min="79" max="79" width="11.375" style="72" bestFit="1" customWidth="1"/>
    <col min="80" max="16384" width="9" style="72"/>
  </cols>
  <sheetData>
    <row r="1" spans="1:78" ht="16.5" customHeight="1">
      <c r="D1" s="73">
        <f>D99-D100</f>
        <v>30934.646451300003</v>
      </c>
      <c r="E1" s="73"/>
      <c r="F1" s="73"/>
      <c r="G1" s="73"/>
      <c r="H1" s="73"/>
      <c r="I1" s="73"/>
      <c r="J1" s="73">
        <f>J99-J100</f>
        <v>33667.60686599859</v>
      </c>
      <c r="K1" s="73"/>
      <c r="L1" s="73"/>
      <c r="M1" s="73"/>
      <c r="N1" s="73"/>
      <c r="O1" s="73"/>
      <c r="P1" s="73">
        <f t="shared" ref="P1:V1" si="0">P99-P100</f>
        <v>32729.009000000002</v>
      </c>
      <c r="Q1" s="73">
        <f t="shared" si="0"/>
        <v>27382.267</v>
      </c>
      <c r="R1" s="73">
        <f t="shared" si="0"/>
        <v>2653.4720000000002</v>
      </c>
      <c r="S1" s="73">
        <f t="shared" si="0"/>
        <v>0</v>
      </c>
      <c r="T1" s="73"/>
      <c r="U1" s="73"/>
      <c r="V1" s="73">
        <f t="shared" si="0"/>
        <v>35088.107376617372</v>
      </c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>
        <f t="shared" ref="AH1" si="1">AH99-AH100</f>
        <v>36509.074875856953</v>
      </c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>
        <f t="shared" ref="AT1" si="2">AT99-AT100</f>
        <v>37952.466774871813</v>
      </c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>
        <f t="shared" ref="BF1" si="3">BF99-BF100</f>
        <v>39574.221879145436</v>
      </c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</row>
    <row r="2" spans="1:78">
      <c r="P2" s="74"/>
      <c r="Q2" s="74"/>
      <c r="R2" s="74"/>
      <c r="S2" s="74"/>
      <c r="T2" s="74"/>
      <c r="U2" s="74"/>
      <c r="AB2" s="74"/>
      <c r="AC2" s="74"/>
      <c r="AD2" s="74"/>
      <c r="AE2" s="74"/>
      <c r="AF2" s="74"/>
      <c r="AG2" s="74"/>
      <c r="AN2" s="74"/>
      <c r="AO2" s="74"/>
      <c r="AP2" s="74"/>
      <c r="AQ2" s="74"/>
      <c r="AR2" s="74"/>
      <c r="AS2" s="74"/>
      <c r="AZ2" s="74"/>
      <c r="BA2" s="74"/>
      <c r="BB2" s="74"/>
      <c r="BC2" s="74"/>
      <c r="BD2" s="74"/>
      <c r="BE2" s="74"/>
      <c r="BL2" s="74"/>
      <c r="BM2" s="74"/>
      <c r="BN2" s="74"/>
      <c r="BO2" s="74"/>
      <c r="BP2" s="74"/>
      <c r="BQ2" s="74"/>
      <c r="BR2" s="74"/>
      <c r="BS2" s="74"/>
    </row>
    <row r="3" spans="1:78" s="79" customFormat="1" ht="20.25">
      <c r="A3" s="76" t="s">
        <v>497</v>
      </c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381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381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194"/>
      <c r="BU3" s="194"/>
      <c r="BV3" s="194"/>
      <c r="BW3" s="194"/>
      <c r="BX3" s="966"/>
    </row>
    <row r="4" spans="1:78" s="26" customFormat="1" ht="16.5" thickBot="1">
      <c r="B4" s="80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2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2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2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2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2"/>
      <c r="BM4" s="81"/>
      <c r="BN4" s="81"/>
      <c r="BO4" s="81"/>
      <c r="BP4" s="81"/>
      <c r="BQ4" s="81"/>
      <c r="BR4" s="81"/>
      <c r="BS4" s="81"/>
      <c r="BT4" s="195"/>
      <c r="BU4" s="195"/>
      <c r="BV4" s="195"/>
      <c r="BW4" s="195"/>
      <c r="BX4" s="966"/>
    </row>
    <row r="5" spans="1:78" s="83" customFormat="1" ht="44.25" customHeight="1" thickBot="1">
      <c r="A5" s="1622" t="s">
        <v>98</v>
      </c>
      <c r="B5" s="1624" t="s">
        <v>99</v>
      </c>
      <c r="C5" s="1626" t="s">
        <v>100</v>
      </c>
      <c r="D5" s="1628" t="s">
        <v>252</v>
      </c>
      <c r="E5" s="1629"/>
      <c r="F5" s="1629"/>
      <c r="G5" s="1629"/>
      <c r="H5" s="1629"/>
      <c r="I5" s="1630"/>
      <c r="J5" s="1607" t="s">
        <v>174</v>
      </c>
      <c r="K5" s="1608"/>
      <c r="L5" s="1608"/>
      <c r="M5" s="1608"/>
      <c r="N5" s="1608"/>
      <c r="O5" s="1609"/>
      <c r="P5" s="1628" t="s">
        <v>175</v>
      </c>
      <c r="Q5" s="1629"/>
      <c r="R5" s="1629"/>
      <c r="S5" s="1629"/>
      <c r="T5" s="1629"/>
      <c r="U5" s="1630"/>
      <c r="V5" s="1607" t="s">
        <v>176</v>
      </c>
      <c r="W5" s="1608"/>
      <c r="X5" s="1608"/>
      <c r="Y5" s="1608"/>
      <c r="Z5" s="1608"/>
      <c r="AA5" s="1609"/>
      <c r="AB5" s="1619" t="s">
        <v>177</v>
      </c>
      <c r="AC5" s="1620"/>
      <c r="AD5" s="1620"/>
      <c r="AE5" s="1620"/>
      <c r="AF5" s="1620"/>
      <c r="AG5" s="1621"/>
      <c r="AH5" s="1607" t="s">
        <v>178</v>
      </c>
      <c r="AI5" s="1608"/>
      <c r="AJ5" s="1608"/>
      <c r="AK5" s="1608"/>
      <c r="AL5" s="1608"/>
      <c r="AM5" s="1609"/>
      <c r="AN5" s="1619" t="s">
        <v>179</v>
      </c>
      <c r="AO5" s="1620"/>
      <c r="AP5" s="1620"/>
      <c r="AQ5" s="1620"/>
      <c r="AR5" s="1620"/>
      <c r="AS5" s="1621"/>
      <c r="AT5" s="1607" t="s">
        <v>235</v>
      </c>
      <c r="AU5" s="1608"/>
      <c r="AV5" s="1608"/>
      <c r="AW5" s="1608"/>
      <c r="AX5" s="1608"/>
      <c r="AY5" s="1609"/>
      <c r="AZ5" s="1619" t="s">
        <v>236</v>
      </c>
      <c r="BA5" s="1620"/>
      <c r="BB5" s="1620"/>
      <c r="BC5" s="1620"/>
      <c r="BD5" s="1620"/>
      <c r="BE5" s="1621"/>
      <c r="BF5" s="1607" t="s">
        <v>253</v>
      </c>
      <c r="BG5" s="1608"/>
      <c r="BH5" s="1608"/>
      <c r="BI5" s="1608"/>
      <c r="BJ5" s="1608"/>
      <c r="BK5" s="1609"/>
      <c r="BL5" s="1610" t="s">
        <v>254</v>
      </c>
      <c r="BM5" s="1611"/>
      <c r="BN5" s="1611"/>
      <c r="BO5" s="1611"/>
      <c r="BP5" s="1611"/>
      <c r="BQ5" s="1612"/>
      <c r="BR5" s="1613" t="s">
        <v>66</v>
      </c>
      <c r="BS5" s="1616" t="s">
        <v>180</v>
      </c>
      <c r="BT5" s="1616" t="s">
        <v>181</v>
      </c>
      <c r="BU5" s="1601" t="s">
        <v>182</v>
      </c>
      <c r="BV5" s="1601" t="s">
        <v>237</v>
      </c>
      <c r="BW5" s="1604" t="s">
        <v>255</v>
      </c>
      <c r="BX5" s="967"/>
    </row>
    <row r="6" spans="1:78" s="83" customFormat="1" ht="44.25" customHeight="1">
      <c r="A6" s="1623"/>
      <c r="B6" s="1625"/>
      <c r="C6" s="1627"/>
      <c r="D6" s="1589" t="s">
        <v>58</v>
      </c>
      <c r="E6" s="1591" t="s">
        <v>18</v>
      </c>
      <c r="F6" s="1591"/>
      <c r="G6" s="1591" t="s">
        <v>84</v>
      </c>
      <c r="H6" s="1592"/>
      <c r="I6" s="1593" t="s">
        <v>266</v>
      </c>
      <c r="J6" s="1597" t="s">
        <v>58</v>
      </c>
      <c r="K6" s="1599" t="s">
        <v>18</v>
      </c>
      <c r="L6" s="1599"/>
      <c r="M6" s="1599" t="s">
        <v>84</v>
      </c>
      <c r="N6" s="1600"/>
      <c r="O6" s="1595" t="s">
        <v>266</v>
      </c>
      <c r="P6" s="1589" t="s">
        <v>58</v>
      </c>
      <c r="Q6" s="1591" t="s">
        <v>18</v>
      </c>
      <c r="R6" s="1591"/>
      <c r="S6" s="1591" t="s">
        <v>84</v>
      </c>
      <c r="T6" s="1592"/>
      <c r="U6" s="1593" t="s">
        <v>266</v>
      </c>
      <c r="V6" s="1597" t="s">
        <v>58</v>
      </c>
      <c r="W6" s="1599" t="s">
        <v>18</v>
      </c>
      <c r="X6" s="1599"/>
      <c r="Y6" s="1599" t="s">
        <v>84</v>
      </c>
      <c r="Z6" s="1600"/>
      <c r="AA6" s="1595" t="s">
        <v>266</v>
      </c>
      <c r="AB6" s="1589" t="s">
        <v>58</v>
      </c>
      <c r="AC6" s="1591" t="s">
        <v>18</v>
      </c>
      <c r="AD6" s="1591"/>
      <c r="AE6" s="1591" t="s">
        <v>84</v>
      </c>
      <c r="AF6" s="1592"/>
      <c r="AG6" s="1593" t="s">
        <v>266</v>
      </c>
      <c r="AH6" s="1597" t="s">
        <v>58</v>
      </c>
      <c r="AI6" s="1599" t="s">
        <v>18</v>
      </c>
      <c r="AJ6" s="1599"/>
      <c r="AK6" s="1599" t="s">
        <v>84</v>
      </c>
      <c r="AL6" s="1600"/>
      <c r="AM6" s="1595" t="s">
        <v>266</v>
      </c>
      <c r="AN6" s="1589" t="s">
        <v>58</v>
      </c>
      <c r="AO6" s="1591" t="s">
        <v>18</v>
      </c>
      <c r="AP6" s="1591"/>
      <c r="AQ6" s="1591" t="s">
        <v>84</v>
      </c>
      <c r="AR6" s="1592"/>
      <c r="AS6" s="1593" t="s">
        <v>266</v>
      </c>
      <c r="AT6" s="1597" t="s">
        <v>58</v>
      </c>
      <c r="AU6" s="1599" t="s">
        <v>18</v>
      </c>
      <c r="AV6" s="1599"/>
      <c r="AW6" s="1599" t="s">
        <v>84</v>
      </c>
      <c r="AX6" s="1600"/>
      <c r="AY6" s="1595" t="s">
        <v>266</v>
      </c>
      <c r="AZ6" s="1589" t="s">
        <v>58</v>
      </c>
      <c r="BA6" s="1591" t="s">
        <v>18</v>
      </c>
      <c r="BB6" s="1591"/>
      <c r="BC6" s="1591" t="s">
        <v>84</v>
      </c>
      <c r="BD6" s="1592"/>
      <c r="BE6" s="1593" t="s">
        <v>266</v>
      </c>
      <c r="BF6" s="1597" t="s">
        <v>58</v>
      </c>
      <c r="BG6" s="1599" t="s">
        <v>18</v>
      </c>
      <c r="BH6" s="1599"/>
      <c r="BI6" s="1599" t="s">
        <v>84</v>
      </c>
      <c r="BJ6" s="1600"/>
      <c r="BK6" s="1595" t="s">
        <v>266</v>
      </c>
      <c r="BL6" s="1589" t="s">
        <v>58</v>
      </c>
      <c r="BM6" s="1591" t="s">
        <v>18</v>
      </c>
      <c r="BN6" s="1591"/>
      <c r="BO6" s="1591" t="s">
        <v>84</v>
      </c>
      <c r="BP6" s="1592"/>
      <c r="BQ6" s="1593" t="s">
        <v>266</v>
      </c>
      <c r="BR6" s="1614"/>
      <c r="BS6" s="1617"/>
      <c r="BT6" s="1617"/>
      <c r="BU6" s="1602"/>
      <c r="BV6" s="1602"/>
      <c r="BW6" s="1605"/>
      <c r="BX6" s="967"/>
    </row>
    <row r="7" spans="1:78" s="83" customFormat="1" ht="42" customHeight="1" thickBot="1">
      <c r="A7" s="1623"/>
      <c r="B7" s="1625"/>
      <c r="C7" s="1627"/>
      <c r="D7" s="1590"/>
      <c r="E7" s="436" t="s">
        <v>268</v>
      </c>
      <c r="F7" s="436" t="s">
        <v>269</v>
      </c>
      <c r="G7" s="436" t="s">
        <v>270</v>
      </c>
      <c r="H7" s="453" t="s">
        <v>267</v>
      </c>
      <c r="I7" s="1594"/>
      <c r="J7" s="1598"/>
      <c r="K7" s="487" t="s">
        <v>268</v>
      </c>
      <c r="L7" s="487" t="s">
        <v>269</v>
      </c>
      <c r="M7" s="487" t="s">
        <v>270</v>
      </c>
      <c r="N7" s="488" t="s">
        <v>267</v>
      </c>
      <c r="O7" s="1596"/>
      <c r="P7" s="1590"/>
      <c r="Q7" s="436" t="s">
        <v>268</v>
      </c>
      <c r="R7" s="436" t="s">
        <v>269</v>
      </c>
      <c r="S7" s="436" t="s">
        <v>270</v>
      </c>
      <c r="T7" s="453" t="s">
        <v>267</v>
      </c>
      <c r="U7" s="1594"/>
      <c r="V7" s="1598"/>
      <c r="W7" s="487" t="s">
        <v>268</v>
      </c>
      <c r="X7" s="487" t="s">
        <v>269</v>
      </c>
      <c r="Y7" s="487" t="s">
        <v>270</v>
      </c>
      <c r="Z7" s="488" t="s">
        <v>267</v>
      </c>
      <c r="AA7" s="1596"/>
      <c r="AB7" s="1590"/>
      <c r="AC7" s="436" t="s">
        <v>268</v>
      </c>
      <c r="AD7" s="436" t="s">
        <v>269</v>
      </c>
      <c r="AE7" s="436" t="s">
        <v>270</v>
      </c>
      <c r="AF7" s="453" t="s">
        <v>267</v>
      </c>
      <c r="AG7" s="1594"/>
      <c r="AH7" s="1598"/>
      <c r="AI7" s="487" t="s">
        <v>268</v>
      </c>
      <c r="AJ7" s="487" t="s">
        <v>269</v>
      </c>
      <c r="AK7" s="487" t="s">
        <v>270</v>
      </c>
      <c r="AL7" s="488" t="s">
        <v>267</v>
      </c>
      <c r="AM7" s="1596"/>
      <c r="AN7" s="1590"/>
      <c r="AO7" s="436" t="s">
        <v>268</v>
      </c>
      <c r="AP7" s="436" t="s">
        <v>269</v>
      </c>
      <c r="AQ7" s="436" t="s">
        <v>270</v>
      </c>
      <c r="AR7" s="453" t="s">
        <v>267</v>
      </c>
      <c r="AS7" s="1594"/>
      <c r="AT7" s="1598"/>
      <c r="AU7" s="487" t="s">
        <v>268</v>
      </c>
      <c r="AV7" s="487" t="s">
        <v>269</v>
      </c>
      <c r="AW7" s="487" t="s">
        <v>270</v>
      </c>
      <c r="AX7" s="488" t="s">
        <v>267</v>
      </c>
      <c r="AY7" s="1596"/>
      <c r="AZ7" s="1590"/>
      <c r="BA7" s="436" t="s">
        <v>268</v>
      </c>
      <c r="BB7" s="436" t="s">
        <v>269</v>
      </c>
      <c r="BC7" s="436" t="s">
        <v>270</v>
      </c>
      <c r="BD7" s="453" t="s">
        <v>267</v>
      </c>
      <c r="BE7" s="1594"/>
      <c r="BF7" s="1598"/>
      <c r="BG7" s="487" t="s">
        <v>268</v>
      </c>
      <c r="BH7" s="487" t="s">
        <v>269</v>
      </c>
      <c r="BI7" s="487" t="s">
        <v>270</v>
      </c>
      <c r="BJ7" s="488" t="s">
        <v>267</v>
      </c>
      <c r="BK7" s="1596"/>
      <c r="BL7" s="1590"/>
      <c r="BM7" s="436" t="s">
        <v>268</v>
      </c>
      <c r="BN7" s="436" t="s">
        <v>269</v>
      </c>
      <c r="BO7" s="436" t="s">
        <v>270</v>
      </c>
      <c r="BP7" s="453" t="s">
        <v>267</v>
      </c>
      <c r="BQ7" s="1594"/>
      <c r="BR7" s="1615"/>
      <c r="BS7" s="1618"/>
      <c r="BT7" s="1618"/>
      <c r="BU7" s="1603"/>
      <c r="BV7" s="1603"/>
      <c r="BW7" s="1606"/>
      <c r="BX7" s="967"/>
    </row>
    <row r="8" spans="1:78" s="88" customFormat="1" ht="19.5" thickBot="1">
      <c r="A8" s="1583" t="s">
        <v>102</v>
      </c>
      <c r="B8" s="1584"/>
      <c r="C8" s="84"/>
      <c r="D8" s="813" t="s">
        <v>478</v>
      </c>
      <c r="E8" s="84" t="s">
        <v>478</v>
      </c>
      <c r="F8" s="84" t="s">
        <v>478</v>
      </c>
      <c r="G8" s="84"/>
      <c r="H8" s="432" t="s">
        <v>478</v>
      </c>
      <c r="I8" s="820"/>
      <c r="J8" s="957" t="s">
        <v>499</v>
      </c>
      <c r="K8" s="84" t="s">
        <v>499</v>
      </c>
      <c r="L8" s="84" t="s">
        <v>499</v>
      </c>
      <c r="M8" s="84"/>
      <c r="N8" s="84" t="s">
        <v>499</v>
      </c>
      <c r="O8" s="820"/>
      <c r="P8" s="434"/>
      <c r="Q8" s="435"/>
      <c r="R8" s="435"/>
      <c r="S8" s="437"/>
      <c r="T8" s="454"/>
      <c r="U8" s="456"/>
      <c r="V8" s="430" t="s">
        <v>499</v>
      </c>
      <c r="W8" s="490" t="s">
        <v>499</v>
      </c>
      <c r="X8" s="492" t="s">
        <v>499</v>
      </c>
      <c r="Y8" s="491"/>
      <c r="Z8" s="489" t="s">
        <v>499</v>
      </c>
      <c r="AA8" s="1088"/>
      <c r="AB8" s="85">
        <f>IF(AND(AC8=AD8),AC8,"расчет")</f>
        <v>1.02366</v>
      </c>
      <c r="AC8" s="86">
        <f>(1-AB10)*(1+AB9)*(1+AC11*AB14)</f>
        <v>1.02366</v>
      </c>
      <c r="AD8" s="86">
        <f>(1-AB10)*(1+AB9)*(1+AD11*AB14)</f>
        <v>1.02366</v>
      </c>
      <c r="AE8" s="454">
        <f>(1-AB10)*(1+AB9)*(1+AE11*AB14)</f>
        <v>1.02366</v>
      </c>
      <c r="AF8" s="454">
        <f>(1-AB10)*(1+AB9)*(1+AF11*AB14)</f>
        <v>1.02366</v>
      </c>
      <c r="AG8" s="517">
        <f>(1-AB10)*(1+AB9)*(1+AG11*AB14)</f>
        <v>1.02366</v>
      </c>
      <c r="AH8" s="85" t="s">
        <v>499</v>
      </c>
      <c r="AI8" s="86" t="s">
        <v>499</v>
      </c>
      <c r="AJ8" s="86" t="s">
        <v>499</v>
      </c>
      <c r="AK8" s="454"/>
      <c r="AL8" s="87" t="s">
        <v>499</v>
      </c>
      <c r="AM8" s="423"/>
      <c r="AN8" s="85">
        <f>IF(AND(AO8=AP8),AO8,"расчет")</f>
        <v>1.0296000000000001</v>
      </c>
      <c r="AO8" s="86">
        <f>(1-AN10)*(1+AN9)*(1+AO11*AN14)</f>
        <v>1.0296000000000001</v>
      </c>
      <c r="AP8" s="86">
        <f>(1-AN10)*(1+AN9)*(1+AP11*AN14)</f>
        <v>1.0296000000000001</v>
      </c>
      <c r="AQ8" s="454">
        <f>(1-AN10)*(1+AN9)*(1+AQ11*AN14)</f>
        <v>1.0296000000000001</v>
      </c>
      <c r="AR8" s="454">
        <f>(1-AN10)*(1+AN9)*(1+AR11*AN14)</f>
        <v>1.0296000000000001</v>
      </c>
      <c r="AS8" s="517">
        <f>(1-AN10)*(1+AN9)*(1+AS11*AN14)</f>
        <v>1.0296000000000001</v>
      </c>
      <c r="AT8" s="85" t="s">
        <v>499</v>
      </c>
      <c r="AU8" s="86" t="s">
        <v>499</v>
      </c>
      <c r="AV8" s="86" t="s">
        <v>499</v>
      </c>
      <c r="AW8" s="454"/>
      <c r="AX8" s="87" t="s">
        <v>499</v>
      </c>
      <c r="AY8" s="423"/>
      <c r="AZ8" s="85">
        <f>IF(AND(BA8=BB8),BA8,"расчет")</f>
        <v>1.0296000000000001</v>
      </c>
      <c r="BA8" s="86">
        <f>(1-AZ10)*(1+AZ9)*(1+BA11*AZ14)</f>
        <v>1.0296000000000001</v>
      </c>
      <c r="BB8" s="86">
        <f>(1-AZ10)*(1+AZ9)*(1+BB11*AZ14)</f>
        <v>1.0296000000000001</v>
      </c>
      <c r="BC8" s="454">
        <f>(1-AZ10)*(1+AZ9)*(1+BC11*AZ14)</f>
        <v>1.0296000000000001</v>
      </c>
      <c r="BD8" s="454">
        <f>(1-AZ10)*(1+AZ9)*(1+BD11*AZ14)</f>
        <v>1.0296000000000001</v>
      </c>
      <c r="BE8" s="517">
        <f>(1-AZ10)*(1+AZ9)*(1+BE11*AZ14)</f>
        <v>1.0296000000000001</v>
      </c>
      <c r="BF8" s="85" t="s">
        <v>499</v>
      </c>
      <c r="BG8" s="86" t="s">
        <v>499</v>
      </c>
      <c r="BH8" s="86" t="s">
        <v>499</v>
      </c>
      <c r="BI8" s="454"/>
      <c r="BJ8" s="87" t="s">
        <v>499</v>
      </c>
      <c r="BK8" s="423"/>
      <c r="BL8" s="85">
        <f>IF(AND(BM8=BN8),BM8,"расчет")</f>
        <v>1.0296000000000001</v>
      </c>
      <c r="BM8" s="86">
        <f>(1-BL10)*(1+BL9)*(1+BM11*BL14)</f>
        <v>1.0296000000000001</v>
      </c>
      <c r="BN8" s="86">
        <f>(1-BL10)*(1+BL9)*(1+BN11*BL14)</f>
        <v>1.0296000000000001</v>
      </c>
      <c r="BO8" s="454">
        <f>(1-BL10)*(1+BL9)*(1+BO11*BL14)</f>
        <v>1.0296000000000001</v>
      </c>
      <c r="BP8" s="454">
        <f>(1-BL10)*(1+BL9)*(1+BP11*BL14)</f>
        <v>1.0296000000000001</v>
      </c>
      <c r="BQ8" s="517">
        <f>(1-BL10)*(1+BL9)*(1+BQ11*BL14)</f>
        <v>1.0296000000000001</v>
      </c>
      <c r="BR8" s="826">
        <f>IF(ISERROR(P8/J8)," ",P8/J8)</f>
        <v>0</v>
      </c>
      <c r="BS8" s="330">
        <f>IF(ISERROR(P8/D8)," ",P8/D8)</f>
        <v>0</v>
      </c>
      <c r="BT8" s="826" t="str">
        <f t="shared" ref="BT8:BT71" si="4">IF(ISERROR(AB8/P8)," ",AB8/P8)</f>
        <v xml:space="preserve"> </v>
      </c>
      <c r="BU8" s="330">
        <f t="shared" ref="BU8:BU20" si="5">IF(ISERROR(AN8/AB8)," ",AN8/AB8)</f>
        <v>1.0058027079303675</v>
      </c>
      <c r="BV8" s="330">
        <f t="shared" ref="BV8:BV20" si="6">IF(ISERROR(AZ8/AN8)," ",AZ8/AN8)</f>
        <v>1</v>
      </c>
      <c r="BW8" s="196">
        <f t="shared" ref="BW8:BW20" si="7">IF(ISERROR(BL8/AZ8)," ",BL8/AZ8)</f>
        <v>1</v>
      </c>
      <c r="BX8" s="967"/>
    </row>
    <row r="9" spans="1:78" s="83" customFormat="1" ht="18.75">
      <c r="A9" s="89"/>
      <c r="B9" s="90" t="s">
        <v>103</v>
      </c>
      <c r="C9" s="422" t="s">
        <v>3</v>
      </c>
      <c r="D9" s="814">
        <v>3.7</v>
      </c>
      <c r="E9" s="422"/>
      <c r="F9" s="422"/>
      <c r="G9" s="422"/>
      <c r="H9" s="815"/>
      <c r="I9" s="821"/>
      <c r="J9" s="958">
        <v>0.04</v>
      </c>
      <c r="K9" s="378"/>
      <c r="L9" s="378"/>
      <c r="M9" s="378"/>
      <c r="N9" s="378"/>
      <c r="O9" s="824"/>
      <c r="P9" s="91">
        <f>[185]индексы!H8-1</f>
        <v>4.6000000000000041E-2</v>
      </c>
      <c r="Q9" s="1464"/>
      <c r="R9" s="1464"/>
      <c r="S9" s="1465"/>
      <c r="T9" s="1465"/>
      <c r="U9" s="1466"/>
      <c r="V9" s="91">
        <v>0.04</v>
      </c>
      <c r="W9" s="1464"/>
      <c r="X9" s="1464"/>
      <c r="Y9" s="1465"/>
      <c r="Z9" s="1465"/>
      <c r="AA9" s="1466"/>
      <c r="AB9" s="91">
        <f>[185]индексы!I8-1</f>
        <v>3.400000000000003E-2</v>
      </c>
      <c r="AC9" s="1464"/>
      <c r="AD9" s="1464"/>
      <c r="AE9" s="1465"/>
      <c r="AF9" s="1467"/>
      <c r="AG9" s="1468"/>
      <c r="AH9" s="91">
        <v>0.04</v>
      </c>
      <c r="AI9" s="1464"/>
      <c r="AJ9" s="1464"/>
      <c r="AK9" s="1465"/>
      <c r="AL9" s="1467"/>
      <c r="AM9" s="1468"/>
      <c r="AN9" s="91">
        <f>[185]индексы!J8-1</f>
        <v>4.0000000000000036E-2</v>
      </c>
      <c r="AO9" s="1464"/>
      <c r="AP9" s="1464"/>
      <c r="AQ9" s="1465"/>
      <c r="AR9" s="1467"/>
      <c r="AS9" s="1468"/>
      <c r="AT9" s="91">
        <v>0.04</v>
      </c>
      <c r="AU9" s="1464"/>
      <c r="AV9" s="1464"/>
      <c r="AW9" s="1465"/>
      <c r="AX9" s="1467"/>
      <c r="AY9" s="1468"/>
      <c r="AZ9" s="91">
        <f>[185]индексы!K8-1</f>
        <v>4.0000000000000036E-2</v>
      </c>
      <c r="BA9" s="1464"/>
      <c r="BB9" s="1464"/>
      <c r="BC9" s="1465"/>
      <c r="BD9" s="1467"/>
      <c r="BE9" s="1468"/>
      <c r="BF9" s="91">
        <v>0.04</v>
      </c>
      <c r="BG9" s="1464"/>
      <c r="BH9" s="1464"/>
      <c r="BI9" s="1465"/>
      <c r="BJ9" s="1467"/>
      <c r="BK9" s="1468"/>
      <c r="BL9" s="91">
        <f>[185]индексы!L8-1</f>
        <v>4.0000000000000036E-2</v>
      </c>
      <c r="BM9" s="1464"/>
      <c r="BN9" s="1464"/>
      <c r="BO9" s="1465"/>
      <c r="BP9" s="1467"/>
      <c r="BQ9" s="1466"/>
      <c r="BR9" s="844">
        <f t="shared" ref="BR9:BR72" si="8">IF(ISERROR(P9/J9)," ",P9/J9)</f>
        <v>1.150000000000001</v>
      </c>
      <c r="BS9" s="840">
        <f t="shared" ref="BS9:BS72" si="9">IF(ISERROR(P9/D9)," ",P9/D9)</f>
        <v>1.2432432432432442E-2</v>
      </c>
      <c r="BT9" s="827">
        <f t="shared" si="4"/>
        <v>0.73913043478260865</v>
      </c>
      <c r="BU9" s="329">
        <f t="shared" si="5"/>
        <v>1.1764705882352942</v>
      </c>
      <c r="BV9" s="329">
        <f t="shared" si="6"/>
        <v>1</v>
      </c>
      <c r="BW9" s="197">
        <f t="shared" si="7"/>
        <v>1</v>
      </c>
      <c r="BX9" s="967"/>
    </row>
    <row r="10" spans="1:78" s="83" customFormat="1" ht="18.75">
      <c r="A10" s="94"/>
      <c r="B10" s="573" t="s">
        <v>104</v>
      </c>
      <c r="C10" s="1469" t="s">
        <v>3</v>
      </c>
      <c r="D10" s="816">
        <v>1</v>
      </c>
      <c r="E10" s="1469"/>
      <c r="F10" s="1469"/>
      <c r="G10" s="1469"/>
      <c r="H10" s="433"/>
      <c r="I10" s="822"/>
      <c r="J10" s="959">
        <v>0.01</v>
      </c>
      <c r="K10" s="1470"/>
      <c r="L10" s="1470"/>
      <c r="M10" s="1470"/>
      <c r="N10" s="1470"/>
      <c r="O10" s="825"/>
      <c r="P10" s="96">
        <v>0.01</v>
      </c>
      <c r="Q10" s="1471"/>
      <c r="R10" s="1471"/>
      <c r="S10" s="1472"/>
      <c r="T10" s="1472"/>
      <c r="U10" s="1473"/>
      <c r="V10" s="96">
        <v>0.01</v>
      </c>
      <c r="W10" s="1471"/>
      <c r="X10" s="1471"/>
      <c r="Y10" s="1472"/>
      <c r="Z10" s="1472"/>
      <c r="AA10" s="1473"/>
      <c r="AB10" s="96">
        <v>0.01</v>
      </c>
      <c r="AC10" s="1471"/>
      <c r="AD10" s="1471"/>
      <c r="AE10" s="1472"/>
      <c r="AF10" s="1474"/>
      <c r="AG10" s="1475"/>
      <c r="AH10" s="96">
        <v>0.01</v>
      </c>
      <c r="AI10" s="1471"/>
      <c r="AJ10" s="1471"/>
      <c r="AK10" s="1472"/>
      <c r="AL10" s="1474"/>
      <c r="AM10" s="1475"/>
      <c r="AN10" s="96">
        <v>0.01</v>
      </c>
      <c r="AO10" s="1471"/>
      <c r="AP10" s="1471"/>
      <c r="AQ10" s="1472"/>
      <c r="AR10" s="1474"/>
      <c r="AS10" s="1475"/>
      <c r="AT10" s="96">
        <v>0.01</v>
      </c>
      <c r="AU10" s="1471"/>
      <c r="AV10" s="1471"/>
      <c r="AW10" s="1472"/>
      <c r="AX10" s="1474"/>
      <c r="AY10" s="1475"/>
      <c r="AZ10" s="96">
        <v>0.01</v>
      </c>
      <c r="BA10" s="1471"/>
      <c r="BB10" s="1471"/>
      <c r="BC10" s="1472"/>
      <c r="BD10" s="1474"/>
      <c r="BE10" s="1475"/>
      <c r="BF10" s="96">
        <v>0.01</v>
      </c>
      <c r="BG10" s="1471"/>
      <c r="BH10" s="1471"/>
      <c r="BI10" s="1472"/>
      <c r="BJ10" s="1474"/>
      <c r="BK10" s="1475"/>
      <c r="BL10" s="96">
        <v>0.01</v>
      </c>
      <c r="BM10" s="1471"/>
      <c r="BN10" s="1471"/>
      <c r="BO10" s="1472"/>
      <c r="BP10" s="1474"/>
      <c r="BQ10" s="1473"/>
      <c r="BR10" s="835">
        <f t="shared" si="8"/>
        <v>1</v>
      </c>
      <c r="BS10" s="542">
        <f t="shared" si="9"/>
        <v>0.01</v>
      </c>
      <c r="BT10" s="828">
        <f t="shared" si="4"/>
        <v>1</v>
      </c>
      <c r="BU10" s="323">
        <f t="shared" si="5"/>
        <v>1</v>
      </c>
      <c r="BV10" s="323">
        <f t="shared" si="6"/>
        <v>1</v>
      </c>
      <c r="BW10" s="198">
        <f t="shared" si="7"/>
        <v>1</v>
      </c>
      <c r="BX10" s="967"/>
      <c r="BZ10" s="99"/>
    </row>
    <row r="11" spans="1:78" s="83" customFormat="1" ht="18.75">
      <c r="A11" s="94"/>
      <c r="B11" s="95" t="s">
        <v>105</v>
      </c>
      <c r="C11" s="1469" t="s">
        <v>3</v>
      </c>
      <c r="D11" s="816"/>
      <c r="E11" s="1469"/>
      <c r="F11" s="1469"/>
      <c r="G11" s="1469"/>
      <c r="H11" s="433"/>
      <c r="I11" s="822"/>
      <c r="J11" s="961">
        <v>0</v>
      </c>
      <c r="K11" s="1469"/>
      <c r="L11" s="1469"/>
      <c r="M11" s="1469"/>
      <c r="N11" s="1469"/>
      <c r="O11" s="822"/>
      <c r="P11" s="100">
        <v>0</v>
      </c>
      <c r="Q11" s="101"/>
      <c r="R11" s="101"/>
      <c r="S11" s="440"/>
      <c r="T11" s="440"/>
      <c r="U11" s="459"/>
      <c r="V11" s="100">
        <v>0</v>
      </c>
      <c r="W11" s="101"/>
      <c r="X11" s="101"/>
      <c r="Y11" s="440"/>
      <c r="Z11" s="440"/>
      <c r="AA11" s="459"/>
      <c r="AB11" s="100">
        <f>IF(AND(AC11=AD11),AC11,"расчет")</f>
        <v>0</v>
      </c>
      <c r="AC11" s="101">
        <f>(AB12-P12)/P12</f>
        <v>0</v>
      </c>
      <c r="AD11" s="101">
        <f>IF(AND(ISNUMBER(P13),P13&gt;0),(AB13-P13)/P13,0)</f>
        <v>0</v>
      </c>
      <c r="AE11" s="440">
        <f>AC11</f>
        <v>0</v>
      </c>
      <c r="AF11" s="102">
        <f>AC11</f>
        <v>0</v>
      </c>
      <c r="AG11" s="426">
        <f>AF11</f>
        <v>0</v>
      </c>
      <c r="AH11" s="100">
        <v>0</v>
      </c>
      <c r="AI11" s="101"/>
      <c r="AJ11" s="101"/>
      <c r="AK11" s="440"/>
      <c r="AL11" s="102"/>
      <c r="AM11" s="426"/>
      <c r="AN11" s="100">
        <f>IF(AND(AO11=AP11),AO11,"расчет")</f>
        <v>0</v>
      </c>
      <c r="AO11" s="101">
        <f>(AN12-AB12)/AB12</f>
        <v>0</v>
      </c>
      <c r="AP11" s="101">
        <f>IF(AND(ISNUMBER(AB13),AB13&gt;0),(AN13-AB13)/AB13,0)</f>
        <v>0</v>
      </c>
      <c r="AQ11" s="440">
        <f>AO11</f>
        <v>0</v>
      </c>
      <c r="AR11" s="102">
        <f>AO11</f>
        <v>0</v>
      </c>
      <c r="AS11" s="426">
        <f>AR11</f>
        <v>0</v>
      </c>
      <c r="AT11" s="100">
        <v>0</v>
      </c>
      <c r="AU11" s="101"/>
      <c r="AV11" s="101"/>
      <c r="AW11" s="440"/>
      <c r="AX11" s="102"/>
      <c r="AY11" s="426"/>
      <c r="AZ11" s="100">
        <f>IF(AND(BA11=BB11),BA11,"расчет")</f>
        <v>0</v>
      </c>
      <c r="BA11" s="101">
        <f>(AZ12-AN12)/AN12</f>
        <v>0</v>
      </c>
      <c r="BB11" s="101">
        <f>IF(AND(ISNUMBER(AN13),AN13&gt;0),(AZ13-AN13)/AN13,0)</f>
        <v>0</v>
      </c>
      <c r="BC11" s="440">
        <f>BA11</f>
        <v>0</v>
      </c>
      <c r="BD11" s="102">
        <f>BA11</f>
        <v>0</v>
      </c>
      <c r="BE11" s="426">
        <f>BD11</f>
        <v>0</v>
      </c>
      <c r="BF11" s="100">
        <v>0</v>
      </c>
      <c r="BG11" s="101"/>
      <c r="BH11" s="101"/>
      <c r="BI11" s="440"/>
      <c r="BJ11" s="102"/>
      <c r="BK11" s="426"/>
      <c r="BL11" s="100">
        <f>IF(AND(BM11=BN11),BM11,"расчет")</f>
        <v>0</v>
      </c>
      <c r="BM11" s="101">
        <f>(BL12-AZ12)/AZ12</f>
        <v>0</v>
      </c>
      <c r="BN11" s="101">
        <f>IF(AND(ISNUMBER(AZ13),AZ13&gt;0),(BL13-AZ13)/AZ13,0)</f>
        <v>0</v>
      </c>
      <c r="BO11" s="440">
        <f>BM11</f>
        <v>0</v>
      </c>
      <c r="BP11" s="102">
        <f>BM11</f>
        <v>0</v>
      </c>
      <c r="BQ11" s="459">
        <f>BP11</f>
        <v>0</v>
      </c>
      <c r="BR11" s="835" t="str">
        <f t="shared" si="8"/>
        <v xml:space="preserve"> </v>
      </c>
      <c r="BS11" s="542" t="str">
        <f t="shared" si="9"/>
        <v xml:space="preserve"> </v>
      </c>
      <c r="BT11" s="828" t="str">
        <f t="shared" si="4"/>
        <v xml:space="preserve"> </v>
      </c>
      <c r="BU11" s="323" t="str">
        <f t="shared" si="5"/>
        <v xml:space="preserve"> </v>
      </c>
      <c r="BV11" s="323" t="str">
        <f t="shared" si="6"/>
        <v xml:space="preserve"> </v>
      </c>
      <c r="BW11" s="198" t="str">
        <f t="shared" si="7"/>
        <v xml:space="preserve"> </v>
      </c>
      <c r="BX11" s="967"/>
    </row>
    <row r="12" spans="1:78" s="83" customFormat="1" ht="18.75">
      <c r="A12" s="94"/>
      <c r="B12" s="95" t="s">
        <v>106</v>
      </c>
      <c r="C12" s="1469" t="s">
        <v>97</v>
      </c>
      <c r="D12" s="816">
        <v>15.22</v>
      </c>
      <c r="E12" s="1469"/>
      <c r="F12" s="1469"/>
      <c r="G12" s="1469"/>
      <c r="H12" s="433"/>
      <c r="I12" s="822"/>
      <c r="J12" s="963">
        <v>15.22</v>
      </c>
      <c r="K12" s="1469"/>
      <c r="L12" s="1469"/>
      <c r="M12" s="1469"/>
      <c r="N12" s="1469"/>
      <c r="O12" s="822"/>
      <c r="P12" s="103">
        <v>15.22</v>
      </c>
      <c r="Q12" s="374"/>
      <c r="R12" s="1471"/>
      <c r="S12" s="1472"/>
      <c r="T12" s="1472"/>
      <c r="U12" s="1473"/>
      <c r="V12" s="103">
        <v>15.22</v>
      </c>
      <c r="W12" s="374"/>
      <c r="X12" s="1471"/>
      <c r="Y12" s="1472"/>
      <c r="Z12" s="1472"/>
      <c r="AA12" s="1473"/>
      <c r="AB12" s="103">
        <f>P12</f>
        <v>15.22</v>
      </c>
      <c r="AC12" s="374"/>
      <c r="AD12" s="1471"/>
      <c r="AE12" s="1472"/>
      <c r="AF12" s="1474"/>
      <c r="AG12" s="1475"/>
      <c r="AH12" s="103">
        <f>V12</f>
        <v>15.22</v>
      </c>
      <c r="AI12" s="374"/>
      <c r="AJ12" s="1471"/>
      <c r="AK12" s="1472"/>
      <c r="AL12" s="1474"/>
      <c r="AM12" s="1475"/>
      <c r="AN12" s="103">
        <f>AB12</f>
        <v>15.22</v>
      </c>
      <c r="AO12" s="374"/>
      <c r="AP12" s="1471"/>
      <c r="AQ12" s="1472"/>
      <c r="AR12" s="1474"/>
      <c r="AS12" s="1475"/>
      <c r="AT12" s="103">
        <f>AH12</f>
        <v>15.22</v>
      </c>
      <c r="AU12" s="374"/>
      <c r="AV12" s="1471"/>
      <c r="AW12" s="1472"/>
      <c r="AX12" s="1474"/>
      <c r="AY12" s="1475"/>
      <c r="AZ12" s="103">
        <f>AN12</f>
        <v>15.22</v>
      </c>
      <c r="BA12" s="374"/>
      <c r="BB12" s="1471"/>
      <c r="BC12" s="1472"/>
      <c r="BD12" s="1474"/>
      <c r="BE12" s="1475"/>
      <c r="BF12" s="103">
        <f>AT12</f>
        <v>15.22</v>
      </c>
      <c r="BG12" s="374"/>
      <c r="BH12" s="1471"/>
      <c r="BI12" s="1472"/>
      <c r="BJ12" s="1474"/>
      <c r="BK12" s="1475"/>
      <c r="BL12" s="103">
        <f>AZ12</f>
        <v>15.22</v>
      </c>
      <c r="BM12" s="374"/>
      <c r="BN12" s="1471"/>
      <c r="BO12" s="1472"/>
      <c r="BP12" s="1474"/>
      <c r="BQ12" s="1473"/>
      <c r="BR12" s="835">
        <f t="shared" si="8"/>
        <v>1</v>
      </c>
      <c r="BS12" s="542">
        <f t="shared" si="9"/>
        <v>1</v>
      </c>
      <c r="BT12" s="828">
        <f t="shared" si="4"/>
        <v>1</v>
      </c>
      <c r="BU12" s="323">
        <f t="shared" si="5"/>
        <v>1</v>
      </c>
      <c r="BV12" s="323">
        <f t="shared" si="6"/>
        <v>1</v>
      </c>
      <c r="BW12" s="198">
        <f t="shared" si="7"/>
        <v>1</v>
      </c>
      <c r="BX12" s="967"/>
    </row>
    <row r="13" spans="1:78" s="83" customFormat="1" ht="31.5">
      <c r="A13" s="94"/>
      <c r="B13" s="95" t="s">
        <v>107</v>
      </c>
      <c r="C13" s="1469" t="s">
        <v>108</v>
      </c>
      <c r="D13" s="816">
        <v>1</v>
      </c>
      <c r="E13" s="1469"/>
      <c r="F13" s="1469"/>
      <c r="G13" s="1469"/>
      <c r="H13" s="433"/>
      <c r="I13" s="822"/>
      <c r="J13" s="961">
        <v>26.54</v>
      </c>
      <c r="K13" s="1469"/>
      <c r="L13" s="1469"/>
      <c r="M13" s="1469"/>
      <c r="N13" s="1469"/>
      <c r="O13" s="822"/>
      <c r="P13" s="103"/>
      <c r="Q13" s="1471"/>
      <c r="R13" s="374"/>
      <c r="S13" s="441"/>
      <c r="T13" s="441"/>
      <c r="U13" s="460"/>
      <c r="V13" s="103">
        <f>J13</f>
        <v>26.54</v>
      </c>
      <c r="W13" s="1471"/>
      <c r="X13" s="374"/>
      <c r="Y13" s="441"/>
      <c r="Z13" s="441"/>
      <c r="AA13" s="460"/>
      <c r="AB13" s="103">
        <f>P13</f>
        <v>0</v>
      </c>
      <c r="AC13" s="1471"/>
      <c r="AD13" s="374"/>
      <c r="AE13" s="441"/>
      <c r="AF13" s="376"/>
      <c r="AG13" s="427"/>
      <c r="AH13" s="103">
        <f>V13</f>
        <v>26.54</v>
      </c>
      <c r="AI13" s="1471"/>
      <c r="AJ13" s="374"/>
      <c r="AK13" s="441"/>
      <c r="AL13" s="376"/>
      <c r="AM13" s="427"/>
      <c r="AN13" s="103">
        <f>AB13</f>
        <v>0</v>
      </c>
      <c r="AO13" s="1471"/>
      <c r="AP13" s="374"/>
      <c r="AQ13" s="441"/>
      <c r="AR13" s="376"/>
      <c r="AS13" s="427"/>
      <c r="AT13" s="103">
        <f>AH13</f>
        <v>26.54</v>
      </c>
      <c r="AU13" s="1471"/>
      <c r="AV13" s="374"/>
      <c r="AW13" s="441"/>
      <c r="AX13" s="376"/>
      <c r="AY13" s="427"/>
      <c r="AZ13" s="103">
        <f>AN13</f>
        <v>0</v>
      </c>
      <c r="BA13" s="1471"/>
      <c r="BB13" s="374"/>
      <c r="BC13" s="441"/>
      <c r="BD13" s="376"/>
      <c r="BE13" s="427"/>
      <c r="BF13" s="103">
        <f>AT13</f>
        <v>26.54</v>
      </c>
      <c r="BG13" s="1471"/>
      <c r="BH13" s="374"/>
      <c r="BI13" s="441"/>
      <c r="BJ13" s="376"/>
      <c r="BK13" s="427"/>
      <c r="BL13" s="103">
        <f>AZ13</f>
        <v>0</v>
      </c>
      <c r="BM13" s="1471"/>
      <c r="BN13" s="374"/>
      <c r="BO13" s="441"/>
      <c r="BP13" s="376"/>
      <c r="BQ13" s="460"/>
      <c r="BR13" s="835">
        <f t="shared" si="8"/>
        <v>0</v>
      </c>
      <c r="BS13" s="542">
        <f t="shared" si="9"/>
        <v>0</v>
      </c>
      <c r="BT13" s="828" t="str">
        <f t="shared" si="4"/>
        <v xml:space="preserve"> </v>
      </c>
      <c r="BU13" s="323" t="str">
        <f t="shared" si="5"/>
        <v xml:space="preserve"> </v>
      </c>
      <c r="BV13" s="323" t="str">
        <f t="shared" si="6"/>
        <v xml:space="preserve"> </v>
      </c>
      <c r="BW13" s="198" t="str">
        <f t="shared" si="7"/>
        <v xml:space="preserve"> </v>
      </c>
      <c r="BX13" s="967"/>
    </row>
    <row r="14" spans="1:78" s="83" customFormat="1" ht="19.5" thickBot="1">
      <c r="A14" s="104"/>
      <c r="B14" s="1476" t="s">
        <v>109</v>
      </c>
      <c r="C14" s="1477"/>
      <c r="D14" s="817">
        <v>0.75</v>
      </c>
      <c r="E14" s="818"/>
      <c r="F14" s="818"/>
      <c r="G14" s="818"/>
      <c r="H14" s="819"/>
      <c r="I14" s="823"/>
      <c r="J14" s="964">
        <v>0.75</v>
      </c>
      <c r="K14" s="818"/>
      <c r="L14" s="818"/>
      <c r="M14" s="818"/>
      <c r="N14" s="818"/>
      <c r="O14" s="823"/>
      <c r="P14" s="1129">
        <v>0.75</v>
      </c>
      <c r="Q14" s="1478"/>
      <c r="R14" s="1478"/>
      <c r="S14" s="1479"/>
      <c r="T14" s="1479"/>
      <c r="U14" s="1480"/>
      <c r="V14" s="1129">
        <v>0.75</v>
      </c>
      <c r="W14" s="1478"/>
      <c r="X14" s="1478"/>
      <c r="Y14" s="1479"/>
      <c r="Z14" s="1479"/>
      <c r="AA14" s="1480"/>
      <c r="AB14" s="1129">
        <v>0.75</v>
      </c>
      <c r="AC14" s="1478"/>
      <c r="AD14" s="1478"/>
      <c r="AE14" s="1479"/>
      <c r="AF14" s="1481"/>
      <c r="AG14" s="1482"/>
      <c r="AH14" s="1129">
        <v>0.75</v>
      </c>
      <c r="AI14" s="1478"/>
      <c r="AJ14" s="1478"/>
      <c r="AK14" s="1479"/>
      <c r="AL14" s="1481"/>
      <c r="AM14" s="1482"/>
      <c r="AN14" s="1129">
        <v>0.75</v>
      </c>
      <c r="AO14" s="1478"/>
      <c r="AP14" s="1478"/>
      <c r="AQ14" s="1479"/>
      <c r="AR14" s="1481"/>
      <c r="AS14" s="1482"/>
      <c r="AT14" s="1129">
        <v>0.75</v>
      </c>
      <c r="AU14" s="1478"/>
      <c r="AV14" s="1478"/>
      <c r="AW14" s="1479"/>
      <c r="AX14" s="1483"/>
      <c r="AY14" s="1482"/>
      <c r="AZ14" s="1129">
        <v>0.75</v>
      </c>
      <c r="BA14" s="1478"/>
      <c r="BB14" s="1478"/>
      <c r="BC14" s="1479"/>
      <c r="BD14" s="1481"/>
      <c r="BE14" s="1482"/>
      <c r="BF14" s="1129">
        <v>0.75</v>
      </c>
      <c r="BG14" s="1478"/>
      <c r="BH14" s="1478"/>
      <c r="BI14" s="1479"/>
      <c r="BJ14" s="1483"/>
      <c r="BK14" s="1482"/>
      <c r="BL14" s="1129">
        <v>0.75</v>
      </c>
      <c r="BM14" s="1478"/>
      <c r="BN14" s="1478"/>
      <c r="BO14" s="1479"/>
      <c r="BP14" s="1481"/>
      <c r="BQ14" s="1480"/>
      <c r="BR14" s="1484">
        <f t="shared" si="8"/>
        <v>1</v>
      </c>
      <c r="BS14" s="1485">
        <f t="shared" si="9"/>
        <v>1</v>
      </c>
      <c r="BT14" s="1486">
        <f t="shared" si="4"/>
        <v>1</v>
      </c>
      <c r="BU14" s="1487">
        <f t="shared" si="5"/>
        <v>1</v>
      </c>
      <c r="BV14" s="1487">
        <f t="shared" si="6"/>
        <v>1</v>
      </c>
      <c r="BW14" s="1488">
        <f t="shared" si="7"/>
        <v>1</v>
      </c>
      <c r="BX14" s="967"/>
    </row>
    <row r="15" spans="1:78" s="88" customFormat="1" ht="36.75" customHeight="1" thickBot="1">
      <c r="A15" s="1583" t="s">
        <v>110</v>
      </c>
      <c r="B15" s="1584"/>
      <c r="C15" s="84" t="s">
        <v>1</v>
      </c>
      <c r="D15" s="186">
        <f>E15+F15+G15+H15</f>
        <v>24602.370000000003</v>
      </c>
      <c r="E15" s="184">
        <f t="shared" ref="E15:I15" si="10">SUM(E16:E20)</f>
        <v>22089.420000000002</v>
      </c>
      <c r="F15" s="184">
        <f t="shared" si="10"/>
        <v>0</v>
      </c>
      <c r="G15" s="185">
        <f t="shared" si="10"/>
        <v>0</v>
      </c>
      <c r="H15" s="185">
        <f t="shared" si="10"/>
        <v>2512.9499999999998</v>
      </c>
      <c r="I15" s="462">
        <f t="shared" si="10"/>
        <v>0</v>
      </c>
      <c r="J15" s="186">
        <f>K15+L15+M15+N15</f>
        <v>25959.404999999999</v>
      </c>
      <c r="K15" s="184">
        <f t="shared" ref="K15:O15" si="11">SUM(K16:K20)</f>
        <v>25626.994999999999</v>
      </c>
      <c r="L15" s="184">
        <f t="shared" si="11"/>
        <v>0</v>
      </c>
      <c r="M15" s="185">
        <f t="shared" si="11"/>
        <v>0</v>
      </c>
      <c r="N15" s="185">
        <f t="shared" si="11"/>
        <v>332.41</v>
      </c>
      <c r="O15" s="462">
        <f t="shared" si="11"/>
        <v>0</v>
      </c>
      <c r="P15" s="186">
        <f>Q15+R15+S15+T15</f>
        <v>25674.44</v>
      </c>
      <c r="Q15" s="184">
        <f t="shared" ref="Q15:U15" si="12">SUM(Q16:Q20)</f>
        <v>22981.17</v>
      </c>
      <c r="R15" s="184">
        <f t="shared" si="12"/>
        <v>0</v>
      </c>
      <c r="S15" s="185">
        <f t="shared" si="12"/>
        <v>0</v>
      </c>
      <c r="T15" s="185">
        <f t="shared" si="12"/>
        <v>2693.27</v>
      </c>
      <c r="U15" s="462">
        <f t="shared" si="12"/>
        <v>0</v>
      </c>
      <c r="V15" s="186">
        <f>W15+X15+Y15+Z15</f>
        <v>27097.836000000003</v>
      </c>
      <c r="W15" s="184">
        <f t="shared" ref="W15:Z15" si="13">SUM(W16:W20)</f>
        <v>26725.542000000001</v>
      </c>
      <c r="X15" s="184">
        <f t="shared" si="13"/>
        <v>0</v>
      </c>
      <c r="Y15" s="185">
        <f t="shared" si="13"/>
        <v>0</v>
      </c>
      <c r="Z15" s="185">
        <f t="shared" si="13"/>
        <v>372.29399999999998</v>
      </c>
      <c r="AA15" s="462">
        <f t="shared" ref="AA15" si="14">SUM(AA16:AA20)</f>
        <v>0</v>
      </c>
      <c r="AB15" s="186">
        <f>AC15+AD15+AE15+AF15</f>
        <v>26445.639999999996</v>
      </c>
      <c r="AC15" s="184">
        <f t="shared" ref="AC15:AG15" si="15">SUM(AC16:AC20)</f>
        <v>23525.539999999997</v>
      </c>
      <c r="AD15" s="184">
        <f t="shared" si="15"/>
        <v>0</v>
      </c>
      <c r="AE15" s="184">
        <f t="shared" si="15"/>
        <v>0</v>
      </c>
      <c r="AF15" s="185">
        <f>SUM(AF16:AF20)</f>
        <v>2920.1</v>
      </c>
      <c r="AG15" s="462">
        <f t="shared" si="15"/>
        <v>0</v>
      </c>
      <c r="AH15" s="186">
        <f>AI15+AJ15+AK15+AL15</f>
        <v>28297.803000000004</v>
      </c>
      <c r="AI15" s="184">
        <f t="shared" ref="AI15:AL15" si="16">SUM(AI16:AI20)</f>
        <v>27880.833000000002</v>
      </c>
      <c r="AJ15" s="184">
        <f t="shared" si="16"/>
        <v>0</v>
      </c>
      <c r="AK15" s="185">
        <f t="shared" si="16"/>
        <v>0</v>
      </c>
      <c r="AL15" s="185">
        <f t="shared" si="16"/>
        <v>416.97</v>
      </c>
      <c r="AM15" s="462">
        <f t="shared" ref="AM15" si="17">SUM(AM16:AM20)</f>
        <v>0</v>
      </c>
      <c r="AN15" s="186">
        <f>AO15+AP15+AQ15+AR15</f>
        <v>27368.42</v>
      </c>
      <c r="AO15" s="184">
        <f>SUM(AO16:AO20)</f>
        <v>24279.66</v>
      </c>
      <c r="AP15" s="184">
        <f t="shared" ref="AP15:AS15" si="18">SUM(AP16:AP20)</f>
        <v>0</v>
      </c>
      <c r="AQ15" s="184">
        <f t="shared" si="18"/>
        <v>0</v>
      </c>
      <c r="AR15" s="185">
        <f t="shared" si="18"/>
        <v>3088.76</v>
      </c>
      <c r="AS15" s="462">
        <f t="shared" si="18"/>
        <v>0</v>
      </c>
      <c r="AT15" s="186">
        <f>AU15+AV15+AW15+AX15</f>
        <v>29575.173000000003</v>
      </c>
      <c r="AU15" s="184">
        <f t="shared" ref="AU15:AX15" si="19">SUM(AU16:AU20)</f>
        <v>29108.167000000001</v>
      </c>
      <c r="AV15" s="184">
        <f t="shared" si="19"/>
        <v>0</v>
      </c>
      <c r="AW15" s="185">
        <f t="shared" si="19"/>
        <v>0</v>
      </c>
      <c r="AX15" s="185">
        <f t="shared" si="19"/>
        <v>467.00599999999997</v>
      </c>
      <c r="AY15" s="462">
        <f t="shared" ref="AY15" si="20">SUM(AY16:AY20)</f>
        <v>0</v>
      </c>
      <c r="AZ15" s="186">
        <f>BA15+BB15+BC15+BD15</f>
        <v>28231.54</v>
      </c>
      <c r="BA15" s="184">
        <f>SUM(BA16:BA20)</f>
        <v>25019.32</v>
      </c>
      <c r="BB15" s="184">
        <f t="shared" ref="BB15:BE15" si="21">SUM(BB16:BB20)</f>
        <v>0</v>
      </c>
      <c r="BC15" s="184">
        <f t="shared" si="21"/>
        <v>0</v>
      </c>
      <c r="BD15" s="185">
        <f t="shared" si="21"/>
        <v>3212.2200000000003</v>
      </c>
      <c r="BE15" s="462">
        <f t="shared" si="21"/>
        <v>0</v>
      </c>
      <c r="BF15" s="186">
        <f>BG15+BH15+BI15+BJ15</f>
        <v>30937.040000000001</v>
      </c>
      <c r="BG15" s="184">
        <f t="shared" ref="BG15:BJ15" si="22">SUM(BG16:BG20)</f>
        <v>30413.993000000002</v>
      </c>
      <c r="BH15" s="184">
        <f t="shared" si="22"/>
        <v>0</v>
      </c>
      <c r="BI15" s="185">
        <f t="shared" si="22"/>
        <v>0</v>
      </c>
      <c r="BJ15" s="185">
        <f t="shared" si="22"/>
        <v>523.04700000000003</v>
      </c>
      <c r="BK15" s="462">
        <f t="shared" ref="BK15" si="23">SUM(BK16:BK20)</f>
        <v>0</v>
      </c>
      <c r="BL15" s="186">
        <f>BM15+BN15+BO15+BP15</f>
        <v>29119.839999999997</v>
      </c>
      <c r="BM15" s="184">
        <f t="shared" ref="BM15:BQ15" si="24">SUM(BM16:BM20)</f>
        <v>25779.529999999995</v>
      </c>
      <c r="BN15" s="184">
        <f t="shared" si="24"/>
        <v>0</v>
      </c>
      <c r="BO15" s="184">
        <f t="shared" si="24"/>
        <v>0</v>
      </c>
      <c r="BP15" s="185">
        <f t="shared" si="24"/>
        <v>3340.31</v>
      </c>
      <c r="BQ15" s="462">
        <f t="shared" si="24"/>
        <v>0</v>
      </c>
      <c r="BR15" s="826">
        <f t="shared" si="8"/>
        <v>0.98902266827764351</v>
      </c>
      <c r="BS15" s="330">
        <f t="shared" si="9"/>
        <v>1.0435758831364619</v>
      </c>
      <c r="BT15" s="826">
        <f t="shared" si="4"/>
        <v>1.03003765612804</v>
      </c>
      <c r="BU15" s="330">
        <f t="shared" si="5"/>
        <v>1.0348934644803454</v>
      </c>
      <c r="BV15" s="330">
        <f t="shared" si="6"/>
        <v>1.0315370781360416</v>
      </c>
      <c r="BW15" s="196">
        <f t="shared" si="7"/>
        <v>1.0314648085084979</v>
      </c>
      <c r="BX15" s="967"/>
    </row>
    <row r="16" spans="1:78" s="111" customFormat="1" ht="18.75">
      <c r="A16" s="109"/>
      <c r="B16" s="110" t="s">
        <v>49</v>
      </c>
      <c r="C16" s="1002" t="s">
        <v>1</v>
      </c>
      <c r="D16" s="187">
        <f>E16+F16+G16+H16</f>
        <v>19255.7</v>
      </c>
      <c r="E16" s="188">
        <v>19255.7</v>
      </c>
      <c r="F16" s="188"/>
      <c r="G16" s="188"/>
      <c r="H16" s="415"/>
      <c r="I16" s="463"/>
      <c r="J16" s="187">
        <f>K16+L16+M16+N16</f>
        <v>20142.97</v>
      </c>
      <c r="K16" s="493">
        <v>20142.97</v>
      </c>
      <c r="L16" s="493"/>
      <c r="M16" s="493"/>
      <c r="N16" s="494"/>
      <c r="O16" s="495"/>
      <c r="P16" s="187">
        <f>Q16+R16+S16+T16</f>
        <v>19651.16</v>
      </c>
      <c r="Q16" s="188">
        <f>'[185]переменные на 5 лет'!F12</f>
        <v>19651.16</v>
      </c>
      <c r="R16" s="188"/>
      <c r="S16" s="188"/>
      <c r="T16" s="415"/>
      <c r="U16" s="463"/>
      <c r="V16" s="187">
        <f>W16+X16+Y16+Z16</f>
        <v>20793.918000000001</v>
      </c>
      <c r="W16" s="493">
        <v>20793.918000000001</v>
      </c>
      <c r="X16" s="493"/>
      <c r="Y16" s="493"/>
      <c r="Z16" s="494"/>
      <c r="AA16" s="495"/>
      <c r="AB16" s="187">
        <f>AC16+AD16+AE16+AF16</f>
        <v>20031.28</v>
      </c>
      <c r="AC16" s="188">
        <f>'[185]переменные на 5 лет'!I12</f>
        <v>20031.28</v>
      </c>
      <c r="AD16" s="413"/>
      <c r="AE16" s="415"/>
      <c r="AF16" s="415"/>
      <c r="AG16" s="463"/>
      <c r="AH16" s="187">
        <f>AI16+AJ16+AK16+AL16</f>
        <v>21456.107</v>
      </c>
      <c r="AI16" s="493">
        <v>21456.107</v>
      </c>
      <c r="AJ16" s="493"/>
      <c r="AK16" s="493"/>
      <c r="AL16" s="494"/>
      <c r="AM16" s="495"/>
      <c r="AN16" s="187">
        <f>AO16+AP16+AQ16+AR16</f>
        <v>20607.5</v>
      </c>
      <c r="AO16" s="188">
        <f>'[185]переменные на 5 лет'!L12</f>
        <v>20607.5</v>
      </c>
      <c r="AP16" s="413"/>
      <c r="AQ16" s="415"/>
      <c r="AR16" s="415"/>
      <c r="AS16" s="463"/>
      <c r="AT16" s="187">
        <f>AU16+AV16+AW16+AX16</f>
        <v>22139.697</v>
      </c>
      <c r="AU16" s="493">
        <v>22139.697</v>
      </c>
      <c r="AV16" s="493"/>
      <c r="AW16" s="493"/>
      <c r="AX16" s="494"/>
      <c r="AY16" s="495"/>
      <c r="AZ16" s="187">
        <f>BA16+BB16+BC16+BD16</f>
        <v>21200.27</v>
      </c>
      <c r="BA16" s="188">
        <f>'[185]переменные на 5 лет'!O12</f>
        <v>21200.27</v>
      </c>
      <c r="BB16" s="413"/>
      <c r="BC16" s="415"/>
      <c r="BD16" s="415"/>
      <c r="BE16" s="463"/>
      <c r="BF16" s="187">
        <f>BG16+BH16+BI16+BJ16</f>
        <v>22845.388999999999</v>
      </c>
      <c r="BG16" s="493">
        <v>22845.388999999999</v>
      </c>
      <c r="BH16" s="493"/>
      <c r="BI16" s="493"/>
      <c r="BJ16" s="494"/>
      <c r="BK16" s="495"/>
      <c r="BL16" s="187">
        <f>BM16+BN16+BO16+BP16</f>
        <v>21810.059999999998</v>
      </c>
      <c r="BM16" s="188">
        <f>'[185]переменные на 5 лет'!R12</f>
        <v>21810.059999999998</v>
      </c>
      <c r="BN16" s="413"/>
      <c r="BO16" s="415"/>
      <c r="BP16" s="415"/>
      <c r="BQ16" s="463"/>
      <c r="BR16" s="844">
        <f t="shared" si="8"/>
        <v>0.97558403750787492</v>
      </c>
      <c r="BS16" s="840">
        <f t="shared" si="9"/>
        <v>1.0205372954501784</v>
      </c>
      <c r="BT16" s="830">
        <f t="shared" si="4"/>
        <v>1.0193433873623745</v>
      </c>
      <c r="BU16" s="332">
        <f t="shared" si="5"/>
        <v>1.0287660099604219</v>
      </c>
      <c r="BV16" s="332">
        <f t="shared" si="6"/>
        <v>1.0287647701079705</v>
      </c>
      <c r="BW16" s="200">
        <f t="shared" si="7"/>
        <v>1.0287633129200711</v>
      </c>
      <c r="BX16" s="967"/>
    </row>
    <row r="17" spans="1:77" s="111" customFormat="1" ht="18.75">
      <c r="A17" s="112"/>
      <c r="B17" s="113" t="s">
        <v>111</v>
      </c>
      <c r="C17" s="1489" t="s">
        <v>1</v>
      </c>
      <c r="D17" s="187">
        <f t="shared" ref="D17:D19" si="25">E17+F17+G17+H17</f>
        <v>2051.6999999999998</v>
      </c>
      <c r="E17" s="190">
        <v>2051.6999999999998</v>
      </c>
      <c r="F17" s="190"/>
      <c r="G17" s="190"/>
      <c r="H17" s="1135"/>
      <c r="I17" s="464"/>
      <c r="J17" s="187">
        <f>K17+L17+M17+N17</f>
        <v>2598.5639999999999</v>
      </c>
      <c r="K17" s="232">
        <v>2598.5639999999999</v>
      </c>
      <c r="L17" s="232"/>
      <c r="M17" s="232"/>
      <c r="N17" s="1141"/>
      <c r="O17" s="470"/>
      <c r="P17" s="187">
        <f>Q17+R17+S17+T17</f>
        <v>2390.33</v>
      </c>
      <c r="Q17" s="190">
        <f>'[185]переменные на 5 лет'!F94</f>
        <v>2390.33</v>
      </c>
      <c r="R17" s="190"/>
      <c r="S17" s="190"/>
      <c r="T17" s="1135"/>
      <c r="U17" s="464"/>
      <c r="V17" s="187">
        <f t="shared" ref="V17:V19" si="26">W17+X17+Y17+Z17</f>
        <v>2699.9070000000002</v>
      </c>
      <c r="W17" s="232">
        <v>2699.9070000000002</v>
      </c>
      <c r="X17" s="232"/>
      <c r="Y17" s="232"/>
      <c r="Z17" s="1141"/>
      <c r="AA17" s="470"/>
      <c r="AB17" s="189">
        <f>AC17+AD17+AE17+AF17</f>
        <v>2490.73</v>
      </c>
      <c r="AC17" s="190">
        <f>'[185]переменные на 5 лет'!I94</f>
        <v>2490.73</v>
      </c>
      <c r="AD17" s="190"/>
      <c r="AE17" s="1135"/>
      <c r="AF17" s="1135"/>
      <c r="AG17" s="464"/>
      <c r="AH17" s="187">
        <f t="shared" ref="AH17:AH19" si="27">AI17+AJ17+AK17+AL17</f>
        <v>2805.2020000000002</v>
      </c>
      <c r="AI17" s="232">
        <v>2805.2020000000002</v>
      </c>
      <c r="AJ17" s="232"/>
      <c r="AK17" s="232"/>
      <c r="AL17" s="1141"/>
      <c r="AM17" s="470"/>
      <c r="AN17" s="189">
        <f>AO17+AP17+AQ17+AR17</f>
        <v>2590.35</v>
      </c>
      <c r="AO17" s="190">
        <f>'[185]переменные на 5 лет'!L94</f>
        <v>2590.35</v>
      </c>
      <c r="AP17" s="190"/>
      <c r="AQ17" s="1135"/>
      <c r="AR17" s="1135"/>
      <c r="AS17" s="464"/>
      <c r="AT17" s="187">
        <f t="shared" ref="AT17:AT19" si="28">AU17+AV17+AW17+AX17</f>
        <v>2914.6039999999998</v>
      </c>
      <c r="AU17" s="232">
        <v>2914.6039999999998</v>
      </c>
      <c r="AV17" s="232"/>
      <c r="AW17" s="232"/>
      <c r="AX17" s="1141"/>
      <c r="AY17" s="470"/>
      <c r="AZ17" s="189">
        <f>BA17+BB17+BC17+BD17</f>
        <v>2693.98</v>
      </c>
      <c r="BA17" s="190">
        <f>'[185]переменные на 5 лет'!O94</f>
        <v>2693.98</v>
      </c>
      <c r="BB17" s="190"/>
      <c r="BC17" s="1135"/>
      <c r="BD17" s="1135"/>
      <c r="BE17" s="464"/>
      <c r="BF17" s="187">
        <f t="shared" ref="BF17:BF19" si="29">BG17+BH17+BI17+BJ17</f>
        <v>3028.2739999999999</v>
      </c>
      <c r="BG17" s="232">
        <v>3028.2739999999999</v>
      </c>
      <c r="BH17" s="232"/>
      <c r="BI17" s="232"/>
      <c r="BJ17" s="1141"/>
      <c r="BK17" s="470"/>
      <c r="BL17" s="189">
        <f>BM17+BN17+BO17+BP17</f>
        <v>2799.05</v>
      </c>
      <c r="BM17" s="190">
        <f>'[185]переменные на 5 лет'!R94</f>
        <v>2799.05</v>
      </c>
      <c r="BN17" s="190"/>
      <c r="BO17" s="1135"/>
      <c r="BP17" s="1135"/>
      <c r="BQ17" s="464"/>
      <c r="BR17" s="940">
        <f t="shared" si="8"/>
        <v>0.91986574123246534</v>
      </c>
      <c r="BS17" s="542">
        <f t="shared" si="9"/>
        <v>1.165048496368865</v>
      </c>
      <c r="BT17" s="942">
        <f t="shared" si="4"/>
        <v>1.0420025686829852</v>
      </c>
      <c r="BU17" s="324">
        <f t="shared" si="5"/>
        <v>1.0399963063037743</v>
      </c>
      <c r="BV17" s="324">
        <f t="shared" si="6"/>
        <v>1.0400061767714788</v>
      </c>
      <c r="BW17" s="201">
        <f t="shared" si="7"/>
        <v>1.0390017743264612</v>
      </c>
      <c r="BX17" s="967"/>
    </row>
    <row r="18" spans="1:77" s="111" customFormat="1" ht="18.75">
      <c r="A18" s="112"/>
      <c r="B18" s="113" t="s">
        <v>112</v>
      </c>
      <c r="C18" s="1489" t="s">
        <v>1</v>
      </c>
      <c r="D18" s="187">
        <f t="shared" si="25"/>
        <v>0</v>
      </c>
      <c r="E18" s="190"/>
      <c r="F18" s="190"/>
      <c r="G18" s="190"/>
      <c r="H18" s="1135"/>
      <c r="I18" s="464"/>
      <c r="J18" s="187">
        <f t="shared" ref="J18" si="30">K18+L18+M18+N18</f>
        <v>0</v>
      </c>
      <c r="K18" s="232"/>
      <c r="L18" s="232"/>
      <c r="M18" s="232"/>
      <c r="N18" s="1141"/>
      <c r="O18" s="470"/>
      <c r="P18" s="187">
        <f t="shared" ref="P18:P19" si="31">Q18+R18+S18+T18</f>
        <v>0</v>
      </c>
      <c r="Q18" s="190"/>
      <c r="R18" s="190"/>
      <c r="S18" s="190"/>
      <c r="T18" s="1135"/>
      <c r="U18" s="464"/>
      <c r="V18" s="187">
        <f t="shared" si="26"/>
        <v>0</v>
      </c>
      <c r="W18" s="232"/>
      <c r="X18" s="232"/>
      <c r="Y18" s="232"/>
      <c r="Z18" s="1141"/>
      <c r="AA18" s="470"/>
      <c r="AB18" s="189">
        <f t="shared" ref="AB18:AB19" si="32">AC18+AD18+AE18+AF18</f>
        <v>0</v>
      </c>
      <c r="AC18" s="190"/>
      <c r="AD18" s="190"/>
      <c r="AE18" s="1135"/>
      <c r="AF18" s="1135"/>
      <c r="AG18" s="464"/>
      <c r="AH18" s="187">
        <f t="shared" si="27"/>
        <v>0</v>
      </c>
      <c r="AI18" s="232"/>
      <c r="AJ18" s="232"/>
      <c r="AK18" s="232"/>
      <c r="AL18" s="1141"/>
      <c r="AM18" s="470"/>
      <c r="AN18" s="189">
        <f t="shared" ref="AN18:AN19" si="33">AO18+AP18+AQ18+AR18</f>
        <v>0</v>
      </c>
      <c r="AO18" s="190"/>
      <c r="AP18" s="190"/>
      <c r="AQ18" s="1135"/>
      <c r="AR18" s="1135"/>
      <c r="AS18" s="464"/>
      <c r="AT18" s="187">
        <f t="shared" si="28"/>
        <v>0</v>
      </c>
      <c r="AU18" s="232"/>
      <c r="AV18" s="232"/>
      <c r="AW18" s="232"/>
      <c r="AX18" s="1141"/>
      <c r="AY18" s="470"/>
      <c r="AZ18" s="189">
        <f t="shared" ref="AZ18:AZ19" si="34">BA18+BB18+BC18+BD18</f>
        <v>0</v>
      </c>
      <c r="BA18" s="190"/>
      <c r="BB18" s="190"/>
      <c r="BC18" s="1135"/>
      <c r="BD18" s="1135"/>
      <c r="BE18" s="464"/>
      <c r="BF18" s="187">
        <f t="shared" si="29"/>
        <v>0</v>
      </c>
      <c r="BG18" s="232"/>
      <c r="BH18" s="232"/>
      <c r="BI18" s="232"/>
      <c r="BJ18" s="1141"/>
      <c r="BK18" s="470"/>
      <c r="BL18" s="189">
        <f t="shared" ref="BL18" si="35">BM18+BN18+BO18+BP18</f>
        <v>0</v>
      </c>
      <c r="BM18" s="190"/>
      <c r="BN18" s="190"/>
      <c r="BO18" s="1135"/>
      <c r="BP18" s="1135"/>
      <c r="BQ18" s="464"/>
      <c r="BR18" s="940" t="str">
        <f t="shared" si="8"/>
        <v xml:space="preserve"> </v>
      </c>
      <c r="BS18" s="542" t="str">
        <f t="shared" si="9"/>
        <v xml:space="preserve"> </v>
      </c>
      <c r="BT18" s="942" t="str">
        <f t="shared" si="4"/>
        <v xml:space="preserve"> </v>
      </c>
      <c r="BU18" s="324" t="str">
        <f t="shared" si="5"/>
        <v xml:space="preserve"> </v>
      </c>
      <c r="BV18" s="324" t="str">
        <f t="shared" si="6"/>
        <v xml:space="preserve"> </v>
      </c>
      <c r="BW18" s="201" t="str">
        <f>IF(ISERROR(BL18/AZ18)," ",BL18/AZ18)</f>
        <v xml:space="preserve"> </v>
      </c>
      <c r="BX18" s="967"/>
    </row>
    <row r="19" spans="1:77" s="111" customFormat="1" ht="18.75">
      <c r="A19" s="114"/>
      <c r="B19" s="115" t="s">
        <v>50</v>
      </c>
      <c r="C19" s="1489" t="s">
        <v>1</v>
      </c>
      <c r="D19" s="187">
        <f t="shared" si="25"/>
        <v>3294.97</v>
      </c>
      <c r="E19" s="190">
        <v>782.02</v>
      </c>
      <c r="F19" s="190"/>
      <c r="G19" s="190"/>
      <c r="H19" s="1135">
        <v>2512.9499999999998</v>
      </c>
      <c r="I19" s="464"/>
      <c r="J19" s="187">
        <f>K19+L19+M19+N19</f>
        <v>3217.8709999999996</v>
      </c>
      <c r="K19" s="232">
        <v>2885.4609999999998</v>
      </c>
      <c r="L19" s="232"/>
      <c r="M19" s="232"/>
      <c r="N19" s="1141">
        <v>332.41</v>
      </c>
      <c r="O19" s="470"/>
      <c r="P19" s="187">
        <f t="shared" si="31"/>
        <v>3632.95</v>
      </c>
      <c r="Q19" s="190">
        <f>'[185]переменные на 5 лет'!F106+'[185]переменные на 5 лет'!F122</f>
        <v>939.68000000000006</v>
      </c>
      <c r="R19" s="190"/>
      <c r="S19" s="190"/>
      <c r="T19" s="1135">
        <f>'[185]переменные на 5 лет'!F121+'[185]переменные на 5 лет'!F127</f>
        <v>2693.27</v>
      </c>
      <c r="U19" s="464"/>
      <c r="V19" s="187">
        <f t="shared" si="26"/>
        <v>3604.011</v>
      </c>
      <c r="W19" s="232">
        <v>3231.7170000000001</v>
      </c>
      <c r="X19" s="232"/>
      <c r="Y19" s="232"/>
      <c r="Z19" s="1141">
        <v>372.29399999999998</v>
      </c>
      <c r="AA19" s="470"/>
      <c r="AB19" s="189">
        <f t="shared" si="32"/>
        <v>3923.63</v>
      </c>
      <c r="AC19" s="190">
        <f>'[185]переменные на 5 лет'!I106+'[185]переменные на 5 лет'!I122</f>
        <v>1003.5300000000001</v>
      </c>
      <c r="AD19" s="190"/>
      <c r="AE19" s="1135"/>
      <c r="AF19" s="1135">
        <f>'[185]переменные на 5 лет'!I121+'[185]переменные на 5 лет'!I127</f>
        <v>2920.1</v>
      </c>
      <c r="AG19" s="464"/>
      <c r="AH19" s="187">
        <f t="shared" si="27"/>
        <v>4036.4939999999997</v>
      </c>
      <c r="AI19" s="232">
        <v>3619.5239999999999</v>
      </c>
      <c r="AJ19" s="232"/>
      <c r="AK19" s="232"/>
      <c r="AL19" s="1141">
        <v>416.97</v>
      </c>
      <c r="AM19" s="470"/>
      <c r="AN19" s="189">
        <f t="shared" si="33"/>
        <v>4170.5700000000006</v>
      </c>
      <c r="AO19" s="190">
        <f>'[185]переменные на 5 лет'!L106+'[185]переменные на 5 лет'!L122</f>
        <v>1081.8100000000002</v>
      </c>
      <c r="AP19" s="190"/>
      <c r="AQ19" s="1135"/>
      <c r="AR19" s="1135">
        <f>'[185]переменные на 5 лет'!L121+'[185]переменные на 5 лет'!L127</f>
        <v>3088.76</v>
      </c>
      <c r="AS19" s="464"/>
      <c r="AT19" s="187">
        <f t="shared" si="28"/>
        <v>4520.8720000000003</v>
      </c>
      <c r="AU19" s="232">
        <v>4053.866</v>
      </c>
      <c r="AV19" s="232"/>
      <c r="AW19" s="232"/>
      <c r="AX19" s="1141">
        <v>467.00599999999997</v>
      </c>
      <c r="AY19" s="470"/>
      <c r="AZ19" s="189">
        <f t="shared" si="34"/>
        <v>4337.29</v>
      </c>
      <c r="BA19" s="190">
        <f>'[185]переменные на 5 лет'!O106+'[185]переменные на 5 лет'!O122</f>
        <v>1125.0699999999995</v>
      </c>
      <c r="BB19" s="190"/>
      <c r="BC19" s="1135"/>
      <c r="BD19" s="1135">
        <f>'[185]переменные на 5 лет'!O121+'[185]переменные на 5 лет'!O127</f>
        <v>3212.2200000000003</v>
      </c>
      <c r="BE19" s="464"/>
      <c r="BF19" s="187">
        <f t="shared" si="29"/>
        <v>5063.3770000000004</v>
      </c>
      <c r="BG19" s="232">
        <v>4540.33</v>
      </c>
      <c r="BH19" s="232"/>
      <c r="BI19" s="232"/>
      <c r="BJ19" s="1141">
        <v>523.04700000000003</v>
      </c>
      <c r="BK19" s="470"/>
      <c r="BL19" s="189">
        <f>BM19+BN19+BO19+BP19</f>
        <v>4510.7299999999996</v>
      </c>
      <c r="BM19" s="190">
        <f>'[185]переменные на 5 лет'!R106+'[185]переменные на 5 лет'!R122</f>
        <v>1170.4199999999996</v>
      </c>
      <c r="BN19" s="190"/>
      <c r="BO19" s="1135"/>
      <c r="BP19" s="1135">
        <f>'[185]переменные на 5 лет'!R121+'[185]переменные на 5 лет'!R127</f>
        <v>3340.31</v>
      </c>
      <c r="BQ19" s="464"/>
      <c r="BR19" s="940">
        <f t="shared" si="8"/>
        <v>1.1289918085591375</v>
      </c>
      <c r="BS19" s="542">
        <f t="shared" si="9"/>
        <v>1.1025745302688643</v>
      </c>
      <c r="BT19" s="942">
        <f t="shared" si="4"/>
        <v>1.0800121113695482</v>
      </c>
      <c r="BU19" s="324">
        <f t="shared" si="5"/>
        <v>1.0629366173670811</v>
      </c>
      <c r="BV19" s="324">
        <f t="shared" si="6"/>
        <v>1.0399753510910976</v>
      </c>
      <c r="BW19" s="201">
        <f t="shared" si="7"/>
        <v>1.0399881031704128</v>
      </c>
      <c r="BX19" s="967"/>
    </row>
    <row r="20" spans="1:77" s="111" customFormat="1" ht="19.5" thickBot="1">
      <c r="A20" s="1490"/>
      <c r="B20" s="1491" t="s">
        <v>51</v>
      </c>
      <c r="C20" s="1492" t="s">
        <v>1</v>
      </c>
      <c r="D20" s="187">
        <f>E20+F20+G20+H20</f>
        <v>0</v>
      </c>
      <c r="E20" s="1137"/>
      <c r="F20" s="1137"/>
      <c r="G20" s="1137"/>
      <c r="H20" s="1138"/>
      <c r="I20" s="1139"/>
      <c r="J20" s="187">
        <f>K20+L20+M20+N20</f>
        <v>0</v>
      </c>
      <c r="K20" s="1493"/>
      <c r="L20" s="1493"/>
      <c r="M20" s="1493"/>
      <c r="N20" s="1494"/>
      <c r="O20" s="1495"/>
      <c r="P20" s="187">
        <f>Q20+R20+S20+T20</f>
        <v>0</v>
      </c>
      <c r="Q20" s="1137"/>
      <c r="R20" s="1137"/>
      <c r="S20" s="1137"/>
      <c r="T20" s="1138"/>
      <c r="U20" s="1139"/>
      <c r="V20" s="187">
        <f>W20+X20+Y20+Z20</f>
        <v>0</v>
      </c>
      <c r="W20" s="1493"/>
      <c r="X20" s="1493"/>
      <c r="Y20" s="1493"/>
      <c r="Z20" s="1494"/>
      <c r="AA20" s="1495"/>
      <c r="AB20" s="1136">
        <f>AC20+AD20+AE20+AF20</f>
        <v>0</v>
      </c>
      <c r="AC20" s="1137"/>
      <c r="AD20" s="414"/>
      <c r="AE20" s="1138"/>
      <c r="AF20" s="1138"/>
      <c r="AG20" s="1139"/>
      <c r="AH20" s="187">
        <f>AI20+AJ20+AK20+AL20</f>
        <v>0</v>
      </c>
      <c r="AI20" s="1493"/>
      <c r="AJ20" s="1493"/>
      <c r="AK20" s="1493"/>
      <c r="AL20" s="1494"/>
      <c r="AM20" s="1495"/>
      <c r="AN20" s="1136">
        <f>AO20+AP20+AQ20+AR20</f>
        <v>0</v>
      </c>
      <c r="AO20" s="1137"/>
      <c r="AP20" s="414"/>
      <c r="AQ20" s="1138"/>
      <c r="AR20" s="1138"/>
      <c r="AS20" s="1139"/>
      <c r="AT20" s="187">
        <f>AU20+AV20+AW20+AX20</f>
        <v>0</v>
      </c>
      <c r="AU20" s="1493"/>
      <c r="AV20" s="1493"/>
      <c r="AW20" s="1493"/>
      <c r="AX20" s="1494"/>
      <c r="AY20" s="1495"/>
      <c r="AZ20" s="1136">
        <f>BA20+BB20+BC20+BD20</f>
        <v>0</v>
      </c>
      <c r="BA20" s="1137"/>
      <c r="BB20" s="414"/>
      <c r="BC20" s="1138"/>
      <c r="BD20" s="1138"/>
      <c r="BE20" s="1139"/>
      <c r="BF20" s="187">
        <f>BG20+BH20+BI20+BJ20</f>
        <v>0</v>
      </c>
      <c r="BG20" s="1493"/>
      <c r="BH20" s="1493"/>
      <c r="BI20" s="1493"/>
      <c r="BJ20" s="1494"/>
      <c r="BK20" s="1495"/>
      <c r="BL20" s="1136">
        <f>BM20+BN20+BO20+BP20</f>
        <v>0</v>
      </c>
      <c r="BM20" s="1137"/>
      <c r="BN20" s="414"/>
      <c r="BO20" s="1138"/>
      <c r="BP20" s="1138"/>
      <c r="BQ20" s="1139"/>
      <c r="BR20" s="1484" t="str">
        <f t="shared" si="8"/>
        <v xml:space="preserve"> </v>
      </c>
      <c r="BS20" s="1485" t="str">
        <f t="shared" si="9"/>
        <v xml:space="preserve"> </v>
      </c>
      <c r="BT20" s="1496" t="str">
        <f t="shared" si="4"/>
        <v xml:space="preserve"> </v>
      </c>
      <c r="BU20" s="1497" t="str">
        <f t="shared" si="5"/>
        <v xml:space="preserve"> </v>
      </c>
      <c r="BV20" s="1497" t="str">
        <f t="shared" si="6"/>
        <v xml:space="preserve"> </v>
      </c>
      <c r="BW20" s="1498" t="str">
        <f t="shared" si="7"/>
        <v xml:space="preserve"> </v>
      </c>
      <c r="BX20" s="967"/>
    </row>
    <row r="21" spans="1:77" s="88" customFormat="1" ht="43.5" customHeight="1" thickBot="1">
      <c r="A21" s="1585" t="s">
        <v>292</v>
      </c>
      <c r="B21" s="1586"/>
      <c r="C21" s="84" t="s">
        <v>1</v>
      </c>
      <c r="D21" s="525">
        <f>E21+F21+G21+H21</f>
        <v>5281.12</v>
      </c>
      <c r="E21" s="527">
        <f t="shared" ref="E21:I21" si="36">SUM(E22,E26,E29,E39,E42,E51:E55)</f>
        <v>3220.72</v>
      </c>
      <c r="F21" s="526">
        <f t="shared" si="36"/>
        <v>2060.4</v>
      </c>
      <c r="G21" s="524">
        <f t="shared" si="36"/>
        <v>0</v>
      </c>
      <c r="H21" s="524">
        <f t="shared" si="36"/>
        <v>0</v>
      </c>
      <c r="I21" s="523">
        <f t="shared" si="36"/>
        <v>0</v>
      </c>
      <c r="J21" s="186">
        <f>K21+L21+M21+N21</f>
        <v>6078.2068659985916</v>
      </c>
      <c r="K21" s="184">
        <f t="shared" ref="K21:O21" si="37">SUM(K22,K26,K29,K39,K42,K51:K55)</f>
        <v>3213.9307007839229</v>
      </c>
      <c r="L21" s="184">
        <f t="shared" si="37"/>
        <v>2824.2592372146687</v>
      </c>
      <c r="M21" s="185">
        <f t="shared" si="37"/>
        <v>0</v>
      </c>
      <c r="N21" s="185">
        <f t="shared" si="37"/>
        <v>40.016928000000007</v>
      </c>
      <c r="O21" s="462">
        <f t="shared" si="37"/>
        <v>0</v>
      </c>
      <c r="P21" s="525">
        <f>Q21+R21+S21+T21</f>
        <v>5814.4290000000001</v>
      </c>
      <c r="Q21" s="527">
        <f t="shared" ref="Q21:U21" si="38">SUM(Q22,Q26,Q29,Q39,Q42,Q51:Q55)</f>
        <v>3344.2069999999999</v>
      </c>
      <c r="R21" s="526">
        <f t="shared" si="38"/>
        <v>2470.2220000000002</v>
      </c>
      <c r="S21" s="524">
        <f t="shared" si="38"/>
        <v>0</v>
      </c>
      <c r="T21" s="524">
        <f t="shared" si="38"/>
        <v>0</v>
      </c>
      <c r="U21" s="523">
        <f t="shared" si="38"/>
        <v>0</v>
      </c>
      <c r="V21" s="186">
        <f>W21+X21+Y21+Z21</f>
        <v>6137.4024276199279</v>
      </c>
      <c r="W21" s="184">
        <f t="shared" ref="W21:AA21" si="39">SUM(W22,W26,W29,W39,W42,W51:W55)</f>
        <v>3236.9049420199271</v>
      </c>
      <c r="X21" s="184">
        <f t="shared" si="39"/>
        <v>2861.5055040000007</v>
      </c>
      <c r="Y21" s="185">
        <f t="shared" si="39"/>
        <v>0</v>
      </c>
      <c r="Z21" s="185">
        <f t="shared" si="39"/>
        <v>38.991981600000017</v>
      </c>
      <c r="AA21" s="462">
        <f t="shared" si="39"/>
        <v>0</v>
      </c>
      <c r="AB21" s="186">
        <f>AC21+AD21+AE21+AF21</f>
        <v>5952</v>
      </c>
      <c r="AC21" s="184">
        <f>ROUND(Q21*AC$8,2)</f>
        <v>3423.33</v>
      </c>
      <c r="AD21" s="184">
        <f>ROUND(R21*AD$8,2)</f>
        <v>2528.67</v>
      </c>
      <c r="AE21" s="184">
        <f t="shared" ref="AE21:AG21" si="40">ROUND(S21*AE$8,2)</f>
        <v>0</v>
      </c>
      <c r="AF21" s="185">
        <f t="shared" si="40"/>
        <v>0</v>
      </c>
      <c r="AG21" s="462">
        <f t="shared" si="40"/>
        <v>0</v>
      </c>
      <c r="AH21" s="186">
        <f>AI21+AJ21+AK21+AL21</f>
        <v>6319.0695394774775</v>
      </c>
      <c r="AI21" s="184">
        <f t="shared" ref="AI21:AL21" si="41">SUM(AI22,AI26,AI29,AI39,AI42,AI51:AI55)</f>
        <v>3332.7173283037168</v>
      </c>
      <c r="AJ21" s="184">
        <f t="shared" si="41"/>
        <v>2946.2060669184007</v>
      </c>
      <c r="AK21" s="185">
        <f t="shared" si="41"/>
        <v>0</v>
      </c>
      <c r="AL21" s="185">
        <f t="shared" si="41"/>
        <v>40.146144255360007</v>
      </c>
      <c r="AM21" s="462">
        <f>SUM(AM22,AM26,AM29,AM39,AM42,AM51:AM55)</f>
        <v>0</v>
      </c>
      <c r="AN21" s="186">
        <f>AO21+AP21+AQ21+AR21</f>
        <v>6128.18</v>
      </c>
      <c r="AO21" s="184">
        <f>ROUND(AC21*AO$8,2)</f>
        <v>3524.66</v>
      </c>
      <c r="AP21" s="184">
        <f t="shared" ref="AP21:AR21" si="42">ROUND(AD21*AP$8,2)</f>
        <v>2603.52</v>
      </c>
      <c r="AQ21" s="184">
        <f t="shared" si="42"/>
        <v>0</v>
      </c>
      <c r="AR21" s="185">
        <f t="shared" si="42"/>
        <v>0</v>
      </c>
      <c r="AS21" s="462">
        <f>ROUND(AG21*AS$8,2)</f>
        <v>0</v>
      </c>
      <c r="AT21" s="186">
        <f>AU21+AV21+AW21+AX21</f>
        <v>6506.1139978460124</v>
      </c>
      <c r="AU21" s="184">
        <f t="shared" ref="AU21:AX21" si="43">SUM(AU22,AU26,AU29,AU39,AU42,AU51:AU55)</f>
        <v>3431.3657612215075</v>
      </c>
      <c r="AV21" s="184">
        <f t="shared" si="43"/>
        <v>3033.4137664991858</v>
      </c>
      <c r="AW21" s="185">
        <f t="shared" si="43"/>
        <v>0</v>
      </c>
      <c r="AX21" s="185">
        <f t="shared" si="43"/>
        <v>41.334470125318674</v>
      </c>
      <c r="AY21" s="462">
        <f>SUM(AY22,AY26,AY29,AY39,AY42,AY51:AY55)</f>
        <v>0</v>
      </c>
      <c r="AZ21" s="186">
        <f>BA21+BB21+BC21+BD21</f>
        <v>6309.57</v>
      </c>
      <c r="BA21" s="184">
        <f>ROUND(AO21*BA$8,2)</f>
        <v>3628.99</v>
      </c>
      <c r="BB21" s="184">
        <f t="shared" ref="BB21:BE21" si="44">ROUND(AP21*BB$8,2)</f>
        <v>2680.58</v>
      </c>
      <c r="BC21" s="184">
        <f t="shared" si="44"/>
        <v>0</v>
      </c>
      <c r="BD21" s="185">
        <f t="shared" si="44"/>
        <v>0</v>
      </c>
      <c r="BE21" s="462">
        <f t="shared" si="44"/>
        <v>0</v>
      </c>
      <c r="BF21" s="186">
        <f>BG21+BH21+BI21+BJ21</f>
        <v>6698.6830630302184</v>
      </c>
      <c r="BG21" s="184">
        <f t="shared" ref="BG21:BJ21" si="45">SUM(BG22,BG26,BG29,BG39,BG42,BG51:BG55)</f>
        <v>3532.934187753664</v>
      </c>
      <c r="BH21" s="184">
        <f t="shared" si="45"/>
        <v>3123.2028139875615</v>
      </c>
      <c r="BI21" s="185">
        <f t="shared" si="45"/>
        <v>0</v>
      </c>
      <c r="BJ21" s="185">
        <f t="shared" si="45"/>
        <v>42.546061288993037</v>
      </c>
      <c r="BK21" s="462">
        <f>SUM(BK22,BK26,BK29,BK39,BK42,BK51:BK55)</f>
        <v>0</v>
      </c>
      <c r="BL21" s="186">
        <f>BM21+BN21+BO21+BP21</f>
        <v>6496.34</v>
      </c>
      <c r="BM21" s="184">
        <f>ROUND(BA21*BM$8,2)</f>
        <v>3736.41</v>
      </c>
      <c r="BN21" s="184">
        <f t="shared" ref="BN21:BQ21" si="46">ROUND(BB21*BN$8,2)</f>
        <v>2759.93</v>
      </c>
      <c r="BO21" s="184">
        <f t="shared" si="46"/>
        <v>0</v>
      </c>
      <c r="BP21" s="185">
        <f t="shared" si="46"/>
        <v>0</v>
      </c>
      <c r="BQ21" s="462">
        <f t="shared" si="46"/>
        <v>0</v>
      </c>
      <c r="BR21" s="826">
        <f t="shared" si="8"/>
        <v>0.95660268368387369</v>
      </c>
      <c r="BS21" s="330">
        <f t="shared" si="9"/>
        <v>1.1009840715605781</v>
      </c>
      <c r="BT21" s="826">
        <f t="shared" si="4"/>
        <v>1.023660276873275</v>
      </c>
      <c r="BU21" s="330">
        <f>IF(ISERROR(AN21/AB21)," ",AN21/AB21)</f>
        <v>1.0296001344086021</v>
      </c>
      <c r="BV21" s="330">
        <f>IF(ISERROR(AZ21/AN21)," ",AZ21/AN21)</f>
        <v>1.0295993263905432</v>
      </c>
      <c r="BW21" s="196">
        <f>IF(ISERROR(BL21/AZ21)," ",BL21/AZ21)</f>
        <v>1.0296010663167221</v>
      </c>
      <c r="BX21" s="968"/>
      <c r="BY21" s="118"/>
    </row>
    <row r="22" spans="1:77" s="111" customFormat="1" ht="18.75">
      <c r="A22" s="119">
        <v>1</v>
      </c>
      <c r="B22" s="120" t="s">
        <v>283</v>
      </c>
      <c r="C22" s="1499" t="s">
        <v>1</v>
      </c>
      <c r="D22" s="189">
        <f>E22+F22+G22+H22</f>
        <v>9.08</v>
      </c>
      <c r="E22" s="232">
        <f>SUM(E23:E25)</f>
        <v>9.08</v>
      </c>
      <c r="F22" s="232">
        <f t="shared" ref="F22:I22" si="47">SUM(F23:F25)</f>
        <v>0</v>
      </c>
      <c r="G22" s="232">
        <f t="shared" si="47"/>
        <v>0</v>
      </c>
      <c r="H22" s="1141">
        <f t="shared" si="47"/>
        <v>0</v>
      </c>
      <c r="I22" s="520">
        <f t="shared" si="47"/>
        <v>0</v>
      </c>
      <c r="J22" s="189">
        <f>K22+L22+M22+N22</f>
        <v>52.27</v>
      </c>
      <c r="K22" s="232">
        <f>SUM(K23:K25)</f>
        <v>52.27</v>
      </c>
      <c r="L22" s="232">
        <f t="shared" ref="L22:O22" si="48">SUM(L23:L25)</f>
        <v>0</v>
      </c>
      <c r="M22" s="232">
        <f t="shared" si="48"/>
        <v>0</v>
      </c>
      <c r="N22" s="1141">
        <f t="shared" si="48"/>
        <v>0</v>
      </c>
      <c r="O22" s="520">
        <f t="shared" si="48"/>
        <v>0</v>
      </c>
      <c r="P22" s="189">
        <f>Q22+R22+S22+T22</f>
        <v>9.5</v>
      </c>
      <c r="Q22" s="232">
        <f>SUM(Q23:Q25)</f>
        <v>9.5</v>
      </c>
      <c r="R22" s="232">
        <f t="shared" ref="R22:U22" si="49">SUM(R23:R25)</f>
        <v>0</v>
      </c>
      <c r="S22" s="232">
        <f t="shared" si="49"/>
        <v>0</v>
      </c>
      <c r="T22" s="1141">
        <f t="shared" si="49"/>
        <v>0</v>
      </c>
      <c r="U22" s="520">
        <f t="shared" si="49"/>
        <v>0</v>
      </c>
      <c r="V22" s="189">
        <f>W22+X22+Y22+Z22</f>
        <v>53.817192000000006</v>
      </c>
      <c r="W22" s="232">
        <f>SUM(W23:W25)</f>
        <v>53.817192000000006</v>
      </c>
      <c r="X22" s="232">
        <f t="shared" ref="X22:AA22" si="50">SUM(X23:X25)</f>
        <v>0</v>
      </c>
      <c r="Y22" s="232">
        <f t="shared" si="50"/>
        <v>0</v>
      </c>
      <c r="Z22" s="1141">
        <f t="shared" si="50"/>
        <v>0</v>
      </c>
      <c r="AA22" s="520">
        <f t="shared" si="50"/>
        <v>0</v>
      </c>
      <c r="AB22" s="189">
        <f>AC22+AD22+AE22+AF22</f>
        <v>9.7247673364716949</v>
      </c>
      <c r="AC22" s="232">
        <f>SUM(AC23:AC25)</f>
        <v>9.7247673364716949</v>
      </c>
      <c r="AD22" s="232">
        <f>SUM(AD23:AD25)</f>
        <v>0</v>
      </c>
      <c r="AE22" s="232">
        <f t="shared" ref="AE22:AG22" si="51">SUM(AE23:AE25)</f>
        <v>0</v>
      </c>
      <c r="AF22" s="1141">
        <f t="shared" si="51"/>
        <v>0</v>
      </c>
      <c r="AG22" s="520">
        <f t="shared" si="51"/>
        <v>0</v>
      </c>
      <c r="AH22" s="189">
        <f>AI22+AJ22+AK22+AL22</f>
        <v>55.410180883200013</v>
      </c>
      <c r="AI22" s="232">
        <f>SUM(AI23:AI25)</f>
        <v>55.410180883200013</v>
      </c>
      <c r="AJ22" s="232">
        <f t="shared" ref="AJ22:AM22" si="52">SUM(AJ23:AJ25)</f>
        <v>0</v>
      </c>
      <c r="AK22" s="232">
        <f t="shared" si="52"/>
        <v>0</v>
      </c>
      <c r="AL22" s="1141">
        <f t="shared" si="52"/>
        <v>0</v>
      </c>
      <c r="AM22" s="470">
        <f t="shared" si="52"/>
        <v>0</v>
      </c>
      <c r="AN22" s="189">
        <f>AO22+AP22+AQ22+AR22</f>
        <v>10.012618836094775</v>
      </c>
      <c r="AO22" s="232">
        <f t="shared" ref="AO22" si="53">SUM(AO23:AO25)</f>
        <v>10.012618836094775</v>
      </c>
      <c r="AP22" s="232">
        <f t="shared" ref="AP22:AS22" si="54">SUM(AP23:AP25)</f>
        <v>0</v>
      </c>
      <c r="AQ22" s="232">
        <f t="shared" si="54"/>
        <v>0</v>
      </c>
      <c r="AR22" s="1141">
        <f t="shared" si="54"/>
        <v>0</v>
      </c>
      <c r="AS22" s="520">
        <f t="shared" si="54"/>
        <v>0</v>
      </c>
      <c r="AT22" s="189">
        <f>AU22+AV22+AW22+AX22</f>
        <v>57.050322237342741</v>
      </c>
      <c r="AU22" s="232">
        <f>SUM(AU23:AU25)</f>
        <v>57.050322237342741</v>
      </c>
      <c r="AV22" s="232">
        <f t="shared" ref="AV22:AY22" si="55">SUM(AV23:AV25)</f>
        <v>0</v>
      </c>
      <c r="AW22" s="232">
        <f t="shared" si="55"/>
        <v>0</v>
      </c>
      <c r="AX22" s="1141">
        <f t="shared" si="55"/>
        <v>0</v>
      </c>
      <c r="AY22" s="470">
        <f t="shared" si="55"/>
        <v>0</v>
      </c>
      <c r="AZ22" s="189">
        <f>BA22+BB22+BC22+BD22</f>
        <v>10.308992535450107</v>
      </c>
      <c r="BA22" s="232">
        <f>SUM(BA23:BA25)</f>
        <v>10.308992535450107</v>
      </c>
      <c r="BB22" s="232">
        <f>SUM(BB23:BB25)</f>
        <v>0</v>
      </c>
      <c r="BC22" s="232">
        <f t="shared" ref="BC22:BE22" si="56">SUM(BC23:BC25)</f>
        <v>0</v>
      </c>
      <c r="BD22" s="1141">
        <f t="shared" si="56"/>
        <v>0</v>
      </c>
      <c r="BE22" s="520">
        <f t="shared" si="56"/>
        <v>0</v>
      </c>
      <c r="BF22" s="189">
        <f>BG22+BH22+BI22+BJ22</f>
        <v>58.739011775568088</v>
      </c>
      <c r="BG22" s="232">
        <f>SUM(BG23:BG25)</f>
        <v>58.739011775568088</v>
      </c>
      <c r="BH22" s="232">
        <f t="shared" ref="BH22:BK22" si="57">SUM(BH23:BH25)</f>
        <v>0</v>
      </c>
      <c r="BI22" s="232">
        <f t="shared" si="57"/>
        <v>0</v>
      </c>
      <c r="BJ22" s="1141">
        <f t="shared" si="57"/>
        <v>0</v>
      </c>
      <c r="BK22" s="470">
        <f t="shared" si="57"/>
        <v>0</v>
      </c>
      <c r="BL22" s="189">
        <f>BM22+BN22+BO22+BP22</f>
        <v>10.614144100529662</v>
      </c>
      <c r="BM22" s="232">
        <f>SUM(BM23:BM25)</f>
        <v>10.614144100529662</v>
      </c>
      <c r="BN22" s="232">
        <f>SUM(BN23:BN25)</f>
        <v>0</v>
      </c>
      <c r="BO22" s="232">
        <f t="shared" ref="BO22:BQ22" si="58">SUM(BO23:BO25)</f>
        <v>0</v>
      </c>
      <c r="BP22" s="1141">
        <f t="shared" si="58"/>
        <v>0</v>
      </c>
      <c r="BQ22" s="520">
        <f t="shared" si="58"/>
        <v>0</v>
      </c>
      <c r="BR22" s="844">
        <f t="shared" si="8"/>
        <v>0.18174861297111153</v>
      </c>
      <c r="BS22" s="840">
        <f t="shared" si="9"/>
        <v>1.0462555066079295</v>
      </c>
      <c r="BT22" s="830">
        <f t="shared" si="4"/>
        <v>1.0236597196285995</v>
      </c>
      <c r="BU22" s="332">
        <f t="shared" ref="BU22:BU90" si="59">IF(ISERROR(AN22/AB22)," ",AN22/AB22)</f>
        <v>1.0295998340796828</v>
      </c>
      <c r="BV22" s="332">
        <f t="shared" ref="BV22:BV90" si="60">IF(ISERROR(AZ22/AN22)," ",AZ22/AN22)</f>
        <v>1.0296000181577796</v>
      </c>
      <c r="BW22" s="200">
        <f t="shared" ref="BW22:BW90" si="61">IF(ISERROR(BL22/AZ22)," ",BL22/AZ22)</f>
        <v>1.0296005224594171</v>
      </c>
      <c r="BX22" s="969"/>
      <c r="BY22" s="121"/>
    </row>
    <row r="23" spans="1:77" s="83" customFormat="1" ht="18.75">
      <c r="A23" s="129"/>
      <c r="B23" s="518" t="s">
        <v>272</v>
      </c>
      <c r="C23" s="1500" t="s">
        <v>1</v>
      </c>
      <c r="D23" s="521">
        <f t="shared" ref="D23:D28" si="62">E23+F23+G23+H23</f>
        <v>0</v>
      </c>
      <c r="E23" s="207"/>
      <c r="F23" s="207"/>
      <c r="G23" s="207"/>
      <c r="H23" s="1145"/>
      <c r="I23" s="469"/>
      <c r="J23" s="521">
        <f t="shared" ref="J23" si="63">K23+L23+M23+N23</f>
        <v>0</v>
      </c>
      <c r="K23" s="383"/>
      <c r="L23" s="383"/>
      <c r="M23" s="383"/>
      <c r="N23" s="1501"/>
      <c r="O23" s="500"/>
      <c r="P23" s="521">
        <f t="shared" ref="P23:P29" si="64">Q23+R23+S23+T23</f>
        <v>0</v>
      </c>
      <c r="Q23" s="207"/>
      <c r="R23" s="207"/>
      <c r="S23" s="207"/>
      <c r="T23" s="1145"/>
      <c r="U23" s="469"/>
      <c r="V23" s="521">
        <f t="shared" ref="V23" si="65">W23+X23+Y23+Z23</f>
        <v>0</v>
      </c>
      <c r="W23" s="383"/>
      <c r="X23" s="383"/>
      <c r="Y23" s="383"/>
      <c r="Z23" s="1501"/>
      <c r="AA23" s="500"/>
      <c r="AB23" s="521">
        <f t="shared" ref="AB23:AB29" si="66">AC23+AD23+AE23+AF23</f>
        <v>0</v>
      </c>
      <c r="AC23" s="805">
        <f>IF($AC$21&gt;0,Q23/$Q$21*$AC$21,0)</f>
        <v>0</v>
      </c>
      <c r="AD23" s="805">
        <f>IF($AD$21&gt;0,R23/$R$21*$AD$21,0)</f>
        <v>0</v>
      </c>
      <c r="AE23" s="805">
        <f>IF($AE$21&gt;0,S23/$S$21*$AE$21,0)</f>
        <v>0</v>
      </c>
      <c r="AF23" s="1143">
        <f>IF($AF$21&gt;0,T23/$T$21*$AF$21,0)</f>
        <v>0</v>
      </c>
      <c r="AG23" s="807">
        <f>IF($AG$21&gt;0,U23/$U$21*$AG$21,0)</f>
        <v>0</v>
      </c>
      <c r="AH23" s="521">
        <f t="shared" ref="AH23" si="67">AI23+AJ23+AK23+AL23</f>
        <v>0</v>
      </c>
      <c r="AI23" s="383"/>
      <c r="AJ23" s="383"/>
      <c r="AK23" s="383"/>
      <c r="AL23" s="1501"/>
      <c r="AM23" s="500"/>
      <c r="AN23" s="521">
        <f t="shared" ref="AN23:AN29" si="68">AO23+AP23+AQ23+AR23</f>
        <v>0</v>
      </c>
      <c r="AO23" s="805">
        <f>IF($AO$21&gt;0,AC23/$AC$21*$AO$21,0)</f>
        <v>0</v>
      </c>
      <c r="AP23" s="805">
        <f>IF($AP$21&gt;0,AD23/$AD$21*$AP$21,0)</f>
        <v>0</v>
      </c>
      <c r="AQ23" s="805">
        <f>IF($AQ$21&gt;0,AE23/$AE$21*$AQ$21,0)</f>
        <v>0</v>
      </c>
      <c r="AR23" s="1143">
        <f>IF($AR$21&gt;0,AF23/$AF$21*$AR$21,0)</f>
        <v>0</v>
      </c>
      <c r="AS23" s="807">
        <f>IF($AS$21&gt;0,AG23/$AG$21*$AS$21,0)</f>
        <v>0</v>
      </c>
      <c r="AT23" s="521">
        <f t="shared" ref="AT23" si="69">AU23+AV23+AW23+AX23</f>
        <v>0</v>
      </c>
      <c r="AU23" s="383"/>
      <c r="AV23" s="383"/>
      <c r="AW23" s="383"/>
      <c r="AX23" s="1501"/>
      <c r="AY23" s="500"/>
      <c r="AZ23" s="521">
        <f t="shared" ref="AZ23:AZ29" si="70">BA23+BB23+BC23+BD23</f>
        <v>0</v>
      </c>
      <c r="BA23" s="805">
        <f>IF($BA$21&gt;0,AO23/$AO$21*$BA$21,0)</f>
        <v>0</v>
      </c>
      <c r="BB23" s="805">
        <f>IF($BB$21&gt;0,AP23/$AP$21*$BB$21,0)</f>
        <v>0</v>
      </c>
      <c r="BC23" s="805">
        <f>IF($BC$21&gt;0,AQ23/$AQ$21*$BC$21,0)</f>
        <v>0</v>
      </c>
      <c r="BD23" s="1143">
        <f>IF($BD$21&gt;0,AR23/$AR$21*$BD$21,0)</f>
        <v>0</v>
      </c>
      <c r="BE23" s="807">
        <f>IF($BE$21&gt;0,AS23/$AS$21*$BE$21,0)</f>
        <v>0</v>
      </c>
      <c r="BF23" s="521">
        <f t="shared" ref="BF23" si="71">BG23+BH23+BI23+BJ23</f>
        <v>0</v>
      </c>
      <c r="BG23" s="383"/>
      <c r="BH23" s="383"/>
      <c r="BI23" s="383"/>
      <c r="BJ23" s="1501"/>
      <c r="BK23" s="500"/>
      <c r="BL23" s="521">
        <f t="shared" ref="BL23:BL29" si="72">BM23+BN23+BO23+BP23</f>
        <v>0</v>
      </c>
      <c r="BM23" s="805">
        <f>IF($BM$21&gt;0,BA23/$BA$21*$BM$21,0)</f>
        <v>0</v>
      </c>
      <c r="BN23" s="805">
        <f>IF($BN$21&gt;0,BB23/$BB$21*$BN$21,0)</f>
        <v>0</v>
      </c>
      <c r="BO23" s="805">
        <f>IF($BO$21&gt;0,BC23/$BC$21*$BO$21,0)</f>
        <v>0</v>
      </c>
      <c r="BP23" s="1143">
        <f>IF($BP$21&gt;0,BD23/$BD$21*$BP$21,0)</f>
        <v>0</v>
      </c>
      <c r="BQ23" s="807">
        <f>IF($BQ$21&gt;0,BE23/$BE$21*$BQ$21,0)</f>
        <v>0</v>
      </c>
      <c r="BR23" s="940" t="str">
        <f t="shared" si="8"/>
        <v xml:space="preserve"> </v>
      </c>
      <c r="BS23" s="542" t="str">
        <f t="shared" si="9"/>
        <v xml:space="preserve"> </v>
      </c>
      <c r="BT23" s="1502" t="str">
        <f t="shared" si="4"/>
        <v xml:space="preserve"> </v>
      </c>
      <c r="BU23" s="323" t="str">
        <f t="shared" si="59"/>
        <v xml:space="preserve"> </v>
      </c>
      <c r="BV23" s="323" t="str">
        <f t="shared" si="60"/>
        <v xml:space="preserve"> </v>
      </c>
      <c r="BW23" s="198" t="str">
        <f t="shared" si="61"/>
        <v xml:space="preserve"> </v>
      </c>
      <c r="BX23" s="969"/>
      <c r="BY23" s="131"/>
    </row>
    <row r="24" spans="1:77" s="83" customFormat="1" ht="18.75">
      <c r="A24" s="129"/>
      <c r="B24" s="518" t="s">
        <v>273</v>
      </c>
      <c r="C24" s="1500" t="s">
        <v>1</v>
      </c>
      <c r="D24" s="521">
        <f t="shared" si="62"/>
        <v>0</v>
      </c>
      <c r="E24" s="207"/>
      <c r="F24" s="207"/>
      <c r="G24" s="207"/>
      <c r="H24" s="1145"/>
      <c r="I24" s="469"/>
      <c r="J24" s="521">
        <f>K24+L24+M24+N24</f>
        <v>0</v>
      </c>
      <c r="K24" s="383"/>
      <c r="L24" s="383"/>
      <c r="M24" s="383"/>
      <c r="N24" s="1501"/>
      <c r="O24" s="500"/>
      <c r="P24" s="521">
        <f t="shared" si="64"/>
        <v>0</v>
      </c>
      <c r="Q24" s="207"/>
      <c r="R24" s="207"/>
      <c r="S24" s="207"/>
      <c r="T24" s="1145"/>
      <c r="U24" s="469"/>
      <c r="V24" s="521">
        <f>W24+X24+Y24+Z24</f>
        <v>0</v>
      </c>
      <c r="W24" s="383"/>
      <c r="X24" s="383"/>
      <c r="Y24" s="383"/>
      <c r="Z24" s="1501"/>
      <c r="AA24" s="500"/>
      <c r="AB24" s="521">
        <f t="shared" si="66"/>
        <v>0</v>
      </c>
      <c r="AC24" s="805">
        <f t="shared" ref="AC24:AC28" si="73">IF($AC$21&gt;0,Q24/$Q$21*$AC$21,0)</f>
        <v>0</v>
      </c>
      <c r="AD24" s="805">
        <f>IF($AD$21&gt;0,R24/$R$21*$AD$21,0)</f>
        <v>0</v>
      </c>
      <c r="AE24" s="805">
        <f t="shared" ref="AE24:AE28" si="74">IF($AE$21&gt;0,S24/$S$21*$AE$21,0)</f>
        <v>0</v>
      </c>
      <c r="AF24" s="1143">
        <f t="shared" ref="AF24:AF28" si="75">IF($AF$21&gt;0,T24/$T$21*$AF$21,0)</f>
        <v>0</v>
      </c>
      <c r="AG24" s="807">
        <f t="shared" ref="AG24:AG28" si="76">IF($AG$21&gt;0,U24/$U$21*$AG$21,0)</f>
        <v>0</v>
      </c>
      <c r="AH24" s="521">
        <f>AI24+AJ24+AK24+AL24</f>
        <v>0</v>
      </c>
      <c r="AI24" s="383"/>
      <c r="AJ24" s="383"/>
      <c r="AK24" s="383"/>
      <c r="AL24" s="1501"/>
      <c r="AM24" s="500"/>
      <c r="AN24" s="521">
        <f t="shared" si="68"/>
        <v>0</v>
      </c>
      <c r="AO24" s="805">
        <f t="shared" ref="AO24:AO28" si="77">IF($AO$21&gt;0,AC24/$AC$21*$AO$21,0)</f>
        <v>0</v>
      </c>
      <c r="AP24" s="805">
        <f t="shared" ref="AP24:AP28" si="78">IF($AP$21&gt;0,AD24/$AD$21*$AP$21,0)</f>
        <v>0</v>
      </c>
      <c r="AQ24" s="805">
        <f t="shared" ref="AQ24" si="79">IF($AQ$21&gt;0,AE24/$AE$21*$AQ$21,0)</f>
        <v>0</v>
      </c>
      <c r="AR24" s="1143">
        <f t="shared" ref="AR24:AR28" si="80">IF($AR$21&gt;0,AF24/$AF$21*$AR$21,0)</f>
        <v>0</v>
      </c>
      <c r="AS24" s="807">
        <f t="shared" ref="AS24:AS28" si="81">IF($AS$21&gt;0,AG24/$AG$21*$AS$21,0)</f>
        <v>0</v>
      </c>
      <c r="AT24" s="521">
        <f>AU24+AV24+AW24+AX24</f>
        <v>0</v>
      </c>
      <c r="AU24" s="383"/>
      <c r="AV24" s="383"/>
      <c r="AW24" s="383"/>
      <c r="AX24" s="1501"/>
      <c r="AY24" s="500"/>
      <c r="AZ24" s="521">
        <f t="shared" si="70"/>
        <v>0</v>
      </c>
      <c r="BA24" s="805">
        <f t="shared" ref="BA24:BA28" si="82">IF($BA$21&gt;0,AO24/$AO$21*$BA$21,0)</f>
        <v>0</v>
      </c>
      <c r="BB24" s="805">
        <f t="shared" ref="BB24:BB28" si="83">IF($BB$21&gt;0,AP24/$AP$21*$BB$21,0)</f>
        <v>0</v>
      </c>
      <c r="BC24" s="805">
        <f t="shared" ref="BC24:BC28" si="84">IF($BC$21&gt;0,AQ24/$AQ$21*$BC$21,0)</f>
        <v>0</v>
      </c>
      <c r="BD24" s="1143">
        <f t="shared" ref="BD24:BD28" si="85">IF($BD$21&gt;0,AR24/$AR$21*$BD$21,0)</f>
        <v>0</v>
      </c>
      <c r="BE24" s="807">
        <f t="shared" ref="BE24:BE28" si="86">IF($BE$21&gt;0,AS24/$AS$21*$BE$21,0)</f>
        <v>0</v>
      </c>
      <c r="BF24" s="521">
        <f>BG24+BH24+BI24+BJ24</f>
        <v>0</v>
      </c>
      <c r="BG24" s="383"/>
      <c r="BH24" s="383"/>
      <c r="BI24" s="383"/>
      <c r="BJ24" s="1501"/>
      <c r="BK24" s="500"/>
      <c r="BL24" s="521">
        <f t="shared" si="72"/>
        <v>0</v>
      </c>
      <c r="BM24" s="805">
        <f t="shared" ref="BM24:BM28" si="87">IF($BM$21&gt;0,BA24/$BA$21*$BM$21,0)</f>
        <v>0</v>
      </c>
      <c r="BN24" s="805">
        <f t="shared" ref="BN24" si="88">IF($BN$21&gt;0,BB24/$BB$21*$BN$21,0)</f>
        <v>0</v>
      </c>
      <c r="BO24" s="805">
        <f t="shared" ref="BO24:BO28" si="89">IF($BO$21&gt;0,BC24/$BC$21*$BO$21,0)</f>
        <v>0</v>
      </c>
      <c r="BP24" s="1143">
        <f t="shared" ref="BP24:BP28" si="90">IF($BP$21&gt;0,BD24/$BD$21*$BP$21,0)</f>
        <v>0</v>
      </c>
      <c r="BQ24" s="807">
        <f t="shared" ref="BQ24:BQ28" si="91">IF($BQ$21&gt;0,BE24/$BE$21*$BQ$21,0)</f>
        <v>0</v>
      </c>
      <c r="BR24" s="940" t="str">
        <f t="shared" si="8"/>
        <v xml:space="preserve"> </v>
      </c>
      <c r="BS24" s="542" t="str">
        <f t="shared" si="9"/>
        <v xml:space="preserve"> </v>
      </c>
      <c r="BT24" s="1502" t="str">
        <f t="shared" si="4"/>
        <v xml:space="preserve"> </v>
      </c>
      <c r="BU24" s="323" t="str">
        <f t="shared" si="59"/>
        <v xml:space="preserve"> </v>
      </c>
      <c r="BV24" s="323" t="str">
        <f t="shared" si="60"/>
        <v xml:space="preserve"> </v>
      </c>
      <c r="BW24" s="198" t="str">
        <f t="shared" si="61"/>
        <v xml:space="preserve"> </v>
      </c>
      <c r="BX24" s="969"/>
      <c r="BY24" s="131"/>
    </row>
    <row r="25" spans="1:77" s="83" customFormat="1" ht="18.75">
      <c r="A25" s="129"/>
      <c r="B25" s="518" t="s">
        <v>274</v>
      </c>
      <c r="C25" s="1500" t="s">
        <v>1</v>
      </c>
      <c r="D25" s="521">
        <f t="shared" si="62"/>
        <v>9.08</v>
      </c>
      <c r="E25" s="207">
        <v>9.08</v>
      </c>
      <c r="F25" s="207"/>
      <c r="G25" s="207"/>
      <c r="H25" s="1145"/>
      <c r="I25" s="469"/>
      <c r="J25" s="521">
        <f t="shared" ref="J25:J26" si="92">K25+L25+M25+N25</f>
        <v>52.27</v>
      </c>
      <c r="K25" s="983">
        <v>52.27</v>
      </c>
      <c r="L25" s="383"/>
      <c r="M25" s="383"/>
      <c r="N25" s="1501"/>
      <c r="O25" s="500"/>
      <c r="P25" s="521">
        <f t="shared" si="64"/>
        <v>9.5</v>
      </c>
      <c r="Q25" s="207">
        <f>ROUND(E25*[185]индексы!H8,2)</f>
        <v>9.5</v>
      </c>
      <c r="R25" s="207"/>
      <c r="S25" s="207"/>
      <c r="T25" s="1145"/>
      <c r="U25" s="469"/>
      <c r="V25" s="521">
        <f t="shared" ref="V25:V26" si="93">W25+X25+Y25+Z25</f>
        <v>53.817192000000006</v>
      </c>
      <c r="W25" s="383">
        <v>53.817192000000006</v>
      </c>
      <c r="X25" s="383"/>
      <c r="Y25" s="383"/>
      <c r="Z25" s="1501"/>
      <c r="AA25" s="500"/>
      <c r="AB25" s="521">
        <f t="shared" si="66"/>
        <v>9.7247673364716949</v>
      </c>
      <c r="AC25" s="805">
        <f t="shared" si="73"/>
        <v>9.7247673364716949</v>
      </c>
      <c r="AD25" s="805">
        <f>IF($AD$21&gt;0,R25/$R$21*$AD$21,0)</f>
        <v>0</v>
      </c>
      <c r="AE25" s="805">
        <f t="shared" si="74"/>
        <v>0</v>
      </c>
      <c r="AF25" s="1143">
        <f t="shared" si="75"/>
        <v>0</v>
      </c>
      <c r="AG25" s="807">
        <f t="shared" si="76"/>
        <v>0</v>
      </c>
      <c r="AH25" s="521">
        <f t="shared" ref="AH25:AH26" si="94">AI25+AJ25+AK25+AL25</f>
        <v>55.410180883200013</v>
      </c>
      <c r="AI25" s="383">
        <v>55.410180883200013</v>
      </c>
      <c r="AJ25" s="383"/>
      <c r="AK25" s="383"/>
      <c r="AL25" s="1501"/>
      <c r="AM25" s="500"/>
      <c r="AN25" s="521">
        <f t="shared" si="68"/>
        <v>10.012618836094775</v>
      </c>
      <c r="AO25" s="805">
        <f t="shared" si="77"/>
        <v>10.012618836094775</v>
      </c>
      <c r="AP25" s="805">
        <f t="shared" si="78"/>
        <v>0</v>
      </c>
      <c r="AQ25" s="805">
        <f>IF($AQ$21&gt;0,AE25/$AE$21*$AQ$21,0)</f>
        <v>0</v>
      </c>
      <c r="AR25" s="1143">
        <f t="shared" si="80"/>
        <v>0</v>
      </c>
      <c r="AS25" s="807">
        <f t="shared" si="81"/>
        <v>0</v>
      </c>
      <c r="AT25" s="521">
        <f t="shared" ref="AT25:AT26" si="95">AU25+AV25+AW25+AX25</f>
        <v>57.050322237342741</v>
      </c>
      <c r="AU25" s="383">
        <v>57.050322237342741</v>
      </c>
      <c r="AV25" s="383"/>
      <c r="AW25" s="383"/>
      <c r="AX25" s="1501"/>
      <c r="AY25" s="500"/>
      <c r="AZ25" s="521">
        <f t="shared" si="70"/>
        <v>10.308992535450107</v>
      </c>
      <c r="BA25" s="805">
        <f t="shared" si="82"/>
        <v>10.308992535450107</v>
      </c>
      <c r="BB25" s="805">
        <f t="shared" si="83"/>
        <v>0</v>
      </c>
      <c r="BC25" s="805">
        <f t="shared" si="84"/>
        <v>0</v>
      </c>
      <c r="BD25" s="1143">
        <f t="shared" si="85"/>
        <v>0</v>
      </c>
      <c r="BE25" s="807">
        <f t="shared" si="86"/>
        <v>0</v>
      </c>
      <c r="BF25" s="521">
        <f t="shared" ref="BF25:BF26" si="96">BG25+BH25+BI25+BJ25</f>
        <v>58.739011775568088</v>
      </c>
      <c r="BG25" s="383">
        <v>58.739011775568088</v>
      </c>
      <c r="BH25" s="383"/>
      <c r="BI25" s="383"/>
      <c r="BJ25" s="1501"/>
      <c r="BK25" s="500"/>
      <c r="BL25" s="521">
        <f t="shared" si="72"/>
        <v>10.614144100529662</v>
      </c>
      <c r="BM25" s="805">
        <f t="shared" si="87"/>
        <v>10.614144100529662</v>
      </c>
      <c r="BN25" s="805">
        <f>IF($BN$21&gt;0,BB25/$BB$21*$BN$21,0)</f>
        <v>0</v>
      </c>
      <c r="BO25" s="805">
        <f t="shared" si="89"/>
        <v>0</v>
      </c>
      <c r="BP25" s="1143">
        <f t="shared" si="90"/>
        <v>0</v>
      </c>
      <c r="BQ25" s="807">
        <f t="shared" si="91"/>
        <v>0</v>
      </c>
      <c r="BR25" s="940">
        <f t="shared" si="8"/>
        <v>0.18174861297111153</v>
      </c>
      <c r="BS25" s="542">
        <f t="shared" si="9"/>
        <v>1.0462555066079295</v>
      </c>
      <c r="BT25" s="1502">
        <f t="shared" si="4"/>
        <v>1.0236597196285995</v>
      </c>
      <c r="BU25" s="323">
        <f t="shared" si="59"/>
        <v>1.0295998340796828</v>
      </c>
      <c r="BV25" s="323">
        <f t="shared" si="60"/>
        <v>1.0296000181577796</v>
      </c>
      <c r="BW25" s="198">
        <f t="shared" si="61"/>
        <v>1.0296005224594171</v>
      </c>
      <c r="BX25" s="969"/>
      <c r="BY25" s="131"/>
    </row>
    <row r="26" spans="1:77" s="111" customFormat="1" ht="18.75">
      <c r="A26" s="119">
        <v>2</v>
      </c>
      <c r="B26" s="120" t="s">
        <v>284</v>
      </c>
      <c r="C26" s="1499" t="s">
        <v>1</v>
      </c>
      <c r="D26" s="189">
        <f t="shared" si="62"/>
        <v>1884.13</v>
      </c>
      <c r="E26" s="232">
        <v>1224.26</v>
      </c>
      <c r="F26" s="232">
        <v>659.87</v>
      </c>
      <c r="G26" s="232">
        <f t="shared" ref="G26:I26" si="97">SUM(G27:G28)</f>
        <v>0</v>
      </c>
      <c r="H26" s="1141">
        <f t="shared" si="97"/>
        <v>0</v>
      </c>
      <c r="I26" s="470">
        <f t="shared" si="97"/>
        <v>0</v>
      </c>
      <c r="J26" s="189">
        <f t="shared" si="92"/>
        <v>1939.9</v>
      </c>
      <c r="K26" s="232">
        <f>K27+K28</f>
        <v>1260.5</v>
      </c>
      <c r="L26" s="232">
        <f t="shared" ref="L26:O26" si="98">L27+L28</f>
        <v>679.4</v>
      </c>
      <c r="M26" s="232">
        <f t="shared" si="98"/>
        <v>0</v>
      </c>
      <c r="N26" s="1141">
        <f t="shared" si="98"/>
        <v>0</v>
      </c>
      <c r="O26" s="470">
        <f t="shared" si="98"/>
        <v>0</v>
      </c>
      <c r="P26" s="189">
        <f t="shared" si="64"/>
        <v>1939.9</v>
      </c>
      <c r="Q26" s="232">
        <f>SUM(Q27:Q28)</f>
        <v>1260.5</v>
      </c>
      <c r="R26" s="232">
        <f t="shared" ref="R26:U26" si="99">SUM(R27:R28)</f>
        <v>679.4</v>
      </c>
      <c r="S26" s="232">
        <f t="shared" si="99"/>
        <v>0</v>
      </c>
      <c r="T26" s="1141">
        <f t="shared" si="99"/>
        <v>0</v>
      </c>
      <c r="U26" s="470">
        <f t="shared" si="99"/>
        <v>0</v>
      </c>
      <c r="V26" s="189">
        <f t="shared" si="93"/>
        <v>0</v>
      </c>
      <c r="W26" s="232">
        <f>W27+W28</f>
        <v>0</v>
      </c>
      <c r="X26" s="232">
        <f t="shared" ref="X26:AA26" si="100">X27+X28</f>
        <v>0</v>
      </c>
      <c r="Y26" s="232">
        <f t="shared" si="100"/>
        <v>0</v>
      </c>
      <c r="Z26" s="1141">
        <f t="shared" si="100"/>
        <v>0</v>
      </c>
      <c r="AA26" s="470">
        <f t="shared" si="100"/>
        <v>0</v>
      </c>
      <c r="AB26" s="189">
        <f t="shared" si="66"/>
        <v>1985.7983812405816</v>
      </c>
      <c r="AC26" s="232">
        <f>AC27+AC28</f>
        <v>1290.3230765918497</v>
      </c>
      <c r="AD26" s="232">
        <f>AD27+AD28</f>
        <v>695.47530464873194</v>
      </c>
      <c r="AE26" s="232">
        <f t="shared" ref="AE26:AG26" si="101">AE27+AE28</f>
        <v>0</v>
      </c>
      <c r="AF26" s="1141">
        <f t="shared" si="101"/>
        <v>0</v>
      </c>
      <c r="AG26" s="470">
        <f t="shared" si="101"/>
        <v>0</v>
      </c>
      <c r="AH26" s="189">
        <f t="shared" si="94"/>
        <v>0</v>
      </c>
      <c r="AI26" s="232">
        <f>AI27+AI28</f>
        <v>0</v>
      </c>
      <c r="AJ26" s="232">
        <f t="shared" ref="AJ26:AM26" si="102">AJ27+AJ28</f>
        <v>0</v>
      </c>
      <c r="AK26" s="232">
        <f t="shared" si="102"/>
        <v>0</v>
      </c>
      <c r="AL26" s="1141">
        <f t="shared" si="102"/>
        <v>0</v>
      </c>
      <c r="AM26" s="470">
        <f t="shared" si="102"/>
        <v>0</v>
      </c>
      <c r="AN26" s="189">
        <f t="shared" si="68"/>
        <v>2044.5781754837485</v>
      </c>
      <c r="AO26" s="232">
        <f t="shared" ref="AO26:AS26" si="103">AO27+AO28</f>
        <v>1328.5164255681541</v>
      </c>
      <c r="AP26" s="232">
        <f t="shared" si="103"/>
        <v>716.06174991559453</v>
      </c>
      <c r="AQ26" s="232">
        <f t="shared" si="103"/>
        <v>0</v>
      </c>
      <c r="AR26" s="1141">
        <f t="shared" si="103"/>
        <v>0</v>
      </c>
      <c r="AS26" s="470">
        <f t="shared" si="103"/>
        <v>0</v>
      </c>
      <c r="AT26" s="189">
        <f t="shared" si="95"/>
        <v>0</v>
      </c>
      <c r="AU26" s="232">
        <f>AU27+AU28</f>
        <v>0</v>
      </c>
      <c r="AV26" s="232">
        <f t="shared" ref="AV26:AY26" si="104">AV27+AV28</f>
        <v>0</v>
      </c>
      <c r="AW26" s="232">
        <f t="shared" si="104"/>
        <v>0</v>
      </c>
      <c r="AX26" s="1141">
        <f t="shared" si="104"/>
        <v>0</v>
      </c>
      <c r="AY26" s="470">
        <f t="shared" si="104"/>
        <v>0</v>
      </c>
      <c r="AZ26" s="189">
        <f t="shared" si="70"/>
        <v>2105.0965606500267</v>
      </c>
      <c r="BA26" s="232">
        <f>BA27+BA28</f>
        <v>1367.8405358878802</v>
      </c>
      <c r="BB26" s="232">
        <f>BB27+BB28</f>
        <v>737.25602476214681</v>
      </c>
      <c r="BC26" s="232">
        <f t="shared" ref="BC26:BE26" si="105">BC27+BC28</f>
        <v>0</v>
      </c>
      <c r="BD26" s="1141">
        <f t="shared" si="105"/>
        <v>0</v>
      </c>
      <c r="BE26" s="470">
        <f t="shared" si="105"/>
        <v>0</v>
      </c>
      <c r="BF26" s="189">
        <f t="shared" si="96"/>
        <v>0</v>
      </c>
      <c r="BG26" s="232">
        <f>BG27+BG28</f>
        <v>0</v>
      </c>
      <c r="BH26" s="232">
        <f t="shared" ref="BH26:BK26" si="106">BH27+BH28</f>
        <v>0</v>
      </c>
      <c r="BI26" s="232">
        <f t="shared" si="106"/>
        <v>0</v>
      </c>
      <c r="BJ26" s="1141">
        <f t="shared" si="106"/>
        <v>0</v>
      </c>
      <c r="BK26" s="470">
        <f t="shared" si="106"/>
        <v>0</v>
      </c>
      <c r="BL26" s="189">
        <f t="shared" si="72"/>
        <v>2167.4094624604318</v>
      </c>
      <c r="BM26" s="232">
        <f>BM27+BM28</f>
        <v>1408.3293303913304</v>
      </c>
      <c r="BN26" s="232">
        <f>BN27+BN28</f>
        <v>759.08013206910141</v>
      </c>
      <c r="BO26" s="232">
        <f t="shared" ref="BO26:BQ26" si="107">BO27+BO28</f>
        <v>0</v>
      </c>
      <c r="BP26" s="1141">
        <f t="shared" si="107"/>
        <v>0</v>
      </c>
      <c r="BQ26" s="470">
        <f t="shared" si="107"/>
        <v>0</v>
      </c>
      <c r="BR26" s="940">
        <f t="shared" si="8"/>
        <v>1</v>
      </c>
      <c r="BS26" s="542">
        <f t="shared" si="9"/>
        <v>1.0295998683742629</v>
      </c>
      <c r="BT26" s="942">
        <f t="shared" si="4"/>
        <v>1.0236601789992172</v>
      </c>
      <c r="BU26" s="324">
        <f t="shared" si="59"/>
        <v>1.0296000816590682</v>
      </c>
      <c r="BV26" s="324">
        <f t="shared" si="60"/>
        <v>1.0295994478919641</v>
      </c>
      <c r="BW26" s="201">
        <f t="shared" si="61"/>
        <v>1.0296009707940255</v>
      </c>
      <c r="BX26" s="970"/>
      <c r="BY26" s="121"/>
    </row>
    <row r="27" spans="1:77" s="83" customFormat="1" ht="18.75">
      <c r="A27" s="129"/>
      <c r="B27" s="518" t="s">
        <v>271</v>
      </c>
      <c r="C27" s="1500" t="s">
        <v>1</v>
      </c>
      <c r="D27" s="521">
        <f t="shared" si="62"/>
        <v>0</v>
      </c>
      <c r="E27" s="207"/>
      <c r="F27" s="207"/>
      <c r="G27" s="207"/>
      <c r="H27" s="1145"/>
      <c r="I27" s="469"/>
      <c r="J27" s="521">
        <f>K27+L27+M27+N27</f>
        <v>0</v>
      </c>
      <c r="K27" s="383"/>
      <c r="L27" s="383"/>
      <c r="M27" s="383"/>
      <c r="N27" s="1501"/>
      <c r="O27" s="500"/>
      <c r="P27" s="521">
        <f t="shared" si="64"/>
        <v>0</v>
      </c>
      <c r="Q27" s="207"/>
      <c r="R27" s="207"/>
      <c r="S27" s="207"/>
      <c r="T27" s="1145"/>
      <c r="U27" s="469"/>
      <c r="V27" s="521">
        <f>W27+X27+Y27+Z27</f>
        <v>0</v>
      </c>
      <c r="W27" s="383"/>
      <c r="X27" s="383"/>
      <c r="Y27" s="383"/>
      <c r="Z27" s="1501"/>
      <c r="AA27" s="500"/>
      <c r="AB27" s="521">
        <f t="shared" si="66"/>
        <v>0</v>
      </c>
      <c r="AC27" s="207">
        <f t="shared" si="73"/>
        <v>0</v>
      </c>
      <c r="AD27" s="207">
        <f t="shared" ref="AD27:AD28" si="108">IF($AD$21&gt;0,R27/$R$21*$AD$21,0)</f>
        <v>0</v>
      </c>
      <c r="AE27" s="207">
        <f t="shared" si="74"/>
        <v>0</v>
      </c>
      <c r="AF27" s="1145">
        <f t="shared" si="75"/>
        <v>0</v>
      </c>
      <c r="AG27" s="469">
        <f t="shared" si="76"/>
        <v>0</v>
      </c>
      <c r="AH27" s="521">
        <f>AI27+AJ27+AK27+AL27</f>
        <v>0</v>
      </c>
      <c r="AI27" s="383"/>
      <c r="AJ27" s="383"/>
      <c r="AK27" s="383"/>
      <c r="AL27" s="1501"/>
      <c r="AM27" s="500"/>
      <c r="AN27" s="521">
        <f t="shared" si="68"/>
        <v>0</v>
      </c>
      <c r="AO27" s="207">
        <f t="shared" si="77"/>
        <v>0</v>
      </c>
      <c r="AP27" s="207">
        <f t="shared" si="78"/>
        <v>0</v>
      </c>
      <c r="AQ27" s="207">
        <f t="shared" ref="AQ27:AQ28" si="109">IF($AQ$21&gt;0,AE27/$AE$21*$AQ$21,0)</f>
        <v>0</v>
      </c>
      <c r="AR27" s="1145">
        <f t="shared" si="80"/>
        <v>0</v>
      </c>
      <c r="AS27" s="469">
        <f t="shared" si="81"/>
        <v>0</v>
      </c>
      <c r="AT27" s="521">
        <f>AU27+AV27+AW27+AX27</f>
        <v>0</v>
      </c>
      <c r="AU27" s="383"/>
      <c r="AV27" s="383"/>
      <c r="AW27" s="383"/>
      <c r="AX27" s="1501"/>
      <c r="AY27" s="500"/>
      <c r="AZ27" s="521">
        <f t="shared" si="70"/>
        <v>0</v>
      </c>
      <c r="BA27" s="207">
        <f t="shared" si="82"/>
        <v>0</v>
      </c>
      <c r="BB27" s="207">
        <f t="shared" si="83"/>
        <v>0</v>
      </c>
      <c r="BC27" s="207">
        <f t="shared" si="84"/>
        <v>0</v>
      </c>
      <c r="BD27" s="1145">
        <f t="shared" si="85"/>
        <v>0</v>
      </c>
      <c r="BE27" s="807">
        <f t="shared" si="86"/>
        <v>0</v>
      </c>
      <c r="BF27" s="521">
        <f>BG27+BH27+BI27+BJ27</f>
        <v>0</v>
      </c>
      <c r="BG27" s="383"/>
      <c r="BH27" s="383"/>
      <c r="BI27" s="383"/>
      <c r="BJ27" s="1501"/>
      <c r="BK27" s="500"/>
      <c r="BL27" s="521">
        <f t="shared" si="72"/>
        <v>0</v>
      </c>
      <c r="BM27" s="207">
        <f t="shared" si="87"/>
        <v>0</v>
      </c>
      <c r="BN27" s="207">
        <f t="shared" ref="BN27:BN28" si="110">IF($BN$21&gt;0,BB27/$BB$21*$BN$21,0)</f>
        <v>0</v>
      </c>
      <c r="BO27" s="207">
        <f t="shared" si="89"/>
        <v>0</v>
      </c>
      <c r="BP27" s="1145">
        <f t="shared" si="90"/>
        <v>0</v>
      </c>
      <c r="BQ27" s="807">
        <f t="shared" si="91"/>
        <v>0</v>
      </c>
      <c r="BR27" s="940" t="str">
        <f t="shared" si="8"/>
        <v xml:space="preserve"> </v>
      </c>
      <c r="BS27" s="542" t="str">
        <f t="shared" si="9"/>
        <v xml:space="preserve"> </v>
      </c>
      <c r="BT27" s="1502" t="str">
        <f t="shared" si="4"/>
        <v xml:space="preserve"> </v>
      </c>
      <c r="BU27" s="323" t="str">
        <f t="shared" si="59"/>
        <v xml:space="preserve"> </v>
      </c>
      <c r="BV27" s="323" t="str">
        <f t="shared" si="60"/>
        <v xml:space="preserve"> </v>
      </c>
      <c r="BW27" s="198" t="str">
        <f t="shared" si="61"/>
        <v xml:space="preserve"> </v>
      </c>
      <c r="BX27" s="970"/>
      <c r="BY27" s="131"/>
    </row>
    <row r="28" spans="1:77" s="83" customFormat="1" ht="28.5" customHeight="1">
      <c r="A28" s="129"/>
      <c r="B28" s="518" t="s">
        <v>208</v>
      </c>
      <c r="C28" s="1500" t="s">
        <v>1</v>
      </c>
      <c r="D28" s="521">
        <f t="shared" si="62"/>
        <v>0</v>
      </c>
      <c r="E28" s="207"/>
      <c r="F28" s="207"/>
      <c r="G28" s="207"/>
      <c r="H28" s="1145"/>
      <c r="I28" s="469"/>
      <c r="J28" s="521">
        <f t="shared" ref="J28:J29" si="111">K28+L28+M28+N28</f>
        <v>1939.9</v>
      </c>
      <c r="K28" s="383">
        <v>1260.5</v>
      </c>
      <c r="L28" s="383">
        <v>679.4</v>
      </c>
      <c r="M28" s="383"/>
      <c r="N28" s="1501"/>
      <c r="O28" s="500"/>
      <c r="P28" s="1107">
        <f t="shared" si="64"/>
        <v>1939.9</v>
      </c>
      <c r="Q28" s="1108">
        <f>K28</f>
        <v>1260.5</v>
      </c>
      <c r="R28" s="1108">
        <f>L28</f>
        <v>679.4</v>
      </c>
      <c r="S28" s="207"/>
      <c r="T28" s="1145"/>
      <c r="U28" s="469"/>
      <c r="V28" s="521">
        <f t="shared" ref="V28:V29" si="112">W28+X28+Y28+Z28</f>
        <v>0</v>
      </c>
      <c r="W28" s="383"/>
      <c r="X28" s="383"/>
      <c r="Y28" s="383"/>
      <c r="Z28" s="1501"/>
      <c r="AA28" s="500"/>
      <c r="AB28" s="521">
        <f>AC28+AD28+AE28+AF28</f>
        <v>1985.7983812405816</v>
      </c>
      <c r="AC28" s="207">
        <f t="shared" si="73"/>
        <v>1290.3230765918497</v>
      </c>
      <c r="AD28" s="207">
        <f t="shared" si="108"/>
        <v>695.47530464873194</v>
      </c>
      <c r="AE28" s="207">
        <f t="shared" si="74"/>
        <v>0</v>
      </c>
      <c r="AF28" s="1145">
        <f t="shared" si="75"/>
        <v>0</v>
      </c>
      <c r="AG28" s="469">
        <f t="shared" si="76"/>
        <v>0</v>
      </c>
      <c r="AH28" s="521">
        <f t="shared" ref="AH28:AH29" si="113">AI28+AJ28+AK28+AL28</f>
        <v>0</v>
      </c>
      <c r="AI28" s="383"/>
      <c r="AJ28" s="383"/>
      <c r="AK28" s="383"/>
      <c r="AL28" s="1501"/>
      <c r="AM28" s="500"/>
      <c r="AN28" s="521">
        <f t="shared" si="68"/>
        <v>2044.5781754837485</v>
      </c>
      <c r="AO28" s="207">
        <f t="shared" si="77"/>
        <v>1328.5164255681541</v>
      </c>
      <c r="AP28" s="207">
        <f t="shared" si="78"/>
        <v>716.06174991559453</v>
      </c>
      <c r="AQ28" s="207">
        <f t="shared" si="109"/>
        <v>0</v>
      </c>
      <c r="AR28" s="1145">
        <f t="shared" si="80"/>
        <v>0</v>
      </c>
      <c r="AS28" s="469">
        <f t="shared" si="81"/>
        <v>0</v>
      </c>
      <c r="AT28" s="521">
        <f t="shared" ref="AT28:AT29" si="114">AU28+AV28+AW28+AX28</f>
        <v>0</v>
      </c>
      <c r="AU28" s="383"/>
      <c r="AV28" s="383"/>
      <c r="AW28" s="383"/>
      <c r="AX28" s="1501"/>
      <c r="AY28" s="500"/>
      <c r="AZ28" s="521">
        <f t="shared" si="70"/>
        <v>2105.0965606500267</v>
      </c>
      <c r="BA28" s="207">
        <f t="shared" si="82"/>
        <v>1367.8405358878802</v>
      </c>
      <c r="BB28" s="207">
        <f t="shared" si="83"/>
        <v>737.25602476214681</v>
      </c>
      <c r="BC28" s="207">
        <f t="shared" si="84"/>
        <v>0</v>
      </c>
      <c r="BD28" s="1145">
        <f t="shared" si="85"/>
        <v>0</v>
      </c>
      <c r="BE28" s="807">
        <f t="shared" si="86"/>
        <v>0</v>
      </c>
      <c r="BF28" s="521">
        <f t="shared" ref="BF28:BF29" si="115">BG28+BH28+BI28+BJ28</f>
        <v>0</v>
      </c>
      <c r="BG28" s="383"/>
      <c r="BH28" s="383"/>
      <c r="BI28" s="383"/>
      <c r="BJ28" s="1501"/>
      <c r="BK28" s="500"/>
      <c r="BL28" s="521">
        <f t="shared" si="72"/>
        <v>2167.4094624604318</v>
      </c>
      <c r="BM28" s="207">
        <f t="shared" si="87"/>
        <v>1408.3293303913304</v>
      </c>
      <c r="BN28" s="207">
        <f t="shared" si="110"/>
        <v>759.08013206910141</v>
      </c>
      <c r="BO28" s="207">
        <f t="shared" si="89"/>
        <v>0</v>
      </c>
      <c r="BP28" s="1145">
        <f t="shared" si="90"/>
        <v>0</v>
      </c>
      <c r="BQ28" s="807">
        <f t="shared" si="91"/>
        <v>0</v>
      </c>
      <c r="BR28" s="940">
        <f t="shared" si="8"/>
        <v>1</v>
      </c>
      <c r="BS28" s="542" t="str">
        <f t="shared" si="9"/>
        <v xml:space="preserve"> </v>
      </c>
      <c r="BT28" s="1502">
        <f t="shared" si="4"/>
        <v>1.0236601789992172</v>
      </c>
      <c r="BU28" s="323">
        <f t="shared" si="59"/>
        <v>1.0296000816590682</v>
      </c>
      <c r="BV28" s="323">
        <f t="shared" si="60"/>
        <v>1.0295994478919641</v>
      </c>
      <c r="BW28" s="198">
        <f t="shared" si="61"/>
        <v>1.0296009707940255</v>
      </c>
      <c r="BX28" s="967" t="s">
        <v>493</v>
      </c>
      <c r="BY28" s="131"/>
    </row>
    <row r="29" spans="1:77" s="111" customFormat="1" ht="18.75">
      <c r="A29" s="119">
        <v>3</v>
      </c>
      <c r="B29" s="120" t="s">
        <v>285</v>
      </c>
      <c r="C29" s="1499" t="s">
        <v>1</v>
      </c>
      <c r="D29" s="189">
        <f>E29+F29+G29+H29</f>
        <v>1139.74</v>
      </c>
      <c r="E29" s="232">
        <f t="shared" ref="E29:I29" si="116">SUM(E31:E33)</f>
        <v>681.31</v>
      </c>
      <c r="F29" s="232">
        <f t="shared" si="116"/>
        <v>458.43</v>
      </c>
      <c r="G29" s="232">
        <f t="shared" si="116"/>
        <v>0</v>
      </c>
      <c r="H29" s="1141">
        <f t="shared" si="116"/>
        <v>0</v>
      </c>
      <c r="I29" s="470">
        <f t="shared" si="116"/>
        <v>0</v>
      </c>
      <c r="J29" s="189">
        <f t="shared" si="111"/>
        <v>1580.02</v>
      </c>
      <c r="K29" s="232">
        <f t="shared" ref="K29:O29" si="117">SUM(K31:K33)</f>
        <v>944.31</v>
      </c>
      <c r="L29" s="232">
        <f t="shared" si="117"/>
        <v>606.79</v>
      </c>
      <c r="M29" s="232">
        <f t="shared" si="117"/>
        <v>0</v>
      </c>
      <c r="N29" s="1141">
        <f t="shared" si="117"/>
        <v>28.92</v>
      </c>
      <c r="O29" s="470">
        <f t="shared" si="117"/>
        <v>0</v>
      </c>
      <c r="P29" s="189">
        <f t="shared" si="64"/>
        <v>1577.33</v>
      </c>
      <c r="Q29" s="232">
        <f>SUM(Q31:Q33)</f>
        <v>970.54</v>
      </c>
      <c r="R29" s="232">
        <f t="shared" ref="R29:U29" si="118">SUM(R31:R33)</f>
        <v>606.79</v>
      </c>
      <c r="S29" s="232">
        <f t="shared" si="118"/>
        <v>0</v>
      </c>
      <c r="T29" s="1141">
        <f t="shared" si="118"/>
        <v>0</v>
      </c>
      <c r="U29" s="470">
        <f t="shared" si="118"/>
        <v>0</v>
      </c>
      <c r="V29" s="189">
        <f t="shared" si="112"/>
        <v>1626.7885920000001</v>
      </c>
      <c r="W29" s="232">
        <f t="shared" ref="W29:AA29" si="119">SUM(W31:W33)</f>
        <v>972.26157599999999</v>
      </c>
      <c r="X29" s="232">
        <f t="shared" si="119"/>
        <v>624.75098400000002</v>
      </c>
      <c r="Y29" s="232">
        <f t="shared" si="119"/>
        <v>0</v>
      </c>
      <c r="Z29" s="1141">
        <f t="shared" si="119"/>
        <v>29.776032000000004</v>
      </c>
      <c r="AA29" s="470">
        <f t="shared" si="119"/>
        <v>0</v>
      </c>
      <c r="AB29" s="189">
        <f t="shared" si="66"/>
        <v>1614.6499814561419</v>
      </c>
      <c r="AC29" s="232">
        <f>SUM(AC31:AC33)</f>
        <v>993.50270428834085</v>
      </c>
      <c r="AD29" s="232">
        <f t="shared" ref="AD29:AG29" si="120">SUM(AD31:AD33)</f>
        <v>621.14727716780101</v>
      </c>
      <c r="AE29" s="232">
        <f t="shared" si="120"/>
        <v>0</v>
      </c>
      <c r="AF29" s="1141">
        <f t="shared" si="120"/>
        <v>0</v>
      </c>
      <c r="AG29" s="470">
        <f t="shared" si="120"/>
        <v>0</v>
      </c>
      <c r="AH29" s="189">
        <f t="shared" si="113"/>
        <v>1674.9415343232001</v>
      </c>
      <c r="AI29" s="232">
        <f t="shared" ref="AI29:AM29" si="121">SUM(AI31:AI33)</f>
        <v>1001.0405186496</v>
      </c>
      <c r="AJ29" s="232">
        <f t="shared" si="121"/>
        <v>643.24361312640008</v>
      </c>
      <c r="AK29" s="232">
        <f t="shared" si="121"/>
        <v>0</v>
      </c>
      <c r="AL29" s="1141">
        <f t="shared" si="121"/>
        <v>30.657402547200007</v>
      </c>
      <c r="AM29" s="470">
        <f t="shared" si="121"/>
        <v>0</v>
      </c>
      <c r="AN29" s="189">
        <f t="shared" si="68"/>
        <v>1662.4437921030649</v>
      </c>
      <c r="AO29" s="232">
        <f t="shared" ref="AO29:AS29" si="122">SUM(AO31:AO33)</f>
        <v>1022.9102194929918</v>
      </c>
      <c r="AP29" s="232">
        <f t="shared" si="122"/>
        <v>639.53357261007295</v>
      </c>
      <c r="AQ29" s="232">
        <f t="shared" si="122"/>
        <v>0</v>
      </c>
      <c r="AR29" s="1141">
        <f t="shared" si="122"/>
        <v>0</v>
      </c>
      <c r="AS29" s="470">
        <f t="shared" si="122"/>
        <v>0</v>
      </c>
      <c r="AT29" s="189">
        <f t="shared" si="114"/>
        <v>1724.5198037391669</v>
      </c>
      <c r="AU29" s="232">
        <f t="shared" ref="AU29:AY29" si="123">SUM(AU31:AU33)</f>
        <v>1030.6713180016282</v>
      </c>
      <c r="AV29" s="232">
        <f t="shared" si="123"/>
        <v>662.2836240749416</v>
      </c>
      <c r="AW29" s="232">
        <f t="shared" si="123"/>
        <v>0</v>
      </c>
      <c r="AX29" s="1141">
        <f t="shared" si="123"/>
        <v>31.564861662597131</v>
      </c>
      <c r="AY29" s="470">
        <f t="shared" si="123"/>
        <v>0</v>
      </c>
      <c r="AZ29" s="189">
        <f t="shared" si="70"/>
        <v>1711.6511171922925</v>
      </c>
      <c r="BA29" s="232">
        <f>SUM(BA31:BA33)</f>
        <v>1053.1883805637628</v>
      </c>
      <c r="BB29" s="232">
        <f t="shared" ref="BB29:BE29" si="124">SUM(BB31:BB33)</f>
        <v>658.46273662852957</v>
      </c>
      <c r="BC29" s="232">
        <f t="shared" si="124"/>
        <v>0</v>
      </c>
      <c r="BD29" s="1141">
        <f t="shared" si="124"/>
        <v>0</v>
      </c>
      <c r="BE29" s="470">
        <f t="shared" si="124"/>
        <v>0</v>
      </c>
      <c r="BF29" s="189">
        <f t="shared" si="115"/>
        <v>1775.5655899298463</v>
      </c>
      <c r="BG29" s="232">
        <f t="shared" ref="BG29:BK29" si="125">SUM(BG31:BG33)</f>
        <v>1061.1791890144764</v>
      </c>
      <c r="BH29" s="232">
        <f t="shared" si="125"/>
        <v>681.88721934755995</v>
      </c>
      <c r="BI29" s="232">
        <f t="shared" si="125"/>
        <v>0</v>
      </c>
      <c r="BJ29" s="1141">
        <f t="shared" si="125"/>
        <v>32.499181567810005</v>
      </c>
      <c r="BK29" s="470">
        <f t="shared" si="125"/>
        <v>0</v>
      </c>
      <c r="BL29" s="189">
        <f t="shared" si="72"/>
        <v>1762.3177274509826</v>
      </c>
      <c r="BM29" s="232">
        <f>SUM(BM31:BM33)</f>
        <v>1084.3633068766376</v>
      </c>
      <c r="BN29" s="232">
        <f t="shared" ref="BN29:BQ29" si="126">SUM(BN31:BN33)</f>
        <v>677.95442057434491</v>
      </c>
      <c r="BO29" s="232">
        <f t="shared" si="126"/>
        <v>0</v>
      </c>
      <c r="BP29" s="1141">
        <f t="shared" si="126"/>
        <v>0</v>
      </c>
      <c r="BQ29" s="470">
        <f t="shared" si="126"/>
        <v>0</v>
      </c>
      <c r="BR29" s="940">
        <f t="shared" si="8"/>
        <v>0.99829748990519107</v>
      </c>
      <c r="BS29" s="542">
        <f t="shared" si="9"/>
        <v>1.3839384421008298</v>
      </c>
      <c r="BT29" s="942">
        <f t="shared" si="4"/>
        <v>1.0236602242118908</v>
      </c>
      <c r="BU29" s="324">
        <f t="shared" si="59"/>
        <v>1.0296001060265836</v>
      </c>
      <c r="BV29" s="324">
        <f t="shared" si="60"/>
        <v>1.0295993917646853</v>
      </c>
      <c r="BW29" s="201">
        <f t="shared" si="61"/>
        <v>1.0296010149204944</v>
      </c>
      <c r="BX29" s="970"/>
      <c r="BY29" s="121"/>
    </row>
    <row r="30" spans="1:77" s="125" customFormat="1" ht="18.75" outlineLevel="1">
      <c r="A30" s="122"/>
      <c r="B30" s="123" t="s">
        <v>33</v>
      </c>
      <c r="C30" s="1503"/>
      <c r="D30" s="228"/>
      <c r="E30" s="229"/>
      <c r="F30" s="229"/>
      <c r="G30" s="229"/>
      <c r="H30" s="1147"/>
      <c r="I30" s="466"/>
      <c r="J30" s="228"/>
      <c r="K30" s="382"/>
      <c r="L30" s="382"/>
      <c r="M30" s="382"/>
      <c r="N30" s="1504"/>
      <c r="O30" s="497"/>
      <c r="P30" s="228"/>
      <c r="Q30" s="229"/>
      <c r="R30" s="229"/>
      <c r="S30" s="229"/>
      <c r="T30" s="1147"/>
      <c r="U30" s="466"/>
      <c r="V30" s="228"/>
      <c r="W30" s="382"/>
      <c r="X30" s="382"/>
      <c r="Y30" s="382"/>
      <c r="Z30" s="1504"/>
      <c r="AA30" s="497"/>
      <c r="AB30" s="228"/>
      <c r="AC30" s="229"/>
      <c r="AD30" s="229"/>
      <c r="AE30" s="229"/>
      <c r="AF30" s="1147"/>
      <c r="AG30" s="466"/>
      <c r="AH30" s="228"/>
      <c r="AI30" s="382"/>
      <c r="AJ30" s="382"/>
      <c r="AK30" s="382"/>
      <c r="AL30" s="1504"/>
      <c r="AM30" s="497"/>
      <c r="AN30" s="228"/>
      <c r="AO30" s="229"/>
      <c r="AP30" s="229"/>
      <c r="AQ30" s="229"/>
      <c r="AR30" s="1147"/>
      <c r="AS30" s="466"/>
      <c r="AT30" s="228"/>
      <c r="AU30" s="382"/>
      <c r="AV30" s="382"/>
      <c r="AW30" s="382"/>
      <c r="AX30" s="1504"/>
      <c r="AY30" s="497"/>
      <c r="AZ30" s="228"/>
      <c r="BA30" s="229"/>
      <c r="BB30" s="229"/>
      <c r="BC30" s="229"/>
      <c r="BD30" s="1147"/>
      <c r="BE30" s="466"/>
      <c r="BF30" s="228"/>
      <c r="BG30" s="382"/>
      <c r="BH30" s="382"/>
      <c r="BI30" s="382"/>
      <c r="BJ30" s="1504"/>
      <c r="BK30" s="497"/>
      <c r="BL30" s="228"/>
      <c r="BM30" s="229"/>
      <c r="BN30" s="229"/>
      <c r="BO30" s="229"/>
      <c r="BP30" s="1147"/>
      <c r="BQ30" s="466"/>
      <c r="BR30" s="940" t="str">
        <f t="shared" si="8"/>
        <v xml:space="preserve"> </v>
      </c>
      <c r="BS30" s="542" t="str">
        <f t="shared" si="9"/>
        <v xml:space="preserve"> </v>
      </c>
      <c r="BT30" s="942" t="str">
        <f t="shared" si="4"/>
        <v xml:space="preserve"> </v>
      </c>
      <c r="BU30" s="324" t="str">
        <f t="shared" si="59"/>
        <v xml:space="preserve"> </v>
      </c>
      <c r="BV30" s="324" t="str">
        <f t="shared" si="60"/>
        <v xml:space="preserve"> </v>
      </c>
      <c r="BW30" s="201" t="str">
        <f t="shared" si="61"/>
        <v xml:space="preserve"> </v>
      </c>
      <c r="BX30" s="971"/>
      <c r="BY30" s="124"/>
    </row>
    <row r="31" spans="1:77" s="125" customFormat="1" ht="18.75" outlineLevel="1">
      <c r="A31" s="122"/>
      <c r="B31" s="126" t="s">
        <v>116</v>
      </c>
      <c r="C31" s="1503" t="s">
        <v>1</v>
      </c>
      <c r="D31" s="209">
        <f>E31+F31+G31+H31</f>
        <v>0</v>
      </c>
      <c r="E31" s="210"/>
      <c r="F31" s="210"/>
      <c r="G31" s="210"/>
      <c r="H31" s="1149"/>
      <c r="I31" s="467"/>
      <c r="J31" s="209">
        <f>K31+L31+M31+N31</f>
        <v>0</v>
      </c>
      <c r="K31" s="498"/>
      <c r="L31" s="498"/>
      <c r="M31" s="498"/>
      <c r="N31" s="1505"/>
      <c r="O31" s="499"/>
      <c r="P31" s="209">
        <f>Q31+R31+S31+T31</f>
        <v>0</v>
      </c>
      <c r="Q31" s="210"/>
      <c r="R31" s="210"/>
      <c r="S31" s="210"/>
      <c r="T31" s="1149"/>
      <c r="U31" s="467"/>
      <c r="V31" s="209">
        <f>W31+X31+Y31+Z31</f>
        <v>0</v>
      </c>
      <c r="W31" s="498"/>
      <c r="X31" s="498"/>
      <c r="Y31" s="498"/>
      <c r="Z31" s="1505"/>
      <c r="AA31" s="499"/>
      <c r="AB31" s="209">
        <f>AC31+AD31+AE31+AF31</f>
        <v>0</v>
      </c>
      <c r="AC31" s="210">
        <f t="shared" ref="AC31:AC33" si="127">IF($AC$21&gt;0,Q31/$Q$21*$AC$21,0)</f>
        <v>0</v>
      </c>
      <c r="AD31" s="210">
        <f t="shared" ref="AD31:AD33" si="128">IF($AD$21&gt;0,R31/$R$21*$AD$21,0)</f>
        <v>0</v>
      </c>
      <c r="AE31" s="210">
        <f t="shared" ref="AE31:AE33" si="129">IF($AE$21&gt;0,S31/$S$21*$AE$21,0)</f>
        <v>0</v>
      </c>
      <c r="AF31" s="1149">
        <f t="shared" ref="AF31:AF33" si="130">IF($AF$21&gt;0,T31/$T$21*$AF$21,0)</f>
        <v>0</v>
      </c>
      <c r="AG31" s="467">
        <f t="shared" ref="AG31:AG33" si="131">IF($AG$21&gt;0,U31/$U$21*$AG$21,0)</f>
        <v>0</v>
      </c>
      <c r="AH31" s="209">
        <f>AI31+AJ31+AK31+AL31</f>
        <v>0</v>
      </c>
      <c r="AI31" s="498"/>
      <c r="AJ31" s="498"/>
      <c r="AK31" s="498"/>
      <c r="AL31" s="1505"/>
      <c r="AM31" s="499"/>
      <c r="AN31" s="209">
        <f>AO31+AP31+AQ31+AR31</f>
        <v>0</v>
      </c>
      <c r="AO31" s="210">
        <f t="shared" ref="AO31:AO33" si="132">IF($AO$21&gt;0,AC31/$AC$21*$AO$21,0)</f>
        <v>0</v>
      </c>
      <c r="AP31" s="210">
        <f t="shared" ref="AP31:AP33" si="133">IF($AP$21&gt;0,AD31/$AD$21*$AP$21,0)</f>
        <v>0</v>
      </c>
      <c r="AQ31" s="210">
        <f t="shared" ref="AQ31:AQ33" si="134">IF($AQ$21&gt;0,AE31/$AE$21*$AQ$21,0)</f>
        <v>0</v>
      </c>
      <c r="AR31" s="1149">
        <f t="shared" ref="AR31:AR33" si="135">IF($AR$21&gt;0,AF31/$AF$21*$AR$21,0)</f>
        <v>0</v>
      </c>
      <c r="AS31" s="808">
        <f t="shared" ref="AS31:AS33" si="136">IF($AS$21&gt;0,AG31/$AG$21*$AS$21,0)</f>
        <v>0</v>
      </c>
      <c r="AT31" s="209">
        <f>AU31+AV31+AW31+AX31</f>
        <v>1724.5198037391669</v>
      </c>
      <c r="AU31" s="498">
        <v>1030.6713180016282</v>
      </c>
      <c r="AV31" s="498">
        <v>662.2836240749416</v>
      </c>
      <c r="AW31" s="498"/>
      <c r="AX31" s="1505">
        <v>31.564861662597131</v>
      </c>
      <c r="AY31" s="499"/>
      <c r="AZ31" s="209">
        <f>BA31+BB31+BC31+BD31</f>
        <v>0</v>
      </c>
      <c r="BA31" s="210">
        <f t="shared" ref="BA31:BA33" si="137">IF($BA$21&gt;0,AO31/$AO$21*$BA$21,0)</f>
        <v>0</v>
      </c>
      <c r="BB31" s="210">
        <f t="shared" ref="BB31:BB33" si="138">IF($BB$21&gt;0,AP31/$AP$21*$BB$21,0)</f>
        <v>0</v>
      </c>
      <c r="BC31" s="210">
        <f t="shared" ref="BC31:BC33" si="139">IF($BC$21&gt;0,AQ31/$AQ$21*$BC$21,0)</f>
        <v>0</v>
      </c>
      <c r="BD31" s="1149">
        <f t="shared" ref="BD31:BD33" si="140">IF($BD$21&gt;0,AR31/$AR$21*$BD$21,0)</f>
        <v>0</v>
      </c>
      <c r="BE31" s="467">
        <f t="shared" ref="BE31:BE33" si="141">IF($BE$21&gt;0,AS31/$AS$21*$BE$21,0)</f>
        <v>0</v>
      </c>
      <c r="BF31" s="209">
        <f>BG31+BH31+BI31+BJ31</f>
        <v>1775.5655899298463</v>
      </c>
      <c r="BG31" s="498">
        <v>1061.1791890144764</v>
      </c>
      <c r="BH31" s="498">
        <v>681.88721934755995</v>
      </c>
      <c r="BI31" s="498"/>
      <c r="BJ31" s="1505">
        <v>32.499181567810005</v>
      </c>
      <c r="BK31" s="499"/>
      <c r="BL31" s="209">
        <f>BM31+BN31+BO31+BP31</f>
        <v>0</v>
      </c>
      <c r="BM31" s="210">
        <f t="shared" ref="BM31:BM33" si="142">IF($BM$21&gt;0,BA31/$BA$21*$BM$21,0)</f>
        <v>0</v>
      </c>
      <c r="BN31" s="210">
        <f t="shared" ref="BN31:BN33" si="143">IF($BN$21&gt;0,BB31/$BB$21*$BN$21,0)</f>
        <v>0</v>
      </c>
      <c r="BO31" s="210">
        <f t="shared" ref="BO31:BO32" si="144">IF($BO$21&gt;0,BC31/$BC$21*$BO$21,0)</f>
        <v>0</v>
      </c>
      <c r="BP31" s="1149">
        <f t="shared" ref="BP31:BP33" si="145">IF($BP$21&gt;0,BD31/$BD$21*$BP$21,0)</f>
        <v>0</v>
      </c>
      <c r="BQ31" s="467">
        <f t="shared" ref="BQ31:BQ33" si="146">IF($BQ$21&gt;0,BE31/$BE$21*$BQ$21,0)</f>
        <v>0</v>
      </c>
      <c r="BR31" s="940" t="str">
        <f t="shared" si="8"/>
        <v xml:space="preserve"> </v>
      </c>
      <c r="BS31" s="542" t="str">
        <f t="shared" si="9"/>
        <v xml:space="preserve"> </v>
      </c>
      <c r="BT31" s="1506" t="str">
        <f t="shared" si="4"/>
        <v xml:space="preserve"> </v>
      </c>
      <c r="BU31" s="325" t="str">
        <f t="shared" si="59"/>
        <v xml:space="preserve"> </v>
      </c>
      <c r="BV31" s="325" t="str">
        <f t="shared" si="60"/>
        <v xml:space="preserve"> </v>
      </c>
      <c r="BW31" s="203" t="str">
        <f t="shared" si="61"/>
        <v xml:space="preserve"> </v>
      </c>
      <c r="BX31" s="971"/>
      <c r="BY31" s="127"/>
    </row>
    <row r="32" spans="1:77" s="125" customFormat="1" ht="18.75" outlineLevel="1">
      <c r="A32" s="122"/>
      <c r="B32" s="126" t="s">
        <v>117</v>
      </c>
      <c r="C32" s="1503" t="s">
        <v>1</v>
      </c>
      <c r="D32" s="209">
        <f t="shared" ref="D32:D37" si="147">E32+F32+G32+H32</f>
        <v>0</v>
      </c>
      <c r="E32" s="210"/>
      <c r="F32" s="210"/>
      <c r="G32" s="210"/>
      <c r="H32" s="1149"/>
      <c r="I32" s="467"/>
      <c r="J32" s="209">
        <f t="shared" ref="J32:J37" si="148">K32+L32+M32+N32</f>
        <v>0</v>
      </c>
      <c r="K32" s="498"/>
      <c r="L32" s="498"/>
      <c r="M32" s="498"/>
      <c r="N32" s="1505"/>
      <c r="O32" s="499"/>
      <c r="P32" s="209">
        <f t="shared" ref="P32:P37" si="149">Q32+R32+S32+T32</f>
        <v>0</v>
      </c>
      <c r="Q32" s="210"/>
      <c r="R32" s="210"/>
      <c r="S32" s="210"/>
      <c r="T32" s="1149"/>
      <c r="U32" s="467"/>
      <c r="V32" s="209">
        <f t="shared" ref="V32:V37" si="150">W32+X32+Y32+Z32</f>
        <v>0</v>
      </c>
      <c r="W32" s="498"/>
      <c r="X32" s="498"/>
      <c r="Y32" s="498"/>
      <c r="Z32" s="1505"/>
      <c r="AA32" s="499"/>
      <c r="AB32" s="209">
        <f t="shared" ref="AB32:AB37" si="151">AC32+AD32+AE32+AF32</f>
        <v>0</v>
      </c>
      <c r="AC32" s="210">
        <f t="shared" si="127"/>
        <v>0</v>
      </c>
      <c r="AD32" s="210">
        <f t="shared" si="128"/>
        <v>0</v>
      </c>
      <c r="AE32" s="210">
        <f t="shared" si="129"/>
        <v>0</v>
      </c>
      <c r="AF32" s="1149">
        <f t="shared" si="130"/>
        <v>0</v>
      </c>
      <c r="AG32" s="467">
        <f t="shared" si="131"/>
        <v>0</v>
      </c>
      <c r="AH32" s="209">
        <f t="shared" ref="AH32:AH37" si="152">AI32+AJ32+AK32+AL32</f>
        <v>0</v>
      </c>
      <c r="AI32" s="498"/>
      <c r="AJ32" s="498"/>
      <c r="AK32" s="498"/>
      <c r="AL32" s="1505"/>
      <c r="AM32" s="499"/>
      <c r="AN32" s="209">
        <f t="shared" ref="AN32:AN37" si="153">AO32+AP32+AQ32+AR32</f>
        <v>0</v>
      </c>
      <c r="AO32" s="210">
        <f t="shared" si="132"/>
        <v>0</v>
      </c>
      <c r="AP32" s="210">
        <f t="shared" si="133"/>
        <v>0</v>
      </c>
      <c r="AQ32" s="210">
        <f t="shared" si="134"/>
        <v>0</v>
      </c>
      <c r="AR32" s="1149">
        <f t="shared" si="135"/>
        <v>0</v>
      </c>
      <c r="AS32" s="808">
        <f t="shared" si="136"/>
        <v>0</v>
      </c>
      <c r="AT32" s="209">
        <f t="shared" ref="AT32:AT37" si="154">AU32+AV32+AW32+AX32</f>
        <v>0</v>
      </c>
      <c r="AU32" s="498"/>
      <c r="AV32" s="498"/>
      <c r="AW32" s="498"/>
      <c r="AX32" s="1505"/>
      <c r="AY32" s="499"/>
      <c r="AZ32" s="209">
        <f t="shared" ref="AZ32:AZ37" si="155">BA32+BB32+BC32+BD32</f>
        <v>0</v>
      </c>
      <c r="BA32" s="210">
        <f t="shared" si="137"/>
        <v>0</v>
      </c>
      <c r="BB32" s="210">
        <f t="shared" si="138"/>
        <v>0</v>
      </c>
      <c r="BC32" s="210">
        <f t="shared" si="139"/>
        <v>0</v>
      </c>
      <c r="BD32" s="1149">
        <f t="shared" si="140"/>
        <v>0</v>
      </c>
      <c r="BE32" s="467">
        <f t="shared" si="141"/>
        <v>0</v>
      </c>
      <c r="BF32" s="209">
        <f t="shared" ref="BF32:BF37" si="156">BG32+BH32+BI32+BJ32</f>
        <v>0</v>
      </c>
      <c r="BG32" s="498"/>
      <c r="BH32" s="498"/>
      <c r="BI32" s="498"/>
      <c r="BJ32" s="1505"/>
      <c r="BK32" s="499"/>
      <c r="BL32" s="209">
        <f t="shared" ref="BL32:BL37" si="157">BM32+BN32+BO32+BP32</f>
        <v>0</v>
      </c>
      <c r="BM32" s="210">
        <f t="shared" si="142"/>
        <v>0</v>
      </c>
      <c r="BN32" s="210">
        <f t="shared" si="143"/>
        <v>0</v>
      </c>
      <c r="BO32" s="210">
        <f t="shared" si="144"/>
        <v>0</v>
      </c>
      <c r="BP32" s="1149">
        <f t="shared" si="145"/>
        <v>0</v>
      </c>
      <c r="BQ32" s="467">
        <f t="shared" si="146"/>
        <v>0</v>
      </c>
      <c r="BR32" s="940" t="str">
        <f t="shared" si="8"/>
        <v xml:space="preserve"> </v>
      </c>
      <c r="BS32" s="542" t="str">
        <f t="shared" si="9"/>
        <v xml:space="preserve"> </v>
      </c>
      <c r="BT32" s="1506" t="str">
        <f t="shared" si="4"/>
        <v xml:space="preserve"> </v>
      </c>
      <c r="BU32" s="325" t="str">
        <f t="shared" si="59"/>
        <v xml:space="preserve"> </v>
      </c>
      <c r="BV32" s="325" t="str">
        <f t="shared" si="60"/>
        <v xml:space="preserve"> </v>
      </c>
      <c r="BW32" s="203" t="str">
        <f t="shared" si="61"/>
        <v xml:space="preserve"> </v>
      </c>
      <c r="BX32" s="971"/>
      <c r="BY32" s="127"/>
    </row>
    <row r="33" spans="1:78" s="125" customFormat="1" ht="18.75" outlineLevel="1">
      <c r="A33" s="122"/>
      <c r="B33" s="126" t="s">
        <v>293</v>
      </c>
      <c r="C33" s="1503" t="s">
        <v>1</v>
      </c>
      <c r="D33" s="209">
        <f t="shared" si="147"/>
        <v>1139.74</v>
      </c>
      <c r="E33" s="210">
        <v>681.31</v>
      </c>
      <c r="F33" s="210">
        <v>458.43</v>
      </c>
      <c r="G33" s="210"/>
      <c r="H33" s="1149"/>
      <c r="I33" s="467"/>
      <c r="J33" s="209">
        <f t="shared" si="148"/>
        <v>1580.02</v>
      </c>
      <c r="K33" s="498">
        <v>944.31</v>
      </c>
      <c r="L33" s="498">
        <v>606.79</v>
      </c>
      <c r="M33" s="498"/>
      <c r="N33" s="1505">
        <v>28.92</v>
      </c>
      <c r="O33" s="499"/>
      <c r="P33" s="209">
        <f t="shared" si="149"/>
        <v>1577.33</v>
      </c>
      <c r="Q33" s="210">
        <f>ROUND(Q37*Q38*12/1000,2)</f>
        <v>970.54</v>
      </c>
      <c r="R33" s="210">
        <f>ROUND(R37*R38*12/1000,2)</f>
        <v>606.79</v>
      </c>
      <c r="S33" s="210"/>
      <c r="T33" s="1149"/>
      <c r="U33" s="467"/>
      <c r="V33" s="209">
        <f t="shared" si="150"/>
        <v>1626.7885920000001</v>
      </c>
      <c r="W33" s="498">
        <v>972.26157599999999</v>
      </c>
      <c r="X33" s="498">
        <v>624.75098400000002</v>
      </c>
      <c r="Y33" s="498"/>
      <c r="Z33" s="1505">
        <v>29.776032000000004</v>
      </c>
      <c r="AA33" s="499"/>
      <c r="AB33" s="209">
        <f t="shared" si="151"/>
        <v>1614.6499814561419</v>
      </c>
      <c r="AC33" s="210">
        <f t="shared" si="127"/>
        <v>993.50270428834085</v>
      </c>
      <c r="AD33" s="210">
        <f t="shared" si="128"/>
        <v>621.14727716780101</v>
      </c>
      <c r="AE33" s="210">
        <f t="shared" si="129"/>
        <v>0</v>
      </c>
      <c r="AF33" s="1149">
        <f t="shared" si="130"/>
        <v>0</v>
      </c>
      <c r="AG33" s="467">
        <f t="shared" si="131"/>
        <v>0</v>
      </c>
      <c r="AH33" s="209">
        <f t="shared" si="152"/>
        <v>1674.9415343232001</v>
      </c>
      <c r="AI33" s="498">
        <v>1001.0405186496</v>
      </c>
      <c r="AJ33" s="498">
        <v>643.24361312640008</v>
      </c>
      <c r="AK33" s="498"/>
      <c r="AL33" s="1505">
        <v>30.657402547200007</v>
      </c>
      <c r="AM33" s="499"/>
      <c r="AN33" s="209">
        <f t="shared" si="153"/>
        <v>1662.4437921030649</v>
      </c>
      <c r="AO33" s="210">
        <f t="shared" si="132"/>
        <v>1022.9102194929918</v>
      </c>
      <c r="AP33" s="210">
        <f t="shared" si="133"/>
        <v>639.53357261007295</v>
      </c>
      <c r="AQ33" s="210">
        <f t="shared" si="134"/>
        <v>0</v>
      </c>
      <c r="AR33" s="1149">
        <f t="shared" si="135"/>
        <v>0</v>
      </c>
      <c r="AS33" s="808">
        <f t="shared" si="136"/>
        <v>0</v>
      </c>
      <c r="AT33" s="209">
        <f t="shared" si="154"/>
        <v>0</v>
      </c>
      <c r="AU33" s="498"/>
      <c r="AV33" s="498"/>
      <c r="AW33" s="498"/>
      <c r="AX33" s="1505"/>
      <c r="AY33" s="499"/>
      <c r="AZ33" s="209">
        <f t="shared" si="155"/>
        <v>1711.6511171922925</v>
      </c>
      <c r="BA33" s="210">
        <f t="shared" si="137"/>
        <v>1053.1883805637628</v>
      </c>
      <c r="BB33" s="210">
        <f t="shared" si="138"/>
        <v>658.46273662852957</v>
      </c>
      <c r="BC33" s="210">
        <f t="shared" si="139"/>
        <v>0</v>
      </c>
      <c r="BD33" s="1149">
        <f t="shared" si="140"/>
        <v>0</v>
      </c>
      <c r="BE33" s="467">
        <f t="shared" si="141"/>
        <v>0</v>
      </c>
      <c r="BF33" s="209">
        <f t="shared" si="156"/>
        <v>0</v>
      </c>
      <c r="BG33" s="498"/>
      <c r="BH33" s="498"/>
      <c r="BI33" s="498"/>
      <c r="BJ33" s="1505"/>
      <c r="BK33" s="499"/>
      <c r="BL33" s="209">
        <f t="shared" si="157"/>
        <v>1762.3177274509826</v>
      </c>
      <c r="BM33" s="210">
        <f t="shared" si="142"/>
        <v>1084.3633068766376</v>
      </c>
      <c r="BN33" s="210">
        <f t="shared" si="143"/>
        <v>677.95442057434491</v>
      </c>
      <c r="BO33" s="210">
        <f>IF($BO$21&gt;0,BC33/$BC$21*$BO$21,0)</f>
        <v>0</v>
      </c>
      <c r="BP33" s="1149">
        <f t="shared" si="145"/>
        <v>0</v>
      </c>
      <c r="BQ33" s="467">
        <f t="shared" si="146"/>
        <v>0</v>
      </c>
      <c r="BR33" s="940">
        <f t="shared" si="8"/>
        <v>0.99829748990519107</v>
      </c>
      <c r="BS33" s="542">
        <f t="shared" si="9"/>
        <v>1.3839384421008298</v>
      </c>
      <c r="BT33" s="1506">
        <f t="shared" si="4"/>
        <v>1.0236602242118908</v>
      </c>
      <c r="BU33" s="325">
        <f t="shared" si="59"/>
        <v>1.0296001060265836</v>
      </c>
      <c r="BV33" s="325">
        <f t="shared" si="60"/>
        <v>1.0295993917646853</v>
      </c>
      <c r="BW33" s="203">
        <f t="shared" si="61"/>
        <v>1.0296010149204944</v>
      </c>
      <c r="BX33" s="971"/>
      <c r="BY33" s="127"/>
    </row>
    <row r="34" spans="1:78" s="125" customFormat="1" ht="18.75" outlineLevel="1">
      <c r="A34" s="122"/>
      <c r="B34" s="123" t="s">
        <v>118</v>
      </c>
      <c r="C34" s="1503" t="s">
        <v>96</v>
      </c>
      <c r="D34" s="209">
        <f>E34+F34+G34+H34</f>
        <v>4.5</v>
      </c>
      <c r="E34" s="229">
        <f>E35+E36+E37</f>
        <v>2.69</v>
      </c>
      <c r="F34" s="229">
        <f t="shared" ref="F34:I34" si="158">F35+F36+F37</f>
        <v>1.81</v>
      </c>
      <c r="G34" s="229">
        <f t="shared" si="158"/>
        <v>0</v>
      </c>
      <c r="H34" s="1147">
        <f t="shared" si="158"/>
        <v>0</v>
      </c>
      <c r="I34" s="466">
        <f t="shared" si="158"/>
        <v>0</v>
      </c>
      <c r="J34" s="209">
        <f t="shared" si="148"/>
        <v>6</v>
      </c>
      <c r="K34" s="382">
        <f>K35+K36+K37</f>
        <v>3.6</v>
      </c>
      <c r="L34" s="382">
        <f t="shared" ref="L34:O34" si="159">L35+L36+L37</f>
        <v>2.2999999999999998</v>
      </c>
      <c r="M34" s="382">
        <f t="shared" si="159"/>
        <v>0</v>
      </c>
      <c r="N34" s="1504">
        <f t="shared" si="159"/>
        <v>0.1</v>
      </c>
      <c r="O34" s="497">
        <f t="shared" si="159"/>
        <v>0</v>
      </c>
      <c r="P34" s="209">
        <f t="shared" si="149"/>
        <v>6</v>
      </c>
      <c r="Q34" s="229">
        <f>Q35+Q36+Q37</f>
        <v>3.7</v>
      </c>
      <c r="R34" s="229">
        <f t="shared" ref="R34:U34" si="160">R35+R36+R37</f>
        <v>2.2999999999999998</v>
      </c>
      <c r="S34" s="229">
        <f t="shared" si="160"/>
        <v>0</v>
      </c>
      <c r="T34" s="1147">
        <f t="shared" si="160"/>
        <v>0</v>
      </c>
      <c r="U34" s="466">
        <f t="shared" si="160"/>
        <v>0</v>
      </c>
      <c r="V34" s="209">
        <f t="shared" si="150"/>
        <v>0</v>
      </c>
      <c r="W34" s="382">
        <f>W35+W36+W37</f>
        <v>0</v>
      </c>
      <c r="X34" s="382">
        <f t="shared" ref="X34:AA34" si="161">X35+X36+X37</f>
        <v>0</v>
      </c>
      <c r="Y34" s="382">
        <f t="shared" si="161"/>
        <v>0</v>
      </c>
      <c r="Z34" s="1504">
        <f t="shared" si="161"/>
        <v>0</v>
      </c>
      <c r="AA34" s="497">
        <f t="shared" si="161"/>
        <v>0</v>
      </c>
      <c r="AB34" s="228">
        <f t="shared" si="151"/>
        <v>6</v>
      </c>
      <c r="AC34" s="229">
        <f>AC35+AC36+AC37</f>
        <v>3.7</v>
      </c>
      <c r="AD34" s="229">
        <f t="shared" ref="AD34:AG34" si="162">AD35+AD36+AD37</f>
        <v>2.2999999999999998</v>
      </c>
      <c r="AE34" s="229">
        <f t="shared" si="162"/>
        <v>0</v>
      </c>
      <c r="AF34" s="1147">
        <f t="shared" si="162"/>
        <v>0</v>
      </c>
      <c r="AG34" s="466">
        <f t="shared" si="162"/>
        <v>0</v>
      </c>
      <c r="AH34" s="209">
        <f t="shared" si="152"/>
        <v>0</v>
      </c>
      <c r="AI34" s="382">
        <f>AI35+AI36+AI37</f>
        <v>0</v>
      </c>
      <c r="AJ34" s="382">
        <f t="shared" ref="AJ34:AM34" si="163">AJ35+AJ36+AJ37</f>
        <v>0</v>
      </c>
      <c r="AK34" s="382">
        <f t="shared" si="163"/>
        <v>0</v>
      </c>
      <c r="AL34" s="1504">
        <f t="shared" si="163"/>
        <v>0</v>
      </c>
      <c r="AM34" s="497">
        <f t="shared" si="163"/>
        <v>0</v>
      </c>
      <c r="AN34" s="228">
        <f t="shared" si="153"/>
        <v>6</v>
      </c>
      <c r="AO34" s="229">
        <f t="shared" ref="AO34:AS34" si="164">AO35+AO36+AO37</f>
        <v>3.7</v>
      </c>
      <c r="AP34" s="229">
        <f t="shared" si="164"/>
        <v>2.2999999999999998</v>
      </c>
      <c r="AQ34" s="229">
        <f t="shared" si="164"/>
        <v>0</v>
      </c>
      <c r="AR34" s="1147">
        <f t="shared" si="164"/>
        <v>0</v>
      </c>
      <c r="AS34" s="466">
        <f t="shared" si="164"/>
        <v>0</v>
      </c>
      <c r="AT34" s="209">
        <f t="shared" si="154"/>
        <v>0</v>
      </c>
      <c r="AU34" s="382">
        <f>AU35+AU36+AU37</f>
        <v>0</v>
      </c>
      <c r="AV34" s="382">
        <f t="shared" ref="AV34:AY34" si="165">AV35+AV36+AV37</f>
        <v>0</v>
      </c>
      <c r="AW34" s="382">
        <f t="shared" si="165"/>
        <v>0</v>
      </c>
      <c r="AX34" s="1504">
        <f t="shared" si="165"/>
        <v>0</v>
      </c>
      <c r="AY34" s="497">
        <f t="shared" si="165"/>
        <v>0</v>
      </c>
      <c r="AZ34" s="228">
        <f t="shared" si="155"/>
        <v>6</v>
      </c>
      <c r="BA34" s="229">
        <f>BA35+BA36+BA37</f>
        <v>3.7</v>
      </c>
      <c r="BB34" s="229">
        <f t="shared" ref="BB34:BE34" si="166">BB35+BB36+BB37</f>
        <v>2.2999999999999998</v>
      </c>
      <c r="BC34" s="229">
        <f t="shared" si="166"/>
        <v>0</v>
      </c>
      <c r="BD34" s="1147">
        <f t="shared" si="166"/>
        <v>0</v>
      </c>
      <c r="BE34" s="466">
        <f t="shared" si="166"/>
        <v>0</v>
      </c>
      <c r="BF34" s="209">
        <f t="shared" si="156"/>
        <v>0</v>
      </c>
      <c r="BG34" s="382">
        <f>BG35+BG36+BG37</f>
        <v>0</v>
      </c>
      <c r="BH34" s="382">
        <f t="shared" ref="BH34:BK34" si="167">BH35+BH36+BH37</f>
        <v>0</v>
      </c>
      <c r="BI34" s="382">
        <f t="shared" si="167"/>
        <v>0</v>
      </c>
      <c r="BJ34" s="1504">
        <f t="shared" si="167"/>
        <v>0</v>
      </c>
      <c r="BK34" s="497">
        <f t="shared" si="167"/>
        <v>0</v>
      </c>
      <c r="BL34" s="228">
        <f t="shared" si="157"/>
        <v>6</v>
      </c>
      <c r="BM34" s="229">
        <f>BM35+BM36+BM37</f>
        <v>3.7</v>
      </c>
      <c r="BN34" s="229">
        <f t="shared" ref="BN34:BQ34" si="168">BN35+BN36+BN37</f>
        <v>2.2999999999999998</v>
      </c>
      <c r="BO34" s="229">
        <f t="shared" si="168"/>
        <v>0</v>
      </c>
      <c r="BP34" s="1147">
        <f t="shared" si="168"/>
        <v>0</v>
      </c>
      <c r="BQ34" s="466">
        <f t="shared" si="168"/>
        <v>0</v>
      </c>
      <c r="BR34" s="940">
        <f t="shared" si="8"/>
        <v>1</v>
      </c>
      <c r="BS34" s="542">
        <f t="shared" si="9"/>
        <v>1.3333333333333333</v>
      </c>
      <c r="BT34" s="1506">
        <f t="shared" si="4"/>
        <v>1</v>
      </c>
      <c r="BU34" s="325">
        <f t="shared" si="59"/>
        <v>1</v>
      </c>
      <c r="BV34" s="325">
        <f t="shared" si="60"/>
        <v>1</v>
      </c>
      <c r="BW34" s="203">
        <f t="shared" si="61"/>
        <v>1</v>
      </c>
      <c r="BX34" s="971"/>
      <c r="BY34" s="124"/>
    </row>
    <row r="35" spans="1:78" s="125" customFormat="1" ht="18.75" outlineLevel="1">
      <c r="A35" s="122"/>
      <c r="B35" s="126" t="s">
        <v>119</v>
      </c>
      <c r="C35" s="1503" t="s">
        <v>96</v>
      </c>
      <c r="D35" s="209">
        <f t="shared" si="147"/>
        <v>0</v>
      </c>
      <c r="E35" s="210"/>
      <c r="F35" s="210"/>
      <c r="G35" s="210"/>
      <c r="H35" s="1149"/>
      <c r="I35" s="467"/>
      <c r="J35" s="209">
        <f t="shared" si="148"/>
        <v>0</v>
      </c>
      <c r="K35" s="498"/>
      <c r="L35" s="498"/>
      <c r="M35" s="498"/>
      <c r="N35" s="1505"/>
      <c r="O35" s="499"/>
      <c r="P35" s="209">
        <f t="shared" si="149"/>
        <v>0</v>
      </c>
      <c r="Q35" s="210"/>
      <c r="R35" s="210"/>
      <c r="S35" s="210"/>
      <c r="T35" s="1149"/>
      <c r="U35" s="467"/>
      <c r="V35" s="209">
        <f t="shared" si="150"/>
        <v>0</v>
      </c>
      <c r="W35" s="498"/>
      <c r="X35" s="498"/>
      <c r="Y35" s="498"/>
      <c r="Z35" s="1505"/>
      <c r="AA35" s="499"/>
      <c r="AB35" s="209">
        <f t="shared" si="151"/>
        <v>0</v>
      </c>
      <c r="AC35" s="210">
        <f>Q35</f>
        <v>0</v>
      </c>
      <c r="AD35" s="210">
        <f t="shared" ref="AD35:AG37" si="169">R35</f>
        <v>0</v>
      </c>
      <c r="AE35" s="210">
        <f t="shared" si="169"/>
        <v>0</v>
      </c>
      <c r="AF35" s="1149">
        <f t="shared" si="169"/>
        <v>0</v>
      </c>
      <c r="AG35" s="467">
        <f t="shared" si="169"/>
        <v>0</v>
      </c>
      <c r="AH35" s="209">
        <f t="shared" si="152"/>
        <v>0</v>
      </c>
      <c r="AI35" s="498"/>
      <c r="AJ35" s="498"/>
      <c r="AK35" s="498"/>
      <c r="AL35" s="1505"/>
      <c r="AM35" s="499"/>
      <c r="AN35" s="209">
        <f t="shared" si="153"/>
        <v>0</v>
      </c>
      <c r="AO35" s="210">
        <f t="shared" ref="AO35:AS37" si="170">AC35</f>
        <v>0</v>
      </c>
      <c r="AP35" s="210">
        <f t="shared" si="170"/>
        <v>0</v>
      </c>
      <c r="AQ35" s="210">
        <f t="shared" si="170"/>
        <v>0</v>
      </c>
      <c r="AR35" s="1149">
        <f t="shared" si="170"/>
        <v>0</v>
      </c>
      <c r="AS35" s="467">
        <f t="shared" si="170"/>
        <v>0</v>
      </c>
      <c r="AT35" s="209">
        <f t="shared" si="154"/>
        <v>0</v>
      </c>
      <c r="AU35" s="498"/>
      <c r="AV35" s="498"/>
      <c r="AW35" s="498"/>
      <c r="AX35" s="1505"/>
      <c r="AY35" s="499"/>
      <c r="AZ35" s="209">
        <f t="shared" si="155"/>
        <v>0</v>
      </c>
      <c r="BA35" s="210">
        <f>AO35</f>
        <v>0</v>
      </c>
      <c r="BB35" s="210">
        <f t="shared" ref="BB35:BE37" si="171">AP35</f>
        <v>0</v>
      </c>
      <c r="BC35" s="210">
        <f t="shared" si="171"/>
        <v>0</v>
      </c>
      <c r="BD35" s="1149">
        <f t="shared" si="171"/>
        <v>0</v>
      </c>
      <c r="BE35" s="467">
        <f t="shared" si="171"/>
        <v>0</v>
      </c>
      <c r="BF35" s="209">
        <f t="shared" si="156"/>
        <v>0</v>
      </c>
      <c r="BG35" s="498"/>
      <c r="BH35" s="498"/>
      <c r="BI35" s="498"/>
      <c r="BJ35" s="1505"/>
      <c r="BK35" s="499"/>
      <c r="BL35" s="209">
        <f t="shared" si="157"/>
        <v>0</v>
      </c>
      <c r="BM35" s="210">
        <f>BA35</f>
        <v>0</v>
      </c>
      <c r="BN35" s="210">
        <f t="shared" ref="BN35:BQ37" si="172">BB35</f>
        <v>0</v>
      </c>
      <c r="BO35" s="210">
        <f t="shared" si="172"/>
        <v>0</v>
      </c>
      <c r="BP35" s="1149">
        <f t="shared" si="172"/>
        <v>0</v>
      </c>
      <c r="BQ35" s="467">
        <f t="shared" si="172"/>
        <v>0</v>
      </c>
      <c r="BR35" s="940" t="str">
        <f t="shared" si="8"/>
        <v xml:space="preserve"> </v>
      </c>
      <c r="BS35" s="542" t="str">
        <f t="shared" si="9"/>
        <v xml:space="preserve"> </v>
      </c>
      <c r="BT35" s="1506" t="str">
        <f t="shared" si="4"/>
        <v xml:space="preserve"> </v>
      </c>
      <c r="BU35" s="325" t="str">
        <f t="shared" si="59"/>
        <v xml:space="preserve"> </v>
      </c>
      <c r="BV35" s="325" t="str">
        <f t="shared" si="60"/>
        <v xml:space="preserve"> </v>
      </c>
      <c r="BW35" s="203" t="str">
        <f t="shared" si="61"/>
        <v xml:space="preserve"> </v>
      </c>
      <c r="BX35" s="971"/>
      <c r="BY35" s="127"/>
    </row>
    <row r="36" spans="1:78" s="125" customFormat="1" ht="18.75" outlineLevel="1">
      <c r="A36" s="122"/>
      <c r="B36" s="126" t="s">
        <v>120</v>
      </c>
      <c r="C36" s="1503" t="s">
        <v>96</v>
      </c>
      <c r="D36" s="209">
        <f t="shared" si="147"/>
        <v>0</v>
      </c>
      <c r="E36" s="210"/>
      <c r="F36" s="210"/>
      <c r="G36" s="210"/>
      <c r="H36" s="1149"/>
      <c r="I36" s="467"/>
      <c r="J36" s="209">
        <f t="shared" si="148"/>
        <v>0</v>
      </c>
      <c r="K36" s="498"/>
      <c r="L36" s="498"/>
      <c r="M36" s="498"/>
      <c r="N36" s="1505"/>
      <c r="O36" s="499"/>
      <c r="P36" s="209">
        <f t="shared" si="149"/>
        <v>0</v>
      </c>
      <c r="Q36" s="210"/>
      <c r="R36" s="210"/>
      <c r="S36" s="210"/>
      <c r="T36" s="1149"/>
      <c r="U36" s="467"/>
      <c r="V36" s="209">
        <f t="shared" si="150"/>
        <v>0</v>
      </c>
      <c r="W36" s="498"/>
      <c r="X36" s="498"/>
      <c r="Y36" s="498"/>
      <c r="Z36" s="1505"/>
      <c r="AA36" s="499"/>
      <c r="AB36" s="209">
        <f t="shared" si="151"/>
        <v>0</v>
      </c>
      <c r="AC36" s="210">
        <f t="shared" ref="AC36:AC37" si="173">Q36</f>
        <v>0</v>
      </c>
      <c r="AD36" s="210">
        <f t="shared" si="169"/>
        <v>0</v>
      </c>
      <c r="AE36" s="210">
        <f t="shared" si="169"/>
        <v>0</v>
      </c>
      <c r="AF36" s="1149">
        <f t="shared" si="169"/>
        <v>0</v>
      </c>
      <c r="AG36" s="467">
        <f t="shared" si="169"/>
        <v>0</v>
      </c>
      <c r="AH36" s="209">
        <f t="shared" si="152"/>
        <v>0</v>
      </c>
      <c r="AI36" s="498"/>
      <c r="AJ36" s="498"/>
      <c r="AK36" s="498"/>
      <c r="AL36" s="1505"/>
      <c r="AM36" s="499"/>
      <c r="AN36" s="209">
        <f t="shared" si="153"/>
        <v>0</v>
      </c>
      <c r="AO36" s="210">
        <f t="shared" si="170"/>
        <v>0</v>
      </c>
      <c r="AP36" s="210">
        <f t="shared" si="170"/>
        <v>0</v>
      </c>
      <c r="AQ36" s="210">
        <f t="shared" si="170"/>
        <v>0</v>
      </c>
      <c r="AR36" s="1149">
        <f t="shared" si="170"/>
        <v>0</v>
      </c>
      <c r="AS36" s="467">
        <f t="shared" si="170"/>
        <v>0</v>
      </c>
      <c r="AT36" s="209">
        <f t="shared" si="154"/>
        <v>0</v>
      </c>
      <c r="AU36" s="498"/>
      <c r="AV36" s="498"/>
      <c r="AW36" s="498"/>
      <c r="AX36" s="1505"/>
      <c r="AY36" s="499"/>
      <c r="AZ36" s="209">
        <f t="shared" si="155"/>
        <v>0</v>
      </c>
      <c r="BA36" s="210">
        <f t="shared" ref="BA36:BA37" si="174">AO36</f>
        <v>0</v>
      </c>
      <c r="BB36" s="210">
        <f t="shared" si="171"/>
        <v>0</v>
      </c>
      <c r="BC36" s="210">
        <f t="shared" si="171"/>
        <v>0</v>
      </c>
      <c r="BD36" s="1149">
        <f t="shared" si="171"/>
        <v>0</v>
      </c>
      <c r="BE36" s="467">
        <f t="shared" si="171"/>
        <v>0</v>
      </c>
      <c r="BF36" s="209">
        <f t="shared" si="156"/>
        <v>0</v>
      </c>
      <c r="BG36" s="498"/>
      <c r="BH36" s="498"/>
      <c r="BI36" s="498"/>
      <c r="BJ36" s="1505"/>
      <c r="BK36" s="499"/>
      <c r="BL36" s="209">
        <f t="shared" si="157"/>
        <v>0</v>
      </c>
      <c r="BM36" s="210">
        <f>BA36</f>
        <v>0</v>
      </c>
      <c r="BN36" s="210">
        <f>BB36</f>
        <v>0</v>
      </c>
      <c r="BO36" s="210">
        <f t="shared" si="172"/>
        <v>0</v>
      </c>
      <c r="BP36" s="1149">
        <f t="shared" si="172"/>
        <v>0</v>
      </c>
      <c r="BQ36" s="467">
        <f t="shared" si="172"/>
        <v>0</v>
      </c>
      <c r="BR36" s="940" t="str">
        <f t="shared" si="8"/>
        <v xml:space="preserve"> </v>
      </c>
      <c r="BS36" s="542" t="str">
        <f t="shared" si="9"/>
        <v xml:space="preserve"> </v>
      </c>
      <c r="BT36" s="1506" t="str">
        <f t="shared" si="4"/>
        <v xml:space="preserve"> </v>
      </c>
      <c r="BU36" s="325" t="str">
        <f t="shared" si="59"/>
        <v xml:space="preserve"> </v>
      </c>
      <c r="BV36" s="325" t="str">
        <f t="shared" si="60"/>
        <v xml:space="preserve"> </v>
      </c>
      <c r="BW36" s="203" t="str">
        <f t="shared" si="61"/>
        <v xml:space="preserve"> </v>
      </c>
      <c r="BX36" s="971"/>
      <c r="BY36" s="127"/>
    </row>
    <row r="37" spans="1:78" s="125" customFormat="1" ht="18.75" outlineLevel="1">
      <c r="A37" s="122"/>
      <c r="B37" s="126" t="s">
        <v>121</v>
      </c>
      <c r="C37" s="1503" t="s">
        <v>96</v>
      </c>
      <c r="D37" s="209">
        <f t="shared" si="147"/>
        <v>4.5</v>
      </c>
      <c r="E37" s="210">
        <v>2.69</v>
      </c>
      <c r="F37" s="210">
        <v>1.81</v>
      </c>
      <c r="G37" s="210"/>
      <c r="H37" s="1149"/>
      <c r="I37" s="467"/>
      <c r="J37" s="209">
        <f t="shared" si="148"/>
        <v>6</v>
      </c>
      <c r="K37" s="498">
        <v>3.6</v>
      </c>
      <c r="L37" s="498">
        <v>2.2999999999999998</v>
      </c>
      <c r="M37" s="498"/>
      <c r="N37" s="1505">
        <v>0.1</v>
      </c>
      <c r="O37" s="499"/>
      <c r="P37" s="209">
        <f t="shared" si="149"/>
        <v>6</v>
      </c>
      <c r="Q37" s="210">
        <f>K37+N37</f>
        <v>3.7</v>
      </c>
      <c r="R37" s="210">
        <f>L37</f>
        <v>2.2999999999999998</v>
      </c>
      <c r="S37" s="210"/>
      <c r="T37" s="1149"/>
      <c r="U37" s="467"/>
      <c r="V37" s="209">
        <f t="shared" si="150"/>
        <v>0</v>
      </c>
      <c r="W37" s="498"/>
      <c r="X37" s="498"/>
      <c r="Y37" s="498"/>
      <c r="Z37" s="1505"/>
      <c r="AA37" s="499"/>
      <c r="AB37" s="209">
        <f t="shared" si="151"/>
        <v>6</v>
      </c>
      <c r="AC37" s="210">
        <f t="shared" si="173"/>
        <v>3.7</v>
      </c>
      <c r="AD37" s="210">
        <f t="shared" si="169"/>
        <v>2.2999999999999998</v>
      </c>
      <c r="AE37" s="210">
        <f t="shared" si="169"/>
        <v>0</v>
      </c>
      <c r="AF37" s="1149">
        <f t="shared" si="169"/>
        <v>0</v>
      </c>
      <c r="AG37" s="467">
        <f t="shared" si="169"/>
        <v>0</v>
      </c>
      <c r="AH37" s="209">
        <f t="shared" si="152"/>
        <v>0</v>
      </c>
      <c r="AI37" s="498"/>
      <c r="AJ37" s="498"/>
      <c r="AK37" s="498"/>
      <c r="AL37" s="1505"/>
      <c r="AM37" s="499"/>
      <c r="AN37" s="209">
        <f t="shared" si="153"/>
        <v>6</v>
      </c>
      <c r="AO37" s="210">
        <f t="shared" si="170"/>
        <v>3.7</v>
      </c>
      <c r="AP37" s="210">
        <f t="shared" si="170"/>
        <v>2.2999999999999998</v>
      </c>
      <c r="AQ37" s="210">
        <f t="shared" si="170"/>
        <v>0</v>
      </c>
      <c r="AR37" s="1149">
        <f t="shared" si="170"/>
        <v>0</v>
      </c>
      <c r="AS37" s="467">
        <f t="shared" si="170"/>
        <v>0</v>
      </c>
      <c r="AT37" s="209">
        <f t="shared" si="154"/>
        <v>0</v>
      </c>
      <c r="AU37" s="498"/>
      <c r="AV37" s="498"/>
      <c r="AW37" s="498"/>
      <c r="AX37" s="1505"/>
      <c r="AY37" s="499"/>
      <c r="AZ37" s="209">
        <f t="shared" si="155"/>
        <v>6</v>
      </c>
      <c r="BA37" s="210">
        <f t="shared" si="174"/>
        <v>3.7</v>
      </c>
      <c r="BB37" s="210">
        <f t="shared" si="171"/>
        <v>2.2999999999999998</v>
      </c>
      <c r="BC37" s="210">
        <f t="shared" si="171"/>
        <v>0</v>
      </c>
      <c r="BD37" s="1149">
        <f t="shared" si="171"/>
        <v>0</v>
      </c>
      <c r="BE37" s="467">
        <f t="shared" si="171"/>
        <v>0</v>
      </c>
      <c r="BF37" s="209">
        <f t="shared" si="156"/>
        <v>0</v>
      </c>
      <c r="BG37" s="498"/>
      <c r="BH37" s="498"/>
      <c r="BI37" s="498"/>
      <c r="BJ37" s="1505"/>
      <c r="BK37" s="499"/>
      <c r="BL37" s="209">
        <f t="shared" si="157"/>
        <v>6</v>
      </c>
      <c r="BM37" s="210">
        <f t="shared" ref="BM37" si="175">BA37</f>
        <v>3.7</v>
      </c>
      <c r="BN37" s="210">
        <f t="shared" si="172"/>
        <v>2.2999999999999998</v>
      </c>
      <c r="BO37" s="210">
        <f t="shared" si="172"/>
        <v>0</v>
      </c>
      <c r="BP37" s="1149">
        <f t="shared" si="172"/>
        <v>0</v>
      </c>
      <c r="BQ37" s="467">
        <f t="shared" si="172"/>
        <v>0</v>
      </c>
      <c r="BR37" s="940">
        <f t="shared" si="8"/>
        <v>1</v>
      </c>
      <c r="BS37" s="542">
        <f t="shared" si="9"/>
        <v>1.3333333333333333</v>
      </c>
      <c r="BT37" s="1506">
        <f t="shared" si="4"/>
        <v>1</v>
      </c>
      <c r="BU37" s="325">
        <f t="shared" si="59"/>
        <v>1</v>
      </c>
      <c r="BV37" s="325">
        <f t="shared" si="60"/>
        <v>1</v>
      </c>
      <c r="BW37" s="203">
        <f t="shared" si="61"/>
        <v>1</v>
      </c>
      <c r="BX37" s="971"/>
      <c r="BY37" s="127"/>
    </row>
    <row r="38" spans="1:78" s="125" customFormat="1" ht="30" outlineLevel="1">
      <c r="A38" s="122"/>
      <c r="B38" s="123" t="s">
        <v>8</v>
      </c>
      <c r="C38" s="1503" t="s">
        <v>9</v>
      </c>
      <c r="D38" s="231">
        <f>IF(D34&gt;0,D29*1000/12/D34,0)</f>
        <v>21106.296296296296</v>
      </c>
      <c r="E38" s="229">
        <f>IF(E34&gt;0,E29*1000/12/E34,0)</f>
        <v>21106.257744733583</v>
      </c>
      <c r="F38" s="229">
        <f t="shared" ref="F38:I38" si="176">IF(F34&gt;0,F29*1000/12/F34,0)</f>
        <v>21106.353591160219</v>
      </c>
      <c r="G38" s="229">
        <f t="shared" si="176"/>
        <v>0</v>
      </c>
      <c r="H38" s="1147">
        <f t="shared" si="176"/>
        <v>0</v>
      </c>
      <c r="I38" s="466">
        <f t="shared" si="176"/>
        <v>0</v>
      </c>
      <c r="J38" s="231">
        <f>IF(J34&gt;0,J29*1000/12/J34,0)</f>
        <v>21944.722222222223</v>
      </c>
      <c r="K38" s="382">
        <f>IF(K34&gt;0,K29*1000/12/K34,0)</f>
        <v>21859.027777777777</v>
      </c>
      <c r="L38" s="382">
        <f t="shared" ref="L38:O38" si="177">IF(L34&gt;0,L29*1000/12/L34,0)</f>
        <v>21985.144927536236</v>
      </c>
      <c r="M38" s="382">
        <f t="shared" si="177"/>
        <v>0</v>
      </c>
      <c r="N38" s="1504">
        <f t="shared" si="177"/>
        <v>24100</v>
      </c>
      <c r="O38" s="497">
        <f t="shared" si="177"/>
        <v>0</v>
      </c>
      <c r="P38" s="231">
        <f>IF(P34&gt;0,P29*1000/12/P34,0)</f>
        <v>21907.361111111109</v>
      </c>
      <c r="Q38" s="229">
        <f>K38</f>
        <v>21859.027777777777</v>
      </c>
      <c r="R38" s="229">
        <f>L38</f>
        <v>21985.144927536236</v>
      </c>
      <c r="S38" s="229">
        <f t="shared" ref="S38:U38" si="178">IF(S34&gt;0,S29*1000/12/S34,0)</f>
        <v>0</v>
      </c>
      <c r="T38" s="1147">
        <f t="shared" si="178"/>
        <v>0</v>
      </c>
      <c r="U38" s="466">
        <f t="shared" si="178"/>
        <v>0</v>
      </c>
      <c r="V38" s="231">
        <f>IF(V34&gt;0,V29*1000/12/V34,0)</f>
        <v>0</v>
      </c>
      <c r="W38" s="382">
        <f>IF(W34&gt;0,W29*1000/12/W34,0)</f>
        <v>0</v>
      </c>
      <c r="X38" s="382">
        <f t="shared" ref="X38:AA38" si="179">IF(X34&gt;0,X29*1000/12/X34,0)</f>
        <v>0</v>
      </c>
      <c r="Y38" s="382">
        <f t="shared" si="179"/>
        <v>0</v>
      </c>
      <c r="Z38" s="1504">
        <f t="shared" si="179"/>
        <v>0</v>
      </c>
      <c r="AA38" s="497">
        <f t="shared" si="179"/>
        <v>0</v>
      </c>
      <c r="AB38" s="231">
        <f>IF(AB34&gt;0,AB29*1000/12/AB34,0)</f>
        <v>22425.694186890862</v>
      </c>
      <c r="AC38" s="229">
        <f t="shared" ref="AC38:AG38" si="180">IF(AC34&gt;0,AC29*1000/12/AC34,0)</f>
        <v>22376.18703352119</v>
      </c>
      <c r="AD38" s="229">
        <f t="shared" si="180"/>
        <v>22505.336129268158</v>
      </c>
      <c r="AE38" s="229">
        <f t="shared" si="180"/>
        <v>0</v>
      </c>
      <c r="AF38" s="1147">
        <f t="shared" si="180"/>
        <v>0</v>
      </c>
      <c r="AG38" s="466">
        <f t="shared" si="180"/>
        <v>0</v>
      </c>
      <c r="AH38" s="231">
        <f>IF(AH34&gt;0,AH29*1000/12/AH34,0)</f>
        <v>0</v>
      </c>
      <c r="AI38" s="382">
        <f>IF(AI34&gt;0,AI29*1000/12/AI34,0)</f>
        <v>0</v>
      </c>
      <c r="AJ38" s="382">
        <f t="shared" ref="AJ38:AM38" si="181">IF(AJ34&gt;0,AJ29*1000/12/AJ34,0)</f>
        <v>0</v>
      </c>
      <c r="AK38" s="382">
        <f t="shared" si="181"/>
        <v>0</v>
      </c>
      <c r="AL38" s="1504">
        <f t="shared" si="181"/>
        <v>0</v>
      </c>
      <c r="AM38" s="497">
        <f t="shared" si="181"/>
        <v>0</v>
      </c>
      <c r="AN38" s="231">
        <f>IF(AN34&gt;0,AN29*1000/12/AN34,0)</f>
        <v>23089.497112542569</v>
      </c>
      <c r="AO38" s="229">
        <f>IF(AO34&gt;0,AO29*1000/12/AO34,0)</f>
        <v>23038.518457049366</v>
      </c>
      <c r="AP38" s="229">
        <f t="shared" ref="AP38:AS38" si="182">IF(AP34&gt;0,AP29*1000/12/AP34,0)</f>
        <v>23171.506253988151</v>
      </c>
      <c r="AQ38" s="229">
        <f t="shared" si="182"/>
        <v>0</v>
      </c>
      <c r="AR38" s="1147">
        <f t="shared" si="182"/>
        <v>0</v>
      </c>
      <c r="AS38" s="466">
        <f t="shared" si="182"/>
        <v>0</v>
      </c>
      <c r="AT38" s="231">
        <f>IF(AT34&gt;0,AT29*1000/12/AT34,0)</f>
        <v>0</v>
      </c>
      <c r="AU38" s="382">
        <f>IF(AU34&gt;0,AU29*1000/12/AU34,0)</f>
        <v>0</v>
      </c>
      <c r="AV38" s="382">
        <f t="shared" ref="AV38:AY38" si="183">IF(AV34&gt;0,AV29*1000/12/AV34,0)</f>
        <v>0</v>
      </c>
      <c r="AW38" s="382">
        <f t="shared" si="183"/>
        <v>0</v>
      </c>
      <c r="AX38" s="1504">
        <f t="shared" si="183"/>
        <v>0</v>
      </c>
      <c r="AY38" s="497">
        <f t="shared" si="183"/>
        <v>0</v>
      </c>
      <c r="AZ38" s="231">
        <f>IF(AZ34&gt;0,AZ29*1000/12/AZ34,0)</f>
        <v>23772.932183226283</v>
      </c>
      <c r="BA38" s="229">
        <f t="shared" ref="BA38:BE38" si="184">IF(BA34&gt;0,BA29*1000/12/BA34,0)</f>
        <v>23720.459021706367</v>
      </c>
      <c r="BB38" s="229">
        <f t="shared" si="184"/>
        <v>23857.345530019189</v>
      </c>
      <c r="BC38" s="229">
        <f t="shared" si="184"/>
        <v>0</v>
      </c>
      <c r="BD38" s="1147">
        <f t="shared" si="184"/>
        <v>0</v>
      </c>
      <c r="BE38" s="466">
        <f t="shared" si="184"/>
        <v>0</v>
      </c>
      <c r="BF38" s="231">
        <f>IF(BF34&gt;0,BF29*1000/12/BF34,0)</f>
        <v>0</v>
      </c>
      <c r="BG38" s="382">
        <f>IF(BG34&gt;0,BG29*1000/12/BG34,0)</f>
        <v>0</v>
      </c>
      <c r="BH38" s="382">
        <f t="shared" ref="BH38:BK38" si="185">IF(BH34&gt;0,BH29*1000/12/BH34,0)</f>
        <v>0</v>
      </c>
      <c r="BI38" s="382">
        <f t="shared" si="185"/>
        <v>0</v>
      </c>
      <c r="BJ38" s="1504">
        <f t="shared" si="185"/>
        <v>0</v>
      </c>
      <c r="BK38" s="497">
        <f t="shared" si="185"/>
        <v>0</v>
      </c>
      <c r="BL38" s="231">
        <f>IF(BL34&gt;0,BL29*1000/12/BL34,0)</f>
        <v>24476.635103485871</v>
      </c>
      <c r="BM38" s="229">
        <f t="shared" ref="BM38:BQ38" si="186">IF(BM34&gt;0,BM29*1000/12/BM34,0)</f>
        <v>24422.59700172607</v>
      </c>
      <c r="BN38" s="229">
        <f t="shared" si="186"/>
        <v>24563.565962838587</v>
      </c>
      <c r="BO38" s="229">
        <f t="shared" si="186"/>
        <v>0</v>
      </c>
      <c r="BP38" s="1147">
        <f t="shared" si="186"/>
        <v>0</v>
      </c>
      <c r="BQ38" s="466">
        <f t="shared" si="186"/>
        <v>0</v>
      </c>
      <c r="BR38" s="940">
        <f t="shared" si="8"/>
        <v>0.99829748990519096</v>
      </c>
      <c r="BS38" s="542">
        <f t="shared" si="9"/>
        <v>1.0379538315756225</v>
      </c>
      <c r="BT38" s="1506">
        <f t="shared" si="4"/>
        <v>1.0236602242118911</v>
      </c>
      <c r="BU38" s="325">
        <f t="shared" si="59"/>
        <v>1.0296001060265836</v>
      </c>
      <c r="BV38" s="325">
        <f t="shared" si="60"/>
        <v>1.0295993917646851</v>
      </c>
      <c r="BW38" s="203">
        <f t="shared" si="61"/>
        <v>1.0296010149204946</v>
      </c>
      <c r="BX38" s="971"/>
      <c r="BY38" s="124"/>
    </row>
    <row r="39" spans="1:78" s="111" customFormat="1" ht="31.5">
      <c r="A39" s="119">
        <v>4</v>
      </c>
      <c r="B39" s="120" t="s">
        <v>286</v>
      </c>
      <c r="C39" s="1499" t="s">
        <v>1</v>
      </c>
      <c r="D39" s="189">
        <f>E39+F39+G39+H39</f>
        <v>1802.2199999999998</v>
      </c>
      <c r="E39" s="208">
        <f>E40+E41</f>
        <v>892.94999999999993</v>
      </c>
      <c r="F39" s="208">
        <f t="shared" ref="F39:H39" si="187">F40+F41</f>
        <v>909.27</v>
      </c>
      <c r="G39" s="208">
        <f t="shared" si="187"/>
        <v>0</v>
      </c>
      <c r="H39" s="1151">
        <f t="shared" si="187"/>
        <v>0</v>
      </c>
      <c r="I39" s="468">
        <f>I40+I41</f>
        <v>0</v>
      </c>
      <c r="J39" s="189">
        <f>K39+L39+M39+N39</f>
        <v>1899.7858659985918</v>
      </c>
      <c r="K39" s="232">
        <f>K40+K41</f>
        <v>594.52406878392333</v>
      </c>
      <c r="L39" s="232">
        <f t="shared" ref="L39:N39" si="188">L40+L41</f>
        <v>1305.2617972146686</v>
      </c>
      <c r="M39" s="232">
        <f t="shared" si="188"/>
        <v>0</v>
      </c>
      <c r="N39" s="1141">
        <f t="shared" si="188"/>
        <v>0</v>
      </c>
      <c r="O39" s="470">
        <f>O40+O41</f>
        <v>0</v>
      </c>
      <c r="P39" s="189">
        <f>Q39+R39+S39+T39</f>
        <v>1796.15</v>
      </c>
      <c r="Q39" s="208">
        <f>Q40+Q41</f>
        <v>675.49</v>
      </c>
      <c r="R39" s="208">
        <f t="shared" ref="R39:T39" si="189">R40+R41</f>
        <v>1120.6600000000001</v>
      </c>
      <c r="S39" s="208">
        <f t="shared" si="189"/>
        <v>0</v>
      </c>
      <c r="T39" s="1151">
        <f t="shared" si="189"/>
        <v>0</v>
      </c>
      <c r="U39" s="468">
        <f>U40+U41</f>
        <v>0</v>
      </c>
      <c r="V39" s="189">
        <f>W39+X39+Y39+Z39</f>
        <v>3953.3407764199274</v>
      </c>
      <c r="W39" s="232">
        <f>W40+W41</f>
        <v>1909.9327812199274</v>
      </c>
      <c r="X39" s="232">
        <f t="shared" ref="X39:Z39" si="190">X40+X41</f>
        <v>2043.4079952</v>
      </c>
      <c r="Y39" s="232">
        <f t="shared" si="190"/>
        <v>0</v>
      </c>
      <c r="Z39" s="1141">
        <f t="shared" si="190"/>
        <v>0</v>
      </c>
      <c r="AA39" s="470">
        <f>AA40+AA41</f>
        <v>0</v>
      </c>
      <c r="AB39" s="189">
        <f>AC39+AD39+AE39+AF39</f>
        <v>1838.6478753213842</v>
      </c>
      <c r="AC39" s="208">
        <f>AC40+AC41</f>
        <v>691.47190401192267</v>
      </c>
      <c r="AD39" s="208">
        <f t="shared" ref="AD39:AF39" si="191">AD40+AD41</f>
        <v>1147.1759713094614</v>
      </c>
      <c r="AE39" s="208">
        <f t="shared" si="191"/>
        <v>0</v>
      </c>
      <c r="AF39" s="1151">
        <f t="shared" si="191"/>
        <v>0</v>
      </c>
      <c r="AG39" s="468">
        <f>AG40+AG41</f>
        <v>0</v>
      </c>
      <c r="AH39" s="189">
        <f>AI39+AJ39+AK39+AL39</f>
        <v>4070.3596634019573</v>
      </c>
      <c r="AI39" s="232">
        <f>AI40+AI41</f>
        <v>1966.4667915440373</v>
      </c>
      <c r="AJ39" s="232">
        <f t="shared" ref="AJ39:AL39" si="192">AJ40+AJ41</f>
        <v>2103.89287185792</v>
      </c>
      <c r="AK39" s="232">
        <f t="shared" si="192"/>
        <v>0</v>
      </c>
      <c r="AL39" s="1141">
        <f t="shared" si="192"/>
        <v>0</v>
      </c>
      <c r="AM39" s="470">
        <f>AM40+AM41</f>
        <v>0</v>
      </c>
      <c r="AN39" s="189">
        <f>AO39+AP39+AQ39+AR39</f>
        <v>1893.0723583191098</v>
      </c>
      <c r="AO39" s="208">
        <f t="shared" ref="AO39:AS39" si="193">AO40+AO41</f>
        <v>711.93935764143782</v>
      </c>
      <c r="AP39" s="208">
        <f t="shared" si="193"/>
        <v>1181.133000677672</v>
      </c>
      <c r="AQ39" s="208">
        <f t="shared" si="193"/>
        <v>0</v>
      </c>
      <c r="AR39" s="1151">
        <f t="shared" si="193"/>
        <v>0</v>
      </c>
      <c r="AS39" s="468">
        <f t="shared" si="193"/>
        <v>0</v>
      </c>
      <c r="AT39" s="189">
        <f>AU39+AV39+AW39+AX39</f>
        <v>4190.8423094386562</v>
      </c>
      <c r="AU39" s="232">
        <f>AU40+AU41</f>
        <v>2024.674208573741</v>
      </c>
      <c r="AV39" s="232">
        <f t="shared" ref="AV39:AX39" si="194">AV40+AV41</f>
        <v>2166.1681008649148</v>
      </c>
      <c r="AW39" s="232">
        <f t="shared" si="194"/>
        <v>0</v>
      </c>
      <c r="AX39" s="1141">
        <f t="shared" si="194"/>
        <v>0</v>
      </c>
      <c r="AY39" s="470">
        <f>AY40+AY41</f>
        <v>0</v>
      </c>
      <c r="AZ39" s="189">
        <f>BA39+BB39+BC39+BD39</f>
        <v>1949.1054112774818</v>
      </c>
      <c r="BA39" s="208">
        <f>BA40+BA41</f>
        <v>733.0127755548624</v>
      </c>
      <c r="BB39" s="208">
        <f t="shared" ref="BB39:BD39" si="195">BB40+BB41</f>
        <v>1216.0926357226194</v>
      </c>
      <c r="BC39" s="208">
        <f t="shared" si="195"/>
        <v>0</v>
      </c>
      <c r="BD39" s="1151">
        <f t="shared" si="195"/>
        <v>0</v>
      </c>
      <c r="BE39" s="468">
        <f>BE40+BE41</f>
        <v>0</v>
      </c>
      <c r="BF39" s="189">
        <f>BG39+BH39+BI39+BJ39</f>
        <v>4314.89124179804</v>
      </c>
      <c r="BG39" s="232">
        <f>BG40+BG41</f>
        <v>2084.6045651475238</v>
      </c>
      <c r="BH39" s="232">
        <f t="shared" ref="BH39:BJ39" si="196">BH40+BH41</f>
        <v>2230.2866766505163</v>
      </c>
      <c r="BI39" s="232">
        <f t="shared" si="196"/>
        <v>0</v>
      </c>
      <c r="BJ39" s="1141">
        <f t="shared" si="196"/>
        <v>0</v>
      </c>
      <c r="BK39" s="470">
        <f>BK40+BK41</f>
        <v>0</v>
      </c>
      <c r="BL39" s="189">
        <f>BM39+BN39+BO39+BP39</f>
        <v>2006.8015065431796</v>
      </c>
      <c r="BM39" s="208">
        <f>BM40+BM41</f>
        <v>754.71033668071379</v>
      </c>
      <c r="BN39" s="208">
        <f t="shared" ref="BN39:BP39" si="197">BN40+BN41</f>
        <v>1252.0911698624659</v>
      </c>
      <c r="BO39" s="208">
        <f t="shared" si="197"/>
        <v>0</v>
      </c>
      <c r="BP39" s="1151">
        <f t="shared" si="197"/>
        <v>0</v>
      </c>
      <c r="BQ39" s="468">
        <f>BQ40+BQ41</f>
        <v>0</v>
      </c>
      <c r="BR39" s="940">
        <f t="shared" si="8"/>
        <v>0.94544865931818201</v>
      </c>
      <c r="BS39" s="542">
        <f t="shared" si="9"/>
        <v>0.99663193172864595</v>
      </c>
      <c r="BT39" s="942">
        <f t="shared" si="4"/>
        <v>1.0236605379959269</v>
      </c>
      <c r="BU39" s="324">
        <f t="shared" si="59"/>
        <v>1.0296002751414337</v>
      </c>
      <c r="BV39" s="324">
        <f t="shared" si="60"/>
        <v>1.0295990022315495</v>
      </c>
      <c r="BW39" s="201">
        <f t="shared" si="61"/>
        <v>1.0296013211660433</v>
      </c>
      <c r="BX39" s="967"/>
      <c r="BY39" s="121"/>
      <c r="BZ39" s="128"/>
    </row>
    <row r="40" spans="1:78" s="83" customFormat="1" ht="33" customHeight="1" outlineLevel="1">
      <c r="A40" s="129"/>
      <c r="B40" s="130" t="s">
        <v>206</v>
      </c>
      <c r="C40" s="1500" t="s">
        <v>1</v>
      </c>
      <c r="D40" s="189">
        <f t="shared" ref="D40:D58" si="198">E40+F40+G40+H40</f>
        <v>1802.2199999999998</v>
      </c>
      <c r="E40" s="207">
        <v>892.94999999999993</v>
      </c>
      <c r="F40" s="207">
        <v>909.27</v>
      </c>
      <c r="G40" s="207"/>
      <c r="H40" s="1145"/>
      <c r="I40" s="469"/>
      <c r="J40" s="189">
        <f t="shared" ref="J40:J42" si="199">K40+L40+M40+N40</f>
        <v>1899.7858659985918</v>
      </c>
      <c r="K40" s="383">
        <v>594.52406878392333</v>
      </c>
      <c r="L40" s="383">
        <v>1305.2617972146686</v>
      </c>
      <c r="M40" s="383"/>
      <c r="N40" s="1501"/>
      <c r="O40" s="500"/>
      <c r="P40" s="189">
        <f t="shared" ref="P40:P58" si="200">Q40+R40+S40+T40</f>
        <v>1796.15</v>
      </c>
      <c r="Q40" s="984">
        <f>ROUND((528.81+100)*[185]индексы!G8*[185]индексы!H8,2)</f>
        <v>675.49</v>
      </c>
      <c r="R40" s="207">
        <f>ROUND(1043.21*[185]индексы!G8*[185]индексы!H8,2)</f>
        <v>1120.6600000000001</v>
      </c>
      <c r="S40" s="207"/>
      <c r="T40" s="1145"/>
      <c r="U40" s="469"/>
      <c r="V40" s="189">
        <f t="shared" ref="V40:V42" si="201">W40+X40+Y40+Z40</f>
        <v>3953.3407764199274</v>
      </c>
      <c r="W40" s="383">
        <v>1909.9327812199274</v>
      </c>
      <c r="X40" s="383">
        <v>2043.4079952</v>
      </c>
      <c r="Y40" s="383"/>
      <c r="Z40" s="1501"/>
      <c r="AA40" s="500"/>
      <c r="AB40" s="189">
        <f t="shared" ref="AB40:AB58" si="202">AC40+AD40+AE40+AF40</f>
        <v>1838.6478753213842</v>
      </c>
      <c r="AC40" s="207">
        <f t="shared" ref="AC40:AC41" si="203">IF($AC$21&gt;0,Q40/$Q$21*$AC$21,0)</f>
        <v>691.47190401192267</v>
      </c>
      <c r="AD40" s="207">
        <f t="shared" ref="AD40:AD41" si="204">IF($AD$21&gt;0,R40/$R$21*$AD$21,0)</f>
        <v>1147.1759713094614</v>
      </c>
      <c r="AE40" s="207">
        <f t="shared" ref="AE40:AE41" si="205">IF($AE$21&gt;0,S40/$S$21*$AE$21,0)</f>
        <v>0</v>
      </c>
      <c r="AF40" s="1145">
        <f t="shared" ref="AF40:AF41" si="206">IF($AF$21&gt;0,T40/$T$21*$AF$21,0)</f>
        <v>0</v>
      </c>
      <c r="AG40" s="469">
        <f t="shared" ref="AG40:AG41" si="207">IF($AG$21&gt;0,U40/$U$21*$AG$21,0)</f>
        <v>0</v>
      </c>
      <c r="AH40" s="189">
        <f t="shared" ref="AH40:AH42" si="208">AI40+AJ40+AK40+AL40</f>
        <v>4070.3596634019573</v>
      </c>
      <c r="AI40" s="383">
        <v>1966.4667915440373</v>
      </c>
      <c r="AJ40" s="383">
        <v>2103.89287185792</v>
      </c>
      <c r="AK40" s="383"/>
      <c r="AL40" s="1501"/>
      <c r="AM40" s="500"/>
      <c r="AN40" s="189">
        <f t="shared" ref="AN40:AN58" si="209">AO40+AP40+AQ40+AR40</f>
        <v>1893.0723583191098</v>
      </c>
      <c r="AO40" s="207">
        <f t="shared" ref="AO40:AO41" si="210">IF($AO$21&gt;0,AC40/$AC$21*$AO$21,0)</f>
        <v>711.93935764143782</v>
      </c>
      <c r="AP40" s="207">
        <f t="shared" ref="AP40:AP41" si="211">IF($AP$21&gt;0,AD40/$AD$21*$AP$21,0)</f>
        <v>1181.133000677672</v>
      </c>
      <c r="AQ40" s="207">
        <f>IF($AQ$21&gt;0,AE40/$AE$21*$AQ$21,0)</f>
        <v>0</v>
      </c>
      <c r="AR40" s="1145">
        <f t="shared" ref="AR40:AR41" si="212">IF($AR$21&gt;0,AF40/$AF$21*$AR$21,0)</f>
        <v>0</v>
      </c>
      <c r="AS40" s="469">
        <f t="shared" ref="AS40:AS41" si="213">IF($AS$21&gt;0,AG40/$AG$21*$AS$21,0)</f>
        <v>0</v>
      </c>
      <c r="AT40" s="189">
        <f t="shared" ref="AT40:AT42" si="214">AU40+AV40+AW40+AX40</f>
        <v>4190.8423094386562</v>
      </c>
      <c r="AU40" s="383">
        <v>2024.674208573741</v>
      </c>
      <c r="AV40" s="383">
        <v>2166.1681008649148</v>
      </c>
      <c r="AW40" s="383"/>
      <c r="AX40" s="1501"/>
      <c r="AY40" s="500"/>
      <c r="AZ40" s="189">
        <f t="shared" ref="AZ40:AZ58" si="215">BA40+BB40+BC40+BD40</f>
        <v>1949.1054112774818</v>
      </c>
      <c r="BA40" s="207">
        <f t="shared" ref="BA40:BA41" si="216">IF($BA$21&gt;0,AO40/$AO$21*$BA$21,0)</f>
        <v>733.0127755548624</v>
      </c>
      <c r="BB40" s="207">
        <f>IF($BB$21&gt;0,AP40/$AP$21*$BB$21,0)</f>
        <v>1216.0926357226194</v>
      </c>
      <c r="BC40" s="207">
        <f t="shared" ref="BC40:BC41" si="217">IF($BC$21&gt;0,AQ40/$AQ$21*$BC$21,0)</f>
        <v>0</v>
      </c>
      <c r="BD40" s="1145">
        <f t="shared" ref="BD40:BD41" si="218">IF($BD$21&gt;0,AR40/$AR$21*$BD$21,0)</f>
        <v>0</v>
      </c>
      <c r="BE40" s="469">
        <f t="shared" ref="BE40:BE41" si="219">IF($BE$21&gt;0,AS40/$AS$21*$BE$21,0)</f>
        <v>0</v>
      </c>
      <c r="BF40" s="189">
        <f t="shared" ref="BF40:BF42" si="220">BG40+BH40+BI40+BJ40</f>
        <v>4314.89124179804</v>
      </c>
      <c r="BG40" s="383">
        <v>2084.6045651475238</v>
      </c>
      <c r="BH40" s="383">
        <v>2230.2866766505163</v>
      </c>
      <c r="BI40" s="383"/>
      <c r="BJ40" s="1501"/>
      <c r="BK40" s="500"/>
      <c r="BL40" s="189">
        <f>BM40+BN40+BO40+BP40</f>
        <v>2006.8015065431796</v>
      </c>
      <c r="BM40" s="207">
        <f t="shared" ref="BM40:BM41" si="221">IF($BM$21&gt;0,BA40/$BA$21*$BM$21,0)</f>
        <v>754.71033668071379</v>
      </c>
      <c r="BN40" s="207">
        <f t="shared" ref="BN40:BN41" si="222">IF($BN$21&gt;0,BB40/$BB$21*$BN$21,0)</f>
        <v>1252.0911698624659</v>
      </c>
      <c r="BO40" s="207">
        <f t="shared" ref="BO40:BO41" si="223">IF($BO$21&gt;0,BC40/$BC$21*$BO$21,0)</f>
        <v>0</v>
      </c>
      <c r="BP40" s="1145">
        <f t="shared" ref="BP40:BP41" si="224">IF($BP$21&gt;0,BD40/$BD$21*$BP$21,0)</f>
        <v>0</v>
      </c>
      <c r="BQ40" s="469">
        <f t="shared" ref="BQ40:BQ41" si="225">IF($BQ$21&gt;0,BE40/$BE$21*$BQ$21,0)</f>
        <v>0</v>
      </c>
      <c r="BR40" s="940">
        <f t="shared" si="8"/>
        <v>0.94544865931818201</v>
      </c>
      <c r="BS40" s="542">
        <f t="shared" si="9"/>
        <v>0.99663193172864595</v>
      </c>
      <c r="BT40" s="942">
        <f t="shared" si="4"/>
        <v>1.0236605379959269</v>
      </c>
      <c r="BU40" s="324">
        <f t="shared" si="59"/>
        <v>1.0296002751414337</v>
      </c>
      <c r="BV40" s="324">
        <f t="shared" si="60"/>
        <v>1.0295990022315495</v>
      </c>
      <c r="BW40" s="201">
        <f t="shared" si="61"/>
        <v>1.0296013211660433</v>
      </c>
      <c r="BX40" s="967" t="s">
        <v>493</v>
      </c>
      <c r="BY40" s="131"/>
      <c r="BZ40" s="132"/>
    </row>
    <row r="41" spans="1:78" s="83" customFormat="1" ht="32.25" customHeight="1" outlineLevel="1">
      <c r="A41" s="129"/>
      <c r="B41" s="130" t="s">
        <v>69</v>
      </c>
      <c r="C41" s="1500" t="s">
        <v>1</v>
      </c>
      <c r="D41" s="189">
        <f t="shared" si="198"/>
        <v>0</v>
      </c>
      <c r="E41" s="207"/>
      <c r="F41" s="207"/>
      <c r="G41" s="207"/>
      <c r="H41" s="1145"/>
      <c r="I41" s="469"/>
      <c r="J41" s="189">
        <f t="shared" si="199"/>
        <v>0</v>
      </c>
      <c r="K41" s="383"/>
      <c r="L41" s="383"/>
      <c r="M41" s="383"/>
      <c r="N41" s="1501"/>
      <c r="O41" s="500"/>
      <c r="P41" s="189">
        <f t="shared" si="200"/>
        <v>0</v>
      </c>
      <c r="Q41" s="984"/>
      <c r="R41" s="207"/>
      <c r="S41" s="207"/>
      <c r="T41" s="1145"/>
      <c r="U41" s="469"/>
      <c r="V41" s="189">
        <f t="shared" si="201"/>
        <v>0</v>
      </c>
      <c r="W41" s="383"/>
      <c r="X41" s="383"/>
      <c r="Y41" s="383"/>
      <c r="Z41" s="1501"/>
      <c r="AA41" s="500"/>
      <c r="AB41" s="189">
        <f t="shared" si="202"/>
        <v>0</v>
      </c>
      <c r="AC41" s="207">
        <f t="shared" si="203"/>
        <v>0</v>
      </c>
      <c r="AD41" s="207">
        <f t="shared" si="204"/>
        <v>0</v>
      </c>
      <c r="AE41" s="207">
        <f t="shared" si="205"/>
        <v>0</v>
      </c>
      <c r="AF41" s="1145">
        <f t="shared" si="206"/>
        <v>0</v>
      </c>
      <c r="AG41" s="469">
        <f t="shared" si="207"/>
        <v>0</v>
      </c>
      <c r="AH41" s="189">
        <f t="shared" si="208"/>
        <v>0</v>
      </c>
      <c r="AI41" s="383"/>
      <c r="AJ41" s="383"/>
      <c r="AK41" s="383"/>
      <c r="AL41" s="1501"/>
      <c r="AM41" s="500"/>
      <c r="AN41" s="189">
        <f t="shared" si="209"/>
        <v>0</v>
      </c>
      <c r="AO41" s="207">
        <f t="shared" si="210"/>
        <v>0</v>
      </c>
      <c r="AP41" s="207">
        <f t="shared" si="211"/>
        <v>0</v>
      </c>
      <c r="AQ41" s="207">
        <f t="shared" ref="AQ41" si="226">IF($AQ$21&gt;0,AE41/$AE$21*$AQ$21,0)</f>
        <v>0</v>
      </c>
      <c r="AR41" s="1145">
        <f t="shared" si="212"/>
        <v>0</v>
      </c>
      <c r="AS41" s="469">
        <f t="shared" si="213"/>
        <v>0</v>
      </c>
      <c r="AT41" s="189">
        <f t="shared" si="214"/>
        <v>0</v>
      </c>
      <c r="AU41" s="383"/>
      <c r="AV41" s="383"/>
      <c r="AW41" s="383"/>
      <c r="AX41" s="1501"/>
      <c r="AY41" s="500"/>
      <c r="AZ41" s="189">
        <f t="shared" si="215"/>
        <v>0</v>
      </c>
      <c r="BA41" s="207">
        <f t="shared" si="216"/>
        <v>0</v>
      </c>
      <c r="BB41" s="207">
        <f>IF($BB$21&gt;0,AP41/$AP$21*$BB$21,0)</f>
        <v>0</v>
      </c>
      <c r="BC41" s="207">
        <f t="shared" si="217"/>
        <v>0</v>
      </c>
      <c r="BD41" s="1145">
        <f t="shared" si="218"/>
        <v>0</v>
      </c>
      <c r="BE41" s="469">
        <f t="shared" si="219"/>
        <v>0</v>
      </c>
      <c r="BF41" s="189">
        <f t="shared" si="220"/>
        <v>0</v>
      </c>
      <c r="BG41" s="383"/>
      <c r="BH41" s="383"/>
      <c r="BI41" s="383"/>
      <c r="BJ41" s="1501"/>
      <c r="BK41" s="500"/>
      <c r="BL41" s="189">
        <f t="shared" ref="BL41:BL58" si="227">BM41+BN41+BO41+BP41</f>
        <v>0</v>
      </c>
      <c r="BM41" s="207">
        <f t="shared" si="221"/>
        <v>0</v>
      </c>
      <c r="BN41" s="207">
        <f t="shared" si="222"/>
        <v>0</v>
      </c>
      <c r="BO41" s="207">
        <f t="shared" si="223"/>
        <v>0</v>
      </c>
      <c r="BP41" s="1145">
        <f t="shared" si="224"/>
        <v>0</v>
      </c>
      <c r="BQ41" s="469">
        <f t="shared" si="225"/>
        <v>0</v>
      </c>
      <c r="BR41" s="940" t="str">
        <f t="shared" si="8"/>
        <v xml:space="preserve"> </v>
      </c>
      <c r="BS41" s="542" t="str">
        <f t="shared" si="9"/>
        <v xml:space="preserve"> </v>
      </c>
      <c r="BT41" s="942" t="str">
        <f t="shared" si="4"/>
        <v xml:space="preserve"> </v>
      </c>
      <c r="BU41" s="324" t="str">
        <f t="shared" si="59"/>
        <v xml:space="preserve"> </v>
      </c>
      <c r="BV41" s="324" t="str">
        <f t="shared" si="60"/>
        <v xml:space="preserve"> </v>
      </c>
      <c r="BW41" s="201" t="str">
        <f t="shared" si="61"/>
        <v xml:space="preserve"> </v>
      </c>
      <c r="BX41" s="967"/>
      <c r="BY41" s="131"/>
      <c r="BZ41" s="132"/>
    </row>
    <row r="42" spans="1:78" s="111" customFormat="1" ht="31.5">
      <c r="A42" s="119">
        <v>5</v>
      </c>
      <c r="B42" s="120" t="s">
        <v>287</v>
      </c>
      <c r="C42" s="1499" t="s">
        <v>1</v>
      </c>
      <c r="D42" s="189">
        <f t="shared" si="198"/>
        <v>240.96</v>
      </c>
      <c r="E42" s="232">
        <f>SUM(E43:E50)</f>
        <v>223.25</v>
      </c>
      <c r="F42" s="232">
        <f t="shared" ref="F42:H42" si="228">SUM(F43:F50)</f>
        <v>17.71</v>
      </c>
      <c r="G42" s="232">
        <f t="shared" si="228"/>
        <v>0</v>
      </c>
      <c r="H42" s="1141">
        <f t="shared" si="228"/>
        <v>0</v>
      </c>
      <c r="I42" s="470">
        <f>SUM(I43:I50)</f>
        <v>0</v>
      </c>
      <c r="J42" s="189">
        <f t="shared" si="199"/>
        <v>287.90999999999997</v>
      </c>
      <c r="K42" s="232">
        <f>SUM(K43:K50)</f>
        <v>172.07900000000001</v>
      </c>
      <c r="L42" s="232">
        <f t="shared" ref="L42:N42" si="229">SUM(L43:L50)</f>
        <v>110.56099999999999</v>
      </c>
      <c r="M42" s="232">
        <f t="shared" si="229"/>
        <v>0</v>
      </c>
      <c r="N42" s="1141">
        <f t="shared" si="229"/>
        <v>5.2700000000000005</v>
      </c>
      <c r="O42" s="470">
        <f>SUM(O43:O50)</f>
        <v>0</v>
      </c>
      <c r="P42" s="189">
        <f t="shared" si="200"/>
        <v>195.96799999999999</v>
      </c>
      <c r="Q42" s="232">
        <f>SUM(Q43:Q50)</f>
        <v>146.05699999999999</v>
      </c>
      <c r="R42" s="232">
        <f t="shared" ref="R42:T42" si="230">SUM(R43:R50)</f>
        <v>49.911000000000001</v>
      </c>
      <c r="S42" s="232">
        <f t="shared" si="230"/>
        <v>0</v>
      </c>
      <c r="T42" s="1141">
        <f t="shared" si="230"/>
        <v>0</v>
      </c>
      <c r="U42" s="470">
        <f>SUM(U43:U50)</f>
        <v>0</v>
      </c>
      <c r="V42" s="189">
        <f t="shared" si="201"/>
        <v>338.56439760000023</v>
      </c>
      <c r="W42" s="232">
        <f>SUM(W43:W50)</f>
        <v>202.34522879999969</v>
      </c>
      <c r="X42" s="232">
        <f t="shared" ref="X42:Z42" si="231">SUM(X43:X50)</f>
        <v>130.02200640000052</v>
      </c>
      <c r="Y42" s="232">
        <f t="shared" si="231"/>
        <v>0</v>
      </c>
      <c r="Z42" s="1141">
        <f t="shared" si="231"/>
        <v>6.1971624000000034</v>
      </c>
      <c r="AA42" s="470">
        <f>SUM(AA43:AA50)</f>
        <v>0</v>
      </c>
      <c r="AB42" s="189">
        <f t="shared" si="202"/>
        <v>200.60461340179742</v>
      </c>
      <c r="AC42" s="232">
        <f>SUM(AC43:AC50)</f>
        <v>149.51266766979438</v>
      </c>
      <c r="AD42" s="232">
        <f t="shared" ref="AD42:AG42" si="232">SUM(AD43:AD50)</f>
        <v>51.09194573200304</v>
      </c>
      <c r="AE42" s="232">
        <f t="shared" si="232"/>
        <v>0</v>
      </c>
      <c r="AF42" s="1141">
        <f t="shared" si="232"/>
        <v>0</v>
      </c>
      <c r="AG42" s="470">
        <f t="shared" si="232"/>
        <v>0</v>
      </c>
      <c r="AH42" s="189">
        <f t="shared" si="208"/>
        <v>348.58590376896024</v>
      </c>
      <c r="AI42" s="232">
        <f>SUM(AI43:AI50)</f>
        <v>208.3346475724797</v>
      </c>
      <c r="AJ42" s="232">
        <f t="shared" ref="AJ42:AL42" si="233">SUM(AJ43:AJ50)</f>
        <v>133.87065778944054</v>
      </c>
      <c r="AK42" s="232">
        <f t="shared" si="233"/>
        <v>0</v>
      </c>
      <c r="AL42" s="1141">
        <f t="shared" si="233"/>
        <v>6.3805984070400044</v>
      </c>
      <c r="AM42" s="470">
        <f>SUM(AM43:AM50)</f>
        <v>0</v>
      </c>
      <c r="AN42" s="189">
        <f t="shared" si="209"/>
        <v>206.54251279183242</v>
      </c>
      <c r="AO42" s="232">
        <f t="shared" ref="AO42:AS42" si="234">SUM(AO43:AO50)</f>
        <v>153.938217825631</v>
      </c>
      <c r="AP42" s="232">
        <f t="shared" si="234"/>
        <v>52.604294966201415</v>
      </c>
      <c r="AQ42" s="232">
        <f t="shared" si="234"/>
        <v>0</v>
      </c>
      <c r="AR42" s="1141">
        <f t="shared" si="234"/>
        <v>0</v>
      </c>
      <c r="AS42" s="470">
        <f t="shared" si="234"/>
        <v>0</v>
      </c>
      <c r="AT42" s="189">
        <f t="shared" si="214"/>
        <v>358.90404652052143</v>
      </c>
      <c r="AU42" s="232">
        <f>SUM(AU43:AU50)</f>
        <v>214.5013531406251</v>
      </c>
      <c r="AV42" s="232">
        <f t="shared" ref="AV42:AX42" si="235">SUM(AV43:AV50)</f>
        <v>137.83322926000798</v>
      </c>
      <c r="AW42" s="232">
        <f t="shared" si="235"/>
        <v>0</v>
      </c>
      <c r="AX42" s="1141">
        <f t="shared" si="235"/>
        <v>6.569464119888389</v>
      </c>
      <c r="AY42" s="470">
        <f>SUM(AY43:AY50)</f>
        <v>0</v>
      </c>
      <c r="AZ42" s="189">
        <f t="shared" si="215"/>
        <v>212.65608926600777</v>
      </c>
      <c r="BA42" s="232">
        <f>SUM(BA43:BA50)</f>
        <v>158.49479186844593</v>
      </c>
      <c r="BB42" s="232">
        <f t="shared" ref="BB42:BE42" si="236">SUM(BB43:BB50)</f>
        <v>54.161297397561839</v>
      </c>
      <c r="BC42" s="232">
        <f t="shared" si="236"/>
        <v>0</v>
      </c>
      <c r="BD42" s="1141">
        <f t="shared" si="236"/>
        <v>0</v>
      </c>
      <c r="BE42" s="470">
        <f t="shared" si="236"/>
        <v>0</v>
      </c>
      <c r="BF42" s="189">
        <f t="shared" si="220"/>
        <v>369.51569714549385</v>
      </c>
      <c r="BG42" s="232">
        <f>SUM(BG43:BG50)</f>
        <v>220.85059319358763</v>
      </c>
      <c r="BH42" s="232">
        <f t="shared" ref="BH42:BJ42" si="237">SUM(BH43:BH50)</f>
        <v>141.91309284610423</v>
      </c>
      <c r="BI42" s="232">
        <f t="shared" si="237"/>
        <v>0</v>
      </c>
      <c r="BJ42" s="1141">
        <f t="shared" si="237"/>
        <v>6.7520111058020209</v>
      </c>
      <c r="BK42" s="470">
        <f>SUM(BK43:BK50)</f>
        <v>0</v>
      </c>
      <c r="BL42" s="189">
        <f t="shared" si="227"/>
        <v>218.95088994625991</v>
      </c>
      <c r="BM42" s="232">
        <f>SUM(BM43:BM50)</f>
        <v>163.18632051484849</v>
      </c>
      <c r="BN42" s="232">
        <f t="shared" ref="BN42:BQ42" si="238">SUM(BN43:BN50)</f>
        <v>55.764569431411424</v>
      </c>
      <c r="BO42" s="232">
        <f t="shared" si="238"/>
        <v>0</v>
      </c>
      <c r="BP42" s="1141">
        <f t="shared" si="238"/>
        <v>0</v>
      </c>
      <c r="BQ42" s="470">
        <f t="shared" si="238"/>
        <v>0</v>
      </c>
      <c r="BR42" s="940">
        <f t="shared" si="8"/>
        <v>0.68065714980375813</v>
      </c>
      <c r="BS42" s="542">
        <f t="shared" si="9"/>
        <v>0.81328021248339966</v>
      </c>
      <c r="BT42" s="942">
        <f t="shared" si="4"/>
        <v>1.023660053691406</v>
      </c>
      <c r="BU42" s="324">
        <f t="shared" si="59"/>
        <v>1.0296000141240111</v>
      </c>
      <c r="BV42" s="324">
        <f t="shared" si="60"/>
        <v>1.0295996034498573</v>
      </c>
      <c r="BW42" s="201">
        <f t="shared" si="61"/>
        <v>1.029600848496645</v>
      </c>
      <c r="BX42" s="970"/>
    </row>
    <row r="43" spans="1:78" s="83" customFormat="1" ht="18.75">
      <c r="A43" s="133"/>
      <c r="B43" s="130" t="s">
        <v>275</v>
      </c>
      <c r="C43" s="1507" t="s">
        <v>1</v>
      </c>
      <c r="D43" s="189">
        <f t="shared" si="198"/>
        <v>0</v>
      </c>
      <c r="E43" s="207"/>
      <c r="F43" s="207"/>
      <c r="G43" s="207"/>
      <c r="H43" s="1145"/>
      <c r="I43" s="469"/>
      <c r="J43" s="189">
        <f>K43+L43+M43+N43</f>
        <v>10.19</v>
      </c>
      <c r="K43" s="383">
        <v>6.09</v>
      </c>
      <c r="L43" s="383">
        <v>3.9129999999999998</v>
      </c>
      <c r="M43" s="383"/>
      <c r="N43" s="1501">
        <v>0.187</v>
      </c>
      <c r="O43" s="500"/>
      <c r="P43" s="189">
        <f t="shared" si="200"/>
        <v>10.187000000000001</v>
      </c>
      <c r="Q43" s="1108">
        <f>6.09+N43</f>
        <v>6.2770000000000001</v>
      </c>
      <c r="R43" s="1108">
        <v>3.91</v>
      </c>
      <c r="S43" s="207"/>
      <c r="T43" s="1145"/>
      <c r="U43" s="469"/>
      <c r="V43" s="189">
        <f>W43+X43+Y43+Z43</f>
        <v>10.491624</v>
      </c>
      <c r="W43" s="383">
        <v>6.2702640000000001</v>
      </c>
      <c r="X43" s="383">
        <v>4.0288247999999998</v>
      </c>
      <c r="Y43" s="383"/>
      <c r="Z43" s="1501">
        <v>0.19253520000000002</v>
      </c>
      <c r="AA43" s="500"/>
      <c r="AB43" s="189">
        <f t="shared" si="202"/>
        <v>10.428026692396831</v>
      </c>
      <c r="AC43" s="207">
        <f t="shared" ref="AC43:AC54" si="239">IF($AC$21&gt;0,Q43/$Q$21*$AC$21,0)</f>
        <v>6.4255120601087201</v>
      </c>
      <c r="AD43" s="207">
        <f t="shared" ref="AD43:AD54" si="240">IF($AD$21&gt;0,R43/$R$21*$AD$21,0)</f>
        <v>4.0025146322881104</v>
      </c>
      <c r="AE43" s="207">
        <f t="shared" ref="AE43:AE54" si="241">IF($AE$21&gt;0,S43/$S$21*$AE$21,0)</f>
        <v>0</v>
      </c>
      <c r="AF43" s="1145">
        <f t="shared" ref="AF43:AF54" si="242">IF($AF$21&gt;0,T43/$T$21*$AF$21,0)</f>
        <v>0</v>
      </c>
      <c r="AG43" s="469">
        <f t="shared" ref="AG43:AG54" si="243">IF($AG$21&gt;0,U43/$U$21*$AG$21,0)</f>
        <v>0</v>
      </c>
      <c r="AH43" s="189">
        <f>AI43+AJ43+AK43+AL43</f>
        <v>10.8021760704</v>
      </c>
      <c r="AI43" s="383">
        <v>6.4558638144000007</v>
      </c>
      <c r="AJ43" s="383">
        <v>4.1480780140800002</v>
      </c>
      <c r="AK43" s="383"/>
      <c r="AL43" s="1501">
        <v>0.19823424192000003</v>
      </c>
      <c r="AM43" s="500"/>
      <c r="AN43" s="189">
        <f t="shared" si="209"/>
        <v>10.73669738171262</v>
      </c>
      <c r="AO43" s="207">
        <f t="shared" ref="AO43:AO54" si="244">IF($AO$21&gt;0,AC43/$AC$21*$AO$21,0)</f>
        <v>6.6157061509649377</v>
      </c>
      <c r="AP43" s="207">
        <f t="shared" ref="AP43:AP54" si="245">IF($AP$21&gt;0,AD43/$AD$21*$AP$21,0)</f>
        <v>4.1209912307476824</v>
      </c>
      <c r="AQ43" s="207">
        <f t="shared" ref="AQ43:AQ54" si="246">IF($AQ$21&gt;0,AE43/$AE$21*$AQ$21,0)</f>
        <v>0</v>
      </c>
      <c r="AR43" s="1145">
        <f t="shared" ref="AR43:AR54" si="247">IF($AR$21&gt;0,AF43/$AF$21*$AR$21,0)</f>
        <v>0</v>
      </c>
      <c r="AS43" s="469">
        <f t="shared" ref="AS43:AS54" si="248">IF($AS$21&gt;0,AG43/$AG$21*$AS$21,0)</f>
        <v>0</v>
      </c>
      <c r="AT43" s="189">
        <f>AU43+AV43+AW43+AX43</f>
        <v>11.121920482083841</v>
      </c>
      <c r="AU43" s="383">
        <v>6.6469573833062414</v>
      </c>
      <c r="AV43" s="383">
        <v>4.2708611232967684</v>
      </c>
      <c r="AW43" s="383"/>
      <c r="AX43" s="1501">
        <v>0.20410197548083203</v>
      </c>
      <c r="AY43" s="500"/>
      <c r="AZ43" s="189">
        <f t="shared" si="215"/>
        <v>11.054497109015195</v>
      </c>
      <c r="BA43" s="207">
        <f t="shared" ref="BA43:BA54" si="249">IF($BA$21&gt;0,AO43/$AO$21*$BA$21,0)</f>
        <v>6.8115311731600352</v>
      </c>
      <c r="BB43" s="207">
        <f t="shared" ref="BB43:BB54" si="250">IF($BB$21&gt;0,AP43/$AP$21*$BB$21,0)</f>
        <v>4.2429659358551586</v>
      </c>
      <c r="BC43" s="207">
        <f t="shared" ref="BC43:BC54" si="251">IF($BC$21&gt;0,AQ43/$AQ$21*$BC$21,0)</f>
        <v>0</v>
      </c>
      <c r="BD43" s="1145">
        <f t="shared" ref="BD43:BD54" si="252">IF($BD$21&gt;0,AR43/$AR$21*$BD$21,0)</f>
        <v>0</v>
      </c>
      <c r="BE43" s="469">
        <f t="shared" ref="BE43:BE54" si="253">IF($BE$21&gt;0,AS43/$AS$21*$BE$21,0)</f>
        <v>0</v>
      </c>
      <c r="BF43" s="189">
        <f>BG43+BH43+BI43+BJ43</f>
        <v>11.439220176318459</v>
      </c>
      <c r="BG43" s="383">
        <v>6.843707321852107</v>
      </c>
      <c r="BH43" s="383">
        <v>4.3972786125463532</v>
      </c>
      <c r="BI43" s="383"/>
      <c r="BJ43" s="1501">
        <v>0.19823424192000003</v>
      </c>
      <c r="BK43" s="500"/>
      <c r="BL43" s="189">
        <f t="shared" si="227"/>
        <v>11.381721430539665</v>
      </c>
      <c r="BM43" s="207">
        <f t="shared" ref="BM43:BM54" si="254">IF($BM$21&gt;0,BA43/$BA$21*$BM$21,0)</f>
        <v>7.0131560546341785</v>
      </c>
      <c r="BN43" s="207">
        <f t="shared" ref="BN43:BN54" si="255">IF($BN$21&gt;0,BB43/$BB$21*$BN$21,0)</f>
        <v>4.3685653759054865</v>
      </c>
      <c r="BO43" s="207">
        <f t="shared" ref="BO43:BO54" si="256">IF($BO$21&gt;0,BC43/$BC$21*$BO$21,0)</f>
        <v>0</v>
      </c>
      <c r="BP43" s="1145">
        <f t="shared" ref="BP43:BP54" si="257">IF($BP$21&gt;0,BD43/$BD$21*$BP$21,0)</f>
        <v>0</v>
      </c>
      <c r="BQ43" s="469">
        <f t="shared" ref="BQ43:BQ54" si="258">IF($BQ$21&gt;0,BE43/$BE$21*$BQ$21,0)</f>
        <v>0</v>
      </c>
      <c r="BR43" s="940">
        <f t="shared" si="8"/>
        <v>0.99970559371933287</v>
      </c>
      <c r="BS43" s="542" t="str">
        <f t="shared" si="9"/>
        <v xml:space="preserve"> </v>
      </c>
      <c r="BT43" s="942">
        <f t="shared" si="4"/>
        <v>1.0236602230683056</v>
      </c>
      <c r="BU43" s="324">
        <f t="shared" si="59"/>
        <v>1.0296001054102446</v>
      </c>
      <c r="BV43" s="324">
        <f t="shared" si="60"/>
        <v>1.029599393184339</v>
      </c>
      <c r="BW43" s="201">
        <f t="shared" si="61"/>
        <v>1.029601013804383</v>
      </c>
      <c r="BX43" s="970"/>
      <c r="BY43" s="131"/>
    </row>
    <row r="44" spans="1:78" s="83" customFormat="1" ht="18.75">
      <c r="A44" s="133"/>
      <c r="B44" s="130" t="s">
        <v>276</v>
      </c>
      <c r="C44" s="1507" t="s">
        <v>1</v>
      </c>
      <c r="D44" s="189">
        <f t="shared" si="198"/>
        <v>0</v>
      </c>
      <c r="E44" s="207"/>
      <c r="F44" s="207"/>
      <c r="G44" s="207"/>
      <c r="H44" s="1145"/>
      <c r="I44" s="469"/>
      <c r="J44" s="189">
        <f>K44+L44+M44+N44</f>
        <v>0</v>
      </c>
      <c r="K44" s="383"/>
      <c r="L44" s="383"/>
      <c r="M44" s="383"/>
      <c r="N44" s="1501"/>
      <c r="O44" s="500"/>
      <c r="P44" s="189">
        <f t="shared" si="200"/>
        <v>0</v>
      </c>
      <c r="Q44" s="207"/>
      <c r="R44" s="207"/>
      <c r="S44" s="207"/>
      <c r="T44" s="1145"/>
      <c r="U44" s="469"/>
      <c r="V44" s="189">
        <f>W44+X44+Y44+Z44</f>
        <v>0</v>
      </c>
      <c r="W44" s="383"/>
      <c r="X44" s="383"/>
      <c r="Y44" s="383"/>
      <c r="Z44" s="1501"/>
      <c r="AA44" s="500"/>
      <c r="AB44" s="189">
        <f t="shared" si="202"/>
        <v>0</v>
      </c>
      <c r="AC44" s="207">
        <f t="shared" si="239"/>
        <v>0</v>
      </c>
      <c r="AD44" s="207">
        <f t="shared" si="240"/>
        <v>0</v>
      </c>
      <c r="AE44" s="207">
        <f t="shared" si="241"/>
        <v>0</v>
      </c>
      <c r="AF44" s="1145">
        <f t="shared" si="242"/>
        <v>0</v>
      </c>
      <c r="AG44" s="469">
        <f t="shared" si="243"/>
        <v>0</v>
      </c>
      <c r="AH44" s="189">
        <f>AI44+AJ44+AK44+AL44</f>
        <v>0</v>
      </c>
      <c r="AI44" s="383"/>
      <c r="AJ44" s="383"/>
      <c r="AK44" s="383"/>
      <c r="AL44" s="1501"/>
      <c r="AM44" s="500"/>
      <c r="AN44" s="189">
        <f t="shared" si="209"/>
        <v>0</v>
      </c>
      <c r="AO44" s="207">
        <f t="shared" si="244"/>
        <v>0</v>
      </c>
      <c r="AP44" s="207">
        <f t="shared" si="245"/>
        <v>0</v>
      </c>
      <c r="AQ44" s="207">
        <f t="shared" si="246"/>
        <v>0</v>
      </c>
      <c r="AR44" s="1145">
        <f t="shared" si="247"/>
        <v>0</v>
      </c>
      <c r="AS44" s="469">
        <f t="shared" si="248"/>
        <v>0</v>
      </c>
      <c r="AT44" s="189">
        <f>AU44+AV44+AW44+AX44</f>
        <v>0</v>
      </c>
      <c r="AU44" s="383"/>
      <c r="AV44" s="383"/>
      <c r="AW44" s="383"/>
      <c r="AX44" s="1501"/>
      <c r="AY44" s="500"/>
      <c r="AZ44" s="189">
        <f t="shared" si="215"/>
        <v>0</v>
      </c>
      <c r="BA44" s="207">
        <f t="shared" si="249"/>
        <v>0</v>
      </c>
      <c r="BB44" s="207">
        <f t="shared" si="250"/>
        <v>0</v>
      </c>
      <c r="BC44" s="207">
        <f t="shared" si="251"/>
        <v>0</v>
      </c>
      <c r="BD44" s="1145">
        <f t="shared" si="252"/>
        <v>0</v>
      </c>
      <c r="BE44" s="469">
        <f t="shared" si="253"/>
        <v>0</v>
      </c>
      <c r="BF44" s="189">
        <f>BG44+BH44+BI44+BJ44</f>
        <v>0</v>
      </c>
      <c r="BG44" s="383"/>
      <c r="BH44" s="383"/>
      <c r="BI44" s="383"/>
      <c r="BJ44" s="1501"/>
      <c r="BK44" s="500"/>
      <c r="BL44" s="189">
        <f t="shared" si="227"/>
        <v>0</v>
      </c>
      <c r="BM44" s="207">
        <f t="shared" si="254"/>
        <v>0</v>
      </c>
      <c r="BN44" s="207">
        <f t="shared" si="255"/>
        <v>0</v>
      </c>
      <c r="BO44" s="207">
        <f t="shared" si="256"/>
        <v>0</v>
      </c>
      <c r="BP44" s="1145">
        <f t="shared" si="257"/>
        <v>0</v>
      </c>
      <c r="BQ44" s="469">
        <f t="shared" si="258"/>
        <v>0</v>
      </c>
      <c r="BR44" s="940" t="str">
        <f t="shared" si="8"/>
        <v xml:space="preserve"> </v>
      </c>
      <c r="BS44" s="542" t="str">
        <f t="shared" si="9"/>
        <v xml:space="preserve"> </v>
      </c>
      <c r="BT44" s="942" t="str">
        <f t="shared" si="4"/>
        <v xml:space="preserve"> </v>
      </c>
      <c r="BU44" s="324" t="str">
        <f t="shared" si="59"/>
        <v xml:space="preserve"> </v>
      </c>
      <c r="BV44" s="324" t="str">
        <f t="shared" si="60"/>
        <v xml:space="preserve"> </v>
      </c>
      <c r="BW44" s="201" t="str">
        <f t="shared" si="61"/>
        <v xml:space="preserve"> </v>
      </c>
      <c r="BX44" s="970"/>
    </row>
    <row r="45" spans="1:78" s="83" customFormat="1" ht="18.75">
      <c r="A45" s="133"/>
      <c r="B45" s="130" t="s">
        <v>277</v>
      </c>
      <c r="C45" s="1507" t="s">
        <v>1</v>
      </c>
      <c r="D45" s="189">
        <f t="shared" si="198"/>
        <v>0</v>
      </c>
      <c r="E45" s="207"/>
      <c r="F45" s="207"/>
      <c r="G45" s="207"/>
      <c r="H45" s="1145"/>
      <c r="I45" s="469"/>
      <c r="J45" s="189">
        <f t="shared" ref="J45:J51" si="259">K45+L45+M45+N45</f>
        <v>0</v>
      </c>
      <c r="K45" s="383"/>
      <c r="L45" s="383"/>
      <c r="M45" s="383"/>
      <c r="N45" s="1501"/>
      <c r="O45" s="500"/>
      <c r="P45" s="189">
        <f t="shared" si="200"/>
        <v>0</v>
      </c>
      <c r="Q45" s="207">
        <f>K45</f>
        <v>0</v>
      </c>
      <c r="R45" s="207"/>
      <c r="S45" s="207"/>
      <c r="T45" s="1145"/>
      <c r="U45" s="469"/>
      <c r="V45" s="189">
        <f t="shared" ref="V45:V51" si="260">W45+X45+Y45+Z45</f>
        <v>0</v>
      </c>
      <c r="W45" s="383"/>
      <c r="X45" s="383"/>
      <c r="Y45" s="383"/>
      <c r="Z45" s="1501"/>
      <c r="AA45" s="500"/>
      <c r="AB45" s="189">
        <f t="shared" si="202"/>
        <v>0</v>
      </c>
      <c r="AC45" s="207">
        <f t="shared" si="239"/>
        <v>0</v>
      </c>
      <c r="AD45" s="207">
        <f t="shared" si="240"/>
        <v>0</v>
      </c>
      <c r="AE45" s="207">
        <f t="shared" si="241"/>
        <v>0</v>
      </c>
      <c r="AF45" s="1145">
        <f t="shared" si="242"/>
        <v>0</v>
      </c>
      <c r="AG45" s="469">
        <f t="shared" si="243"/>
        <v>0</v>
      </c>
      <c r="AH45" s="189">
        <f t="shared" ref="AH45:AH51" si="261">AI45+AJ45+AK45+AL45</f>
        <v>0</v>
      </c>
      <c r="AI45" s="383"/>
      <c r="AJ45" s="383"/>
      <c r="AK45" s="383"/>
      <c r="AL45" s="1501"/>
      <c r="AM45" s="500"/>
      <c r="AN45" s="189">
        <f t="shared" si="209"/>
        <v>0</v>
      </c>
      <c r="AO45" s="207">
        <f t="shared" si="244"/>
        <v>0</v>
      </c>
      <c r="AP45" s="207">
        <f t="shared" si="245"/>
        <v>0</v>
      </c>
      <c r="AQ45" s="207">
        <f t="shared" si="246"/>
        <v>0</v>
      </c>
      <c r="AR45" s="1145">
        <f t="shared" si="247"/>
        <v>0</v>
      </c>
      <c r="AS45" s="469">
        <f t="shared" si="248"/>
        <v>0</v>
      </c>
      <c r="AT45" s="189">
        <f t="shared" ref="AT45:AT51" si="262">AU45+AV45+AW45+AX45</f>
        <v>0</v>
      </c>
      <c r="AU45" s="383"/>
      <c r="AV45" s="383"/>
      <c r="AW45" s="383"/>
      <c r="AX45" s="1501"/>
      <c r="AY45" s="500"/>
      <c r="AZ45" s="189">
        <f t="shared" si="215"/>
        <v>0</v>
      </c>
      <c r="BA45" s="207">
        <f t="shared" si="249"/>
        <v>0</v>
      </c>
      <c r="BB45" s="207">
        <f t="shared" si="250"/>
        <v>0</v>
      </c>
      <c r="BC45" s="207">
        <f t="shared" si="251"/>
        <v>0</v>
      </c>
      <c r="BD45" s="1145">
        <f t="shared" si="252"/>
        <v>0</v>
      </c>
      <c r="BE45" s="469">
        <f t="shared" si="253"/>
        <v>0</v>
      </c>
      <c r="BF45" s="189">
        <f t="shared" ref="BF45:BF51" si="263">BG45+BH45+BI45+BJ45</f>
        <v>0</v>
      </c>
      <c r="BG45" s="383"/>
      <c r="BH45" s="383"/>
      <c r="BI45" s="383"/>
      <c r="BJ45" s="1501"/>
      <c r="BK45" s="500"/>
      <c r="BL45" s="189">
        <f t="shared" si="227"/>
        <v>0</v>
      </c>
      <c r="BM45" s="207">
        <f t="shared" si="254"/>
        <v>0</v>
      </c>
      <c r="BN45" s="207">
        <f t="shared" si="255"/>
        <v>0</v>
      </c>
      <c r="BO45" s="207">
        <f t="shared" si="256"/>
        <v>0</v>
      </c>
      <c r="BP45" s="1145">
        <f t="shared" si="257"/>
        <v>0</v>
      </c>
      <c r="BQ45" s="469">
        <f t="shared" si="258"/>
        <v>0</v>
      </c>
      <c r="BR45" s="940" t="str">
        <f t="shared" si="8"/>
        <v xml:space="preserve"> </v>
      </c>
      <c r="BS45" s="542" t="str">
        <f t="shared" si="9"/>
        <v xml:space="preserve"> </v>
      </c>
      <c r="BT45" s="942" t="str">
        <f t="shared" si="4"/>
        <v xml:space="preserve"> </v>
      </c>
      <c r="BU45" s="324" t="str">
        <f t="shared" si="59"/>
        <v xml:space="preserve"> </v>
      </c>
      <c r="BV45" s="324" t="str">
        <f t="shared" si="60"/>
        <v xml:space="preserve"> </v>
      </c>
      <c r="BW45" s="201" t="str">
        <f t="shared" si="61"/>
        <v xml:space="preserve"> </v>
      </c>
      <c r="BX45" s="969" t="s">
        <v>489</v>
      </c>
    </row>
    <row r="46" spans="1:78" s="83" customFormat="1" ht="31.5">
      <c r="A46" s="133"/>
      <c r="B46" s="130" t="s">
        <v>278</v>
      </c>
      <c r="C46" s="1507" t="s">
        <v>1</v>
      </c>
      <c r="D46" s="189">
        <f t="shared" si="198"/>
        <v>40.86</v>
      </c>
      <c r="E46" s="207">
        <v>37.85</v>
      </c>
      <c r="F46" s="207">
        <v>3.01</v>
      </c>
      <c r="G46" s="207"/>
      <c r="H46" s="1145"/>
      <c r="I46" s="469"/>
      <c r="J46" s="189">
        <f t="shared" si="259"/>
        <v>91.86</v>
      </c>
      <c r="K46" s="383">
        <f>35.961+18.94</f>
        <v>54.900999999999996</v>
      </c>
      <c r="L46" s="383">
        <f>23.108+12.17</f>
        <v>35.277999999999999</v>
      </c>
      <c r="M46" s="383"/>
      <c r="N46" s="1501">
        <f>1.101+0.58</f>
        <v>1.681</v>
      </c>
      <c r="O46" s="500"/>
      <c r="P46" s="189">
        <f t="shared" si="200"/>
        <v>43.889999999999993</v>
      </c>
      <c r="Q46" s="207">
        <f>ROUND(E46*[185]индексы!G8*[185]индексы!H8,2)</f>
        <v>40.659999999999997</v>
      </c>
      <c r="R46" s="207">
        <f>ROUND(F46*[185]индексы!G8*[185]индексы!H8,2)</f>
        <v>3.23</v>
      </c>
      <c r="S46" s="207"/>
      <c r="T46" s="1145"/>
      <c r="U46" s="469"/>
      <c r="V46" s="189">
        <f t="shared" si="260"/>
        <v>61.951032000000005</v>
      </c>
      <c r="W46" s="383">
        <v>37.025445599999998</v>
      </c>
      <c r="X46" s="383">
        <v>23.791996800000003</v>
      </c>
      <c r="Y46" s="383"/>
      <c r="Z46" s="1501">
        <v>1.1335896000000001</v>
      </c>
      <c r="AA46" s="500"/>
      <c r="AB46" s="189">
        <f t="shared" si="202"/>
        <v>44.928429331119467</v>
      </c>
      <c r="AC46" s="207">
        <f t="shared" si="239"/>
        <v>41.622004200098857</v>
      </c>
      <c r="AD46" s="207">
        <f t="shared" si="240"/>
        <v>3.3064251310206125</v>
      </c>
      <c r="AE46" s="207">
        <f t="shared" si="241"/>
        <v>0</v>
      </c>
      <c r="AF46" s="1145">
        <f t="shared" si="242"/>
        <v>0</v>
      </c>
      <c r="AG46" s="469">
        <f t="shared" si="243"/>
        <v>0</v>
      </c>
      <c r="AH46" s="189">
        <f t="shared" si="261"/>
        <v>63.78478254720001</v>
      </c>
      <c r="AI46" s="383">
        <v>38.121398789760001</v>
      </c>
      <c r="AJ46" s="383">
        <v>24.496239905280007</v>
      </c>
      <c r="AK46" s="383"/>
      <c r="AL46" s="1501">
        <v>1.1671438521600002</v>
      </c>
      <c r="AM46" s="500"/>
      <c r="AN46" s="189">
        <f t="shared" si="209"/>
        <v>46.258305722146766</v>
      </c>
      <c r="AO46" s="207">
        <f t="shared" si="244"/>
        <v>42.854008618485636</v>
      </c>
      <c r="AP46" s="207">
        <f t="shared" si="245"/>
        <v>3.4042971036611283</v>
      </c>
      <c r="AQ46" s="207">
        <f t="shared" si="246"/>
        <v>0</v>
      </c>
      <c r="AR46" s="1145">
        <f t="shared" si="247"/>
        <v>0</v>
      </c>
      <c r="AS46" s="469">
        <f t="shared" si="248"/>
        <v>0</v>
      </c>
      <c r="AT46" s="189">
        <f t="shared" si="262"/>
        <v>65.672812110597121</v>
      </c>
      <c r="AU46" s="383">
        <v>39.249792193936898</v>
      </c>
      <c r="AV46" s="383">
        <v>25.221328606476298</v>
      </c>
      <c r="AW46" s="383"/>
      <c r="AX46" s="1501">
        <v>1.2016913101839362</v>
      </c>
      <c r="AY46" s="500"/>
      <c r="AZ46" s="189">
        <f t="shared" si="215"/>
        <v>47.62754686830246</v>
      </c>
      <c r="BA46" s="207">
        <f t="shared" si="249"/>
        <v>44.122488051726457</v>
      </c>
      <c r="BB46" s="207">
        <f t="shared" si="250"/>
        <v>3.5050588165759997</v>
      </c>
      <c r="BC46" s="207">
        <f t="shared" si="251"/>
        <v>0</v>
      </c>
      <c r="BD46" s="1145">
        <f t="shared" si="252"/>
        <v>0</v>
      </c>
      <c r="BE46" s="469">
        <f t="shared" si="253"/>
        <v>0</v>
      </c>
      <c r="BF46" s="189">
        <f t="shared" si="263"/>
        <v>67.6167273490708</v>
      </c>
      <c r="BG46" s="383">
        <v>40.411586042877431</v>
      </c>
      <c r="BH46" s="383">
        <v>25.967879933227998</v>
      </c>
      <c r="BI46" s="383"/>
      <c r="BJ46" s="1501">
        <v>1.2372613729653807</v>
      </c>
      <c r="BK46" s="500"/>
      <c r="BL46" s="189">
        <f t="shared" si="227"/>
        <v>49.03735162601496</v>
      </c>
      <c r="BM46" s="207">
        <f t="shared" si="254"/>
        <v>45.42853675026695</v>
      </c>
      <c r="BN46" s="207">
        <f t="shared" si="255"/>
        <v>3.608814875748009</v>
      </c>
      <c r="BO46" s="207">
        <f t="shared" si="256"/>
        <v>0</v>
      </c>
      <c r="BP46" s="1145">
        <f t="shared" si="257"/>
        <v>0</v>
      </c>
      <c r="BQ46" s="469">
        <f t="shared" si="258"/>
        <v>0</v>
      </c>
      <c r="BR46" s="940">
        <f t="shared" si="8"/>
        <v>0.47779229261920309</v>
      </c>
      <c r="BS46" s="542">
        <f t="shared" si="9"/>
        <v>1.0741556534508074</v>
      </c>
      <c r="BT46" s="942">
        <f t="shared" si="4"/>
        <v>1.0236598161567436</v>
      </c>
      <c r="BU46" s="324">
        <f t="shared" si="59"/>
        <v>1.0295998861038786</v>
      </c>
      <c r="BV46" s="324">
        <f t="shared" si="60"/>
        <v>1.0295998983270187</v>
      </c>
      <c r="BW46" s="201">
        <f t="shared" si="61"/>
        <v>1.0296006166685601</v>
      </c>
      <c r="BX46" s="969" t="s">
        <v>489</v>
      </c>
    </row>
    <row r="47" spans="1:78" s="83" customFormat="1" ht="18.75" outlineLevel="1">
      <c r="A47" s="133"/>
      <c r="B47" s="130" t="s">
        <v>280</v>
      </c>
      <c r="C47" s="1507" t="s">
        <v>1</v>
      </c>
      <c r="D47" s="189">
        <f t="shared" si="198"/>
        <v>11.020000000000001</v>
      </c>
      <c r="E47" s="207">
        <v>10.220000000000001</v>
      </c>
      <c r="F47" s="207">
        <v>0.8</v>
      </c>
      <c r="G47" s="207"/>
      <c r="H47" s="1145"/>
      <c r="I47" s="469"/>
      <c r="J47" s="189">
        <f t="shared" si="259"/>
        <v>11.46</v>
      </c>
      <c r="K47" s="383">
        <v>6.8490000000000002</v>
      </c>
      <c r="L47" s="383">
        <v>4.4009999999999998</v>
      </c>
      <c r="M47" s="383"/>
      <c r="N47" s="1501">
        <v>0.21</v>
      </c>
      <c r="O47" s="500"/>
      <c r="P47" s="189">
        <f t="shared" si="200"/>
        <v>2.66</v>
      </c>
      <c r="Q47" s="207">
        <v>2.66</v>
      </c>
      <c r="R47" s="207"/>
      <c r="S47" s="207"/>
      <c r="T47" s="1145"/>
      <c r="U47" s="469"/>
      <c r="V47" s="189">
        <f t="shared" si="260"/>
        <v>0</v>
      </c>
      <c r="W47" s="383"/>
      <c r="X47" s="383"/>
      <c r="Y47" s="383"/>
      <c r="Z47" s="1501"/>
      <c r="AA47" s="500"/>
      <c r="AB47" s="189">
        <f t="shared" si="202"/>
        <v>2.7229348542120753</v>
      </c>
      <c r="AC47" s="207">
        <f t="shared" si="239"/>
        <v>2.7229348542120753</v>
      </c>
      <c r="AD47" s="207">
        <f t="shared" si="240"/>
        <v>0</v>
      </c>
      <c r="AE47" s="207">
        <f t="shared" si="241"/>
        <v>0</v>
      </c>
      <c r="AF47" s="1145">
        <f t="shared" si="242"/>
        <v>0</v>
      </c>
      <c r="AG47" s="469">
        <f t="shared" si="243"/>
        <v>0</v>
      </c>
      <c r="AH47" s="189">
        <f t="shared" si="261"/>
        <v>0</v>
      </c>
      <c r="AI47" s="383"/>
      <c r="AJ47" s="383"/>
      <c r="AK47" s="383"/>
      <c r="AL47" s="1501"/>
      <c r="AM47" s="500"/>
      <c r="AN47" s="189">
        <f t="shared" si="209"/>
        <v>2.8035332741065377</v>
      </c>
      <c r="AO47" s="207">
        <f t="shared" si="244"/>
        <v>2.8035332741065377</v>
      </c>
      <c r="AP47" s="207">
        <f t="shared" si="245"/>
        <v>0</v>
      </c>
      <c r="AQ47" s="207">
        <f t="shared" si="246"/>
        <v>0</v>
      </c>
      <c r="AR47" s="1145">
        <f t="shared" si="247"/>
        <v>0</v>
      </c>
      <c r="AS47" s="469">
        <f t="shared" si="248"/>
        <v>0</v>
      </c>
      <c r="AT47" s="189">
        <f t="shared" si="262"/>
        <v>0</v>
      </c>
      <c r="AU47" s="383"/>
      <c r="AV47" s="383"/>
      <c r="AW47" s="383"/>
      <c r="AX47" s="1501"/>
      <c r="AY47" s="500"/>
      <c r="AZ47" s="189">
        <f t="shared" si="215"/>
        <v>2.886517909926031</v>
      </c>
      <c r="BA47" s="207">
        <f t="shared" si="249"/>
        <v>2.886517909926031</v>
      </c>
      <c r="BB47" s="207">
        <f t="shared" si="250"/>
        <v>0</v>
      </c>
      <c r="BC47" s="207">
        <f t="shared" si="251"/>
        <v>0</v>
      </c>
      <c r="BD47" s="1145">
        <f t="shared" si="252"/>
        <v>0</v>
      </c>
      <c r="BE47" s="469">
        <f t="shared" si="253"/>
        <v>0</v>
      </c>
      <c r="BF47" s="189">
        <f t="shared" si="263"/>
        <v>0</v>
      </c>
      <c r="BG47" s="383"/>
      <c r="BH47" s="383"/>
      <c r="BI47" s="383"/>
      <c r="BJ47" s="1501"/>
      <c r="BK47" s="500"/>
      <c r="BL47" s="189">
        <f t="shared" si="227"/>
        <v>2.9719603481483059</v>
      </c>
      <c r="BM47" s="207">
        <f t="shared" si="254"/>
        <v>2.9719603481483059</v>
      </c>
      <c r="BN47" s="207">
        <f t="shared" si="255"/>
        <v>0</v>
      </c>
      <c r="BO47" s="207">
        <f t="shared" si="256"/>
        <v>0</v>
      </c>
      <c r="BP47" s="1145">
        <f t="shared" si="257"/>
        <v>0</v>
      </c>
      <c r="BQ47" s="469">
        <f t="shared" si="258"/>
        <v>0</v>
      </c>
      <c r="BR47" s="940">
        <f t="shared" si="8"/>
        <v>0.23211169284467714</v>
      </c>
      <c r="BS47" s="542">
        <f t="shared" si="9"/>
        <v>0.24137931034482757</v>
      </c>
      <c r="BT47" s="942">
        <f t="shared" si="4"/>
        <v>1.0236597196285997</v>
      </c>
      <c r="BU47" s="324">
        <f t="shared" si="59"/>
        <v>1.0295998340796828</v>
      </c>
      <c r="BV47" s="324">
        <f t="shared" si="60"/>
        <v>1.0296000181577798</v>
      </c>
      <c r="BW47" s="201">
        <f t="shared" si="61"/>
        <v>1.0296005224594169</v>
      </c>
      <c r="BX47" s="969" t="s">
        <v>489</v>
      </c>
    </row>
    <row r="48" spans="1:78" s="83" customFormat="1" ht="47.25" outlineLevel="1">
      <c r="A48" s="133"/>
      <c r="B48" s="130" t="s">
        <v>70</v>
      </c>
      <c r="C48" s="1507" t="s">
        <v>1</v>
      </c>
      <c r="D48" s="189">
        <f t="shared" si="198"/>
        <v>12.120000000000001</v>
      </c>
      <c r="E48" s="207">
        <v>11.22</v>
      </c>
      <c r="F48" s="207">
        <v>0.9</v>
      </c>
      <c r="G48" s="207"/>
      <c r="H48" s="1145"/>
      <c r="I48" s="469"/>
      <c r="J48" s="189">
        <f t="shared" si="259"/>
        <v>12.6</v>
      </c>
      <c r="K48" s="383">
        <v>7.53</v>
      </c>
      <c r="L48" s="383">
        <v>4.8390000000000004</v>
      </c>
      <c r="M48" s="383"/>
      <c r="N48" s="1501">
        <v>0.23100000000000001</v>
      </c>
      <c r="O48" s="500"/>
      <c r="P48" s="189">
        <f t="shared" si="200"/>
        <v>12.600000000000001</v>
      </c>
      <c r="Q48" s="207">
        <f>K48+N48</f>
        <v>7.7610000000000001</v>
      </c>
      <c r="R48" s="207">
        <f>L48</f>
        <v>4.8390000000000004</v>
      </c>
      <c r="S48" s="207"/>
      <c r="T48" s="1145"/>
      <c r="U48" s="469"/>
      <c r="V48" s="189">
        <f t="shared" si="260"/>
        <v>0</v>
      </c>
      <c r="W48" s="383"/>
      <c r="X48" s="383"/>
      <c r="Y48" s="383"/>
      <c r="Z48" s="1501"/>
      <c r="AA48" s="500"/>
      <c r="AB48" s="189">
        <f t="shared" si="202"/>
        <v>12.898118814380826</v>
      </c>
      <c r="AC48" s="207">
        <f t="shared" si="239"/>
        <v>7.9446230840375609</v>
      </c>
      <c r="AD48" s="207">
        <f t="shared" si="240"/>
        <v>4.9534957303432652</v>
      </c>
      <c r="AE48" s="207">
        <f t="shared" si="241"/>
        <v>0</v>
      </c>
      <c r="AF48" s="1145">
        <f t="shared" si="242"/>
        <v>0</v>
      </c>
      <c r="AG48" s="469">
        <f t="shared" si="243"/>
        <v>0</v>
      </c>
      <c r="AH48" s="189">
        <f t="shared" si="261"/>
        <v>0</v>
      </c>
      <c r="AI48" s="383"/>
      <c r="AJ48" s="383"/>
      <c r="AK48" s="383"/>
      <c r="AL48" s="1501"/>
      <c r="AM48" s="500"/>
      <c r="AN48" s="189">
        <f t="shared" si="209"/>
        <v>13.279904492932797</v>
      </c>
      <c r="AO48" s="207">
        <f t="shared" si="244"/>
        <v>8.1797826091506902</v>
      </c>
      <c r="AP48" s="207">
        <f t="shared" si="245"/>
        <v>5.1001218837821058</v>
      </c>
      <c r="AQ48" s="207">
        <f t="shared" si="246"/>
        <v>0</v>
      </c>
      <c r="AR48" s="1145">
        <f t="shared" si="247"/>
        <v>0</v>
      </c>
      <c r="AS48" s="469">
        <f t="shared" si="248"/>
        <v>0</v>
      </c>
      <c r="AT48" s="189">
        <f t="shared" si="262"/>
        <v>0</v>
      </c>
      <c r="AU48" s="383"/>
      <c r="AV48" s="383"/>
      <c r="AW48" s="383"/>
      <c r="AX48" s="1501"/>
      <c r="AY48" s="500"/>
      <c r="AZ48" s="189">
        <f t="shared" si="215"/>
        <v>13.672981602602132</v>
      </c>
      <c r="BA48" s="207">
        <f t="shared" si="249"/>
        <v>8.421904322908242</v>
      </c>
      <c r="BB48" s="207">
        <f t="shared" si="250"/>
        <v>5.2510772796938907</v>
      </c>
      <c r="BC48" s="207">
        <f t="shared" si="251"/>
        <v>0</v>
      </c>
      <c r="BD48" s="1145">
        <f t="shared" si="252"/>
        <v>0</v>
      </c>
      <c r="BE48" s="469">
        <f t="shared" si="253"/>
        <v>0</v>
      </c>
      <c r="BF48" s="189">
        <f t="shared" si="263"/>
        <v>0</v>
      </c>
      <c r="BG48" s="383"/>
      <c r="BH48" s="383"/>
      <c r="BI48" s="383"/>
      <c r="BJ48" s="1501"/>
      <c r="BK48" s="500"/>
      <c r="BL48" s="189">
        <f t="shared" si="227"/>
        <v>14.077715723707822</v>
      </c>
      <c r="BM48" s="207">
        <f t="shared" si="254"/>
        <v>8.6711970909695495</v>
      </c>
      <c r="BN48" s="207">
        <f t="shared" si="255"/>
        <v>5.4065186327382726</v>
      </c>
      <c r="BO48" s="207">
        <f t="shared" si="256"/>
        <v>0</v>
      </c>
      <c r="BP48" s="1145">
        <f t="shared" si="257"/>
        <v>0</v>
      </c>
      <c r="BQ48" s="469">
        <f t="shared" si="258"/>
        <v>0</v>
      </c>
      <c r="BR48" s="940">
        <f t="shared" si="8"/>
        <v>1.0000000000000002</v>
      </c>
      <c r="BS48" s="542">
        <f t="shared" si="9"/>
        <v>1.0396039603960396</v>
      </c>
      <c r="BT48" s="942">
        <f t="shared" si="4"/>
        <v>1.0236602233635574</v>
      </c>
      <c r="BU48" s="324">
        <f t="shared" si="59"/>
        <v>1.0296001055693715</v>
      </c>
      <c r="BV48" s="324">
        <f t="shared" si="60"/>
        <v>1.0295993928178113</v>
      </c>
      <c r="BW48" s="201">
        <f t="shared" si="61"/>
        <v>1.0296010140925418</v>
      </c>
      <c r="BX48" s="970"/>
    </row>
    <row r="49" spans="1:77" s="83" customFormat="1" ht="47.25" outlineLevel="1">
      <c r="A49" s="133"/>
      <c r="B49" s="130" t="s">
        <v>71</v>
      </c>
      <c r="C49" s="1507" t="s">
        <v>1</v>
      </c>
      <c r="D49" s="189">
        <f t="shared" si="198"/>
        <v>60.589999999999996</v>
      </c>
      <c r="E49" s="207">
        <v>56.12</v>
      </c>
      <c r="F49" s="207">
        <v>4.47</v>
      </c>
      <c r="G49" s="207"/>
      <c r="H49" s="1145"/>
      <c r="I49" s="469"/>
      <c r="J49" s="189">
        <f t="shared" si="259"/>
        <v>63.009</v>
      </c>
      <c r="K49" s="383">
        <v>37.658000000000001</v>
      </c>
      <c r="L49" s="383">
        <v>24.198</v>
      </c>
      <c r="M49" s="383"/>
      <c r="N49" s="1501">
        <v>1.153</v>
      </c>
      <c r="O49" s="500"/>
      <c r="P49" s="189">
        <f t="shared" si="200"/>
        <v>27.84</v>
      </c>
      <c r="Q49" s="207">
        <f>ROUND(25.92*[185]индексы!G8*[185]индексы!H8,2)</f>
        <v>27.84</v>
      </c>
      <c r="R49" s="207"/>
      <c r="S49" s="207"/>
      <c r="T49" s="1145"/>
      <c r="U49" s="469"/>
      <c r="V49" s="189">
        <f t="shared" si="260"/>
        <v>0</v>
      </c>
      <c r="W49" s="383"/>
      <c r="X49" s="383"/>
      <c r="Y49" s="383"/>
      <c r="Z49" s="1501"/>
      <c r="AA49" s="500"/>
      <c r="AB49" s="189">
        <f t="shared" si="202"/>
        <v>28.49868659446021</v>
      </c>
      <c r="AC49" s="207">
        <f t="shared" si="239"/>
        <v>28.49868659446021</v>
      </c>
      <c r="AD49" s="207">
        <f t="shared" si="240"/>
        <v>0</v>
      </c>
      <c r="AE49" s="207">
        <f t="shared" si="241"/>
        <v>0</v>
      </c>
      <c r="AF49" s="1145">
        <f t="shared" si="242"/>
        <v>0</v>
      </c>
      <c r="AG49" s="469">
        <f t="shared" si="243"/>
        <v>0</v>
      </c>
      <c r="AH49" s="189">
        <f t="shared" si="261"/>
        <v>0</v>
      </c>
      <c r="AI49" s="383"/>
      <c r="AJ49" s="383"/>
      <c r="AK49" s="383"/>
      <c r="AL49" s="1501"/>
      <c r="AM49" s="500"/>
      <c r="AN49" s="189">
        <f t="shared" si="209"/>
        <v>29.34224298914511</v>
      </c>
      <c r="AO49" s="207">
        <f t="shared" si="244"/>
        <v>29.34224298914511</v>
      </c>
      <c r="AP49" s="207">
        <f t="shared" si="245"/>
        <v>0</v>
      </c>
      <c r="AQ49" s="207">
        <f t="shared" si="246"/>
        <v>0</v>
      </c>
      <c r="AR49" s="1145">
        <f t="shared" si="247"/>
        <v>0</v>
      </c>
      <c r="AS49" s="469">
        <f t="shared" si="248"/>
        <v>0</v>
      </c>
      <c r="AT49" s="189">
        <f t="shared" si="262"/>
        <v>0</v>
      </c>
      <c r="AU49" s="383"/>
      <c r="AV49" s="383"/>
      <c r="AW49" s="383"/>
      <c r="AX49" s="1501"/>
      <c r="AY49" s="500"/>
      <c r="AZ49" s="189">
        <f t="shared" si="215"/>
        <v>30.210773914413789</v>
      </c>
      <c r="BA49" s="207">
        <f t="shared" si="249"/>
        <v>30.210773914413789</v>
      </c>
      <c r="BB49" s="207">
        <f t="shared" si="250"/>
        <v>0</v>
      </c>
      <c r="BC49" s="207">
        <f t="shared" si="251"/>
        <v>0</v>
      </c>
      <c r="BD49" s="1145">
        <f t="shared" si="252"/>
        <v>0</v>
      </c>
      <c r="BE49" s="469">
        <f t="shared" si="253"/>
        <v>0</v>
      </c>
      <c r="BF49" s="189">
        <f t="shared" si="263"/>
        <v>0</v>
      </c>
      <c r="BG49" s="383"/>
      <c r="BH49" s="383"/>
      <c r="BI49" s="383"/>
      <c r="BJ49" s="1501"/>
      <c r="BK49" s="500"/>
      <c r="BL49" s="189">
        <f t="shared" si="227"/>
        <v>31.105028606183765</v>
      </c>
      <c r="BM49" s="207">
        <f t="shared" si="254"/>
        <v>31.105028606183765</v>
      </c>
      <c r="BN49" s="207">
        <f t="shared" si="255"/>
        <v>0</v>
      </c>
      <c r="BO49" s="207">
        <f t="shared" si="256"/>
        <v>0</v>
      </c>
      <c r="BP49" s="1145">
        <f t="shared" si="257"/>
        <v>0</v>
      </c>
      <c r="BQ49" s="469">
        <f t="shared" si="258"/>
        <v>0</v>
      </c>
      <c r="BR49" s="940">
        <f t="shared" si="8"/>
        <v>0.44184164167023759</v>
      </c>
      <c r="BS49" s="542">
        <f t="shared" si="9"/>
        <v>0.45948176266710683</v>
      </c>
      <c r="BT49" s="942">
        <f t="shared" si="4"/>
        <v>1.0236597196285995</v>
      </c>
      <c r="BU49" s="324">
        <f t="shared" si="59"/>
        <v>1.0295998340796826</v>
      </c>
      <c r="BV49" s="324">
        <f t="shared" si="60"/>
        <v>1.0296000181577798</v>
      </c>
      <c r="BW49" s="201">
        <f t="shared" si="61"/>
        <v>1.0296005224594171</v>
      </c>
      <c r="BX49" s="969" t="s">
        <v>495</v>
      </c>
    </row>
    <row r="50" spans="1:77" s="83" customFormat="1" ht="18.75" outlineLevel="1">
      <c r="A50" s="133"/>
      <c r="B50" s="130" t="s">
        <v>279</v>
      </c>
      <c r="C50" s="1507" t="s">
        <v>1</v>
      </c>
      <c r="D50" s="189">
        <f t="shared" si="198"/>
        <v>116.37</v>
      </c>
      <c r="E50" s="207">
        <v>107.84</v>
      </c>
      <c r="F50" s="207">
        <v>8.5299999999999994</v>
      </c>
      <c r="G50" s="207"/>
      <c r="H50" s="1145"/>
      <c r="I50" s="469"/>
      <c r="J50" s="189">
        <f t="shared" si="259"/>
        <v>98.791000000000011</v>
      </c>
      <c r="K50" s="383">
        <f>52.666+6.365+0.02</f>
        <v>59.051000000000002</v>
      </c>
      <c r="L50" s="383">
        <f>33.842+4.09</f>
        <v>37.932000000000002</v>
      </c>
      <c r="M50" s="383"/>
      <c r="N50" s="1501">
        <f>1.613+0.195</f>
        <v>1.8080000000000001</v>
      </c>
      <c r="O50" s="500"/>
      <c r="P50" s="189">
        <f t="shared" si="200"/>
        <v>98.790999999999997</v>
      </c>
      <c r="Q50" s="1108">
        <f>K50+N50</f>
        <v>60.859000000000002</v>
      </c>
      <c r="R50" s="1108">
        <f>L50</f>
        <v>37.932000000000002</v>
      </c>
      <c r="S50" s="207"/>
      <c r="T50" s="1145"/>
      <c r="U50" s="469"/>
      <c r="V50" s="189">
        <f t="shared" si="260"/>
        <v>266.12174160000023</v>
      </c>
      <c r="W50" s="383">
        <v>159.04951919999968</v>
      </c>
      <c r="X50" s="383">
        <v>102.20118480000052</v>
      </c>
      <c r="Y50" s="383"/>
      <c r="Z50" s="1501">
        <v>4.8710376000000037</v>
      </c>
      <c r="AA50" s="500"/>
      <c r="AB50" s="189">
        <f t="shared" si="202"/>
        <v>101.12841711522799</v>
      </c>
      <c r="AC50" s="207">
        <f t="shared" si="239"/>
        <v>62.298906876876941</v>
      </c>
      <c r="AD50" s="207">
        <f t="shared" si="240"/>
        <v>38.829510238351048</v>
      </c>
      <c r="AE50" s="207">
        <f t="shared" si="241"/>
        <v>0</v>
      </c>
      <c r="AF50" s="1145">
        <f t="shared" si="242"/>
        <v>0</v>
      </c>
      <c r="AG50" s="469">
        <f t="shared" si="243"/>
        <v>0</v>
      </c>
      <c r="AH50" s="189">
        <f t="shared" si="261"/>
        <v>273.99894515136026</v>
      </c>
      <c r="AI50" s="383">
        <v>163.75738496831968</v>
      </c>
      <c r="AJ50" s="383">
        <v>105.22633987008054</v>
      </c>
      <c r="AK50" s="383"/>
      <c r="AL50" s="1501">
        <v>5.0152203129600039</v>
      </c>
      <c r="AM50" s="500"/>
      <c r="AN50" s="189">
        <f t="shared" si="209"/>
        <v>104.1218289317886</v>
      </c>
      <c r="AO50" s="207">
        <f t="shared" si="244"/>
        <v>64.142944183778098</v>
      </c>
      <c r="AP50" s="207">
        <f t="shared" si="245"/>
        <v>39.978884748010501</v>
      </c>
      <c r="AQ50" s="207">
        <f t="shared" si="246"/>
        <v>0</v>
      </c>
      <c r="AR50" s="1145">
        <f t="shared" si="247"/>
        <v>0</v>
      </c>
      <c r="AS50" s="469">
        <f t="shared" si="248"/>
        <v>0</v>
      </c>
      <c r="AT50" s="189">
        <f t="shared" si="262"/>
        <v>282.10931392784056</v>
      </c>
      <c r="AU50" s="383">
        <v>168.60460356338197</v>
      </c>
      <c r="AV50" s="383">
        <v>108.34103953023492</v>
      </c>
      <c r="AW50" s="383"/>
      <c r="AX50" s="1501">
        <v>5.1636708342236206</v>
      </c>
      <c r="AY50" s="500"/>
      <c r="AZ50" s="189">
        <f t="shared" si="215"/>
        <v>107.20377186174817</v>
      </c>
      <c r="BA50" s="207">
        <f t="shared" si="249"/>
        <v>66.041576496311379</v>
      </c>
      <c r="BB50" s="207">
        <f t="shared" si="250"/>
        <v>41.162195365436787</v>
      </c>
      <c r="BC50" s="207">
        <f t="shared" si="251"/>
        <v>0</v>
      </c>
      <c r="BD50" s="1145">
        <f t="shared" si="252"/>
        <v>0</v>
      </c>
      <c r="BE50" s="469">
        <f t="shared" si="253"/>
        <v>0</v>
      </c>
      <c r="BF50" s="189">
        <f t="shared" si="263"/>
        <v>290.45974962010462</v>
      </c>
      <c r="BG50" s="383">
        <v>173.59529982885809</v>
      </c>
      <c r="BH50" s="383">
        <v>111.54793430032989</v>
      </c>
      <c r="BI50" s="383"/>
      <c r="BJ50" s="1501">
        <v>5.3165154909166406</v>
      </c>
      <c r="BK50" s="500"/>
      <c r="BL50" s="189">
        <f t="shared" si="227"/>
        <v>110.37711221166541</v>
      </c>
      <c r="BM50" s="207">
        <f t="shared" si="254"/>
        <v>67.996441664645744</v>
      </c>
      <c r="BN50" s="207">
        <f t="shared" si="255"/>
        <v>42.380670547019655</v>
      </c>
      <c r="BO50" s="207">
        <f t="shared" si="256"/>
        <v>0</v>
      </c>
      <c r="BP50" s="1145">
        <f t="shared" si="257"/>
        <v>0</v>
      </c>
      <c r="BQ50" s="469">
        <f t="shared" si="258"/>
        <v>0</v>
      </c>
      <c r="BR50" s="940">
        <f t="shared" si="8"/>
        <v>0.99999999999999989</v>
      </c>
      <c r="BS50" s="542">
        <f t="shared" si="9"/>
        <v>0.84893872991320785</v>
      </c>
      <c r="BT50" s="942">
        <f t="shared" si="4"/>
        <v>1.0236602232513892</v>
      </c>
      <c r="BU50" s="324">
        <f t="shared" si="59"/>
        <v>1.0296001055089179</v>
      </c>
      <c r="BV50" s="324">
        <f t="shared" si="60"/>
        <v>1.0295993929570579</v>
      </c>
      <c r="BW50" s="201">
        <f t="shared" si="61"/>
        <v>1.029601013983068</v>
      </c>
      <c r="BX50" s="967" t="s">
        <v>493</v>
      </c>
    </row>
    <row r="51" spans="1:77" s="111" customFormat="1" ht="18.75">
      <c r="A51" s="114">
        <v>6</v>
      </c>
      <c r="B51" s="115" t="s">
        <v>78</v>
      </c>
      <c r="C51" s="1489" t="s">
        <v>1</v>
      </c>
      <c r="D51" s="189">
        <f t="shared" si="198"/>
        <v>0</v>
      </c>
      <c r="E51" s="190"/>
      <c r="F51" s="190"/>
      <c r="G51" s="190"/>
      <c r="H51" s="1135"/>
      <c r="I51" s="464"/>
      <c r="J51" s="189">
        <f t="shared" si="259"/>
        <v>0</v>
      </c>
      <c r="K51" s="232"/>
      <c r="L51" s="232"/>
      <c r="M51" s="232"/>
      <c r="N51" s="1141"/>
      <c r="O51" s="470"/>
      <c r="P51" s="189">
        <f t="shared" si="200"/>
        <v>0</v>
      </c>
      <c r="Q51" s="190">
        <f>ROUND(E51*[185]индексы!H8,2)</f>
        <v>0</v>
      </c>
      <c r="R51" s="190"/>
      <c r="S51" s="190"/>
      <c r="T51" s="1135"/>
      <c r="U51" s="464"/>
      <c r="V51" s="189">
        <f t="shared" si="260"/>
        <v>0</v>
      </c>
      <c r="W51" s="232"/>
      <c r="X51" s="232"/>
      <c r="Y51" s="232"/>
      <c r="Z51" s="1141"/>
      <c r="AA51" s="470"/>
      <c r="AB51" s="189">
        <f t="shared" si="202"/>
        <v>0</v>
      </c>
      <c r="AC51" s="190">
        <f t="shared" si="239"/>
        <v>0</v>
      </c>
      <c r="AD51" s="190">
        <f t="shared" si="240"/>
        <v>0</v>
      </c>
      <c r="AE51" s="190">
        <f t="shared" si="241"/>
        <v>0</v>
      </c>
      <c r="AF51" s="1135">
        <f t="shared" si="242"/>
        <v>0</v>
      </c>
      <c r="AG51" s="464">
        <f t="shared" si="243"/>
        <v>0</v>
      </c>
      <c r="AH51" s="189">
        <f t="shared" si="261"/>
        <v>0</v>
      </c>
      <c r="AI51" s="232"/>
      <c r="AJ51" s="232"/>
      <c r="AK51" s="232"/>
      <c r="AL51" s="1141"/>
      <c r="AM51" s="470"/>
      <c r="AN51" s="189">
        <f t="shared" si="209"/>
        <v>0</v>
      </c>
      <c r="AO51" s="190">
        <f t="shared" si="244"/>
        <v>0</v>
      </c>
      <c r="AP51" s="190">
        <f t="shared" si="245"/>
        <v>0</v>
      </c>
      <c r="AQ51" s="190">
        <f t="shared" si="246"/>
        <v>0</v>
      </c>
      <c r="AR51" s="1135">
        <f t="shared" si="247"/>
        <v>0</v>
      </c>
      <c r="AS51" s="464">
        <f t="shared" si="248"/>
        <v>0</v>
      </c>
      <c r="AT51" s="189">
        <f t="shared" si="262"/>
        <v>0</v>
      </c>
      <c r="AU51" s="232"/>
      <c r="AV51" s="232"/>
      <c r="AW51" s="232"/>
      <c r="AX51" s="1141"/>
      <c r="AY51" s="470"/>
      <c r="AZ51" s="189">
        <f t="shared" si="215"/>
        <v>0</v>
      </c>
      <c r="BA51" s="190">
        <f t="shared" si="249"/>
        <v>0</v>
      </c>
      <c r="BB51" s="190">
        <f t="shared" si="250"/>
        <v>0</v>
      </c>
      <c r="BC51" s="190">
        <f t="shared" si="251"/>
        <v>0</v>
      </c>
      <c r="BD51" s="1135">
        <f t="shared" si="252"/>
        <v>0</v>
      </c>
      <c r="BE51" s="464">
        <f t="shared" si="253"/>
        <v>0</v>
      </c>
      <c r="BF51" s="189">
        <f t="shared" si="263"/>
        <v>0</v>
      </c>
      <c r="BG51" s="232"/>
      <c r="BH51" s="232"/>
      <c r="BI51" s="232"/>
      <c r="BJ51" s="1141"/>
      <c r="BK51" s="470"/>
      <c r="BL51" s="189">
        <f t="shared" si="227"/>
        <v>0</v>
      </c>
      <c r="BM51" s="190">
        <f t="shared" si="254"/>
        <v>0</v>
      </c>
      <c r="BN51" s="190">
        <f t="shared" si="255"/>
        <v>0</v>
      </c>
      <c r="BO51" s="190">
        <f t="shared" si="256"/>
        <v>0</v>
      </c>
      <c r="BP51" s="1135">
        <f t="shared" si="257"/>
        <v>0</v>
      </c>
      <c r="BQ51" s="464">
        <f t="shared" si="258"/>
        <v>0</v>
      </c>
      <c r="BR51" s="940" t="str">
        <f t="shared" si="8"/>
        <v xml:space="preserve"> </v>
      </c>
      <c r="BS51" s="542" t="str">
        <f t="shared" si="9"/>
        <v xml:space="preserve"> </v>
      </c>
      <c r="BT51" s="942" t="str">
        <f t="shared" si="4"/>
        <v xml:space="preserve"> </v>
      </c>
      <c r="BU51" s="324" t="str">
        <f t="shared" si="59"/>
        <v xml:space="preserve"> </v>
      </c>
      <c r="BV51" s="324" t="str">
        <f t="shared" si="60"/>
        <v xml:space="preserve"> </v>
      </c>
      <c r="BW51" s="201" t="str">
        <f t="shared" si="61"/>
        <v xml:space="preserve"> </v>
      </c>
      <c r="BX51" s="970" t="s">
        <v>488</v>
      </c>
    </row>
    <row r="52" spans="1:77" s="111" customFormat="1" ht="18.75">
      <c r="A52" s="114" t="s">
        <v>37</v>
      </c>
      <c r="B52" s="115" t="s">
        <v>79</v>
      </c>
      <c r="C52" s="1489" t="s">
        <v>1</v>
      </c>
      <c r="D52" s="189">
        <f t="shared" si="198"/>
        <v>34.04</v>
      </c>
      <c r="E52" s="190">
        <v>31.54</v>
      </c>
      <c r="F52" s="190">
        <v>2.5</v>
      </c>
      <c r="G52" s="190"/>
      <c r="H52" s="1135"/>
      <c r="I52" s="464"/>
      <c r="J52" s="189">
        <f>K52+L52+M52+N52</f>
        <v>35.051000000000002</v>
      </c>
      <c r="K52" s="232">
        <v>20.948</v>
      </c>
      <c r="L52" s="232">
        <v>13.461</v>
      </c>
      <c r="M52" s="232"/>
      <c r="N52" s="1141">
        <v>0.64200000000000002</v>
      </c>
      <c r="O52" s="470"/>
      <c r="P52" s="189">
        <f t="shared" si="200"/>
        <v>35.051000000000002</v>
      </c>
      <c r="Q52" s="190">
        <f>K52+N52</f>
        <v>21.59</v>
      </c>
      <c r="R52" s="190">
        <f>L52</f>
        <v>13.461</v>
      </c>
      <c r="S52" s="190"/>
      <c r="T52" s="1135"/>
      <c r="U52" s="464"/>
      <c r="V52" s="189">
        <f>W52+X52+Y52+Z52</f>
        <v>36.088509600000002</v>
      </c>
      <c r="W52" s="232">
        <v>21.568060800000001</v>
      </c>
      <c r="X52" s="232">
        <v>13.859445600000001</v>
      </c>
      <c r="Y52" s="232"/>
      <c r="Z52" s="1141">
        <v>0.66100320000000001</v>
      </c>
      <c r="AA52" s="470"/>
      <c r="AB52" s="189">
        <f t="shared" si="202"/>
        <v>35.880314488784087</v>
      </c>
      <c r="AC52" s="190">
        <f t="shared" si="239"/>
        <v>22.100813346781464</v>
      </c>
      <c r="AD52" s="190">
        <f t="shared" si="240"/>
        <v>13.779501142002621</v>
      </c>
      <c r="AE52" s="190">
        <f t="shared" si="241"/>
        <v>0</v>
      </c>
      <c r="AF52" s="1135">
        <f t="shared" si="242"/>
        <v>0</v>
      </c>
      <c r="AG52" s="464">
        <f t="shared" si="243"/>
        <v>0</v>
      </c>
      <c r="AH52" s="189">
        <f>AI52+AJ52+AK52+AL52</f>
        <v>37.156729484160003</v>
      </c>
      <c r="AI52" s="232">
        <v>22.206475399680002</v>
      </c>
      <c r="AJ52" s="232">
        <v>14.269685189760002</v>
      </c>
      <c r="AK52" s="232"/>
      <c r="AL52" s="1141">
        <v>0.68056889472000004</v>
      </c>
      <c r="AM52" s="470"/>
      <c r="AN52" s="189">
        <f t="shared" si="209"/>
        <v>36.942375585331192</v>
      </c>
      <c r="AO52" s="190">
        <f t="shared" si="244"/>
        <v>22.754993754872231</v>
      </c>
      <c r="AP52" s="190">
        <f t="shared" si="245"/>
        <v>14.187381830458962</v>
      </c>
      <c r="AQ52" s="190">
        <f t="shared" si="246"/>
        <v>0</v>
      </c>
      <c r="AR52" s="1135">
        <f t="shared" si="247"/>
        <v>0</v>
      </c>
      <c r="AS52" s="464">
        <f t="shared" si="248"/>
        <v>0</v>
      </c>
      <c r="AT52" s="189">
        <f>AU52+AV52+AW52+AX52</f>
        <v>38.256568676891149</v>
      </c>
      <c r="AU52" s="232">
        <v>22.863787071510533</v>
      </c>
      <c r="AV52" s="232">
        <v>14.692067871376899</v>
      </c>
      <c r="AW52" s="232"/>
      <c r="AX52" s="1141">
        <v>0.70071373400371206</v>
      </c>
      <c r="AY52" s="470"/>
      <c r="AZ52" s="189">
        <f t="shared" si="215"/>
        <v>38.035847472338887</v>
      </c>
      <c r="BA52" s="190">
        <f t="shared" si="249"/>
        <v>23.428541983196613</v>
      </c>
      <c r="BB52" s="190">
        <f t="shared" si="250"/>
        <v>14.60730548914227</v>
      </c>
      <c r="BC52" s="190">
        <f t="shared" si="251"/>
        <v>0</v>
      </c>
      <c r="BD52" s="1135">
        <f t="shared" si="252"/>
        <v>0</v>
      </c>
      <c r="BE52" s="464">
        <f t="shared" si="253"/>
        <v>0</v>
      </c>
      <c r="BF52" s="189">
        <f>BG52+BH52+BI52+BJ52</f>
        <v>39.388963109727122</v>
      </c>
      <c r="BG52" s="232">
        <v>23.540555168827247</v>
      </c>
      <c r="BH52" s="232">
        <v>15.126953080369656</v>
      </c>
      <c r="BI52" s="232"/>
      <c r="BJ52" s="1141">
        <v>0.72145486053022201</v>
      </c>
      <c r="BK52" s="470"/>
      <c r="BL52" s="189">
        <f t="shared" si="227"/>
        <v>39.161747129037771</v>
      </c>
      <c r="BM52" s="190">
        <f t="shared" si="254"/>
        <v>24.122039066361623</v>
      </c>
      <c r="BN52" s="190">
        <f t="shared" si="255"/>
        <v>15.039708062676146</v>
      </c>
      <c r="BO52" s="190">
        <f t="shared" si="256"/>
        <v>0</v>
      </c>
      <c r="BP52" s="1135">
        <f t="shared" si="257"/>
        <v>0</v>
      </c>
      <c r="BQ52" s="464">
        <f t="shared" si="258"/>
        <v>0</v>
      </c>
      <c r="BR52" s="940">
        <f t="shared" si="8"/>
        <v>1</v>
      </c>
      <c r="BS52" s="542">
        <f t="shared" si="9"/>
        <v>1.0297003525264397</v>
      </c>
      <c r="BT52" s="942">
        <f t="shared" si="4"/>
        <v>1.0236602233540866</v>
      </c>
      <c r="BU52" s="324">
        <f t="shared" si="59"/>
        <v>1.029600105564267</v>
      </c>
      <c r="BV52" s="324">
        <f t="shared" si="60"/>
        <v>1.029599392829569</v>
      </c>
      <c r="BW52" s="201">
        <f t="shared" si="61"/>
        <v>1.0296010140832981</v>
      </c>
      <c r="BX52" s="969" t="s">
        <v>489</v>
      </c>
    </row>
    <row r="53" spans="1:77" s="111" customFormat="1" ht="18.75">
      <c r="A53" s="114" t="s">
        <v>60</v>
      </c>
      <c r="B53" s="115" t="s">
        <v>288</v>
      </c>
      <c r="C53" s="1489" t="s">
        <v>1</v>
      </c>
      <c r="D53" s="189">
        <f t="shared" si="198"/>
        <v>0</v>
      </c>
      <c r="E53" s="190"/>
      <c r="F53" s="190"/>
      <c r="G53" s="190"/>
      <c r="H53" s="1135"/>
      <c r="I53" s="464"/>
      <c r="J53" s="189">
        <f t="shared" ref="J53:J54" si="264">K53+L53+M53+N53</f>
        <v>0</v>
      </c>
      <c r="K53" s="232"/>
      <c r="L53" s="232"/>
      <c r="M53" s="232"/>
      <c r="N53" s="1141"/>
      <c r="O53" s="470"/>
      <c r="P53" s="189">
        <f t="shared" si="200"/>
        <v>0</v>
      </c>
      <c r="Q53" s="190"/>
      <c r="R53" s="190"/>
      <c r="S53" s="190"/>
      <c r="T53" s="1135"/>
      <c r="U53" s="464"/>
      <c r="V53" s="189">
        <f t="shared" ref="V53:V54" si="265">W53+X53+Y53+Z53</f>
        <v>0</v>
      </c>
      <c r="W53" s="232"/>
      <c r="X53" s="232"/>
      <c r="Y53" s="232"/>
      <c r="Z53" s="1141"/>
      <c r="AA53" s="470"/>
      <c r="AB53" s="189">
        <f t="shared" si="202"/>
        <v>0</v>
      </c>
      <c r="AC53" s="190">
        <f t="shared" si="239"/>
        <v>0</v>
      </c>
      <c r="AD53" s="190">
        <f t="shared" si="240"/>
        <v>0</v>
      </c>
      <c r="AE53" s="190">
        <f t="shared" si="241"/>
        <v>0</v>
      </c>
      <c r="AF53" s="1135">
        <f t="shared" si="242"/>
        <v>0</v>
      </c>
      <c r="AG53" s="464">
        <f t="shared" si="243"/>
        <v>0</v>
      </c>
      <c r="AH53" s="189">
        <f t="shared" ref="AH53:AH54" si="266">AI53+AJ53+AK53+AL53</f>
        <v>0</v>
      </c>
      <c r="AI53" s="232"/>
      <c r="AJ53" s="232"/>
      <c r="AK53" s="232"/>
      <c r="AL53" s="1141"/>
      <c r="AM53" s="470"/>
      <c r="AN53" s="189">
        <f t="shared" si="209"/>
        <v>0</v>
      </c>
      <c r="AO53" s="190">
        <f t="shared" si="244"/>
        <v>0</v>
      </c>
      <c r="AP53" s="190">
        <f t="shared" si="245"/>
        <v>0</v>
      </c>
      <c r="AQ53" s="190">
        <f t="shared" si="246"/>
        <v>0</v>
      </c>
      <c r="AR53" s="1135">
        <f t="shared" si="247"/>
        <v>0</v>
      </c>
      <c r="AS53" s="464">
        <f t="shared" si="248"/>
        <v>0</v>
      </c>
      <c r="AT53" s="189">
        <f t="shared" ref="AT53:AT54" si="267">AU53+AV53+AW53+AX53</f>
        <v>0</v>
      </c>
      <c r="AU53" s="232"/>
      <c r="AV53" s="232"/>
      <c r="AW53" s="232"/>
      <c r="AX53" s="1141"/>
      <c r="AY53" s="470"/>
      <c r="AZ53" s="189">
        <f t="shared" si="215"/>
        <v>0</v>
      </c>
      <c r="BA53" s="190">
        <f t="shared" si="249"/>
        <v>0</v>
      </c>
      <c r="BB53" s="190">
        <f t="shared" si="250"/>
        <v>0</v>
      </c>
      <c r="BC53" s="190">
        <f t="shared" si="251"/>
        <v>0</v>
      </c>
      <c r="BD53" s="1135">
        <f t="shared" si="252"/>
        <v>0</v>
      </c>
      <c r="BE53" s="464">
        <f t="shared" si="253"/>
        <v>0</v>
      </c>
      <c r="BF53" s="189">
        <f t="shared" ref="BF53:BF54" si="268">BG53+BH53+BI53+BJ53</f>
        <v>0</v>
      </c>
      <c r="BG53" s="232"/>
      <c r="BH53" s="232"/>
      <c r="BI53" s="232"/>
      <c r="BJ53" s="1141"/>
      <c r="BK53" s="470"/>
      <c r="BL53" s="189">
        <f t="shared" si="227"/>
        <v>0</v>
      </c>
      <c r="BM53" s="190">
        <f t="shared" si="254"/>
        <v>0</v>
      </c>
      <c r="BN53" s="190">
        <f t="shared" si="255"/>
        <v>0</v>
      </c>
      <c r="BO53" s="190">
        <f t="shared" si="256"/>
        <v>0</v>
      </c>
      <c r="BP53" s="1135">
        <f t="shared" si="257"/>
        <v>0</v>
      </c>
      <c r="BQ53" s="464">
        <f t="shared" si="258"/>
        <v>0</v>
      </c>
      <c r="BR53" s="940" t="str">
        <f t="shared" si="8"/>
        <v xml:space="preserve"> </v>
      </c>
      <c r="BS53" s="542" t="str">
        <f t="shared" si="9"/>
        <v xml:space="preserve"> </v>
      </c>
      <c r="BT53" s="942" t="str">
        <f t="shared" si="4"/>
        <v xml:space="preserve"> </v>
      </c>
      <c r="BU53" s="324" t="str">
        <f t="shared" si="59"/>
        <v xml:space="preserve"> </v>
      </c>
      <c r="BV53" s="324" t="str">
        <f t="shared" si="60"/>
        <v xml:space="preserve"> </v>
      </c>
      <c r="BW53" s="201" t="str">
        <f t="shared" si="61"/>
        <v xml:space="preserve"> </v>
      </c>
      <c r="BX53" s="970"/>
    </row>
    <row r="54" spans="1:77" s="111" customFormat="1" ht="18.75">
      <c r="A54" s="114" t="s">
        <v>73</v>
      </c>
      <c r="B54" s="115" t="s">
        <v>127</v>
      </c>
      <c r="C54" s="1489" t="s">
        <v>1</v>
      </c>
      <c r="D54" s="189">
        <f t="shared" si="198"/>
        <v>38.31</v>
      </c>
      <c r="E54" s="190">
        <v>35.5</v>
      </c>
      <c r="F54" s="190">
        <v>2.81</v>
      </c>
      <c r="G54" s="190"/>
      <c r="H54" s="1135"/>
      <c r="I54" s="464"/>
      <c r="J54" s="189">
        <f t="shared" si="264"/>
        <v>125.10000000000001</v>
      </c>
      <c r="K54" s="232">
        <v>74.766999999999996</v>
      </c>
      <c r="L54" s="232">
        <v>48.042999999999999</v>
      </c>
      <c r="M54" s="232"/>
      <c r="N54" s="1141">
        <v>2.29</v>
      </c>
      <c r="O54" s="470"/>
      <c r="P54" s="189">
        <f t="shared" si="200"/>
        <v>121.5</v>
      </c>
      <c r="Q54" s="1118">
        <f>ROUND(10.125*12,2)</f>
        <v>121.5</v>
      </c>
      <c r="R54" s="190"/>
      <c r="S54" s="190"/>
      <c r="T54" s="1135"/>
      <c r="U54" s="464"/>
      <c r="V54" s="189">
        <f t="shared" si="265"/>
        <v>128.80296000000001</v>
      </c>
      <c r="W54" s="232">
        <v>76.980103200000002</v>
      </c>
      <c r="X54" s="232">
        <v>49.465072800000002</v>
      </c>
      <c r="Y54" s="232"/>
      <c r="Z54" s="1141">
        <v>2.3577840000000001</v>
      </c>
      <c r="AA54" s="470"/>
      <c r="AB54" s="189">
        <f t="shared" si="202"/>
        <v>124.37465593487485</v>
      </c>
      <c r="AC54" s="190">
        <f t="shared" si="239"/>
        <v>124.37465593487485</v>
      </c>
      <c r="AD54" s="190">
        <f t="shared" si="240"/>
        <v>0</v>
      </c>
      <c r="AE54" s="190">
        <f t="shared" si="241"/>
        <v>0</v>
      </c>
      <c r="AF54" s="1135">
        <f t="shared" si="242"/>
        <v>0</v>
      </c>
      <c r="AG54" s="464">
        <f t="shared" si="243"/>
        <v>0</v>
      </c>
      <c r="AH54" s="189">
        <f t="shared" si="266"/>
        <v>132.61552761600001</v>
      </c>
      <c r="AI54" s="232">
        <v>79.258714254720005</v>
      </c>
      <c r="AJ54" s="232">
        <v>50.929238954880006</v>
      </c>
      <c r="AK54" s="232"/>
      <c r="AL54" s="1141">
        <v>2.4275744064000002</v>
      </c>
      <c r="AM54" s="470"/>
      <c r="AN54" s="189">
        <f t="shared" si="209"/>
        <v>128.05612511426477</v>
      </c>
      <c r="AO54" s="190">
        <f t="shared" si="244"/>
        <v>128.05612511426477</v>
      </c>
      <c r="AP54" s="190">
        <f t="shared" si="245"/>
        <v>0</v>
      </c>
      <c r="AQ54" s="190">
        <f t="shared" si="246"/>
        <v>0</v>
      </c>
      <c r="AR54" s="1135">
        <f t="shared" si="247"/>
        <v>0</v>
      </c>
      <c r="AS54" s="809">
        <f t="shared" si="248"/>
        <v>0</v>
      </c>
      <c r="AT54" s="189">
        <f t="shared" si="267"/>
        <v>136.54094723343363</v>
      </c>
      <c r="AU54" s="232">
        <v>81.604772196659724</v>
      </c>
      <c r="AV54" s="232">
        <v>52.436744427944461</v>
      </c>
      <c r="AW54" s="232"/>
      <c r="AX54" s="1141">
        <v>2.4994306088294405</v>
      </c>
      <c r="AY54" s="470"/>
      <c r="AZ54" s="189">
        <f t="shared" si="215"/>
        <v>131.84658874286191</v>
      </c>
      <c r="BA54" s="190">
        <f t="shared" si="249"/>
        <v>131.84658874286191</v>
      </c>
      <c r="BB54" s="190">
        <f t="shared" si="250"/>
        <v>0</v>
      </c>
      <c r="BC54" s="190">
        <f t="shared" si="251"/>
        <v>0</v>
      </c>
      <c r="BD54" s="1135">
        <f t="shared" si="252"/>
        <v>0</v>
      </c>
      <c r="BE54" s="464">
        <f t="shared" si="253"/>
        <v>0</v>
      </c>
      <c r="BF54" s="189">
        <f t="shared" si="268"/>
        <v>140.58255927154329</v>
      </c>
      <c r="BG54" s="232">
        <v>84.020273453680858</v>
      </c>
      <c r="BH54" s="232">
        <v>53.98887206301162</v>
      </c>
      <c r="BI54" s="232"/>
      <c r="BJ54" s="1141">
        <v>2.573413754850792</v>
      </c>
      <c r="BK54" s="470"/>
      <c r="BL54" s="189">
        <f t="shared" si="227"/>
        <v>135.74931665414252</v>
      </c>
      <c r="BM54" s="190">
        <f t="shared" si="254"/>
        <v>135.74931665414252</v>
      </c>
      <c r="BN54" s="190">
        <f t="shared" si="255"/>
        <v>0</v>
      </c>
      <c r="BO54" s="190">
        <f t="shared" si="256"/>
        <v>0</v>
      </c>
      <c r="BP54" s="1135">
        <f t="shared" si="257"/>
        <v>0</v>
      </c>
      <c r="BQ54" s="464">
        <f t="shared" si="258"/>
        <v>0</v>
      </c>
      <c r="BR54" s="940">
        <f t="shared" si="8"/>
        <v>0.97122302158273377</v>
      </c>
      <c r="BS54" s="542">
        <f t="shared" si="9"/>
        <v>3.1714956930305402</v>
      </c>
      <c r="BT54" s="942">
        <f t="shared" si="4"/>
        <v>1.0236597196285997</v>
      </c>
      <c r="BU54" s="324">
        <f t="shared" si="59"/>
        <v>1.0295998340796828</v>
      </c>
      <c r="BV54" s="324">
        <f t="shared" si="60"/>
        <v>1.0296000181577796</v>
      </c>
      <c r="BW54" s="201">
        <f t="shared" si="61"/>
        <v>1.0296005224594171</v>
      </c>
      <c r="BX54" s="970" t="s">
        <v>496</v>
      </c>
      <c r="BY54" s="121"/>
    </row>
    <row r="55" spans="1:77" s="111" customFormat="1" ht="31.5">
      <c r="A55" s="114" t="s">
        <v>74</v>
      </c>
      <c r="B55" s="115" t="s">
        <v>165</v>
      </c>
      <c r="C55" s="1489" t="s">
        <v>1</v>
      </c>
      <c r="D55" s="189">
        <f t="shared" si="198"/>
        <v>132.64000000000001</v>
      </c>
      <c r="E55" s="208">
        <f>SUM(E56:E58)</f>
        <v>122.83000000000001</v>
      </c>
      <c r="F55" s="208">
        <f>SUM(F56:F58)</f>
        <v>9.81</v>
      </c>
      <c r="G55" s="208">
        <f>SUM(G56:G58)</f>
        <v>0</v>
      </c>
      <c r="H55" s="1151">
        <f t="shared" ref="H55" si="269">SUM(H56:H58)</f>
        <v>0</v>
      </c>
      <c r="I55" s="468">
        <f>SUM(I56:I58)</f>
        <v>0</v>
      </c>
      <c r="J55" s="189">
        <f>K55+L55+M55+N55</f>
        <v>158.17000000000002</v>
      </c>
      <c r="K55" s="208">
        <f>SUM(K56:K58)</f>
        <v>94.532632000000007</v>
      </c>
      <c r="L55" s="208">
        <f t="shared" ref="L55:O55" si="270">SUM(L56:L58)</f>
        <v>60.742440000000002</v>
      </c>
      <c r="M55" s="208">
        <f t="shared" si="270"/>
        <v>0</v>
      </c>
      <c r="N55" s="1151">
        <f t="shared" si="270"/>
        <v>2.8949280000000002</v>
      </c>
      <c r="O55" s="1152">
        <f t="shared" si="270"/>
        <v>0</v>
      </c>
      <c r="P55" s="189">
        <f t="shared" si="200"/>
        <v>139.03</v>
      </c>
      <c r="Q55" s="208">
        <f>SUM(Q56:Q58)</f>
        <v>139.03</v>
      </c>
      <c r="R55" s="208">
        <f>SUM(R56:R58)</f>
        <v>0</v>
      </c>
      <c r="S55" s="208">
        <f>SUM(S56:S58)</f>
        <v>0</v>
      </c>
      <c r="T55" s="1151">
        <f t="shared" ref="T55" si="271">SUM(T56:T58)</f>
        <v>0</v>
      </c>
      <c r="U55" s="468">
        <f>SUM(U56:U58)</f>
        <v>0</v>
      </c>
      <c r="V55" s="189">
        <f>W55+X55+Y55+Z55</f>
        <v>0</v>
      </c>
      <c r="W55" s="208">
        <f>SUM(W56:W58)</f>
        <v>0</v>
      </c>
      <c r="X55" s="208">
        <f t="shared" ref="X55:AA55" si="272">SUM(X56:X58)</f>
        <v>0</v>
      </c>
      <c r="Y55" s="208">
        <f t="shared" si="272"/>
        <v>0</v>
      </c>
      <c r="Z55" s="1151">
        <f t="shared" si="272"/>
        <v>0</v>
      </c>
      <c r="AA55" s="1152">
        <f t="shared" si="272"/>
        <v>0</v>
      </c>
      <c r="AB55" s="189">
        <f t="shared" si="202"/>
        <v>142.31941081996419</v>
      </c>
      <c r="AC55" s="208">
        <f>SUM(AC56:AC58)</f>
        <v>142.31941081996419</v>
      </c>
      <c r="AD55" s="208">
        <f t="shared" ref="AD55:AG55" si="273">SUM(AD56:AD58)</f>
        <v>0</v>
      </c>
      <c r="AE55" s="208">
        <f t="shared" si="273"/>
        <v>0</v>
      </c>
      <c r="AF55" s="1151">
        <f t="shared" si="273"/>
        <v>0</v>
      </c>
      <c r="AG55" s="1152">
        <f t="shared" si="273"/>
        <v>0</v>
      </c>
      <c r="AH55" s="189">
        <f>AI55+AJ55+AK55+AL55</f>
        <v>0</v>
      </c>
      <c r="AI55" s="208">
        <f>SUM(AI56:AI58)</f>
        <v>0</v>
      </c>
      <c r="AJ55" s="208">
        <f t="shared" ref="AJ55:AM55" si="274">SUM(AJ56:AJ58)</f>
        <v>0</v>
      </c>
      <c r="AK55" s="208">
        <f t="shared" si="274"/>
        <v>0</v>
      </c>
      <c r="AL55" s="1151">
        <f t="shared" si="274"/>
        <v>0</v>
      </c>
      <c r="AM55" s="468">
        <f t="shared" si="274"/>
        <v>0</v>
      </c>
      <c r="AN55" s="189">
        <f t="shared" si="209"/>
        <v>146.53204176655333</v>
      </c>
      <c r="AO55" s="208">
        <f t="shared" ref="AO55:AS55" si="275">SUM(AO56:AO58)</f>
        <v>146.53204176655333</v>
      </c>
      <c r="AP55" s="208">
        <f t="shared" si="275"/>
        <v>0</v>
      </c>
      <c r="AQ55" s="208">
        <f t="shared" si="275"/>
        <v>0</v>
      </c>
      <c r="AR55" s="1151">
        <f t="shared" si="275"/>
        <v>0</v>
      </c>
      <c r="AS55" s="468">
        <f t="shared" si="275"/>
        <v>0</v>
      </c>
      <c r="AT55" s="189">
        <f>AU55+AV55+AW55+AX55</f>
        <v>0</v>
      </c>
      <c r="AU55" s="208">
        <f>SUM(AU56:AU58)</f>
        <v>0</v>
      </c>
      <c r="AV55" s="208">
        <f t="shared" ref="AV55:AY55" si="276">SUM(AV56:AV58)</f>
        <v>0</v>
      </c>
      <c r="AW55" s="208">
        <f t="shared" si="276"/>
        <v>0</v>
      </c>
      <c r="AX55" s="1151">
        <f t="shared" si="276"/>
        <v>0</v>
      </c>
      <c r="AY55" s="468">
        <f t="shared" si="276"/>
        <v>0</v>
      </c>
      <c r="AZ55" s="189">
        <f t="shared" si="215"/>
        <v>150.86939286353984</v>
      </c>
      <c r="BA55" s="208">
        <f>SUM(BA56:BA58)</f>
        <v>150.86939286353984</v>
      </c>
      <c r="BB55" s="208">
        <f t="shared" ref="BB55:BE55" si="277">SUM(BB56:BB58)</f>
        <v>0</v>
      </c>
      <c r="BC55" s="208">
        <f t="shared" si="277"/>
        <v>0</v>
      </c>
      <c r="BD55" s="1151">
        <f t="shared" si="277"/>
        <v>0</v>
      </c>
      <c r="BE55" s="1152">
        <f t="shared" si="277"/>
        <v>0</v>
      </c>
      <c r="BF55" s="189">
        <f>BG55+BH55+BI55+BJ55</f>
        <v>0</v>
      </c>
      <c r="BG55" s="208">
        <f>SUM(BG56:BG58)</f>
        <v>0</v>
      </c>
      <c r="BH55" s="208">
        <f t="shared" ref="BH55:BK55" si="278">SUM(BH56:BH58)</f>
        <v>0</v>
      </c>
      <c r="BI55" s="208">
        <f t="shared" si="278"/>
        <v>0</v>
      </c>
      <c r="BJ55" s="1151">
        <f t="shared" si="278"/>
        <v>0</v>
      </c>
      <c r="BK55" s="468">
        <f t="shared" si="278"/>
        <v>0</v>
      </c>
      <c r="BL55" s="189">
        <f t="shared" si="227"/>
        <v>155.33520571543565</v>
      </c>
      <c r="BM55" s="208">
        <f>SUM(BM56:BM58)</f>
        <v>155.33520571543565</v>
      </c>
      <c r="BN55" s="208">
        <f t="shared" ref="BN55:BQ55" si="279">SUM(BN56:BN58)</f>
        <v>0</v>
      </c>
      <c r="BO55" s="208">
        <f t="shared" si="279"/>
        <v>0</v>
      </c>
      <c r="BP55" s="1151">
        <f t="shared" si="279"/>
        <v>0</v>
      </c>
      <c r="BQ55" s="1152">
        <f t="shared" si="279"/>
        <v>0</v>
      </c>
      <c r="BR55" s="940">
        <f t="shared" si="8"/>
        <v>0.87899095909464497</v>
      </c>
      <c r="BS55" s="542">
        <f t="shared" si="9"/>
        <v>1.0481755126658623</v>
      </c>
      <c r="BT55" s="942">
        <f t="shared" si="4"/>
        <v>1.0236597196285995</v>
      </c>
      <c r="BU55" s="324">
        <f t="shared" si="59"/>
        <v>1.0295998340796828</v>
      </c>
      <c r="BV55" s="324">
        <f t="shared" si="60"/>
        <v>1.0296000181577796</v>
      </c>
      <c r="BW55" s="201">
        <f t="shared" si="61"/>
        <v>1.0296005224594169</v>
      </c>
      <c r="BX55" s="970"/>
    </row>
    <row r="56" spans="1:77" s="83" customFormat="1" ht="18.75" outlineLevel="1">
      <c r="A56" s="133"/>
      <c r="B56" s="130" t="s">
        <v>281</v>
      </c>
      <c r="C56" s="1507" t="s">
        <v>1</v>
      </c>
      <c r="D56" s="189">
        <f t="shared" si="198"/>
        <v>97.62</v>
      </c>
      <c r="E56" s="207">
        <v>90.42</v>
      </c>
      <c r="F56" s="207">
        <v>7.2</v>
      </c>
      <c r="G56" s="207"/>
      <c r="H56" s="1145"/>
      <c r="I56" s="469"/>
      <c r="J56" s="189">
        <f t="shared" ref="J56" si="280">K56+L56+M56+N56</f>
        <v>116.22999999999999</v>
      </c>
      <c r="K56" s="383">
        <v>69.465999999999994</v>
      </c>
      <c r="L56" s="383">
        <v>44.637</v>
      </c>
      <c r="M56" s="1501"/>
      <c r="N56" s="1501">
        <v>2.1269999999999998</v>
      </c>
      <c r="O56" s="500"/>
      <c r="P56" s="189">
        <f t="shared" si="200"/>
        <v>98.8</v>
      </c>
      <c r="Q56" s="207">
        <f>96+2.8</f>
        <v>98.8</v>
      </c>
      <c r="R56" s="207"/>
      <c r="S56" s="207"/>
      <c r="T56" s="1145"/>
      <c r="U56" s="469"/>
      <c r="V56" s="189">
        <f t="shared" ref="V56" si="281">W56+X56+Y56+Z56</f>
        <v>0</v>
      </c>
      <c r="W56" s="383"/>
      <c r="X56" s="383"/>
      <c r="Y56" s="1501"/>
      <c r="Z56" s="1501"/>
      <c r="AA56" s="500"/>
      <c r="AB56" s="189">
        <f t="shared" si="202"/>
        <v>101.13758029930563</v>
      </c>
      <c r="AC56" s="207">
        <f t="shared" ref="AC56:AC58" si="282">IF($AC$21&gt;0,Q56/$Q$21*$AC$21,0)</f>
        <v>101.13758029930563</v>
      </c>
      <c r="AD56" s="207">
        <f t="shared" ref="AD56:AD58" si="283">IF($AD$21&gt;0,R56/$R$21*$AD$21,0)</f>
        <v>0</v>
      </c>
      <c r="AE56" s="207">
        <f t="shared" ref="AE56:AE58" si="284">IF($AE$21&gt;0,S56/$S$21*$AE$21,0)</f>
        <v>0</v>
      </c>
      <c r="AF56" s="1145">
        <f t="shared" ref="AF56:AF58" si="285">IF($AF$21&gt;0,T56/$T$21*$AF$21,0)</f>
        <v>0</v>
      </c>
      <c r="AG56" s="469">
        <f t="shared" ref="AG56:AG58" si="286">IF($AG$21&gt;0,U56/$U$21*$AG$21,0)</f>
        <v>0</v>
      </c>
      <c r="AH56" s="189">
        <f t="shared" ref="AH56" si="287">AI56+AJ56+AK56+AL56</f>
        <v>0</v>
      </c>
      <c r="AI56" s="383"/>
      <c r="AJ56" s="383"/>
      <c r="AK56" s="1501"/>
      <c r="AL56" s="1501"/>
      <c r="AM56" s="500"/>
      <c r="AN56" s="189">
        <f t="shared" si="209"/>
        <v>104.13123589538566</v>
      </c>
      <c r="AO56" s="207">
        <f t="shared" ref="AO56:AO58" si="288">IF($AO$21&gt;0,AC56/$AC$21*$AO$21,0)</f>
        <v>104.13123589538566</v>
      </c>
      <c r="AP56" s="207">
        <f t="shared" ref="AP56:AP58" si="289">IF($AP$21&gt;0,AD56/$AD$21*$AP$21,0)</f>
        <v>0</v>
      </c>
      <c r="AQ56" s="207">
        <f t="shared" ref="AQ56:AQ58" si="290">IF($AQ$21&gt;0,AE56/$AE$21*$AQ$21,0)</f>
        <v>0</v>
      </c>
      <c r="AR56" s="1145">
        <f t="shared" ref="AR56:AR58" si="291">IF($AR$21&gt;0,AF56/$AF$21*$AR$21,0)</f>
        <v>0</v>
      </c>
      <c r="AS56" s="469">
        <f t="shared" ref="AS56:AS58" si="292">IF($AS$21&gt;0,AG56/$AG$21*$AS$21,0)</f>
        <v>0</v>
      </c>
      <c r="AT56" s="189">
        <f t="shared" ref="AT56" si="293">AU56+AV56+AW56+AX56</f>
        <v>0</v>
      </c>
      <c r="AU56" s="383"/>
      <c r="AV56" s="383"/>
      <c r="AW56" s="1501"/>
      <c r="AX56" s="1501"/>
      <c r="AY56" s="500"/>
      <c r="AZ56" s="189">
        <f t="shared" si="215"/>
        <v>107.21352236868111</v>
      </c>
      <c r="BA56" s="207">
        <f t="shared" ref="BA56:BA58" si="294">IF($BA$21&gt;0,AO56/$AO$21*$BA$21,0)</f>
        <v>107.21352236868111</v>
      </c>
      <c r="BB56" s="207">
        <f t="shared" ref="BB56:BB57" si="295">IF($BB$21&gt;0,AP56/$AP$21*$BB$21,0)</f>
        <v>0</v>
      </c>
      <c r="BC56" s="207">
        <f t="shared" ref="BC56:BC58" si="296">IF($BC$21&gt;0,AQ56/$AQ$21*$BC$21,0)</f>
        <v>0</v>
      </c>
      <c r="BD56" s="1145">
        <f t="shared" ref="BD56:BD58" si="297">IF($BD$21&gt;0,AR56/$AR$21*$BD$21,0)</f>
        <v>0</v>
      </c>
      <c r="BE56" s="469">
        <f t="shared" ref="BE56:BE58" si="298">IF($BE$21&gt;0,AS56/$AS$21*$BE$21,0)</f>
        <v>0</v>
      </c>
      <c r="BF56" s="189">
        <f t="shared" ref="BF56" si="299">BG56+BH56+BI56+BJ56</f>
        <v>0</v>
      </c>
      <c r="BG56" s="383"/>
      <c r="BH56" s="383"/>
      <c r="BI56" s="1501"/>
      <c r="BJ56" s="1501"/>
      <c r="BK56" s="500"/>
      <c r="BL56" s="189">
        <f t="shared" si="227"/>
        <v>110.38709864550847</v>
      </c>
      <c r="BM56" s="207">
        <f t="shared" ref="BM56:BM58" si="300">IF($BM$21&gt;0,BA56/$BA$21*$BM$21,0)</f>
        <v>110.38709864550847</v>
      </c>
      <c r="BN56" s="207">
        <f t="shared" ref="BN56:BN58" si="301">IF($BN$21&gt;0,BB56/$BB$21*$BN$21,0)</f>
        <v>0</v>
      </c>
      <c r="BO56" s="207">
        <f t="shared" ref="BO56:BO58" si="302">IF($BO$21&gt;0,BC56/$BC$21*$BO$21,0)</f>
        <v>0</v>
      </c>
      <c r="BP56" s="1145">
        <f t="shared" ref="BP56:BP58" si="303">IF($BP$21&gt;0,BD56/$BD$21*$BP$21,0)</f>
        <v>0</v>
      </c>
      <c r="BQ56" s="811">
        <f t="shared" ref="BQ56:BQ58" si="304">IF($BQ$21&gt;0,BE56/$BE$21*$BQ$21,0)</f>
        <v>0</v>
      </c>
      <c r="BR56" s="940">
        <f t="shared" si="8"/>
        <v>0.85003871633829486</v>
      </c>
      <c r="BS56" s="542">
        <f t="shared" si="9"/>
        <v>1.0120876869493955</v>
      </c>
      <c r="BT56" s="942">
        <f t="shared" si="4"/>
        <v>1.0236597196285995</v>
      </c>
      <c r="BU56" s="324">
        <f t="shared" si="59"/>
        <v>1.0295998340796828</v>
      </c>
      <c r="BV56" s="324">
        <f t="shared" si="60"/>
        <v>1.0296000181577796</v>
      </c>
      <c r="BW56" s="201">
        <f t="shared" si="61"/>
        <v>1.0296005224594171</v>
      </c>
      <c r="BX56" s="970"/>
    </row>
    <row r="57" spans="1:77" s="83" customFormat="1" ht="18.75" outlineLevel="1">
      <c r="A57" s="1508"/>
      <c r="B57" s="1509" t="s">
        <v>282</v>
      </c>
      <c r="C57" s="1510" t="s">
        <v>1</v>
      </c>
      <c r="D57" s="189">
        <f t="shared" si="198"/>
        <v>11.44</v>
      </c>
      <c r="E57" s="1511">
        <v>10.57</v>
      </c>
      <c r="F57" s="1511">
        <v>0.87</v>
      </c>
      <c r="G57" s="1511"/>
      <c r="H57" s="1512"/>
      <c r="I57" s="1513"/>
      <c r="J57" s="1136">
        <f>K57+L57+M57+N57</f>
        <v>11.78</v>
      </c>
      <c r="K57" s="1514">
        <v>7.04</v>
      </c>
      <c r="L57" s="1514">
        <v>4.524</v>
      </c>
      <c r="M57" s="1515"/>
      <c r="N57" s="1515">
        <v>0.216</v>
      </c>
      <c r="O57" s="1516"/>
      <c r="P57" s="189">
        <f t="shared" si="200"/>
        <v>11.78</v>
      </c>
      <c r="Q57" s="1511">
        <f>J57</f>
        <v>11.78</v>
      </c>
      <c r="R57" s="1511"/>
      <c r="S57" s="1511"/>
      <c r="T57" s="1512"/>
      <c r="U57" s="1513"/>
      <c r="V57" s="1136">
        <f>W57+X57+Y57+Z57</f>
        <v>0</v>
      </c>
      <c r="W57" s="1514"/>
      <c r="X57" s="1514"/>
      <c r="Y57" s="1515"/>
      <c r="Z57" s="1515"/>
      <c r="AA57" s="1516"/>
      <c r="AB57" s="189">
        <f t="shared" si="202"/>
        <v>12.058711497224902</v>
      </c>
      <c r="AC57" s="207">
        <f t="shared" si="282"/>
        <v>12.058711497224902</v>
      </c>
      <c r="AD57" s="207">
        <f t="shared" si="283"/>
        <v>0</v>
      </c>
      <c r="AE57" s="207">
        <f t="shared" si="284"/>
        <v>0</v>
      </c>
      <c r="AF57" s="1145">
        <f t="shared" si="285"/>
        <v>0</v>
      </c>
      <c r="AG57" s="469">
        <f t="shared" si="286"/>
        <v>0</v>
      </c>
      <c r="AH57" s="1136">
        <f>AI57+AJ57+AK57+AL57</f>
        <v>0</v>
      </c>
      <c r="AI57" s="1514"/>
      <c r="AJ57" s="1514"/>
      <c r="AK57" s="1515"/>
      <c r="AL57" s="1515"/>
      <c r="AM57" s="1516"/>
      <c r="AN57" s="189">
        <f t="shared" si="209"/>
        <v>12.415647356757521</v>
      </c>
      <c r="AO57" s="207">
        <f t="shared" si="288"/>
        <v>12.415647356757521</v>
      </c>
      <c r="AP57" s="207">
        <f t="shared" si="289"/>
        <v>0</v>
      </c>
      <c r="AQ57" s="207">
        <f t="shared" si="290"/>
        <v>0</v>
      </c>
      <c r="AR57" s="1145">
        <f t="shared" si="291"/>
        <v>0</v>
      </c>
      <c r="AS57" s="469">
        <f t="shared" si="292"/>
        <v>0</v>
      </c>
      <c r="AT57" s="1136">
        <f>AU57+AV57+AW57+AX57</f>
        <v>0</v>
      </c>
      <c r="AU57" s="1514"/>
      <c r="AV57" s="1514"/>
      <c r="AW57" s="1515"/>
      <c r="AX57" s="1515"/>
      <c r="AY57" s="1516"/>
      <c r="AZ57" s="189">
        <f t="shared" si="215"/>
        <v>12.783150743958135</v>
      </c>
      <c r="BA57" s="207">
        <f t="shared" si="294"/>
        <v>12.783150743958135</v>
      </c>
      <c r="BB57" s="207">
        <f t="shared" si="295"/>
        <v>0</v>
      </c>
      <c r="BC57" s="207">
        <f t="shared" si="296"/>
        <v>0</v>
      </c>
      <c r="BD57" s="1145">
        <f t="shared" si="297"/>
        <v>0</v>
      </c>
      <c r="BE57" s="469">
        <f t="shared" si="298"/>
        <v>0</v>
      </c>
      <c r="BF57" s="1136">
        <f>BG57+BH57+BI57+BJ57</f>
        <v>0</v>
      </c>
      <c r="BG57" s="1514"/>
      <c r="BH57" s="1514"/>
      <c r="BI57" s="1515"/>
      <c r="BJ57" s="1515"/>
      <c r="BK57" s="1516"/>
      <c r="BL57" s="189">
        <f t="shared" si="227"/>
        <v>13.161538684656781</v>
      </c>
      <c r="BM57" s="207">
        <f t="shared" si="300"/>
        <v>13.161538684656781</v>
      </c>
      <c r="BN57" s="207">
        <f t="shared" si="301"/>
        <v>0</v>
      </c>
      <c r="BO57" s="207">
        <f t="shared" si="302"/>
        <v>0</v>
      </c>
      <c r="BP57" s="1145">
        <f t="shared" si="303"/>
        <v>0</v>
      </c>
      <c r="BQ57" s="811">
        <f t="shared" si="304"/>
        <v>0</v>
      </c>
      <c r="BR57" s="940">
        <f t="shared" si="8"/>
        <v>1</v>
      </c>
      <c r="BS57" s="542">
        <f t="shared" si="9"/>
        <v>1.0297202797202798</v>
      </c>
      <c r="BT57" s="942">
        <f t="shared" si="4"/>
        <v>1.0236597196285995</v>
      </c>
      <c r="BU57" s="324">
        <f t="shared" si="59"/>
        <v>1.0295998340796828</v>
      </c>
      <c r="BV57" s="324">
        <f t="shared" si="60"/>
        <v>1.0296000181577798</v>
      </c>
      <c r="BW57" s="201">
        <f t="shared" si="61"/>
        <v>1.0296005224594169</v>
      </c>
      <c r="BX57" s="970"/>
    </row>
    <row r="58" spans="1:77" s="1519" customFormat="1" ht="19.5" outlineLevel="1" thickBot="1">
      <c r="A58" s="576"/>
      <c r="B58" s="1517" t="s">
        <v>296</v>
      </c>
      <c r="C58" s="1510" t="s">
        <v>1</v>
      </c>
      <c r="D58" s="189">
        <f t="shared" si="198"/>
        <v>23.58</v>
      </c>
      <c r="E58" s="1511">
        <v>21.84</v>
      </c>
      <c r="F58" s="1511">
        <v>1.74</v>
      </c>
      <c r="G58" s="1511"/>
      <c r="H58" s="1512"/>
      <c r="I58" s="528"/>
      <c r="J58" s="1136">
        <f>K58+L58+M58+N58</f>
        <v>30.16</v>
      </c>
      <c r="K58" s="1514">
        <v>18.026631999999999</v>
      </c>
      <c r="L58" s="1514">
        <v>11.581440000000001</v>
      </c>
      <c r="M58" s="1515"/>
      <c r="N58" s="1515">
        <v>0.55192799999999997</v>
      </c>
      <c r="O58" s="1516"/>
      <c r="P58" s="189">
        <f t="shared" si="200"/>
        <v>28.45</v>
      </c>
      <c r="Q58" s="1511">
        <v>28.45</v>
      </c>
      <c r="R58" s="1511"/>
      <c r="S58" s="1511"/>
      <c r="T58" s="1512"/>
      <c r="U58" s="528"/>
      <c r="V58" s="1136">
        <f>W58+X58+Y58+Z58</f>
        <v>0</v>
      </c>
      <c r="W58" s="1514"/>
      <c r="X58" s="1514"/>
      <c r="Y58" s="1515"/>
      <c r="Z58" s="1515"/>
      <c r="AA58" s="1516"/>
      <c r="AB58" s="189">
        <f t="shared" si="202"/>
        <v>29.123119023433659</v>
      </c>
      <c r="AC58" s="207">
        <f t="shared" si="282"/>
        <v>29.123119023433659</v>
      </c>
      <c r="AD58" s="207">
        <f t="shared" si="283"/>
        <v>0</v>
      </c>
      <c r="AE58" s="207">
        <f t="shared" si="284"/>
        <v>0</v>
      </c>
      <c r="AF58" s="1145">
        <f t="shared" si="285"/>
        <v>0</v>
      </c>
      <c r="AG58" s="528">
        <f t="shared" si="286"/>
        <v>0</v>
      </c>
      <c r="AH58" s="1136">
        <f>AI58+AJ58+AK58+AL58</f>
        <v>0</v>
      </c>
      <c r="AI58" s="1514"/>
      <c r="AJ58" s="1514"/>
      <c r="AK58" s="1515"/>
      <c r="AL58" s="1515"/>
      <c r="AM58" s="1516"/>
      <c r="AN58" s="189">
        <f t="shared" si="209"/>
        <v>29.985158514410145</v>
      </c>
      <c r="AO58" s="207">
        <f t="shared" si="288"/>
        <v>29.985158514410145</v>
      </c>
      <c r="AP58" s="207">
        <f t="shared" si="289"/>
        <v>0</v>
      </c>
      <c r="AQ58" s="207">
        <f t="shared" si="290"/>
        <v>0</v>
      </c>
      <c r="AR58" s="1145">
        <f t="shared" si="291"/>
        <v>0</v>
      </c>
      <c r="AS58" s="810">
        <f t="shared" si="292"/>
        <v>0</v>
      </c>
      <c r="AT58" s="1136">
        <f>AU58+AV58+AW58+AX58</f>
        <v>0</v>
      </c>
      <c r="AU58" s="1514"/>
      <c r="AV58" s="1514"/>
      <c r="AW58" s="1515"/>
      <c r="AX58" s="1515"/>
      <c r="AY58" s="1516"/>
      <c r="AZ58" s="189">
        <f t="shared" si="215"/>
        <v>30.87271975090059</v>
      </c>
      <c r="BA58" s="207">
        <f t="shared" si="294"/>
        <v>30.87271975090059</v>
      </c>
      <c r="BB58" s="207">
        <f>IF($BB$21&gt;0,AP58/$AP$21*$BB$21,0)</f>
        <v>0</v>
      </c>
      <c r="BC58" s="207">
        <f t="shared" si="296"/>
        <v>0</v>
      </c>
      <c r="BD58" s="1145">
        <f t="shared" si="297"/>
        <v>0</v>
      </c>
      <c r="BE58" s="528">
        <f t="shared" si="298"/>
        <v>0</v>
      </c>
      <c r="BF58" s="1136">
        <f>BG58+BH58+BI58+BJ58</f>
        <v>0</v>
      </c>
      <c r="BG58" s="1514"/>
      <c r="BH58" s="1514"/>
      <c r="BI58" s="1515"/>
      <c r="BJ58" s="1515"/>
      <c r="BK58" s="1516"/>
      <c r="BL58" s="189">
        <f t="shared" si="227"/>
        <v>31.78656838527041</v>
      </c>
      <c r="BM58" s="207">
        <f t="shared" si="300"/>
        <v>31.78656838527041</v>
      </c>
      <c r="BN58" s="207">
        <f t="shared" si="301"/>
        <v>0</v>
      </c>
      <c r="BO58" s="207">
        <f t="shared" si="302"/>
        <v>0</v>
      </c>
      <c r="BP58" s="1145">
        <f t="shared" si="303"/>
        <v>0</v>
      </c>
      <c r="BQ58" s="812">
        <f t="shared" si="304"/>
        <v>0</v>
      </c>
      <c r="BR58" s="1484">
        <f t="shared" si="8"/>
        <v>0.9433023872679045</v>
      </c>
      <c r="BS58" s="1485">
        <f t="shared" si="9"/>
        <v>1.2065309584393555</v>
      </c>
      <c r="BT58" s="1496">
        <f t="shared" si="4"/>
        <v>1.0236597196285997</v>
      </c>
      <c r="BU58" s="1497">
        <f t="shared" si="59"/>
        <v>1.0295998340796826</v>
      </c>
      <c r="BV58" s="1497">
        <f t="shared" si="60"/>
        <v>1.0296000181577798</v>
      </c>
      <c r="BW58" s="1498">
        <f t="shared" si="61"/>
        <v>1.0296005224594171</v>
      </c>
      <c r="BX58" s="1518"/>
    </row>
    <row r="59" spans="1:77" s="88" customFormat="1" ht="19.5" thickBot="1">
      <c r="A59" s="1587" t="s">
        <v>128</v>
      </c>
      <c r="B59" s="1584"/>
      <c r="C59" s="84" t="s">
        <v>1</v>
      </c>
      <c r="D59" s="186">
        <f>E59+F59+G59+H59</f>
        <v>495.01645129999997</v>
      </c>
      <c r="E59" s="184">
        <f>SUM(E60,E63,E72:E75,E79,E82:E84,E80,E81)</f>
        <v>354.17200000000003</v>
      </c>
      <c r="F59" s="184">
        <f t="shared" ref="F59:I59" si="305">SUM(F60,F63,F72:F75,F79,F82:F84)</f>
        <v>140.84445129999997</v>
      </c>
      <c r="G59" s="184">
        <f t="shared" si="305"/>
        <v>0</v>
      </c>
      <c r="H59" s="185">
        <f t="shared" si="305"/>
        <v>0</v>
      </c>
      <c r="I59" s="462">
        <f t="shared" si="305"/>
        <v>0</v>
      </c>
      <c r="J59" s="186">
        <f>K59+L59+M59+N59</f>
        <v>985.96500000000003</v>
      </c>
      <c r="K59" s="184">
        <f>SUM(K60,K63,K72:K75,K79,K80:K84)</f>
        <v>761.58799999999997</v>
      </c>
      <c r="L59" s="184">
        <f t="shared" ref="L59:N59" si="306">SUM(L60,L63,L72:L75,L79,L80:L84)</f>
        <v>214.17000000000002</v>
      </c>
      <c r="M59" s="184">
        <f t="shared" si="306"/>
        <v>0</v>
      </c>
      <c r="N59" s="184">
        <f t="shared" si="306"/>
        <v>10.207000000000001</v>
      </c>
      <c r="O59" s="462">
        <f t="shared" ref="O59" si="307">SUM(O60,O63,O72:O75,O79,O82:O84)</f>
        <v>0</v>
      </c>
      <c r="P59" s="186">
        <f>Q59+R59+S59+T59</f>
        <v>617.3900000000001</v>
      </c>
      <c r="Q59" s="184">
        <f>SUM(Q60,Q63,Q72:Q75,Q79,Q82:Q84)</f>
        <v>434.14000000000004</v>
      </c>
      <c r="R59" s="184">
        <f t="shared" ref="R59:U59" si="308">SUM(R60,R63,R72:R75,R79,R82:R84)</f>
        <v>183.25</v>
      </c>
      <c r="S59" s="184">
        <f t="shared" si="308"/>
        <v>0</v>
      </c>
      <c r="T59" s="185">
        <f t="shared" si="308"/>
        <v>0</v>
      </c>
      <c r="U59" s="462">
        <f t="shared" si="308"/>
        <v>0</v>
      </c>
      <c r="V59" s="186">
        <f>W59+X59+Y59+Z59</f>
        <v>1141.1401547839998</v>
      </c>
      <c r="W59" s="184">
        <f>SUM(W60,W63,W72:W75,W79,W82:W84)</f>
        <v>1128.1207931199999</v>
      </c>
      <c r="X59" s="184">
        <f t="shared" ref="X59:AA59" si="309">SUM(X60,X63,X72:X75,X79,X82:X84)</f>
        <v>0</v>
      </c>
      <c r="Y59" s="184">
        <f t="shared" si="309"/>
        <v>0</v>
      </c>
      <c r="Z59" s="185">
        <f t="shared" si="309"/>
        <v>13.019361664000002</v>
      </c>
      <c r="AA59" s="462">
        <f t="shared" si="309"/>
        <v>0</v>
      </c>
      <c r="AB59" s="186">
        <f>AC59+AD59+AE59+AF59</f>
        <v>627.65000000000009</v>
      </c>
      <c r="AC59" s="184">
        <f>SUM(AC60,AC63,AC72:AC75,AC79,AC82:AC84)</f>
        <v>440.06000000000006</v>
      </c>
      <c r="AD59" s="184">
        <f t="shared" ref="AD59:AG59" si="310">SUM(AD60,AD63,AD72:AD75,AD79,AD82:AD84)</f>
        <v>187.59</v>
      </c>
      <c r="AE59" s="184">
        <f t="shared" si="310"/>
        <v>0</v>
      </c>
      <c r="AF59" s="185">
        <f t="shared" si="310"/>
        <v>0</v>
      </c>
      <c r="AG59" s="462">
        <f t="shared" si="310"/>
        <v>0</v>
      </c>
      <c r="AH59" s="186">
        <f>AI59+AJ59+AK59+AL59</f>
        <v>1143.4223099576066</v>
      </c>
      <c r="AI59" s="184">
        <f>SUM(AI60,AI63,AI72:AI75,AI79,AI82:AI84)</f>
        <v>1128.6048459564304</v>
      </c>
      <c r="AJ59" s="184">
        <f t="shared" ref="AJ59:AM59" si="311">SUM(AJ60,AJ63,AJ72:AJ75,AJ79,AJ82:AJ84)</f>
        <v>0</v>
      </c>
      <c r="AK59" s="184">
        <f t="shared" si="311"/>
        <v>0</v>
      </c>
      <c r="AL59" s="185">
        <f t="shared" si="311"/>
        <v>14.81746400117617</v>
      </c>
      <c r="AM59" s="462">
        <f t="shared" si="311"/>
        <v>0</v>
      </c>
      <c r="AN59" s="186">
        <f>AO59+AP59+AQ59+AR59</f>
        <v>544.29999999999995</v>
      </c>
      <c r="AO59" s="184">
        <f>SUM(AO60,AO63,AO72:AO75,AO79,AO82:AO84)</f>
        <v>351.16</v>
      </c>
      <c r="AP59" s="184">
        <f>SUM(AP60,AP63,AP72:AP75,AP79,AP82:AP84)</f>
        <v>193.14</v>
      </c>
      <c r="AQ59" s="184">
        <f t="shared" ref="AQ59:AS59" si="312">SUM(AQ60,AQ63,AQ72:AQ75,AQ79,AQ82:AQ84)</f>
        <v>0</v>
      </c>
      <c r="AR59" s="185">
        <f t="shared" si="312"/>
        <v>0</v>
      </c>
      <c r="AS59" s="462">
        <f t="shared" si="312"/>
        <v>0</v>
      </c>
      <c r="AT59" s="186">
        <f>AU59+AV59+AW59+AX59</f>
        <v>1085.272185984908</v>
      </c>
      <c r="AU59" s="184">
        <f>SUM(AU60,AU63,AU72:AU75,AU79,AU82:AU84)</f>
        <v>1071.5543906793293</v>
      </c>
      <c r="AV59" s="184">
        <f t="shared" ref="AV59:AY59" si="313">SUM(AV60,AV63,AV72:AV75,AV79,AV82:AV84)</f>
        <v>0</v>
      </c>
      <c r="AW59" s="184">
        <f t="shared" si="313"/>
        <v>0</v>
      </c>
      <c r="AX59" s="185">
        <f t="shared" si="313"/>
        <v>13.717795305578729</v>
      </c>
      <c r="AY59" s="462">
        <f t="shared" si="313"/>
        <v>0</v>
      </c>
      <c r="AZ59" s="186">
        <f>BA59+BB59+BC59+BD59</f>
        <v>559.80999999999995</v>
      </c>
      <c r="BA59" s="184">
        <f>SUM(BA60,BA63,BA72:BA75,BA79,BA82:BA84)</f>
        <v>360.95</v>
      </c>
      <c r="BB59" s="184">
        <f t="shared" ref="BB59:BE59" si="314">SUM(BB60,BB63,BB72:BB75,BB79,BB82:BB84)</f>
        <v>198.86</v>
      </c>
      <c r="BC59" s="184">
        <f t="shared" si="314"/>
        <v>0</v>
      </c>
      <c r="BD59" s="185">
        <f t="shared" si="314"/>
        <v>0</v>
      </c>
      <c r="BE59" s="462">
        <f t="shared" si="314"/>
        <v>0</v>
      </c>
      <c r="BF59" s="186">
        <f>BG59+BH59+BI59+BJ59</f>
        <v>1107.9941816247206</v>
      </c>
      <c r="BG59" s="184">
        <f>SUM(BG60,BG63,BG72:BG75,BG79,BG82:BG84)</f>
        <v>1093.9000280338655</v>
      </c>
      <c r="BH59" s="184">
        <f t="shared" ref="BH59:BK59" si="315">SUM(BH60,BH63,BH72:BH75,BH79,BH82:BH84)</f>
        <v>0</v>
      </c>
      <c r="BI59" s="184">
        <f t="shared" si="315"/>
        <v>0</v>
      </c>
      <c r="BJ59" s="185">
        <f t="shared" si="315"/>
        <v>14.094153590855102</v>
      </c>
      <c r="BK59" s="462">
        <f t="shared" si="315"/>
        <v>0</v>
      </c>
      <c r="BL59" s="186">
        <f>BM59+BN59+BO59+BP59</f>
        <v>575.79</v>
      </c>
      <c r="BM59" s="184">
        <f>SUM(BM60,BM63,BM72:BM75,BM79,BM82:BM84)</f>
        <v>371.05</v>
      </c>
      <c r="BN59" s="184">
        <f>SUM(BN60,BN63,BN72:BN75,BN79,BN82:BN84)</f>
        <v>204.74</v>
      </c>
      <c r="BO59" s="184">
        <f t="shared" ref="BO59:BQ59" si="316">SUM(BO60,BO63,BO72:BO75,BO79,BO82:BO84)</f>
        <v>0</v>
      </c>
      <c r="BP59" s="185">
        <f t="shared" si="316"/>
        <v>0</v>
      </c>
      <c r="BQ59" s="462">
        <f t="shared" si="316"/>
        <v>0</v>
      </c>
      <c r="BR59" s="826">
        <f t="shared" si="8"/>
        <v>0.62617841404106644</v>
      </c>
      <c r="BS59" s="330">
        <f t="shared" si="9"/>
        <v>1.2472110742554632</v>
      </c>
      <c r="BT59" s="826">
        <f t="shared" si="4"/>
        <v>1.0166183449683344</v>
      </c>
      <c r="BU59" s="330">
        <f t="shared" si="59"/>
        <v>0.86720305902971384</v>
      </c>
      <c r="BV59" s="330">
        <f t="shared" si="60"/>
        <v>1.0284953150835936</v>
      </c>
      <c r="BW59" s="196">
        <f t="shared" si="61"/>
        <v>1.0285453993319162</v>
      </c>
      <c r="BX59" s="967"/>
    </row>
    <row r="60" spans="1:77" s="111" customFormat="1" ht="31.5">
      <c r="A60" s="136" t="s">
        <v>42</v>
      </c>
      <c r="B60" s="137" t="s">
        <v>129</v>
      </c>
      <c r="C60" s="1010" t="s">
        <v>1</v>
      </c>
      <c r="D60" s="187">
        <f>E60+F60+G60+H60</f>
        <v>12.82</v>
      </c>
      <c r="E60" s="206">
        <f>SUM(E61:E62)</f>
        <v>12.82</v>
      </c>
      <c r="F60" s="206">
        <f>SUM(F61:F62)</f>
        <v>0</v>
      </c>
      <c r="G60" s="445">
        <f t="shared" ref="G60:H60" si="317">SUM(G61:G62)</f>
        <v>0</v>
      </c>
      <c r="H60" s="445">
        <f t="shared" si="317"/>
        <v>0</v>
      </c>
      <c r="I60" s="509">
        <f>SUM(I61:I62)</f>
        <v>0</v>
      </c>
      <c r="J60" s="187">
        <f>K60+L60+M60+N60</f>
        <v>12.81</v>
      </c>
      <c r="K60" s="206">
        <f>SUM(K61:K62)</f>
        <v>12.81</v>
      </c>
      <c r="L60" s="206">
        <f>SUM(L61:L62)</f>
        <v>0</v>
      </c>
      <c r="M60" s="445">
        <f t="shared" ref="M60" si="318">SUM(M61:M62)</f>
        <v>0</v>
      </c>
      <c r="N60" s="445"/>
      <c r="O60" s="471"/>
      <c r="P60" s="187">
        <f>Q60+R60+S60+T60</f>
        <v>14.139999999999999</v>
      </c>
      <c r="Q60" s="206">
        <f>SUM(Q61:Q62)</f>
        <v>14.139999999999999</v>
      </c>
      <c r="R60" s="206">
        <f>SUM(R61:R62)</f>
        <v>0</v>
      </c>
      <c r="S60" s="445">
        <f t="shared" ref="S60:T60" si="319">SUM(S61:S62)</f>
        <v>0</v>
      </c>
      <c r="T60" s="445">
        <f t="shared" si="319"/>
        <v>0</v>
      </c>
      <c r="U60" s="509">
        <f>SUM(U61:U62)</f>
        <v>0</v>
      </c>
      <c r="V60" s="187">
        <f>W60+X60+Y60+Z60</f>
        <v>14.352</v>
      </c>
      <c r="W60" s="206">
        <f>SUM(W61:W62)</f>
        <v>14.352</v>
      </c>
      <c r="X60" s="206">
        <f>SUM(X61:X62)</f>
        <v>0</v>
      </c>
      <c r="Y60" s="445">
        <f t="shared" ref="Y60" si="320">SUM(Y61:Y62)</f>
        <v>0</v>
      </c>
      <c r="Z60" s="445"/>
      <c r="AA60" s="471"/>
      <c r="AB60" s="187">
        <f>AC60+AD60+AE60+AF60</f>
        <v>15.27</v>
      </c>
      <c r="AC60" s="206">
        <f>SUM(AC61:AC62)</f>
        <v>15.27</v>
      </c>
      <c r="AD60" s="206">
        <f t="shared" ref="AD60:AG60" si="321">SUM(AD61:AD62)</f>
        <v>0</v>
      </c>
      <c r="AE60" s="206">
        <f t="shared" si="321"/>
        <v>0</v>
      </c>
      <c r="AF60" s="445">
        <f t="shared" si="321"/>
        <v>0</v>
      </c>
      <c r="AG60" s="471">
        <f t="shared" si="321"/>
        <v>0</v>
      </c>
      <c r="AH60" s="187">
        <f>AI60+AJ60+AK60+AL60</f>
        <v>16.074000000000002</v>
      </c>
      <c r="AI60" s="206">
        <f>SUM(AI61:AI62)</f>
        <v>16.074000000000002</v>
      </c>
      <c r="AJ60" s="206">
        <f>SUM(AJ61:AJ62)</f>
        <v>0</v>
      </c>
      <c r="AK60" s="445">
        <f t="shared" ref="AK60" si="322">SUM(AK61:AK62)</f>
        <v>0</v>
      </c>
      <c r="AL60" s="445"/>
      <c r="AM60" s="471"/>
      <c r="AN60" s="187">
        <f>AO60+AP60+AQ60+AR60</f>
        <v>16.23</v>
      </c>
      <c r="AO60" s="206">
        <f>SUM(AO61:AO62)</f>
        <v>16.23</v>
      </c>
      <c r="AP60" s="206">
        <f t="shared" ref="AP60:AS60" si="323">SUM(AP61:AP62)</f>
        <v>0</v>
      </c>
      <c r="AQ60" s="206">
        <f t="shared" si="323"/>
        <v>0</v>
      </c>
      <c r="AR60" s="445">
        <f t="shared" si="323"/>
        <v>0</v>
      </c>
      <c r="AS60" s="471">
        <f t="shared" si="323"/>
        <v>0</v>
      </c>
      <c r="AT60" s="187">
        <f>AU60+AV60+AW60+AX60</f>
        <v>18.003</v>
      </c>
      <c r="AU60" s="206">
        <f>SUM(AU61:AU62)</f>
        <v>18.003</v>
      </c>
      <c r="AV60" s="206">
        <f>SUM(AV61:AV62)</f>
        <v>0</v>
      </c>
      <c r="AW60" s="445">
        <f t="shared" ref="AW60" si="324">SUM(AW61:AW62)</f>
        <v>0</v>
      </c>
      <c r="AX60" s="445"/>
      <c r="AY60" s="471"/>
      <c r="AZ60" s="187">
        <f>BA60+BB60+BC60+BD60</f>
        <v>16.88</v>
      </c>
      <c r="BA60" s="206">
        <f>SUM(BA61:BA62)</f>
        <v>16.88</v>
      </c>
      <c r="BB60" s="206">
        <f t="shared" ref="BB60:BE60" si="325">SUM(BB61:BB62)</f>
        <v>0</v>
      </c>
      <c r="BC60" s="206">
        <f t="shared" si="325"/>
        <v>0</v>
      </c>
      <c r="BD60" s="445">
        <f t="shared" si="325"/>
        <v>0</v>
      </c>
      <c r="BE60" s="471">
        <f t="shared" si="325"/>
        <v>0</v>
      </c>
      <c r="BF60" s="187">
        <f>BG60+BH60+BI60+BJ60</f>
        <v>20.163</v>
      </c>
      <c r="BG60" s="206">
        <f>SUM(BG61:BG62)</f>
        <v>20.163</v>
      </c>
      <c r="BH60" s="206">
        <f>SUM(BH61:BH62)</f>
        <v>0</v>
      </c>
      <c r="BI60" s="445">
        <f t="shared" ref="BI60" si="326">SUM(BI61:BI62)</f>
        <v>0</v>
      </c>
      <c r="BJ60" s="445"/>
      <c r="BK60" s="471"/>
      <c r="BL60" s="187">
        <f>BM60+BN60+BO60+BP60</f>
        <v>17.559999999999999</v>
      </c>
      <c r="BM60" s="206">
        <f>SUM(BM61:BM62)</f>
        <v>17.559999999999999</v>
      </c>
      <c r="BN60" s="206">
        <f t="shared" ref="BN60:BQ60" si="327">SUM(BN61:BN62)</f>
        <v>0</v>
      </c>
      <c r="BO60" s="206">
        <f t="shared" si="327"/>
        <v>0</v>
      </c>
      <c r="BP60" s="445">
        <f t="shared" si="327"/>
        <v>0</v>
      </c>
      <c r="BQ60" s="471">
        <f t="shared" si="327"/>
        <v>0</v>
      </c>
      <c r="BR60" s="844">
        <f t="shared" si="8"/>
        <v>1.1038251366120218</v>
      </c>
      <c r="BS60" s="840">
        <f t="shared" si="9"/>
        <v>1.1029641185647425</v>
      </c>
      <c r="BT60" s="830">
        <f t="shared" si="4"/>
        <v>1.07991513437058</v>
      </c>
      <c r="BU60" s="332">
        <f t="shared" si="59"/>
        <v>1.0628683693516701</v>
      </c>
      <c r="BV60" s="332">
        <f t="shared" si="60"/>
        <v>1.040049291435613</v>
      </c>
      <c r="BW60" s="200">
        <f t="shared" si="61"/>
        <v>1.0402843601895735</v>
      </c>
      <c r="BX60" s="967"/>
    </row>
    <row r="61" spans="1:77" s="83" customFormat="1" ht="18.75">
      <c r="A61" s="133" t="s">
        <v>43</v>
      </c>
      <c r="B61" s="138" t="s">
        <v>130</v>
      </c>
      <c r="C61" s="1520" t="s">
        <v>1</v>
      </c>
      <c r="D61" s="187">
        <f>E61+F61+G61+H61</f>
        <v>12.82</v>
      </c>
      <c r="E61" s="207">
        <v>12.82</v>
      </c>
      <c r="F61" s="207"/>
      <c r="G61" s="207"/>
      <c r="H61" s="1145"/>
      <c r="I61" s="469"/>
      <c r="J61" s="187">
        <f t="shared" ref="J61:J84" si="328">K61+L61+M61+N61</f>
        <v>12.81</v>
      </c>
      <c r="K61" s="383">
        <v>12.81</v>
      </c>
      <c r="L61" s="383"/>
      <c r="M61" s="383"/>
      <c r="N61" s="1501"/>
      <c r="O61" s="500"/>
      <c r="P61" s="187">
        <f t="shared" ref="P61:P84" si="329">Q61+R61+S61+T61</f>
        <v>14.139999999999999</v>
      </c>
      <c r="Q61" s="207">
        <f>'[185]переменные на 5 лет'!F110</f>
        <v>14.139999999999999</v>
      </c>
      <c r="R61" s="207"/>
      <c r="S61" s="207"/>
      <c r="T61" s="1145"/>
      <c r="U61" s="469"/>
      <c r="V61" s="187">
        <f t="shared" ref="V61:V79" si="330">W61+X61+Y61+Z61</f>
        <v>14.352</v>
      </c>
      <c r="W61" s="383">
        <v>14.352</v>
      </c>
      <c r="X61" s="383"/>
      <c r="Y61" s="383"/>
      <c r="Z61" s="1501"/>
      <c r="AA61" s="500"/>
      <c r="AB61" s="189">
        <f t="shared" ref="AB61:AB84" si="331">AC61+AD61+AE61+AF61</f>
        <v>15.27</v>
      </c>
      <c r="AC61" s="207">
        <f>'[185]переменные на 5 лет'!I110</f>
        <v>15.27</v>
      </c>
      <c r="AD61" s="207"/>
      <c r="AE61" s="1145"/>
      <c r="AF61" s="1145"/>
      <c r="AG61" s="469"/>
      <c r="AH61" s="187">
        <f t="shared" ref="AH61:AH79" si="332">AI61+AJ61+AK61+AL61</f>
        <v>16.074000000000002</v>
      </c>
      <c r="AI61" s="383">
        <v>16.074000000000002</v>
      </c>
      <c r="AJ61" s="383"/>
      <c r="AK61" s="383"/>
      <c r="AL61" s="1501"/>
      <c r="AM61" s="500"/>
      <c r="AN61" s="189">
        <f t="shared" ref="AN61:AN84" si="333">AO61+AP61+AQ61+AR61</f>
        <v>16.23</v>
      </c>
      <c r="AO61" s="207">
        <f>'[185]переменные на 5 лет'!L110</f>
        <v>16.23</v>
      </c>
      <c r="AP61" s="207"/>
      <c r="AQ61" s="1145"/>
      <c r="AR61" s="1145"/>
      <c r="AS61" s="469"/>
      <c r="AT61" s="187">
        <f t="shared" ref="AT61:AT79" si="334">AU61+AV61+AW61+AX61</f>
        <v>18.003</v>
      </c>
      <c r="AU61" s="383">
        <v>18.003</v>
      </c>
      <c r="AV61" s="383"/>
      <c r="AW61" s="383"/>
      <c r="AX61" s="1501"/>
      <c r="AY61" s="500"/>
      <c r="AZ61" s="189">
        <f t="shared" ref="AZ61:AZ84" si="335">BA61+BB61+BC61+BD61</f>
        <v>16.88</v>
      </c>
      <c r="BA61" s="207">
        <f>'[185]переменные на 5 лет'!O110</f>
        <v>16.88</v>
      </c>
      <c r="BB61" s="207"/>
      <c r="BC61" s="1145"/>
      <c r="BD61" s="1145"/>
      <c r="BE61" s="469"/>
      <c r="BF61" s="187">
        <f t="shared" ref="BF61:BF79" si="336">BG61+BH61+BI61+BJ61</f>
        <v>20.163</v>
      </c>
      <c r="BG61" s="383">
        <v>20.163</v>
      </c>
      <c r="BH61" s="383"/>
      <c r="BI61" s="383"/>
      <c r="BJ61" s="1501"/>
      <c r="BK61" s="500"/>
      <c r="BL61" s="189">
        <f t="shared" ref="BL61:BL84" si="337">BM61+BN61+BO61+BP61</f>
        <v>17.559999999999999</v>
      </c>
      <c r="BM61" s="207">
        <f>'[185]переменные на 5 лет'!R110</f>
        <v>17.559999999999999</v>
      </c>
      <c r="BN61" s="207"/>
      <c r="BO61" s="1145"/>
      <c r="BP61" s="1145"/>
      <c r="BQ61" s="469"/>
      <c r="BR61" s="940">
        <f t="shared" si="8"/>
        <v>1.1038251366120218</v>
      </c>
      <c r="BS61" s="542">
        <f t="shared" si="9"/>
        <v>1.1029641185647425</v>
      </c>
      <c r="BT61" s="1502">
        <f t="shared" si="4"/>
        <v>1.07991513437058</v>
      </c>
      <c r="BU61" s="323">
        <f t="shared" si="59"/>
        <v>1.0628683693516701</v>
      </c>
      <c r="BV61" s="323">
        <f t="shared" si="60"/>
        <v>1.040049291435613</v>
      </c>
      <c r="BW61" s="198">
        <f t="shared" si="61"/>
        <v>1.0402843601895735</v>
      </c>
      <c r="BX61" s="967"/>
    </row>
    <row r="62" spans="1:77" s="83" customFormat="1" ht="18.75">
      <c r="A62" s="133" t="s">
        <v>44</v>
      </c>
      <c r="B62" s="138" t="s">
        <v>67</v>
      </c>
      <c r="C62" s="1520" t="s">
        <v>1</v>
      </c>
      <c r="D62" s="187">
        <f t="shared" ref="D62:D84" si="338">E62+F62+G62+H62</f>
        <v>0</v>
      </c>
      <c r="E62" s="207"/>
      <c r="F62" s="207"/>
      <c r="G62" s="207"/>
      <c r="H62" s="1145"/>
      <c r="I62" s="469"/>
      <c r="J62" s="187">
        <f t="shared" si="328"/>
        <v>0</v>
      </c>
      <c r="K62" s="383"/>
      <c r="L62" s="383"/>
      <c r="M62" s="383"/>
      <c r="N62" s="1501"/>
      <c r="O62" s="500"/>
      <c r="P62" s="187">
        <f t="shared" si="329"/>
        <v>0</v>
      </c>
      <c r="Q62" s="207"/>
      <c r="R62" s="207"/>
      <c r="S62" s="207"/>
      <c r="T62" s="1145"/>
      <c r="U62" s="469"/>
      <c r="V62" s="187">
        <f t="shared" si="330"/>
        <v>0</v>
      </c>
      <c r="W62" s="383"/>
      <c r="X62" s="383"/>
      <c r="Y62" s="383"/>
      <c r="Z62" s="1501"/>
      <c r="AA62" s="500"/>
      <c r="AB62" s="189">
        <f t="shared" si="331"/>
        <v>0</v>
      </c>
      <c r="AC62" s="207"/>
      <c r="AD62" s="207"/>
      <c r="AE62" s="1145"/>
      <c r="AF62" s="1145"/>
      <c r="AG62" s="469"/>
      <c r="AH62" s="187">
        <f t="shared" si="332"/>
        <v>0</v>
      </c>
      <c r="AI62" s="383"/>
      <c r="AJ62" s="383"/>
      <c r="AK62" s="383"/>
      <c r="AL62" s="1501"/>
      <c r="AM62" s="500"/>
      <c r="AN62" s="189">
        <f t="shared" si="333"/>
        <v>0</v>
      </c>
      <c r="AO62" s="207"/>
      <c r="AP62" s="207"/>
      <c r="AQ62" s="1145"/>
      <c r="AR62" s="1145"/>
      <c r="AS62" s="469"/>
      <c r="AT62" s="187">
        <f t="shared" si="334"/>
        <v>0</v>
      </c>
      <c r="AU62" s="383"/>
      <c r="AV62" s="383"/>
      <c r="AW62" s="383"/>
      <c r="AX62" s="1501"/>
      <c r="AY62" s="500"/>
      <c r="AZ62" s="189">
        <f t="shared" si="335"/>
        <v>0</v>
      </c>
      <c r="BA62" s="207"/>
      <c r="BB62" s="207"/>
      <c r="BC62" s="1145"/>
      <c r="BD62" s="1145"/>
      <c r="BE62" s="469"/>
      <c r="BF62" s="187">
        <f t="shared" si="336"/>
        <v>0</v>
      </c>
      <c r="BG62" s="383"/>
      <c r="BH62" s="383"/>
      <c r="BI62" s="383"/>
      <c r="BJ62" s="1501"/>
      <c r="BK62" s="500"/>
      <c r="BL62" s="189">
        <f t="shared" si="337"/>
        <v>0</v>
      </c>
      <c r="BM62" s="207"/>
      <c r="BN62" s="207"/>
      <c r="BO62" s="1145"/>
      <c r="BP62" s="1145"/>
      <c r="BQ62" s="469"/>
      <c r="BR62" s="940" t="str">
        <f t="shared" si="8"/>
        <v xml:space="preserve"> </v>
      </c>
      <c r="BS62" s="542" t="str">
        <f t="shared" si="9"/>
        <v xml:space="preserve"> </v>
      </c>
      <c r="BT62" s="1502" t="str">
        <f t="shared" si="4"/>
        <v xml:space="preserve"> </v>
      </c>
      <c r="BU62" s="323" t="str">
        <f t="shared" si="59"/>
        <v xml:space="preserve"> </v>
      </c>
      <c r="BV62" s="323" t="str">
        <f t="shared" si="60"/>
        <v xml:space="preserve"> </v>
      </c>
      <c r="BW62" s="198" t="str">
        <f t="shared" si="61"/>
        <v xml:space="preserve"> </v>
      </c>
      <c r="BX62" s="967"/>
    </row>
    <row r="63" spans="1:77" s="111" customFormat="1" ht="31.5">
      <c r="A63" s="114" t="s">
        <v>45</v>
      </c>
      <c r="B63" s="139" t="s">
        <v>131</v>
      </c>
      <c r="C63" s="1521" t="s">
        <v>1</v>
      </c>
      <c r="D63" s="187">
        <f t="shared" si="338"/>
        <v>13.6964513</v>
      </c>
      <c r="E63" s="208">
        <f>SUM(E64:E71)</f>
        <v>13.042000000000002</v>
      </c>
      <c r="F63" s="208">
        <f t="shared" ref="F63:I63" si="339">SUM(F64:F71)</f>
        <v>0.65445129999999885</v>
      </c>
      <c r="G63" s="208">
        <f t="shared" si="339"/>
        <v>0</v>
      </c>
      <c r="H63" s="1151">
        <f t="shared" si="339"/>
        <v>0</v>
      </c>
      <c r="I63" s="468">
        <f t="shared" si="339"/>
        <v>0</v>
      </c>
      <c r="J63" s="187">
        <f t="shared" si="328"/>
        <v>65.058999999999997</v>
      </c>
      <c r="K63" s="232">
        <f>SUM(K64:K71)</f>
        <v>38.882999999999996</v>
      </c>
      <c r="L63" s="232">
        <f t="shared" ref="L63:O63" si="340">SUM(L64:L71)</f>
        <v>24.986000000000004</v>
      </c>
      <c r="M63" s="232">
        <f t="shared" si="340"/>
        <v>0</v>
      </c>
      <c r="N63" s="1141">
        <f t="shared" si="340"/>
        <v>1.19</v>
      </c>
      <c r="O63" s="470">
        <f t="shared" si="340"/>
        <v>0</v>
      </c>
      <c r="P63" s="187">
        <f>Q63+R63+S63+T63</f>
        <v>13.88</v>
      </c>
      <c r="Q63" s="208">
        <f>SUM(Q64:Q71)</f>
        <v>13.88</v>
      </c>
      <c r="R63" s="208">
        <f t="shared" ref="R63:U63" si="341">SUM(R64:R71)</f>
        <v>0</v>
      </c>
      <c r="S63" s="208">
        <f t="shared" si="341"/>
        <v>0</v>
      </c>
      <c r="T63" s="1151">
        <f t="shared" si="341"/>
        <v>0</v>
      </c>
      <c r="U63" s="468">
        <f t="shared" si="341"/>
        <v>0</v>
      </c>
      <c r="V63" s="187">
        <f t="shared" si="330"/>
        <v>203.94800000000001</v>
      </c>
      <c r="W63" s="232">
        <f>SUM(W64:W71)</f>
        <v>200.20400000000001</v>
      </c>
      <c r="X63" s="232">
        <f t="shared" ref="X63:AA63" si="342">SUM(X64:X71)</f>
        <v>0</v>
      </c>
      <c r="Y63" s="232">
        <f t="shared" si="342"/>
        <v>0</v>
      </c>
      <c r="Z63" s="1141">
        <f t="shared" si="342"/>
        <v>3.7440000000000002</v>
      </c>
      <c r="AA63" s="470">
        <f t="shared" si="342"/>
        <v>0</v>
      </c>
      <c r="AB63" s="189">
        <f t="shared" si="331"/>
        <v>11.73</v>
      </c>
      <c r="AC63" s="208">
        <f>SUM(AC64:AC71)</f>
        <v>11.73</v>
      </c>
      <c r="AD63" s="208">
        <f t="shared" ref="AD63:AG63" si="343">SUM(AD64:AD71)</f>
        <v>0</v>
      </c>
      <c r="AE63" s="208">
        <f t="shared" si="343"/>
        <v>0</v>
      </c>
      <c r="AF63" s="1151">
        <f t="shared" si="343"/>
        <v>0</v>
      </c>
      <c r="AG63" s="468">
        <f t="shared" si="343"/>
        <v>0</v>
      </c>
      <c r="AH63" s="187">
        <f t="shared" si="332"/>
        <v>286.99596659200012</v>
      </c>
      <c r="AI63" s="232">
        <f>SUM(AI64:AI71)</f>
        <v>281.72003816007833</v>
      </c>
      <c r="AJ63" s="232">
        <f t="shared" ref="AJ63:AM63" si="344">SUM(AJ64:AJ71)</f>
        <v>0</v>
      </c>
      <c r="AK63" s="232">
        <f t="shared" si="344"/>
        <v>0</v>
      </c>
      <c r="AL63" s="1141">
        <f t="shared" si="344"/>
        <v>5.2759284319217681</v>
      </c>
      <c r="AM63" s="470">
        <f t="shared" si="344"/>
        <v>0</v>
      </c>
      <c r="AN63" s="189">
        <f t="shared" si="333"/>
        <v>10.66</v>
      </c>
      <c r="AO63" s="208">
        <f>SUM(AO64:AO71)</f>
        <v>10.66</v>
      </c>
      <c r="AP63" s="208">
        <f t="shared" ref="AP63:AS63" si="345">SUM(AP64:AP71)</f>
        <v>0</v>
      </c>
      <c r="AQ63" s="208">
        <f t="shared" si="345"/>
        <v>0</v>
      </c>
      <c r="AR63" s="1151">
        <f t="shared" si="345"/>
        <v>0</v>
      </c>
      <c r="AS63" s="468">
        <f t="shared" si="345"/>
        <v>0</v>
      </c>
      <c r="AT63" s="187">
        <f t="shared" si="334"/>
        <v>211.2742052556797</v>
      </c>
      <c r="AU63" s="232">
        <f>SUM(AU64:AU71)</f>
        <v>207.08899817220529</v>
      </c>
      <c r="AV63" s="232">
        <f t="shared" ref="AV63:AY63" si="346">SUM(AV64:AV71)</f>
        <v>0</v>
      </c>
      <c r="AW63" s="232">
        <f t="shared" si="346"/>
        <v>0</v>
      </c>
      <c r="AX63" s="1141">
        <f t="shared" si="346"/>
        <v>4.1852070834743955</v>
      </c>
      <c r="AY63" s="470">
        <f t="shared" si="346"/>
        <v>0</v>
      </c>
      <c r="AZ63" s="189">
        <f t="shared" si="335"/>
        <v>10.66</v>
      </c>
      <c r="BA63" s="208">
        <f>SUM(BA64:BA71)</f>
        <v>10.66</v>
      </c>
      <c r="BB63" s="208">
        <f t="shared" ref="BB63:BE63" si="347">SUM(BB64:BB71)</f>
        <v>0</v>
      </c>
      <c r="BC63" s="208">
        <f t="shared" si="347"/>
        <v>0</v>
      </c>
      <c r="BD63" s="1151">
        <f t="shared" si="347"/>
        <v>0</v>
      </c>
      <c r="BE63" s="468">
        <f t="shared" si="347"/>
        <v>0</v>
      </c>
      <c r="BF63" s="187">
        <f t="shared" si="336"/>
        <v>215.72037346590704</v>
      </c>
      <c r="BG63" s="232">
        <f>SUM(BG64:BG71)</f>
        <v>211.44097270853055</v>
      </c>
      <c r="BH63" s="232">
        <f t="shared" ref="BH63:BK63" si="348">SUM(BH64:BH71)</f>
        <v>0</v>
      </c>
      <c r="BI63" s="232">
        <f t="shared" si="348"/>
        <v>0</v>
      </c>
      <c r="BJ63" s="1141">
        <f t="shared" si="348"/>
        <v>4.2794007573764805</v>
      </c>
      <c r="BK63" s="470">
        <f t="shared" si="348"/>
        <v>0</v>
      </c>
      <c r="BL63" s="189">
        <f>BM63+BN63+BO63+BP63</f>
        <v>10.66</v>
      </c>
      <c r="BM63" s="208">
        <f>SUM(BM64:BM71)</f>
        <v>10.66</v>
      </c>
      <c r="BN63" s="208">
        <f t="shared" ref="BN63:BQ63" si="349">SUM(BN64:BN71)</f>
        <v>0</v>
      </c>
      <c r="BO63" s="208">
        <f t="shared" si="349"/>
        <v>0</v>
      </c>
      <c r="BP63" s="1151">
        <f t="shared" si="349"/>
        <v>0</v>
      </c>
      <c r="BQ63" s="468">
        <f t="shared" si="349"/>
        <v>0</v>
      </c>
      <c r="BR63" s="940">
        <f t="shared" si="8"/>
        <v>0.21334481009545184</v>
      </c>
      <c r="BS63" s="542">
        <f t="shared" si="9"/>
        <v>1.0134011866270791</v>
      </c>
      <c r="BT63" s="942">
        <f t="shared" si="4"/>
        <v>0.84510086455331412</v>
      </c>
      <c r="BU63" s="324">
        <f t="shared" si="59"/>
        <v>0.9087809036658141</v>
      </c>
      <c r="BV63" s="324">
        <f t="shared" si="60"/>
        <v>1</v>
      </c>
      <c r="BW63" s="201">
        <f t="shared" si="61"/>
        <v>1</v>
      </c>
      <c r="BX63" s="967"/>
    </row>
    <row r="64" spans="1:77" s="83" customFormat="1" ht="47.25" outlineLevel="1">
      <c r="A64" s="133"/>
      <c r="B64" s="140" t="s">
        <v>294</v>
      </c>
      <c r="C64" s="1507" t="s">
        <v>1</v>
      </c>
      <c r="D64" s="187">
        <f t="shared" si="338"/>
        <v>1.03</v>
      </c>
      <c r="E64" s="984">
        <v>0.91</v>
      </c>
      <c r="F64" s="984">
        <v>0.12</v>
      </c>
      <c r="G64" s="984"/>
      <c r="H64" s="1154"/>
      <c r="I64" s="986"/>
      <c r="J64" s="187">
        <f t="shared" si="328"/>
        <v>4.28</v>
      </c>
      <c r="K64" s="983">
        <v>2.5579999999999998</v>
      </c>
      <c r="L64" s="983">
        <v>1.6440000000000003</v>
      </c>
      <c r="M64" s="983"/>
      <c r="N64" s="1522">
        <v>7.8E-2</v>
      </c>
      <c r="O64" s="987"/>
      <c r="P64" s="187">
        <f>Q64+R64+S64+T64</f>
        <v>3.96</v>
      </c>
      <c r="Q64" s="984">
        <v>3.96</v>
      </c>
      <c r="R64" s="984"/>
      <c r="S64" s="984"/>
      <c r="T64" s="1154"/>
      <c r="U64" s="986"/>
      <c r="V64" s="187">
        <f t="shared" si="330"/>
        <v>4.4510000000000005</v>
      </c>
      <c r="W64" s="983">
        <v>4.37</v>
      </c>
      <c r="X64" s="983"/>
      <c r="Y64" s="983"/>
      <c r="Z64" s="1522">
        <v>8.1000000000000003E-2</v>
      </c>
      <c r="AA64" s="987"/>
      <c r="AB64" s="189">
        <f>AC64+AD64+AE64+AF64</f>
        <v>3.96</v>
      </c>
      <c r="AC64" s="984">
        <f>Q64</f>
        <v>3.96</v>
      </c>
      <c r="AD64" s="984"/>
      <c r="AE64" s="1154"/>
      <c r="AF64" s="1154"/>
      <c r="AG64" s="986"/>
      <c r="AH64" s="187">
        <f t="shared" si="332"/>
        <v>4.6292480000000005</v>
      </c>
      <c r="AI64" s="983">
        <v>4.5445158539233717</v>
      </c>
      <c r="AJ64" s="983"/>
      <c r="AK64" s="983"/>
      <c r="AL64" s="1522">
        <v>8.4732146076628531E-2</v>
      </c>
      <c r="AM64" s="987"/>
      <c r="AN64" s="189">
        <f t="shared" si="333"/>
        <v>3.96</v>
      </c>
      <c r="AO64" s="984">
        <f>Q64</f>
        <v>3.96</v>
      </c>
      <c r="AP64" s="984"/>
      <c r="AQ64" s="1154"/>
      <c r="AR64" s="1154"/>
      <c r="AS64" s="986"/>
      <c r="AT64" s="187">
        <f t="shared" si="334"/>
        <v>4.8144179200000004</v>
      </c>
      <c r="AU64" s="983">
        <v>4.7262964880803064</v>
      </c>
      <c r="AV64" s="983"/>
      <c r="AW64" s="983"/>
      <c r="AX64" s="1522">
        <v>8.8121431919693669E-2</v>
      </c>
      <c r="AY64" s="987"/>
      <c r="AZ64" s="189">
        <f t="shared" si="335"/>
        <v>3.96</v>
      </c>
      <c r="BA64" s="984">
        <f>AO64</f>
        <v>3.96</v>
      </c>
      <c r="BB64" s="984"/>
      <c r="BC64" s="1154"/>
      <c r="BD64" s="1154"/>
      <c r="BE64" s="986"/>
      <c r="BF64" s="187">
        <f t="shared" si="336"/>
        <v>5.0069946368000009</v>
      </c>
      <c r="BG64" s="983">
        <v>4.9153483476035191</v>
      </c>
      <c r="BH64" s="983"/>
      <c r="BI64" s="983"/>
      <c r="BJ64" s="1522">
        <v>9.1646289196481434E-2</v>
      </c>
      <c r="BK64" s="987"/>
      <c r="BL64" s="189">
        <f t="shared" si="337"/>
        <v>3.96</v>
      </c>
      <c r="BM64" s="984">
        <f>BA64</f>
        <v>3.96</v>
      </c>
      <c r="BN64" s="984"/>
      <c r="BO64" s="1154"/>
      <c r="BP64" s="1154"/>
      <c r="BQ64" s="986"/>
      <c r="BR64" s="940">
        <f t="shared" si="8"/>
        <v>0.92523364485981308</v>
      </c>
      <c r="BS64" s="542">
        <f t="shared" si="9"/>
        <v>3.8446601941747574</v>
      </c>
      <c r="BT64" s="1502">
        <f t="shared" si="4"/>
        <v>1</v>
      </c>
      <c r="BU64" s="323">
        <f t="shared" si="59"/>
        <v>1</v>
      </c>
      <c r="BV64" s="323">
        <f t="shared" si="60"/>
        <v>1</v>
      </c>
      <c r="BW64" s="198">
        <f t="shared" si="61"/>
        <v>1</v>
      </c>
      <c r="BX64" s="969" t="s">
        <v>489</v>
      </c>
    </row>
    <row r="65" spans="1:77" s="83" customFormat="1" ht="18.75">
      <c r="A65" s="133"/>
      <c r="B65" s="140" t="s">
        <v>132</v>
      </c>
      <c r="C65" s="1507" t="s">
        <v>1</v>
      </c>
      <c r="D65" s="187">
        <f t="shared" si="338"/>
        <v>7.2744512999999991</v>
      </c>
      <c r="E65" s="207">
        <v>6.74</v>
      </c>
      <c r="F65" s="207">
        <v>0.53445129999999885</v>
      </c>
      <c r="G65" s="207"/>
      <c r="H65" s="1145"/>
      <c r="I65" s="469"/>
      <c r="J65" s="187">
        <f t="shared" si="328"/>
        <v>7.5589999999999993</v>
      </c>
      <c r="K65" s="383">
        <v>4.5179999999999998</v>
      </c>
      <c r="L65" s="383">
        <v>2.903</v>
      </c>
      <c r="M65" s="383"/>
      <c r="N65" s="1501">
        <v>0.13800000000000001</v>
      </c>
      <c r="O65" s="500"/>
      <c r="P65" s="187">
        <f t="shared" si="329"/>
        <v>6.7</v>
      </c>
      <c r="Q65" s="207">
        <v>6.7</v>
      </c>
      <c r="R65" s="207"/>
      <c r="S65" s="207"/>
      <c r="T65" s="1145"/>
      <c r="U65" s="469"/>
      <c r="V65" s="187">
        <f t="shared" si="330"/>
        <v>7.86</v>
      </c>
      <c r="W65" s="383">
        <v>7.86</v>
      </c>
      <c r="X65" s="383"/>
      <c r="Y65" s="383"/>
      <c r="Z65" s="1501"/>
      <c r="AA65" s="500"/>
      <c r="AB65" s="189">
        <f t="shared" si="331"/>
        <v>6.7</v>
      </c>
      <c r="AC65" s="207">
        <f>Q65</f>
        <v>6.7</v>
      </c>
      <c r="AD65" s="207"/>
      <c r="AE65" s="1145"/>
      <c r="AF65" s="1145"/>
      <c r="AG65" s="469"/>
      <c r="AH65" s="187">
        <f t="shared" si="332"/>
        <v>8.18</v>
      </c>
      <c r="AI65" s="383">
        <v>8.18</v>
      </c>
      <c r="AJ65" s="383"/>
      <c r="AK65" s="383"/>
      <c r="AL65" s="1501"/>
      <c r="AM65" s="500"/>
      <c r="AN65" s="189">
        <f t="shared" si="333"/>
        <v>6.7</v>
      </c>
      <c r="AO65" s="207">
        <f>AC65</f>
        <v>6.7</v>
      </c>
      <c r="AP65" s="207"/>
      <c r="AQ65" s="1145"/>
      <c r="AR65" s="1145"/>
      <c r="AS65" s="469"/>
      <c r="AT65" s="187">
        <f t="shared" si="334"/>
        <v>8.5</v>
      </c>
      <c r="AU65" s="383">
        <v>8.5</v>
      </c>
      <c r="AV65" s="383"/>
      <c r="AW65" s="383"/>
      <c r="AX65" s="1501"/>
      <c r="AY65" s="500"/>
      <c r="AZ65" s="189">
        <f t="shared" si="335"/>
        <v>6.7</v>
      </c>
      <c r="BA65" s="207">
        <f>AO65</f>
        <v>6.7</v>
      </c>
      <c r="BB65" s="207"/>
      <c r="BC65" s="1145"/>
      <c r="BD65" s="1145"/>
      <c r="BE65" s="469"/>
      <c r="BF65" s="187">
        <f t="shared" si="336"/>
        <v>8.85</v>
      </c>
      <c r="BG65" s="383">
        <v>8.85</v>
      </c>
      <c r="BH65" s="383"/>
      <c r="BI65" s="383"/>
      <c r="BJ65" s="1501"/>
      <c r="BK65" s="500"/>
      <c r="BL65" s="189">
        <f t="shared" si="337"/>
        <v>6.7</v>
      </c>
      <c r="BM65" s="207">
        <f>BA65</f>
        <v>6.7</v>
      </c>
      <c r="BN65" s="207"/>
      <c r="BO65" s="1145"/>
      <c r="BP65" s="1145"/>
      <c r="BQ65" s="469"/>
      <c r="BR65" s="940">
        <f t="shared" si="8"/>
        <v>0.88636062971292506</v>
      </c>
      <c r="BS65" s="542">
        <f t="shared" si="9"/>
        <v>0.92103166598970854</v>
      </c>
      <c r="BT65" s="1502">
        <f t="shared" si="4"/>
        <v>1</v>
      </c>
      <c r="BU65" s="323">
        <f t="shared" si="59"/>
        <v>1</v>
      </c>
      <c r="BV65" s="323">
        <f t="shared" si="60"/>
        <v>1</v>
      </c>
      <c r="BW65" s="198">
        <f t="shared" si="61"/>
        <v>1</v>
      </c>
      <c r="BX65" s="967" t="s">
        <v>494</v>
      </c>
    </row>
    <row r="66" spans="1:77" s="83" customFormat="1" ht="26.25">
      <c r="A66" s="133"/>
      <c r="B66" s="140" t="s">
        <v>133</v>
      </c>
      <c r="C66" s="1507" t="s">
        <v>1</v>
      </c>
      <c r="D66" s="187">
        <f t="shared" si="338"/>
        <v>5.3920000000000003</v>
      </c>
      <c r="E66" s="207">
        <v>5.3920000000000003</v>
      </c>
      <c r="F66" s="207"/>
      <c r="G66" s="207"/>
      <c r="H66" s="1145"/>
      <c r="I66" s="469"/>
      <c r="J66" s="187">
        <f t="shared" si="328"/>
        <v>3.22</v>
      </c>
      <c r="K66" s="383">
        <v>1.9239999999999999</v>
      </c>
      <c r="L66" s="383">
        <v>1.2370000000000001</v>
      </c>
      <c r="M66" s="383"/>
      <c r="N66" s="1501">
        <v>5.8999999999999997E-2</v>
      </c>
      <c r="O66" s="500"/>
      <c r="P66" s="187">
        <f t="shared" si="329"/>
        <v>3.22</v>
      </c>
      <c r="Q66" s="207">
        <f>J66</f>
        <v>3.22</v>
      </c>
      <c r="R66" s="207"/>
      <c r="S66" s="207"/>
      <c r="T66" s="1145"/>
      <c r="U66" s="469"/>
      <c r="V66" s="187">
        <f t="shared" si="330"/>
        <v>1.07</v>
      </c>
      <c r="W66" s="383">
        <v>1.07</v>
      </c>
      <c r="X66" s="383"/>
      <c r="Y66" s="383"/>
      <c r="Z66" s="1501"/>
      <c r="AA66" s="500"/>
      <c r="AB66" s="189">
        <f t="shared" si="331"/>
        <v>1.07</v>
      </c>
      <c r="AC66" s="207">
        <f>W66</f>
        <v>1.07</v>
      </c>
      <c r="AD66" s="207"/>
      <c r="AE66" s="1145"/>
      <c r="AF66" s="1145"/>
      <c r="AG66" s="469"/>
      <c r="AH66" s="187">
        <f t="shared" si="332"/>
        <v>0</v>
      </c>
      <c r="AI66" s="383"/>
      <c r="AJ66" s="383"/>
      <c r="AK66" s="383"/>
      <c r="AL66" s="1501"/>
      <c r="AM66" s="500"/>
      <c r="AN66" s="189">
        <f t="shared" si="333"/>
        <v>0</v>
      </c>
      <c r="AO66" s="207"/>
      <c r="AP66" s="207"/>
      <c r="AQ66" s="1145"/>
      <c r="AR66" s="1145"/>
      <c r="AS66" s="469"/>
      <c r="AT66" s="187">
        <f t="shared" si="334"/>
        <v>0</v>
      </c>
      <c r="AU66" s="383"/>
      <c r="AV66" s="383"/>
      <c r="AW66" s="383"/>
      <c r="AX66" s="1501"/>
      <c r="AY66" s="500"/>
      <c r="AZ66" s="189">
        <f t="shared" si="335"/>
        <v>0</v>
      </c>
      <c r="BA66" s="207"/>
      <c r="BB66" s="207"/>
      <c r="BC66" s="1145"/>
      <c r="BD66" s="1145"/>
      <c r="BE66" s="469"/>
      <c r="BF66" s="187">
        <f t="shared" si="336"/>
        <v>0</v>
      </c>
      <c r="BG66" s="383"/>
      <c r="BH66" s="383"/>
      <c r="BI66" s="383"/>
      <c r="BJ66" s="1501"/>
      <c r="BK66" s="500"/>
      <c r="BL66" s="189">
        <f t="shared" si="337"/>
        <v>0</v>
      </c>
      <c r="BM66" s="207">
        <f>BA66</f>
        <v>0</v>
      </c>
      <c r="BN66" s="207"/>
      <c r="BO66" s="1145"/>
      <c r="BP66" s="1145"/>
      <c r="BQ66" s="469"/>
      <c r="BR66" s="940">
        <f t="shared" si="8"/>
        <v>1</v>
      </c>
      <c r="BS66" s="542">
        <f t="shared" si="9"/>
        <v>0.59718100890207715</v>
      </c>
      <c r="BT66" s="1502">
        <f t="shared" si="4"/>
        <v>0.33229813664596275</v>
      </c>
      <c r="BU66" s="323">
        <f t="shared" si="59"/>
        <v>0</v>
      </c>
      <c r="BV66" s="323" t="str">
        <f t="shared" si="60"/>
        <v xml:space="preserve"> </v>
      </c>
      <c r="BW66" s="198" t="str">
        <f t="shared" si="61"/>
        <v xml:space="preserve"> </v>
      </c>
      <c r="BX66" s="967" t="s">
        <v>487</v>
      </c>
    </row>
    <row r="67" spans="1:77" s="83" customFormat="1" ht="18.75">
      <c r="A67" s="133"/>
      <c r="B67" s="140" t="s">
        <v>137</v>
      </c>
      <c r="C67" s="1507" t="s">
        <v>1</v>
      </c>
      <c r="D67" s="187">
        <f t="shared" si="338"/>
        <v>0</v>
      </c>
      <c r="E67" s="207"/>
      <c r="F67" s="207"/>
      <c r="G67" s="207"/>
      <c r="H67" s="1145"/>
      <c r="I67" s="469"/>
      <c r="J67" s="187">
        <f t="shared" si="328"/>
        <v>0</v>
      </c>
      <c r="K67" s="383"/>
      <c r="L67" s="383"/>
      <c r="M67" s="383"/>
      <c r="N67" s="1501"/>
      <c r="O67" s="500"/>
      <c r="P67" s="187">
        <f t="shared" si="329"/>
        <v>0</v>
      </c>
      <c r="Q67" s="207"/>
      <c r="R67" s="207"/>
      <c r="S67" s="207"/>
      <c r="T67" s="1145"/>
      <c r="U67" s="469"/>
      <c r="V67" s="187">
        <f t="shared" si="330"/>
        <v>0</v>
      </c>
      <c r="W67" s="383"/>
      <c r="X67" s="383"/>
      <c r="Y67" s="383"/>
      <c r="Z67" s="1501"/>
      <c r="AA67" s="500"/>
      <c r="AB67" s="189">
        <f t="shared" si="331"/>
        <v>0</v>
      </c>
      <c r="AC67" s="207"/>
      <c r="AD67" s="207"/>
      <c r="AE67" s="1145"/>
      <c r="AF67" s="1145"/>
      <c r="AG67" s="469"/>
      <c r="AH67" s="187">
        <f t="shared" si="332"/>
        <v>0</v>
      </c>
      <c r="AI67" s="383"/>
      <c r="AJ67" s="383"/>
      <c r="AK67" s="383"/>
      <c r="AL67" s="1501"/>
      <c r="AM67" s="500"/>
      <c r="AN67" s="189">
        <f t="shared" si="333"/>
        <v>0</v>
      </c>
      <c r="AO67" s="207"/>
      <c r="AP67" s="207"/>
      <c r="AQ67" s="1145"/>
      <c r="AR67" s="1145"/>
      <c r="AS67" s="469"/>
      <c r="AT67" s="187">
        <f t="shared" si="334"/>
        <v>0</v>
      </c>
      <c r="AU67" s="383"/>
      <c r="AV67" s="383"/>
      <c r="AW67" s="383"/>
      <c r="AX67" s="1501"/>
      <c r="AY67" s="500"/>
      <c r="AZ67" s="189">
        <f t="shared" si="335"/>
        <v>0</v>
      </c>
      <c r="BA67" s="207"/>
      <c r="BB67" s="207"/>
      <c r="BC67" s="1145"/>
      <c r="BD67" s="1145"/>
      <c r="BE67" s="469"/>
      <c r="BF67" s="187">
        <f t="shared" si="336"/>
        <v>0</v>
      </c>
      <c r="BG67" s="383"/>
      <c r="BH67" s="383"/>
      <c r="BI67" s="383"/>
      <c r="BJ67" s="1501"/>
      <c r="BK67" s="500"/>
      <c r="BL67" s="189">
        <f t="shared" si="337"/>
        <v>0</v>
      </c>
      <c r="BM67" s="207"/>
      <c r="BN67" s="207"/>
      <c r="BO67" s="1145"/>
      <c r="BP67" s="1145"/>
      <c r="BQ67" s="469"/>
      <c r="BR67" s="940" t="str">
        <f t="shared" si="8"/>
        <v xml:space="preserve"> </v>
      </c>
      <c r="BS67" s="542" t="str">
        <f t="shared" si="9"/>
        <v xml:space="preserve"> </v>
      </c>
      <c r="BT67" s="1502" t="str">
        <f t="shared" si="4"/>
        <v xml:space="preserve"> </v>
      </c>
      <c r="BU67" s="323" t="str">
        <f t="shared" si="59"/>
        <v xml:space="preserve"> </v>
      </c>
      <c r="BV67" s="323" t="str">
        <f t="shared" si="60"/>
        <v xml:space="preserve"> </v>
      </c>
      <c r="BW67" s="198" t="str">
        <f t="shared" si="61"/>
        <v xml:space="preserve"> </v>
      </c>
      <c r="BX67" s="967"/>
    </row>
    <row r="68" spans="1:77" s="83" customFormat="1" ht="18.75">
      <c r="A68" s="133"/>
      <c r="B68" s="140" t="s">
        <v>136</v>
      </c>
      <c r="C68" s="1507" t="s">
        <v>1</v>
      </c>
      <c r="D68" s="187">
        <f t="shared" si="338"/>
        <v>0</v>
      </c>
      <c r="E68" s="207"/>
      <c r="F68" s="207"/>
      <c r="G68" s="207"/>
      <c r="H68" s="1145"/>
      <c r="I68" s="469"/>
      <c r="J68" s="187">
        <f t="shared" si="328"/>
        <v>0</v>
      </c>
      <c r="K68" s="383"/>
      <c r="L68" s="383"/>
      <c r="M68" s="383"/>
      <c r="N68" s="1501"/>
      <c r="O68" s="500"/>
      <c r="P68" s="187">
        <f t="shared" si="329"/>
        <v>0</v>
      </c>
      <c r="Q68" s="207"/>
      <c r="R68" s="207"/>
      <c r="S68" s="207"/>
      <c r="T68" s="1145"/>
      <c r="U68" s="469"/>
      <c r="V68" s="187">
        <f t="shared" si="330"/>
        <v>0</v>
      </c>
      <c r="W68" s="383"/>
      <c r="X68" s="383"/>
      <c r="Y68" s="383"/>
      <c r="Z68" s="1501"/>
      <c r="AA68" s="500"/>
      <c r="AB68" s="189">
        <f t="shared" si="331"/>
        <v>0</v>
      </c>
      <c r="AC68" s="207"/>
      <c r="AD68" s="207"/>
      <c r="AE68" s="1145"/>
      <c r="AF68" s="1145"/>
      <c r="AG68" s="469"/>
      <c r="AH68" s="187">
        <f t="shared" si="332"/>
        <v>0</v>
      </c>
      <c r="AI68" s="383"/>
      <c r="AJ68" s="383"/>
      <c r="AK68" s="383"/>
      <c r="AL68" s="1501"/>
      <c r="AM68" s="500"/>
      <c r="AN68" s="189">
        <f t="shared" si="333"/>
        <v>0</v>
      </c>
      <c r="AO68" s="207"/>
      <c r="AP68" s="207"/>
      <c r="AQ68" s="1145"/>
      <c r="AR68" s="1145"/>
      <c r="AS68" s="469"/>
      <c r="AT68" s="187">
        <f t="shared" si="334"/>
        <v>0</v>
      </c>
      <c r="AU68" s="383"/>
      <c r="AV68" s="383"/>
      <c r="AW68" s="383"/>
      <c r="AX68" s="1501"/>
      <c r="AY68" s="500"/>
      <c r="AZ68" s="189">
        <f t="shared" si="335"/>
        <v>0</v>
      </c>
      <c r="BA68" s="207"/>
      <c r="BB68" s="207"/>
      <c r="BC68" s="1145"/>
      <c r="BD68" s="1145"/>
      <c r="BE68" s="469"/>
      <c r="BF68" s="187">
        <f t="shared" si="336"/>
        <v>0</v>
      </c>
      <c r="BG68" s="383"/>
      <c r="BH68" s="383"/>
      <c r="BI68" s="383"/>
      <c r="BJ68" s="1501"/>
      <c r="BK68" s="500"/>
      <c r="BL68" s="189">
        <f t="shared" si="337"/>
        <v>0</v>
      </c>
      <c r="BM68" s="207"/>
      <c r="BN68" s="207"/>
      <c r="BO68" s="1145"/>
      <c r="BP68" s="1145"/>
      <c r="BQ68" s="469"/>
      <c r="BR68" s="940" t="str">
        <f t="shared" si="8"/>
        <v xml:space="preserve"> </v>
      </c>
      <c r="BS68" s="542" t="str">
        <f t="shared" si="9"/>
        <v xml:space="preserve"> </v>
      </c>
      <c r="BT68" s="1502" t="str">
        <f t="shared" si="4"/>
        <v xml:space="preserve"> </v>
      </c>
      <c r="BU68" s="323" t="str">
        <f t="shared" si="59"/>
        <v xml:space="preserve"> </v>
      </c>
      <c r="BV68" s="323" t="str">
        <f t="shared" si="60"/>
        <v xml:space="preserve"> </v>
      </c>
      <c r="BW68" s="198" t="str">
        <f t="shared" si="61"/>
        <v xml:space="preserve"> </v>
      </c>
      <c r="BX68" s="967"/>
    </row>
    <row r="69" spans="1:77" s="83" customFormat="1" ht="15.75" customHeight="1" outlineLevel="1">
      <c r="A69" s="133"/>
      <c r="B69" s="140" t="s">
        <v>134</v>
      </c>
      <c r="C69" s="1507" t="s">
        <v>1</v>
      </c>
      <c r="D69" s="187">
        <f t="shared" si="338"/>
        <v>0</v>
      </c>
      <c r="E69" s="207"/>
      <c r="F69" s="207"/>
      <c r="G69" s="207"/>
      <c r="H69" s="1145"/>
      <c r="I69" s="469"/>
      <c r="J69" s="187">
        <f t="shared" si="328"/>
        <v>0</v>
      </c>
      <c r="K69" s="383"/>
      <c r="L69" s="383"/>
      <c r="M69" s="383"/>
      <c r="N69" s="1501"/>
      <c r="O69" s="500"/>
      <c r="P69" s="187">
        <f t="shared" si="329"/>
        <v>0</v>
      </c>
      <c r="Q69" s="207"/>
      <c r="R69" s="207"/>
      <c r="S69" s="207"/>
      <c r="T69" s="1145"/>
      <c r="U69" s="469"/>
      <c r="V69" s="187">
        <f t="shared" si="330"/>
        <v>0</v>
      </c>
      <c r="W69" s="383"/>
      <c r="X69" s="383"/>
      <c r="Y69" s="383"/>
      <c r="Z69" s="1501"/>
      <c r="AA69" s="500"/>
      <c r="AB69" s="189">
        <f t="shared" si="331"/>
        <v>0</v>
      </c>
      <c r="AC69" s="207"/>
      <c r="AD69" s="207"/>
      <c r="AE69" s="1145"/>
      <c r="AF69" s="1145"/>
      <c r="AG69" s="469"/>
      <c r="AH69" s="187">
        <f t="shared" si="332"/>
        <v>0</v>
      </c>
      <c r="AI69" s="383"/>
      <c r="AJ69" s="383"/>
      <c r="AK69" s="383"/>
      <c r="AL69" s="1501"/>
      <c r="AM69" s="500"/>
      <c r="AN69" s="189">
        <f t="shared" si="333"/>
        <v>0</v>
      </c>
      <c r="AO69" s="207"/>
      <c r="AP69" s="207"/>
      <c r="AQ69" s="1145"/>
      <c r="AR69" s="1145"/>
      <c r="AS69" s="469"/>
      <c r="AT69" s="187">
        <f t="shared" si="334"/>
        <v>0</v>
      </c>
      <c r="AU69" s="383"/>
      <c r="AV69" s="383"/>
      <c r="AW69" s="383"/>
      <c r="AX69" s="1501"/>
      <c r="AY69" s="500"/>
      <c r="AZ69" s="189">
        <f t="shared" si="335"/>
        <v>0</v>
      </c>
      <c r="BA69" s="207"/>
      <c r="BB69" s="207"/>
      <c r="BC69" s="1145"/>
      <c r="BD69" s="1145"/>
      <c r="BE69" s="469"/>
      <c r="BF69" s="187">
        <f t="shared" si="336"/>
        <v>0</v>
      </c>
      <c r="BG69" s="383"/>
      <c r="BH69" s="383"/>
      <c r="BI69" s="383"/>
      <c r="BJ69" s="1501"/>
      <c r="BK69" s="500"/>
      <c r="BL69" s="189">
        <f t="shared" si="337"/>
        <v>0</v>
      </c>
      <c r="BM69" s="207"/>
      <c r="BN69" s="207"/>
      <c r="BO69" s="1145"/>
      <c r="BP69" s="1145"/>
      <c r="BQ69" s="469"/>
      <c r="BR69" s="940" t="str">
        <f t="shared" si="8"/>
        <v xml:space="preserve"> </v>
      </c>
      <c r="BS69" s="542" t="str">
        <f t="shared" si="9"/>
        <v xml:space="preserve"> </v>
      </c>
      <c r="BT69" s="1502" t="str">
        <f t="shared" si="4"/>
        <v xml:space="preserve"> </v>
      </c>
      <c r="BU69" s="323" t="str">
        <f t="shared" si="59"/>
        <v xml:space="preserve"> </v>
      </c>
      <c r="BV69" s="323" t="str">
        <f t="shared" si="60"/>
        <v xml:space="preserve"> </v>
      </c>
      <c r="BW69" s="198" t="str">
        <f t="shared" si="61"/>
        <v xml:space="preserve"> </v>
      </c>
      <c r="BX69" s="967"/>
    </row>
    <row r="70" spans="1:77" s="83" customFormat="1" ht="18.75">
      <c r="A70" s="133"/>
      <c r="B70" s="140" t="s">
        <v>135</v>
      </c>
      <c r="C70" s="1507" t="s">
        <v>1</v>
      </c>
      <c r="D70" s="187">
        <f t="shared" si="338"/>
        <v>0</v>
      </c>
      <c r="E70" s="207"/>
      <c r="F70" s="207"/>
      <c r="G70" s="207"/>
      <c r="H70" s="1145"/>
      <c r="I70" s="469"/>
      <c r="J70" s="187">
        <f t="shared" si="328"/>
        <v>0</v>
      </c>
      <c r="K70" s="383"/>
      <c r="L70" s="383"/>
      <c r="M70" s="383"/>
      <c r="N70" s="1501"/>
      <c r="O70" s="500"/>
      <c r="P70" s="187">
        <f t="shared" si="329"/>
        <v>0</v>
      </c>
      <c r="Q70" s="984"/>
      <c r="R70" s="207"/>
      <c r="S70" s="207"/>
      <c r="T70" s="1145"/>
      <c r="U70" s="469"/>
      <c r="V70" s="187">
        <f t="shared" si="330"/>
        <v>0</v>
      </c>
      <c r="W70" s="383"/>
      <c r="X70" s="383"/>
      <c r="Y70" s="383"/>
      <c r="Z70" s="1501"/>
      <c r="AA70" s="500"/>
      <c r="AB70" s="189">
        <f t="shared" si="331"/>
        <v>0</v>
      </c>
      <c r="AC70" s="984">
        <f>ROUND(AC90*20/80,2)</f>
        <v>0</v>
      </c>
      <c r="AD70" s="207"/>
      <c r="AE70" s="1145"/>
      <c r="AF70" s="1145"/>
      <c r="AG70" s="469"/>
      <c r="AH70" s="187">
        <f t="shared" si="332"/>
        <v>0</v>
      </c>
      <c r="AI70" s="383"/>
      <c r="AJ70" s="383"/>
      <c r="AK70" s="383"/>
      <c r="AL70" s="1501"/>
      <c r="AM70" s="500"/>
      <c r="AN70" s="189">
        <f t="shared" si="333"/>
        <v>0</v>
      </c>
      <c r="AO70" s="984">
        <f>ROUND(AO90*20/80,2)</f>
        <v>0</v>
      </c>
      <c r="AP70" s="207"/>
      <c r="AQ70" s="1145"/>
      <c r="AR70" s="1145"/>
      <c r="AS70" s="469"/>
      <c r="AT70" s="187">
        <f t="shared" si="334"/>
        <v>0</v>
      </c>
      <c r="AU70" s="383"/>
      <c r="AV70" s="383"/>
      <c r="AW70" s="383"/>
      <c r="AX70" s="1501"/>
      <c r="AY70" s="500"/>
      <c r="AZ70" s="189">
        <f t="shared" si="335"/>
        <v>0</v>
      </c>
      <c r="BA70" s="984">
        <f>ROUND(BA90*20/80,2)</f>
        <v>0</v>
      </c>
      <c r="BB70" s="207"/>
      <c r="BC70" s="1145"/>
      <c r="BD70" s="1145"/>
      <c r="BE70" s="469"/>
      <c r="BF70" s="187">
        <f t="shared" si="336"/>
        <v>0</v>
      </c>
      <c r="BG70" s="383"/>
      <c r="BH70" s="383"/>
      <c r="BI70" s="383"/>
      <c r="BJ70" s="1501"/>
      <c r="BK70" s="500"/>
      <c r="BL70" s="189">
        <f t="shared" si="337"/>
        <v>0</v>
      </c>
      <c r="BM70" s="984">
        <f>ROUND(BM90*20/80,2)</f>
        <v>0</v>
      </c>
      <c r="BN70" s="207"/>
      <c r="BO70" s="1145"/>
      <c r="BP70" s="1145"/>
      <c r="BQ70" s="469"/>
      <c r="BR70" s="940" t="str">
        <f t="shared" si="8"/>
        <v xml:space="preserve"> </v>
      </c>
      <c r="BS70" s="542" t="str">
        <f t="shared" si="9"/>
        <v xml:space="preserve"> </v>
      </c>
      <c r="BT70" s="1502" t="str">
        <f t="shared" si="4"/>
        <v xml:space="preserve"> </v>
      </c>
      <c r="BU70" s="323" t="str">
        <f t="shared" si="59"/>
        <v xml:space="preserve"> </v>
      </c>
      <c r="BV70" s="323" t="str">
        <f t="shared" si="60"/>
        <v xml:space="preserve"> </v>
      </c>
      <c r="BW70" s="198" t="str">
        <f t="shared" si="61"/>
        <v xml:space="preserve"> </v>
      </c>
      <c r="BX70" s="967"/>
    </row>
    <row r="71" spans="1:77" s="83" customFormat="1" ht="18.75">
      <c r="A71" s="133"/>
      <c r="B71" s="140" t="s">
        <v>138</v>
      </c>
      <c r="C71" s="1507" t="s">
        <v>1</v>
      </c>
      <c r="D71" s="187">
        <f t="shared" si="338"/>
        <v>0</v>
      </c>
      <c r="E71" s="207"/>
      <c r="F71" s="207"/>
      <c r="G71" s="207"/>
      <c r="H71" s="1145"/>
      <c r="I71" s="469"/>
      <c r="J71" s="1250">
        <f t="shared" si="328"/>
        <v>50</v>
      </c>
      <c r="K71" s="383">
        <v>29.882999999999999</v>
      </c>
      <c r="L71" s="383">
        <v>19.202000000000002</v>
      </c>
      <c r="M71" s="1501"/>
      <c r="N71" s="1501">
        <v>0.91500000000000004</v>
      </c>
      <c r="O71" s="500"/>
      <c r="P71" s="187">
        <f t="shared" si="329"/>
        <v>0</v>
      </c>
      <c r="Q71" s="207"/>
      <c r="R71" s="207"/>
      <c r="S71" s="207"/>
      <c r="T71" s="1145"/>
      <c r="U71" s="469"/>
      <c r="V71" s="187">
        <f t="shared" si="330"/>
        <v>190.56700000000001</v>
      </c>
      <c r="W71" s="383">
        <f>1.05+210.571-W73-W65-W66</f>
        <v>186.904</v>
      </c>
      <c r="X71" s="383"/>
      <c r="Y71" s="1501"/>
      <c r="Z71" s="1501">
        <f>0.02+3.926-Z73</f>
        <v>3.6630000000000003</v>
      </c>
      <c r="AA71" s="500"/>
      <c r="AB71" s="189">
        <f t="shared" si="331"/>
        <v>0</v>
      </c>
      <c r="AC71" s="207"/>
      <c r="AD71" s="207"/>
      <c r="AE71" s="1145"/>
      <c r="AF71" s="1145"/>
      <c r="AG71" s="469"/>
      <c r="AH71" s="187">
        <f t="shared" si="332"/>
        <v>274.18671859200009</v>
      </c>
      <c r="AI71" s="383">
        <f>293.602522306155-AI73-AI65</f>
        <v>268.99552230615495</v>
      </c>
      <c r="AJ71" s="383"/>
      <c r="AK71" s="1501"/>
      <c r="AL71" s="1501">
        <f>5.47419628584514-AL73</f>
        <v>5.1911962858451393</v>
      </c>
      <c r="AM71" s="500"/>
      <c r="AN71" s="189">
        <f t="shared" si="333"/>
        <v>0</v>
      </c>
      <c r="AO71" s="207"/>
      <c r="AP71" s="207"/>
      <c r="AQ71" s="1145"/>
      <c r="AR71" s="1145"/>
      <c r="AS71" s="469"/>
      <c r="AT71" s="187">
        <f t="shared" si="334"/>
        <v>197.95978733567969</v>
      </c>
      <c r="AU71" s="383">
        <f>219.742701684125-AU65-AU73</f>
        <v>193.862701684125</v>
      </c>
      <c r="AV71" s="383"/>
      <c r="AW71" s="1501"/>
      <c r="AX71" s="1501">
        <v>4.0970856515547016</v>
      </c>
      <c r="AY71" s="500"/>
      <c r="AZ71" s="189">
        <f t="shared" si="335"/>
        <v>0</v>
      </c>
      <c r="BA71" s="207"/>
      <c r="BB71" s="207"/>
      <c r="BC71" s="1145"/>
      <c r="BD71" s="1145"/>
      <c r="BE71" s="469"/>
      <c r="BF71" s="187">
        <f t="shared" si="336"/>
        <v>201.86337882910703</v>
      </c>
      <c r="BG71" s="383">
        <f>224.605624360927-BG65-BG73</f>
        <v>197.67562436092703</v>
      </c>
      <c r="BH71" s="383"/>
      <c r="BI71" s="1501"/>
      <c r="BJ71" s="1501">
        <v>4.1877544681799987</v>
      </c>
      <c r="BK71" s="500"/>
      <c r="BL71" s="189">
        <f t="shared" si="337"/>
        <v>0</v>
      </c>
      <c r="BM71" s="207"/>
      <c r="BN71" s="207"/>
      <c r="BO71" s="1145"/>
      <c r="BP71" s="1145"/>
      <c r="BQ71" s="469"/>
      <c r="BR71" s="940">
        <f t="shared" si="8"/>
        <v>0</v>
      </c>
      <c r="BS71" s="542" t="str">
        <f t="shared" si="9"/>
        <v xml:space="preserve"> </v>
      </c>
      <c r="BT71" s="1502" t="str">
        <f t="shared" si="4"/>
        <v xml:space="preserve"> </v>
      </c>
      <c r="BU71" s="323" t="str">
        <f t="shared" si="59"/>
        <v xml:space="preserve"> </v>
      </c>
      <c r="BV71" s="323" t="str">
        <f t="shared" si="60"/>
        <v xml:space="preserve"> </v>
      </c>
      <c r="BW71" s="198" t="str">
        <f t="shared" si="61"/>
        <v xml:space="preserve"> </v>
      </c>
      <c r="BX71" s="967"/>
    </row>
    <row r="72" spans="1:77" s="111" customFormat="1" ht="18.75">
      <c r="A72" s="114" t="s">
        <v>46</v>
      </c>
      <c r="B72" s="139" t="s">
        <v>139</v>
      </c>
      <c r="C72" s="1489" t="s">
        <v>1</v>
      </c>
      <c r="D72" s="187">
        <f t="shared" si="338"/>
        <v>0</v>
      </c>
      <c r="E72" s="190"/>
      <c r="F72" s="190"/>
      <c r="G72" s="190"/>
      <c r="H72" s="1135"/>
      <c r="I72" s="464"/>
      <c r="J72" s="187">
        <f t="shared" si="328"/>
        <v>0</v>
      </c>
      <c r="K72" s="232"/>
      <c r="L72" s="232"/>
      <c r="M72" s="1141"/>
      <c r="N72" s="1141"/>
      <c r="O72" s="470"/>
      <c r="P72" s="187">
        <f t="shared" si="329"/>
        <v>0</v>
      </c>
      <c r="Q72" s="190"/>
      <c r="R72" s="190"/>
      <c r="S72" s="190"/>
      <c r="T72" s="1135"/>
      <c r="U72" s="464"/>
      <c r="V72" s="187">
        <f t="shared" si="330"/>
        <v>0</v>
      </c>
      <c r="W72" s="232"/>
      <c r="X72" s="232"/>
      <c r="Y72" s="1141"/>
      <c r="Z72" s="1141"/>
      <c r="AA72" s="470"/>
      <c r="AB72" s="189">
        <f t="shared" si="331"/>
        <v>0</v>
      </c>
      <c r="AC72" s="190"/>
      <c r="AD72" s="190"/>
      <c r="AE72" s="1135"/>
      <c r="AF72" s="1135"/>
      <c r="AG72" s="464"/>
      <c r="AH72" s="187">
        <f t="shared" si="332"/>
        <v>0</v>
      </c>
      <c r="AI72" s="232"/>
      <c r="AJ72" s="232"/>
      <c r="AK72" s="1141"/>
      <c r="AL72" s="1141"/>
      <c r="AM72" s="470"/>
      <c r="AN72" s="189">
        <f t="shared" si="333"/>
        <v>0</v>
      </c>
      <c r="AO72" s="190"/>
      <c r="AP72" s="190"/>
      <c r="AQ72" s="1135"/>
      <c r="AR72" s="1135"/>
      <c r="AS72" s="464"/>
      <c r="AT72" s="187">
        <f t="shared" si="334"/>
        <v>0</v>
      </c>
      <c r="AU72" s="232"/>
      <c r="AV72" s="232"/>
      <c r="AW72" s="1141"/>
      <c r="AX72" s="1141"/>
      <c r="AY72" s="470"/>
      <c r="AZ72" s="189">
        <f t="shared" si="335"/>
        <v>0</v>
      </c>
      <c r="BA72" s="190"/>
      <c r="BB72" s="190"/>
      <c r="BC72" s="1135"/>
      <c r="BD72" s="1135"/>
      <c r="BE72" s="464"/>
      <c r="BF72" s="187">
        <f t="shared" si="336"/>
        <v>0</v>
      </c>
      <c r="BG72" s="232"/>
      <c r="BH72" s="232"/>
      <c r="BI72" s="1141"/>
      <c r="BJ72" s="1141"/>
      <c r="BK72" s="470"/>
      <c r="BL72" s="189">
        <f t="shared" si="337"/>
        <v>0</v>
      </c>
      <c r="BM72" s="190"/>
      <c r="BN72" s="190"/>
      <c r="BO72" s="1135"/>
      <c r="BP72" s="1135"/>
      <c r="BQ72" s="464"/>
      <c r="BR72" s="940" t="str">
        <f t="shared" si="8"/>
        <v xml:space="preserve"> </v>
      </c>
      <c r="BS72" s="542" t="str">
        <f t="shared" si="9"/>
        <v xml:space="preserve"> </v>
      </c>
      <c r="BT72" s="942" t="str">
        <f t="shared" ref="BT72:BT90" si="350">IF(ISERROR(AB72/P72)," ",AB72/P72)</f>
        <v xml:space="preserve"> </v>
      </c>
      <c r="BU72" s="324" t="str">
        <f t="shared" si="59"/>
        <v xml:space="preserve"> </v>
      </c>
      <c r="BV72" s="324" t="str">
        <f t="shared" si="60"/>
        <v xml:space="preserve"> </v>
      </c>
      <c r="BW72" s="201" t="str">
        <f t="shared" si="61"/>
        <v xml:space="preserve"> </v>
      </c>
      <c r="BX72" s="967"/>
    </row>
    <row r="73" spans="1:77" s="111" customFormat="1" ht="36.75" customHeight="1">
      <c r="A73" s="114" t="s">
        <v>48</v>
      </c>
      <c r="B73" s="139" t="s">
        <v>295</v>
      </c>
      <c r="C73" s="1489" t="s">
        <v>1</v>
      </c>
      <c r="D73" s="187">
        <f t="shared" si="338"/>
        <v>14.5</v>
      </c>
      <c r="E73" s="1184">
        <v>12.76</v>
      </c>
      <c r="F73" s="1184">
        <v>1.74</v>
      </c>
      <c r="G73" s="1184"/>
      <c r="H73" s="1191"/>
      <c r="I73" s="1186"/>
      <c r="J73" s="187">
        <f t="shared" si="328"/>
        <v>15.45</v>
      </c>
      <c r="K73" s="1187">
        <v>9.234</v>
      </c>
      <c r="L73" s="1187">
        <v>5.9329999999999998</v>
      </c>
      <c r="M73" s="1523"/>
      <c r="N73" s="1523">
        <v>0.28299999999999997</v>
      </c>
      <c r="O73" s="1189"/>
      <c r="P73" s="187">
        <f t="shared" si="329"/>
        <v>15.35</v>
      </c>
      <c r="Q73" s="1184">
        <f>ROUND(14.29*[185]индексы!G8*[185]индексы!H8,2)</f>
        <v>15.35</v>
      </c>
      <c r="R73" s="1184"/>
      <c r="S73" s="1184"/>
      <c r="T73" s="1191"/>
      <c r="U73" s="1186"/>
      <c r="V73" s="187">
        <f t="shared" si="330"/>
        <v>16.07</v>
      </c>
      <c r="W73" s="1187">
        <f>16.07-Z73</f>
        <v>15.787000000000001</v>
      </c>
      <c r="X73" s="1187"/>
      <c r="Y73" s="1523"/>
      <c r="Z73" s="1523">
        <v>0.28299999999999997</v>
      </c>
      <c r="AA73" s="1189"/>
      <c r="AB73" s="189">
        <f t="shared" si="331"/>
        <v>15.35</v>
      </c>
      <c r="AC73" s="1184">
        <f>Q73</f>
        <v>15.35</v>
      </c>
      <c r="AD73" s="1184"/>
      <c r="AE73" s="1191"/>
      <c r="AF73" s="1191"/>
      <c r="AG73" s="1186"/>
      <c r="AH73" s="187">
        <f t="shared" si="332"/>
        <v>16.71</v>
      </c>
      <c r="AI73" s="1187">
        <f>16.71-AL73</f>
        <v>16.427</v>
      </c>
      <c r="AJ73" s="1187"/>
      <c r="AK73" s="1523"/>
      <c r="AL73" s="1523">
        <v>0.28299999999999997</v>
      </c>
      <c r="AM73" s="1189"/>
      <c r="AN73" s="189">
        <f t="shared" si="333"/>
        <v>15.35</v>
      </c>
      <c r="AO73" s="1184">
        <f>AC73</f>
        <v>15.35</v>
      </c>
      <c r="AP73" s="1184"/>
      <c r="AQ73" s="1191"/>
      <c r="AR73" s="1191"/>
      <c r="AS73" s="1186"/>
      <c r="AT73" s="187">
        <f t="shared" si="334"/>
        <v>17.38</v>
      </c>
      <c r="AU73" s="1187">
        <v>17.38</v>
      </c>
      <c r="AV73" s="1187"/>
      <c r="AW73" s="1523"/>
      <c r="AX73" s="1523"/>
      <c r="AY73" s="1189"/>
      <c r="AZ73" s="189">
        <f t="shared" si="335"/>
        <v>15.35</v>
      </c>
      <c r="BA73" s="1184">
        <f>AO73</f>
        <v>15.35</v>
      </c>
      <c r="BB73" s="1184"/>
      <c r="BC73" s="1191"/>
      <c r="BD73" s="1191"/>
      <c r="BE73" s="1186"/>
      <c r="BF73" s="187">
        <f t="shared" si="336"/>
        <v>18.079999999999998</v>
      </c>
      <c r="BG73" s="1187">
        <v>18.079999999999998</v>
      </c>
      <c r="BH73" s="1187"/>
      <c r="BI73" s="1523"/>
      <c r="BJ73" s="1523"/>
      <c r="BK73" s="1189"/>
      <c r="BL73" s="189">
        <f t="shared" si="337"/>
        <v>15.35</v>
      </c>
      <c r="BM73" s="1184">
        <f>BA73</f>
        <v>15.35</v>
      </c>
      <c r="BN73" s="1184"/>
      <c r="BO73" s="1191"/>
      <c r="BP73" s="1191"/>
      <c r="BQ73" s="1186"/>
      <c r="BR73" s="940">
        <f t="shared" ref="BR73:BR126" si="351">IF(ISERROR(P73/J73)," ",P73/J73)</f>
        <v>0.99352750809061496</v>
      </c>
      <c r="BS73" s="542">
        <f t="shared" ref="BS73:BS126" si="352">IF(ISERROR(P73/D73)," ",P73/D73)</f>
        <v>1.0586206896551724</v>
      </c>
      <c r="BT73" s="942">
        <f t="shared" si="350"/>
        <v>1</v>
      </c>
      <c r="BU73" s="324">
        <f t="shared" si="59"/>
        <v>1</v>
      </c>
      <c r="BV73" s="324">
        <f t="shared" si="60"/>
        <v>1</v>
      </c>
      <c r="BW73" s="201">
        <f t="shared" si="61"/>
        <v>1</v>
      </c>
      <c r="BX73" s="967" t="s">
        <v>496</v>
      </c>
    </row>
    <row r="74" spans="1:77" s="111" customFormat="1" ht="18.75">
      <c r="A74" s="114" t="s">
        <v>47</v>
      </c>
      <c r="B74" s="139" t="s">
        <v>140</v>
      </c>
      <c r="C74" s="1489" t="s">
        <v>1</v>
      </c>
      <c r="D74" s="187">
        <f t="shared" si="338"/>
        <v>0</v>
      </c>
      <c r="E74" s="190"/>
      <c r="F74" s="190"/>
      <c r="G74" s="190"/>
      <c r="H74" s="1135"/>
      <c r="I74" s="464"/>
      <c r="J74" s="187">
        <f t="shared" si="328"/>
        <v>0</v>
      </c>
      <c r="K74" s="232"/>
      <c r="L74" s="232"/>
      <c r="M74" s="1141"/>
      <c r="N74" s="1141"/>
      <c r="O74" s="470"/>
      <c r="P74" s="187">
        <f t="shared" si="329"/>
        <v>0</v>
      </c>
      <c r="Q74" s="190"/>
      <c r="R74" s="190"/>
      <c r="S74" s="190"/>
      <c r="T74" s="1135"/>
      <c r="U74" s="464"/>
      <c r="V74" s="187">
        <f t="shared" si="330"/>
        <v>0</v>
      </c>
      <c r="W74" s="232"/>
      <c r="X74" s="232"/>
      <c r="Y74" s="1141"/>
      <c r="Z74" s="1141"/>
      <c r="AA74" s="470"/>
      <c r="AB74" s="189">
        <f t="shared" si="331"/>
        <v>0</v>
      </c>
      <c r="AC74" s="190"/>
      <c r="AD74" s="190"/>
      <c r="AE74" s="1135"/>
      <c r="AF74" s="1135"/>
      <c r="AG74" s="464"/>
      <c r="AH74" s="187">
        <f t="shared" si="332"/>
        <v>0</v>
      </c>
      <c r="AI74" s="232"/>
      <c r="AJ74" s="232"/>
      <c r="AK74" s="1141"/>
      <c r="AL74" s="1141"/>
      <c r="AM74" s="470"/>
      <c r="AN74" s="189">
        <f t="shared" si="333"/>
        <v>0</v>
      </c>
      <c r="AO74" s="190"/>
      <c r="AP74" s="190"/>
      <c r="AQ74" s="1135"/>
      <c r="AR74" s="1135"/>
      <c r="AS74" s="464"/>
      <c r="AT74" s="187">
        <f t="shared" si="334"/>
        <v>0</v>
      </c>
      <c r="AU74" s="232"/>
      <c r="AV74" s="232"/>
      <c r="AW74" s="1141"/>
      <c r="AX74" s="1141"/>
      <c r="AY74" s="470"/>
      <c r="AZ74" s="189">
        <f t="shared" si="335"/>
        <v>0</v>
      </c>
      <c r="BA74" s="190"/>
      <c r="BB74" s="190"/>
      <c r="BC74" s="1135"/>
      <c r="BD74" s="1135"/>
      <c r="BE74" s="464"/>
      <c r="BF74" s="187">
        <f t="shared" si="336"/>
        <v>0</v>
      </c>
      <c r="BG74" s="232"/>
      <c r="BH74" s="232"/>
      <c r="BI74" s="1141"/>
      <c r="BJ74" s="1141"/>
      <c r="BK74" s="470"/>
      <c r="BL74" s="189">
        <f>BM74+BN74+BO74+BP74</f>
        <v>0</v>
      </c>
      <c r="BM74" s="190"/>
      <c r="BN74" s="190"/>
      <c r="BO74" s="1135"/>
      <c r="BP74" s="1135"/>
      <c r="BQ74" s="464"/>
      <c r="BR74" s="940" t="str">
        <f t="shared" si="351"/>
        <v xml:space="preserve"> </v>
      </c>
      <c r="BS74" s="542" t="str">
        <f t="shared" si="352"/>
        <v xml:space="preserve"> </v>
      </c>
      <c r="BT74" s="942" t="str">
        <f t="shared" si="350"/>
        <v xml:space="preserve"> </v>
      </c>
      <c r="BU74" s="324" t="str">
        <f t="shared" si="59"/>
        <v xml:space="preserve"> </v>
      </c>
      <c r="BV74" s="324" t="str">
        <f t="shared" si="60"/>
        <v xml:space="preserve"> </v>
      </c>
      <c r="BW74" s="201" t="str">
        <f t="shared" si="61"/>
        <v xml:space="preserve"> </v>
      </c>
      <c r="BX74" s="973"/>
    </row>
    <row r="75" spans="1:77" s="111" customFormat="1" ht="18.75">
      <c r="A75" s="114" t="s">
        <v>39</v>
      </c>
      <c r="B75" s="139" t="s">
        <v>141</v>
      </c>
      <c r="C75" s="1489" t="s">
        <v>1</v>
      </c>
      <c r="D75" s="187">
        <f>E75+F75+G75+H75</f>
        <v>344.21</v>
      </c>
      <c r="E75" s="232">
        <f>SUM(E76:E78)</f>
        <v>205.76</v>
      </c>
      <c r="F75" s="232">
        <f t="shared" ref="F75:I75" si="353">SUM(F76:F78)</f>
        <v>138.44999999999999</v>
      </c>
      <c r="G75" s="232">
        <f t="shared" si="353"/>
        <v>0</v>
      </c>
      <c r="H75" s="1141">
        <f t="shared" si="353"/>
        <v>0</v>
      </c>
      <c r="I75" s="470">
        <f t="shared" si="353"/>
        <v>0</v>
      </c>
      <c r="J75" s="187">
        <f>K75+L75+M75+N75</f>
        <v>477.166</v>
      </c>
      <c r="K75" s="232">
        <f>SUM(K76:K78)</f>
        <v>285.18099999999998</v>
      </c>
      <c r="L75" s="232">
        <f t="shared" ref="L75:O75" si="354">SUM(L76:L78)</f>
        <v>183.251</v>
      </c>
      <c r="M75" s="232">
        <f t="shared" si="354"/>
        <v>0</v>
      </c>
      <c r="N75" s="1141">
        <f t="shared" si="354"/>
        <v>8.734</v>
      </c>
      <c r="O75" s="470">
        <f t="shared" si="354"/>
        <v>0</v>
      </c>
      <c r="P75" s="187">
        <f t="shared" si="329"/>
        <v>476.35</v>
      </c>
      <c r="Q75" s="232">
        <f>SUM(Q76:Q78)</f>
        <v>293.10000000000002</v>
      </c>
      <c r="R75" s="232">
        <f t="shared" ref="R75:U75" si="355">SUM(R76:R78)</f>
        <v>183.25</v>
      </c>
      <c r="S75" s="232">
        <f t="shared" si="355"/>
        <v>0</v>
      </c>
      <c r="T75" s="1141">
        <f t="shared" si="355"/>
        <v>0</v>
      </c>
      <c r="U75" s="470">
        <f t="shared" si="355"/>
        <v>0</v>
      </c>
      <c r="V75" s="187">
        <f t="shared" si="330"/>
        <v>491.29015478399998</v>
      </c>
      <c r="W75" s="232">
        <f>SUM(W76:W78)</f>
        <v>482.29779311999999</v>
      </c>
      <c r="X75" s="232">
        <f t="shared" ref="X75:AA75" si="356">SUM(X76:X78)</f>
        <v>0</v>
      </c>
      <c r="Y75" s="232">
        <f t="shared" si="356"/>
        <v>0</v>
      </c>
      <c r="Z75" s="1141">
        <f t="shared" si="356"/>
        <v>8.9923616640000006</v>
      </c>
      <c r="AA75" s="470">
        <f t="shared" si="356"/>
        <v>0</v>
      </c>
      <c r="AB75" s="189">
        <f t="shared" si="331"/>
        <v>487.63</v>
      </c>
      <c r="AC75" s="232">
        <f>SUM(AC76:AC78)</f>
        <v>300.04000000000002</v>
      </c>
      <c r="AD75" s="232">
        <f t="shared" ref="AD75:AG75" si="357">SUM(AD76:AD78)</f>
        <v>187.59</v>
      </c>
      <c r="AE75" s="232">
        <f t="shared" si="357"/>
        <v>0</v>
      </c>
      <c r="AF75" s="1141">
        <f t="shared" si="357"/>
        <v>0</v>
      </c>
      <c r="AG75" s="470">
        <f t="shared" si="357"/>
        <v>0</v>
      </c>
      <c r="AH75" s="187">
        <f t="shared" si="332"/>
        <v>505.83234336560639</v>
      </c>
      <c r="AI75" s="232">
        <f>SUM(AI76:AI78)</f>
        <v>496.57380779635201</v>
      </c>
      <c r="AJ75" s="232">
        <f t="shared" ref="AJ75:AM75" si="358">SUM(AJ76:AJ78)</f>
        <v>0</v>
      </c>
      <c r="AK75" s="232">
        <f t="shared" si="358"/>
        <v>0</v>
      </c>
      <c r="AL75" s="1141">
        <f t="shared" si="358"/>
        <v>9.258535569254402</v>
      </c>
      <c r="AM75" s="470">
        <f t="shared" si="358"/>
        <v>0</v>
      </c>
      <c r="AN75" s="189">
        <f t="shared" si="333"/>
        <v>502.06</v>
      </c>
      <c r="AO75" s="232">
        <f>SUM(AO76:AO78)</f>
        <v>308.92</v>
      </c>
      <c r="AP75" s="232">
        <f t="shared" ref="AP75:AS75" si="359">SUM(AP76:AP78)</f>
        <v>193.14</v>
      </c>
      <c r="AQ75" s="232">
        <f t="shared" si="359"/>
        <v>0</v>
      </c>
      <c r="AR75" s="1141">
        <f t="shared" si="359"/>
        <v>0</v>
      </c>
      <c r="AS75" s="470">
        <f t="shared" si="359"/>
        <v>0</v>
      </c>
      <c r="AT75" s="187">
        <f t="shared" si="334"/>
        <v>520.80498072922842</v>
      </c>
      <c r="AU75" s="232">
        <f>SUM(AU76:AU78)</f>
        <v>511.27239250712404</v>
      </c>
      <c r="AV75" s="232">
        <f t="shared" ref="AV75:AY75" si="360">SUM(AV76:AV78)</f>
        <v>0</v>
      </c>
      <c r="AW75" s="232">
        <f t="shared" si="360"/>
        <v>0</v>
      </c>
      <c r="AX75" s="1141">
        <f t="shared" si="360"/>
        <v>9.5325882221043337</v>
      </c>
      <c r="AY75" s="470">
        <f t="shared" si="360"/>
        <v>0</v>
      </c>
      <c r="AZ75" s="189">
        <f t="shared" si="335"/>
        <v>516.92000000000007</v>
      </c>
      <c r="BA75" s="232">
        <f>SUM(BA76:BA78)</f>
        <v>318.06</v>
      </c>
      <c r="BB75" s="232">
        <f t="shared" ref="BB75:BE75" si="361">SUM(BB76:BB78)</f>
        <v>198.86</v>
      </c>
      <c r="BC75" s="232">
        <f t="shared" si="361"/>
        <v>0</v>
      </c>
      <c r="BD75" s="1141">
        <f t="shared" si="361"/>
        <v>0</v>
      </c>
      <c r="BE75" s="470">
        <f t="shared" si="361"/>
        <v>0</v>
      </c>
      <c r="BF75" s="187">
        <f t="shared" si="336"/>
        <v>536.2208081588135</v>
      </c>
      <c r="BG75" s="232">
        <f>SUM(BG76:BG78)</f>
        <v>526.40605532533493</v>
      </c>
      <c r="BH75" s="232">
        <f t="shared" ref="BH75:BK75" si="362">SUM(BH76:BH78)</f>
        <v>0</v>
      </c>
      <c r="BI75" s="232">
        <f t="shared" si="362"/>
        <v>0</v>
      </c>
      <c r="BJ75" s="1141">
        <f t="shared" si="362"/>
        <v>9.8147528334786216</v>
      </c>
      <c r="BK75" s="470">
        <f t="shared" si="362"/>
        <v>0</v>
      </c>
      <c r="BL75" s="189">
        <f>BM75+BN75+BO75+BP75</f>
        <v>532.22</v>
      </c>
      <c r="BM75" s="232">
        <f>SUM(BM76:BM78)</f>
        <v>327.48</v>
      </c>
      <c r="BN75" s="232">
        <f t="shared" ref="BN75:BQ75" si="363">SUM(BN76:BN78)</f>
        <v>204.74</v>
      </c>
      <c r="BO75" s="232">
        <f t="shared" si="363"/>
        <v>0</v>
      </c>
      <c r="BP75" s="1141">
        <f t="shared" si="363"/>
        <v>0</v>
      </c>
      <c r="BQ75" s="470">
        <f t="shared" si="363"/>
        <v>0</v>
      </c>
      <c r="BR75" s="940">
        <f t="shared" si="351"/>
        <v>0.99828990330409129</v>
      </c>
      <c r="BS75" s="542">
        <f t="shared" si="352"/>
        <v>1.3838935533540573</v>
      </c>
      <c r="BT75" s="942">
        <f t="shared" si="350"/>
        <v>1.0236800671774955</v>
      </c>
      <c r="BU75" s="324">
        <f t="shared" si="59"/>
        <v>1.0295921087709945</v>
      </c>
      <c r="BV75" s="324">
        <f t="shared" si="60"/>
        <v>1.0295980560092421</v>
      </c>
      <c r="BW75" s="201">
        <f t="shared" si="61"/>
        <v>1.0295983904666097</v>
      </c>
      <c r="BX75" s="973"/>
      <c r="BY75" s="141"/>
    </row>
    <row r="76" spans="1:77" s="125" customFormat="1" ht="18.75" outlineLevel="1">
      <c r="A76" s="142"/>
      <c r="B76" s="126" t="s">
        <v>142</v>
      </c>
      <c r="C76" s="1503" t="s">
        <v>1</v>
      </c>
      <c r="D76" s="187">
        <f t="shared" si="338"/>
        <v>0</v>
      </c>
      <c r="E76" s="210"/>
      <c r="F76" s="210"/>
      <c r="G76" s="210"/>
      <c r="H76" s="1149"/>
      <c r="I76" s="467"/>
      <c r="J76" s="187">
        <f t="shared" si="328"/>
        <v>0</v>
      </c>
      <c r="K76" s="498"/>
      <c r="L76" s="498"/>
      <c r="M76" s="498"/>
      <c r="N76" s="1505"/>
      <c r="O76" s="499"/>
      <c r="P76" s="187">
        <f t="shared" si="329"/>
        <v>0</v>
      </c>
      <c r="Q76" s="988">
        <f>ROUND(Q31*0.302,2)</f>
        <v>0</v>
      </c>
      <c r="R76" s="988">
        <f>ROUND(R31*0.302,2)</f>
        <v>0</v>
      </c>
      <c r="S76" s="210"/>
      <c r="T76" s="1149"/>
      <c r="U76" s="467"/>
      <c r="V76" s="187">
        <f t="shared" si="330"/>
        <v>0</v>
      </c>
      <c r="W76" s="498"/>
      <c r="X76" s="498"/>
      <c r="Y76" s="498"/>
      <c r="Z76" s="1505"/>
      <c r="AA76" s="499"/>
      <c r="AB76" s="209">
        <f t="shared" si="331"/>
        <v>0</v>
      </c>
      <c r="AC76" s="988">
        <f>ROUND(AC31*0.302,2)</f>
        <v>0</v>
      </c>
      <c r="AD76" s="988">
        <f>ROUND(AD31*0.302,2)</f>
        <v>0</v>
      </c>
      <c r="AE76" s="1149"/>
      <c r="AF76" s="1149"/>
      <c r="AG76" s="467"/>
      <c r="AH76" s="187">
        <f t="shared" si="332"/>
        <v>0</v>
      </c>
      <c r="AI76" s="498"/>
      <c r="AJ76" s="498"/>
      <c r="AK76" s="498"/>
      <c r="AL76" s="1505"/>
      <c r="AM76" s="499"/>
      <c r="AN76" s="209">
        <f t="shared" si="333"/>
        <v>0</v>
      </c>
      <c r="AO76" s="988">
        <f>ROUND(AO31*0.302,2)</f>
        <v>0</v>
      </c>
      <c r="AP76" s="988">
        <f>ROUND(AP31*0.302,2)</f>
        <v>0</v>
      </c>
      <c r="AQ76" s="1149"/>
      <c r="AR76" s="1149"/>
      <c r="AS76" s="467"/>
      <c r="AT76" s="187">
        <f t="shared" si="334"/>
        <v>520.80498072922842</v>
      </c>
      <c r="AU76" s="498">
        <v>511.27239250712404</v>
      </c>
      <c r="AV76" s="498"/>
      <c r="AW76" s="498"/>
      <c r="AX76" s="1505">
        <v>9.5325882221043337</v>
      </c>
      <c r="AY76" s="499"/>
      <c r="AZ76" s="209">
        <f t="shared" si="335"/>
        <v>0</v>
      </c>
      <c r="BA76" s="988">
        <f>ROUND(BA31*0.302,2)</f>
        <v>0</v>
      </c>
      <c r="BB76" s="988">
        <f>ROUND(BB31*0.302,2)</f>
        <v>0</v>
      </c>
      <c r="BC76" s="1149"/>
      <c r="BD76" s="1149"/>
      <c r="BE76" s="467"/>
      <c r="BF76" s="187">
        <f t="shared" si="336"/>
        <v>536.2208081588135</v>
      </c>
      <c r="BG76" s="498">
        <v>526.40605532533493</v>
      </c>
      <c r="BH76" s="498"/>
      <c r="BI76" s="498"/>
      <c r="BJ76" s="1505">
        <v>9.8147528334786216</v>
      </c>
      <c r="BK76" s="499"/>
      <c r="BL76" s="209">
        <f t="shared" si="337"/>
        <v>0</v>
      </c>
      <c r="BM76" s="988">
        <f>ROUND(BM31*0.302,2)</f>
        <v>0</v>
      </c>
      <c r="BN76" s="988">
        <f>ROUND(BN31*0.302,2)</f>
        <v>0</v>
      </c>
      <c r="BO76" s="1149"/>
      <c r="BP76" s="1149"/>
      <c r="BQ76" s="467"/>
      <c r="BR76" s="940" t="str">
        <f t="shared" si="351"/>
        <v xml:space="preserve"> </v>
      </c>
      <c r="BS76" s="542" t="str">
        <f t="shared" si="352"/>
        <v xml:space="preserve"> </v>
      </c>
      <c r="BT76" s="1506" t="str">
        <f t="shared" si="350"/>
        <v xml:space="preserve"> </v>
      </c>
      <c r="BU76" s="325" t="str">
        <f t="shared" si="59"/>
        <v xml:space="preserve"> </v>
      </c>
      <c r="BV76" s="325" t="str">
        <f t="shared" si="60"/>
        <v xml:space="preserve"> </v>
      </c>
      <c r="BW76" s="203" t="str">
        <f t="shared" si="61"/>
        <v xml:space="preserve"> </v>
      </c>
      <c r="BX76" s="974"/>
      <c r="BY76" s="143"/>
    </row>
    <row r="77" spans="1:77" s="125" customFormat="1" ht="18.75" outlineLevel="1">
      <c r="A77" s="142"/>
      <c r="B77" s="126" t="s">
        <v>143</v>
      </c>
      <c r="C77" s="1503" t="s">
        <v>1</v>
      </c>
      <c r="D77" s="187">
        <f t="shared" si="338"/>
        <v>0</v>
      </c>
      <c r="E77" s="210"/>
      <c r="F77" s="210"/>
      <c r="G77" s="210"/>
      <c r="H77" s="1149"/>
      <c r="I77" s="467"/>
      <c r="J77" s="187">
        <f t="shared" si="328"/>
        <v>0</v>
      </c>
      <c r="K77" s="498"/>
      <c r="L77" s="498"/>
      <c r="M77" s="498"/>
      <c r="N77" s="1505"/>
      <c r="O77" s="499"/>
      <c r="P77" s="187">
        <f t="shared" si="329"/>
        <v>0</v>
      </c>
      <c r="Q77" s="988"/>
      <c r="R77" s="988"/>
      <c r="S77" s="210"/>
      <c r="T77" s="1149"/>
      <c r="U77" s="467"/>
      <c r="V77" s="187">
        <f t="shared" si="330"/>
        <v>0</v>
      </c>
      <c r="W77" s="498"/>
      <c r="X77" s="498"/>
      <c r="Y77" s="498"/>
      <c r="Z77" s="1505"/>
      <c r="AA77" s="499"/>
      <c r="AB77" s="209">
        <f t="shared" si="331"/>
        <v>0</v>
      </c>
      <c r="AC77" s="988"/>
      <c r="AD77" s="988"/>
      <c r="AE77" s="1149"/>
      <c r="AF77" s="1149"/>
      <c r="AG77" s="467"/>
      <c r="AH77" s="187">
        <f t="shared" si="332"/>
        <v>0</v>
      </c>
      <c r="AI77" s="498"/>
      <c r="AJ77" s="498"/>
      <c r="AK77" s="498"/>
      <c r="AL77" s="1505"/>
      <c r="AM77" s="499"/>
      <c r="AN77" s="209">
        <f t="shared" si="333"/>
        <v>0</v>
      </c>
      <c r="AO77" s="988"/>
      <c r="AP77" s="988"/>
      <c r="AQ77" s="1149"/>
      <c r="AR77" s="1149"/>
      <c r="AS77" s="467"/>
      <c r="AT77" s="187">
        <f t="shared" si="334"/>
        <v>0</v>
      </c>
      <c r="AU77" s="498"/>
      <c r="AV77" s="498"/>
      <c r="AW77" s="498"/>
      <c r="AX77" s="1505"/>
      <c r="AY77" s="499"/>
      <c r="AZ77" s="209">
        <f t="shared" si="335"/>
        <v>0</v>
      </c>
      <c r="BA77" s="988"/>
      <c r="BB77" s="988"/>
      <c r="BC77" s="1149"/>
      <c r="BD77" s="1149"/>
      <c r="BE77" s="467"/>
      <c r="BF77" s="187">
        <f t="shared" si="336"/>
        <v>0</v>
      </c>
      <c r="BG77" s="498"/>
      <c r="BH77" s="498"/>
      <c r="BI77" s="498"/>
      <c r="BJ77" s="1505"/>
      <c r="BK77" s="499"/>
      <c r="BL77" s="209">
        <f t="shared" si="337"/>
        <v>0</v>
      </c>
      <c r="BM77" s="988"/>
      <c r="BN77" s="988"/>
      <c r="BO77" s="1149"/>
      <c r="BP77" s="1149"/>
      <c r="BQ77" s="467"/>
      <c r="BR77" s="940" t="str">
        <f t="shared" si="351"/>
        <v xml:space="preserve"> </v>
      </c>
      <c r="BS77" s="542" t="str">
        <f t="shared" si="352"/>
        <v xml:space="preserve"> </v>
      </c>
      <c r="BT77" s="1506" t="str">
        <f t="shared" si="350"/>
        <v xml:space="preserve"> </v>
      </c>
      <c r="BU77" s="325" t="str">
        <f t="shared" si="59"/>
        <v xml:space="preserve"> </v>
      </c>
      <c r="BV77" s="325" t="str">
        <f t="shared" si="60"/>
        <v xml:space="preserve"> </v>
      </c>
      <c r="BW77" s="203" t="str">
        <f t="shared" si="61"/>
        <v xml:space="preserve"> </v>
      </c>
      <c r="BX77" s="974"/>
      <c r="BY77" s="143"/>
    </row>
    <row r="78" spans="1:77" s="125" customFormat="1" ht="18.75" outlineLevel="1">
      <c r="A78" s="142"/>
      <c r="B78" s="126" t="s">
        <v>68</v>
      </c>
      <c r="C78" s="1503" t="s">
        <v>1</v>
      </c>
      <c r="D78" s="187">
        <f t="shared" si="338"/>
        <v>344.21</v>
      </c>
      <c r="E78" s="210">
        <v>205.76</v>
      </c>
      <c r="F78" s="210">
        <v>138.44999999999999</v>
      </c>
      <c r="G78" s="210"/>
      <c r="H78" s="1149"/>
      <c r="I78" s="467"/>
      <c r="J78" s="187">
        <f t="shared" si="328"/>
        <v>477.166</v>
      </c>
      <c r="K78" s="498">
        <v>285.18099999999998</v>
      </c>
      <c r="L78" s="498">
        <v>183.251</v>
      </c>
      <c r="M78" s="498"/>
      <c r="N78" s="1505">
        <v>8.734</v>
      </c>
      <c r="O78" s="499"/>
      <c r="P78" s="187">
        <f t="shared" si="329"/>
        <v>476.35</v>
      </c>
      <c r="Q78" s="988">
        <f>ROUND(Q33*0.302,2)</f>
        <v>293.10000000000002</v>
      </c>
      <c r="R78" s="988">
        <f>ROUND(R33*0.302,2)</f>
        <v>183.25</v>
      </c>
      <c r="S78" s="210"/>
      <c r="T78" s="1149"/>
      <c r="U78" s="467"/>
      <c r="V78" s="187">
        <f t="shared" si="330"/>
        <v>491.29015478399998</v>
      </c>
      <c r="W78" s="498">
        <v>482.29779311999999</v>
      </c>
      <c r="X78" s="498"/>
      <c r="Y78" s="498"/>
      <c r="Z78" s="1505">
        <v>8.9923616640000006</v>
      </c>
      <c r="AA78" s="499"/>
      <c r="AB78" s="209">
        <f t="shared" si="331"/>
        <v>487.63</v>
      </c>
      <c r="AC78" s="988">
        <f>ROUND(AC33*0.302,2)</f>
        <v>300.04000000000002</v>
      </c>
      <c r="AD78" s="988">
        <f>ROUND(AD33*0.302,2)</f>
        <v>187.59</v>
      </c>
      <c r="AE78" s="1149"/>
      <c r="AF78" s="1149"/>
      <c r="AG78" s="467"/>
      <c r="AH78" s="187">
        <f t="shared" si="332"/>
        <v>505.83234336560639</v>
      </c>
      <c r="AI78" s="498">
        <v>496.57380779635201</v>
      </c>
      <c r="AJ78" s="498"/>
      <c r="AK78" s="498"/>
      <c r="AL78" s="1505">
        <v>9.258535569254402</v>
      </c>
      <c r="AM78" s="499"/>
      <c r="AN78" s="209">
        <f t="shared" si="333"/>
        <v>502.06</v>
      </c>
      <c r="AO78" s="988">
        <f>ROUND(AO33*0.302,2)</f>
        <v>308.92</v>
      </c>
      <c r="AP78" s="988">
        <f>ROUND(AP33*0.302,2)</f>
        <v>193.14</v>
      </c>
      <c r="AQ78" s="1149"/>
      <c r="AR78" s="1149"/>
      <c r="AS78" s="467"/>
      <c r="AT78" s="187">
        <f t="shared" si="334"/>
        <v>0</v>
      </c>
      <c r="AU78" s="498"/>
      <c r="AV78" s="498"/>
      <c r="AW78" s="498"/>
      <c r="AX78" s="1505"/>
      <c r="AY78" s="499"/>
      <c r="AZ78" s="209">
        <f t="shared" si="335"/>
        <v>516.92000000000007</v>
      </c>
      <c r="BA78" s="988">
        <f>ROUND(BA33*0.302,2)</f>
        <v>318.06</v>
      </c>
      <c r="BB78" s="988">
        <f>ROUND(BB33*0.302,2)</f>
        <v>198.86</v>
      </c>
      <c r="BC78" s="1149"/>
      <c r="BD78" s="1149"/>
      <c r="BE78" s="467"/>
      <c r="BF78" s="187">
        <f t="shared" si="336"/>
        <v>0</v>
      </c>
      <c r="BG78" s="498"/>
      <c r="BH78" s="498"/>
      <c r="BI78" s="498"/>
      <c r="BJ78" s="1505"/>
      <c r="BK78" s="499"/>
      <c r="BL78" s="209">
        <f t="shared" si="337"/>
        <v>532.22</v>
      </c>
      <c r="BM78" s="988">
        <f>ROUND(BM33*0.302,2)</f>
        <v>327.48</v>
      </c>
      <c r="BN78" s="988">
        <f>ROUND(BN33*0.302,2)</f>
        <v>204.74</v>
      </c>
      <c r="BO78" s="1149"/>
      <c r="BP78" s="1149"/>
      <c r="BQ78" s="467"/>
      <c r="BR78" s="940">
        <f t="shared" si="351"/>
        <v>0.99828990330409129</v>
      </c>
      <c r="BS78" s="542">
        <f t="shared" si="352"/>
        <v>1.3838935533540573</v>
      </c>
      <c r="BT78" s="1506">
        <f t="shared" si="350"/>
        <v>1.0236800671774955</v>
      </c>
      <c r="BU78" s="325">
        <f t="shared" si="59"/>
        <v>1.0295921087709945</v>
      </c>
      <c r="BV78" s="325">
        <f t="shared" si="60"/>
        <v>1.0295980560092421</v>
      </c>
      <c r="BW78" s="203">
        <f t="shared" si="61"/>
        <v>1.0295983904666097</v>
      </c>
      <c r="BX78" s="974"/>
      <c r="BY78" s="143"/>
    </row>
    <row r="79" spans="1:77" s="111" customFormat="1" ht="26.25">
      <c r="A79" s="114" t="s">
        <v>37</v>
      </c>
      <c r="B79" s="139" t="s">
        <v>77</v>
      </c>
      <c r="C79" s="1489" t="s">
        <v>1</v>
      </c>
      <c r="D79" s="187">
        <f t="shared" si="338"/>
        <v>109.79</v>
      </c>
      <c r="E79" s="210">
        <v>109.79</v>
      </c>
      <c r="F79" s="210"/>
      <c r="G79" s="210"/>
      <c r="H79" s="1149"/>
      <c r="I79" s="467"/>
      <c r="J79" s="187">
        <f t="shared" si="328"/>
        <v>97.67</v>
      </c>
      <c r="K79" s="232">
        <v>97.67</v>
      </c>
      <c r="L79" s="232"/>
      <c r="M79" s="232"/>
      <c r="N79" s="1141"/>
      <c r="O79" s="470"/>
      <c r="P79" s="187">
        <f t="shared" si="329"/>
        <v>97.67</v>
      </c>
      <c r="Q79" s="1183">
        <f>ROUND([185]амор!K6/1000,2)</f>
        <v>97.67</v>
      </c>
      <c r="R79" s="965"/>
      <c r="S79" s="210"/>
      <c r="T79" s="1149"/>
      <c r="U79" s="467"/>
      <c r="V79" s="187">
        <f t="shared" si="330"/>
        <v>97.67</v>
      </c>
      <c r="W79" s="232">
        <v>97.67</v>
      </c>
      <c r="X79" s="232"/>
      <c r="Y79" s="232"/>
      <c r="Z79" s="1141"/>
      <c r="AA79" s="470"/>
      <c r="AB79" s="189">
        <f t="shared" si="331"/>
        <v>97.67</v>
      </c>
      <c r="AC79" s="965">
        <f>ROUND([185]амор!M6/1000,2)</f>
        <v>97.67</v>
      </c>
      <c r="AD79" s="965"/>
      <c r="AE79" s="1149"/>
      <c r="AF79" s="1149"/>
      <c r="AG79" s="467"/>
      <c r="AH79" s="187">
        <f t="shared" si="332"/>
        <v>0</v>
      </c>
      <c r="AI79" s="232"/>
      <c r="AJ79" s="232"/>
      <c r="AK79" s="232"/>
      <c r="AL79" s="1141"/>
      <c r="AM79" s="470"/>
      <c r="AN79" s="189">
        <f t="shared" si="333"/>
        <v>0</v>
      </c>
      <c r="AO79" s="965"/>
      <c r="AP79" s="965"/>
      <c r="AQ79" s="1149"/>
      <c r="AR79" s="1149"/>
      <c r="AS79" s="467"/>
      <c r="AT79" s="187">
        <f t="shared" si="334"/>
        <v>0</v>
      </c>
      <c r="AU79" s="232"/>
      <c r="AV79" s="232"/>
      <c r="AW79" s="232"/>
      <c r="AX79" s="1141"/>
      <c r="AY79" s="470"/>
      <c r="AZ79" s="189">
        <f t="shared" si="335"/>
        <v>0</v>
      </c>
      <c r="BA79" s="965"/>
      <c r="BB79" s="965"/>
      <c r="BC79" s="1149"/>
      <c r="BD79" s="1149"/>
      <c r="BE79" s="467"/>
      <c r="BF79" s="187">
        <f t="shared" si="336"/>
        <v>0</v>
      </c>
      <c r="BG79" s="232"/>
      <c r="BH79" s="232"/>
      <c r="BI79" s="232"/>
      <c r="BJ79" s="1141"/>
      <c r="BK79" s="470"/>
      <c r="BL79" s="189">
        <f t="shared" si="337"/>
        <v>0</v>
      </c>
      <c r="BM79" s="965"/>
      <c r="BN79" s="965"/>
      <c r="BO79" s="1149"/>
      <c r="BP79" s="1149"/>
      <c r="BQ79" s="467"/>
      <c r="BR79" s="940">
        <f t="shared" si="351"/>
        <v>1</v>
      </c>
      <c r="BS79" s="542">
        <f t="shared" si="352"/>
        <v>0.88960743237088979</v>
      </c>
      <c r="BT79" s="942">
        <f>IF(ISERROR(AB79/P79)," ",AB79/P79)</f>
        <v>1</v>
      </c>
      <c r="BU79" s="324">
        <f>IF(ISERROR(AN79/AB79)," ",AN79/AB79)</f>
        <v>0</v>
      </c>
      <c r="BV79" s="324" t="str">
        <f>IF(ISERROR(AZ79/AN79)," ",AZ79/AN79)</f>
        <v xml:space="preserve"> </v>
      </c>
      <c r="BW79" s="201" t="str">
        <f>IF(ISERROR(BL79/AZ79)," ",BL79/AZ79)</f>
        <v xml:space="preserve"> </v>
      </c>
      <c r="BX79" s="967" t="s">
        <v>487</v>
      </c>
    </row>
    <row r="80" spans="1:77" s="111" customFormat="1" ht="31.5">
      <c r="A80" s="114" t="s">
        <v>60</v>
      </c>
      <c r="B80" s="139" t="s">
        <v>479</v>
      </c>
      <c r="C80" s="1489" t="s">
        <v>1</v>
      </c>
      <c r="D80" s="187">
        <f t="shared" si="338"/>
        <v>0</v>
      </c>
      <c r="E80" s="965"/>
      <c r="F80" s="210"/>
      <c r="G80" s="210"/>
      <c r="H80" s="1149"/>
      <c r="I80" s="467"/>
      <c r="J80" s="187">
        <f t="shared" si="328"/>
        <v>0</v>
      </c>
      <c r="K80" s="232"/>
      <c r="L80" s="232"/>
      <c r="M80" s="1141"/>
      <c r="N80" s="1141"/>
      <c r="O80" s="470"/>
      <c r="P80" s="187">
        <f t="shared" si="329"/>
        <v>0</v>
      </c>
      <c r="Q80" s="210"/>
      <c r="R80" s="210"/>
      <c r="S80" s="210"/>
      <c r="T80" s="1149"/>
      <c r="U80" s="467"/>
      <c r="V80" s="187"/>
      <c r="W80" s="232"/>
      <c r="X80" s="232"/>
      <c r="Y80" s="1141"/>
      <c r="Z80" s="1141"/>
      <c r="AA80" s="470"/>
      <c r="AB80" s="189"/>
      <c r="AC80" s="210"/>
      <c r="AD80" s="210"/>
      <c r="AE80" s="1149"/>
      <c r="AF80" s="1149"/>
      <c r="AG80" s="467"/>
      <c r="AH80" s="187"/>
      <c r="AI80" s="232"/>
      <c r="AJ80" s="232"/>
      <c r="AK80" s="1141"/>
      <c r="AL80" s="1141"/>
      <c r="AM80" s="470"/>
      <c r="AN80" s="189"/>
      <c r="AO80" s="210"/>
      <c r="AP80" s="210"/>
      <c r="AQ80" s="1149"/>
      <c r="AR80" s="1149"/>
      <c r="AS80" s="467"/>
      <c r="AT80" s="187"/>
      <c r="AU80" s="232"/>
      <c r="AV80" s="232"/>
      <c r="AW80" s="1141"/>
      <c r="AX80" s="1141"/>
      <c r="AY80" s="470"/>
      <c r="AZ80" s="189"/>
      <c r="BA80" s="210"/>
      <c r="BB80" s="210"/>
      <c r="BC80" s="1149"/>
      <c r="BD80" s="1149"/>
      <c r="BE80" s="467"/>
      <c r="BF80" s="187"/>
      <c r="BG80" s="232"/>
      <c r="BH80" s="232"/>
      <c r="BI80" s="1141"/>
      <c r="BJ80" s="1141"/>
      <c r="BK80" s="470"/>
      <c r="BL80" s="189"/>
      <c r="BM80" s="210"/>
      <c r="BN80" s="210"/>
      <c r="BO80" s="1149"/>
      <c r="BP80" s="1149"/>
      <c r="BQ80" s="467"/>
      <c r="BR80" s="940"/>
      <c r="BS80" s="542"/>
      <c r="BT80" s="942"/>
      <c r="BU80" s="324"/>
      <c r="BV80" s="324"/>
      <c r="BW80" s="201"/>
      <c r="BX80" s="967"/>
    </row>
    <row r="81" spans="1:77" s="111" customFormat="1" ht="47.25">
      <c r="A81" s="114" t="s">
        <v>73</v>
      </c>
      <c r="B81" s="139" t="s">
        <v>480</v>
      </c>
      <c r="C81" s="1489" t="s">
        <v>1</v>
      </c>
      <c r="D81" s="187">
        <f t="shared" si="338"/>
        <v>0</v>
      </c>
      <c r="E81" s="965"/>
      <c r="F81" s="210"/>
      <c r="G81" s="210"/>
      <c r="H81" s="1149"/>
      <c r="I81" s="467"/>
      <c r="J81" s="187"/>
      <c r="K81" s="232"/>
      <c r="L81" s="232"/>
      <c r="M81" s="1141"/>
      <c r="N81" s="1141"/>
      <c r="O81" s="470"/>
      <c r="P81" s="187"/>
      <c r="Q81" s="210"/>
      <c r="R81" s="210"/>
      <c r="S81" s="210"/>
      <c r="T81" s="1149"/>
      <c r="U81" s="467"/>
      <c r="V81" s="187"/>
      <c r="W81" s="232"/>
      <c r="X81" s="232"/>
      <c r="Y81" s="1141"/>
      <c r="Z81" s="1141"/>
      <c r="AA81" s="470"/>
      <c r="AB81" s="189"/>
      <c r="AC81" s="210"/>
      <c r="AD81" s="210"/>
      <c r="AE81" s="1149"/>
      <c r="AF81" s="1149"/>
      <c r="AG81" s="467"/>
      <c r="AH81" s="187"/>
      <c r="AI81" s="232"/>
      <c r="AJ81" s="232"/>
      <c r="AK81" s="1141"/>
      <c r="AL81" s="1141"/>
      <c r="AM81" s="470"/>
      <c r="AN81" s="189"/>
      <c r="AO81" s="210"/>
      <c r="AP81" s="210"/>
      <c r="AQ81" s="1149"/>
      <c r="AR81" s="1149"/>
      <c r="AS81" s="467"/>
      <c r="AT81" s="187"/>
      <c r="AU81" s="232"/>
      <c r="AV81" s="232"/>
      <c r="AW81" s="1141"/>
      <c r="AX81" s="1141"/>
      <c r="AY81" s="470"/>
      <c r="AZ81" s="189"/>
      <c r="BA81" s="210"/>
      <c r="BB81" s="210"/>
      <c r="BC81" s="1149"/>
      <c r="BD81" s="1149"/>
      <c r="BE81" s="467"/>
      <c r="BF81" s="187"/>
      <c r="BG81" s="232"/>
      <c r="BH81" s="232"/>
      <c r="BI81" s="1141"/>
      <c r="BJ81" s="1141"/>
      <c r="BK81" s="470"/>
      <c r="BL81" s="189"/>
      <c r="BM81" s="210"/>
      <c r="BN81" s="210"/>
      <c r="BO81" s="1149"/>
      <c r="BP81" s="1149"/>
      <c r="BQ81" s="467"/>
      <c r="BR81" s="940"/>
      <c r="BS81" s="542"/>
      <c r="BT81" s="942"/>
      <c r="BU81" s="324"/>
      <c r="BV81" s="324"/>
      <c r="BW81" s="201"/>
      <c r="BX81" s="967"/>
    </row>
    <row r="82" spans="1:77" s="111" customFormat="1" ht="35.25" customHeight="1">
      <c r="A82" s="114" t="s">
        <v>74</v>
      </c>
      <c r="B82" s="144" t="s">
        <v>144</v>
      </c>
      <c r="C82" s="1489" t="s">
        <v>1</v>
      </c>
      <c r="D82" s="187">
        <f t="shared" si="338"/>
        <v>0</v>
      </c>
      <c r="E82" s="190"/>
      <c r="F82" s="190"/>
      <c r="G82" s="190"/>
      <c r="H82" s="1135"/>
      <c r="I82" s="464"/>
      <c r="J82" s="187">
        <f t="shared" si="328"/>
        <v>0</v>
      </c>
      <c r="K82" s="232"/>
      <c r="L82" s="232"/>
      <c r="M82" s="1141"/>
      <c r="N82" s="1141"/>
      <c r="O82" s="470"/>
      <c r="P82" s="187">
        <f t="shared" si="329"/>
        <v>0</v>
      </c>
      <c r="Q82" s="989"/>
      <c r="R82" s="190"/>
      <c r="S82" s="190"/>
      <c r="T82" s="1135"/>
      <c r="U82" s="464"/>
      <c r="V82" s="187">
        <f t="shared" ref="V82:V84" si="364">W82+X82+Y82+Z82</f>
        <v>0</v>
      </c>
      <c r="W82" s="232"/>
      <c r="X82" s="232"/>
      <c r="Y82" s="1141"/>
      <c r="Z82" s="1141"/>
      <c r="AA82" s="470"/>
      <c r="AB82" s="189">
        <f t="shared" si="331"/>
        <v>0</v>
      </c>
      <c r="AC82" s="190"/>
      <c r="AD82" s="190"/>
      <c r="AE82" s="1135"/>
      <c r="AF82" s="1135"/>
      <c r="AG82" s="464"/>
      <c r="AH82" s="187">
        <f t="shared" ref="AH82:AH84" si="365">AI82+AJ82+AK82+AL82</f>
        <v>0</v>
      </c>
      <c r="AI82" s="232"/>
      <c r="AJ82" s="232"/>
      <c r="AK82" s="1141"/>
      <c r="AL82" s="1141"/>
      <c r="AM82" s="470"/>
      <c r="AN82" s="189">
        <f t="shared" si="333"/>
        <v>0</v>
      </c>
      <c r="AO82" s="190"/>
      <c r="AP82" s="190"/>
      <c r="AQ82" s="1135"/>
      <c r="AR82" s="1135"/>
      <c r="AS82" s="464"/>
      <c r="AT82" s="187">
        <f t="shared" ref="AT82:AT84" si="366">AU82+AV82+AW82+AX82</f>
        <v>0</v>
      </c>
      <c r="AU82" s="232"/>
      <c r="AV82" s="232"/>
      <c r="AW82" s="1141"/>
      <c r="AX82" s="1141"/>
      <c r="AY82" s="470"/>
      <c r="AZ82" s="189">
        <f t="shared" si="335"/>
        <v>0</v>
      </c>
      <c r="BA82" s="190"/>
      <c r="BB82" s="190"/>
      <c r="BC82" s="1135"/>
      <c r="BD82" s="1135"/>
      <c r="BE82" s="464"/>
      <c r="BF82" s="187">
        <f t="shared" ref="BF82:BF84" si="367">BG82+BH82+BI82+BJ82</f>
        <v>0</v>
      </c>
      <c r="BG82" s="232"/>
      <c r="BH82" s="232"/>
      <c r="BI82" s="1141"/>
      <c r="BJ82" s="1141"/>
      <c r="BK82" s="470"/>
      <c r="BL82" s="189">
        <f t="shared" si="337"/>
        <v>0</v>
      </c>
      <c r="BM82" s="190"/>
      <c r="BN82" s="190"/>
      <c r="BO82" s="1135"/>
      <c r="BP82" s="1135"/>
      <c r="BQ82" s="464"/>
      <c r="BR82" s="940" t="str">
        <f t="shared" si="351"/>
        <v xml:space="preserve"> </v>
      </c>
      <c r="BS82" s="542" t="str">
        <f t="shared" si="352"/>
        <v xml:space="preserve"> </v>
      </c>
      <c r="BT82" s="942" t="str">
        <f t="shared" si="350"/>
        <v xml:space="preserve"> </v>
      </c>
      <c r="BU82" s="324" t="str">
        <f t="shared" si="59"/>
        <v xml:space="preserve"> </v>
      </c>
      <c r="BV82" s="324" t="str">
        <f t="shared" si="60"/>
        <v xml:space="preserve"> </v>
      </c>
      <c r="BW82" s="201" t="str">
        <f t="shared" si="61"/>
        <v xml:space="preserve"> </v>
      </c>
      <c r="BX82" s="967"/>
    </row>
    <row r="83" spans="1:77" s="111" customFormat="1" ht="31.5">
      <c r="A83" s="114" t="s">
        <v>481</v>
      </c>
      <c r="B83" s="1524" t="s">
        <v>234</v>
      </c>
      <c r="C83" s="1489" t="s">
        <v>1</v>
      </c>
      <c r="D83" s="187">
        <f t="shared" si="338"/>
        <v>0</v>
      </c>
      <c r="E83" s="1137"/>
      <c r="F83" s="1137"/>
      <c r="G83" s="1138"/>
      <c r="H83" s="1138"/>
      <c r="I83" s="1139"/>
      <c r="J83" s="187">
        <f t="shared" si="328"/>
        <v>0</v>
      </c>
      <c r="K83" s="1493"/>
      <c r="L83" s="1493"/>
      <c r="M83" s="1494"/>
      <c r="N83" s="1494"/>
      <c r="O83" s="1495"/>
      <c r="P83" s="187">
        <f t="shared" si="329"/>
        <v>0</v>
      </c>
      <c r="Q83" s="1137"/>
      <c r="R83" s="1137"/>
      <c r="S83" s="1138"/>
      <c r="T83" s="1138"/>
      <c r="U83" s="1139"/>
      <c r="V83" s="187">
        <f t="shared" si="364"/>
        <v>0</v>
      </c>
      <c r="W83" s="1493"/>
      <c r="X83" s="1493"/>
      <c r="Y83" s="1494"/>
      <c r="Z83" s="1494"/>
      <c r="AA83" s="1495"/>
      <c r="AB83" s="1136">
        <f t="shared" si="331"/>
        <v>0</v>
      </c>
      <c r="AC83" s="1137"/>
      <c r="AD83" s="1137"/>
      <c r="AE83" s="1138"/>
      <c r="AF83" s="1138"/>
      <c r="AG83" s="1139"/>
      <c r="AH83" s="187">
        <f t="shared" si="365"/>
        <v>0</v>
      </c>
      <c r="AI83" s="1493"/>
      <c r="AJ83" s="1493"/>
      <c r="AK83" s="1494"/>
      <c r="AL83" s="1494"/>
      <c r="AM83" s="1495"/>
      <c r="AN83" s="1136">
        <f t="shared" si="333"/>
        <v>0</v>
      </c>
      <c r="AO83" s="1137"/>
      <c r="AP83" s="1137"/>
      <c r="AQ83" s="1138"/>
      <c r="AR83" s="1138"/>
      <c r="AS83" s="1139"/>
      <c r="AT83" s="187">
        <f t="shared" si="366"/>
        <v>0</v>
      </c>
      <c r="AU83" s="1493"/>
      <c r="AV83" s="1493"/>
      <c r="AW83" s="1494"/>
      <c r="AX83" s="1494"/>
      <c r="AY83" s="1495"/>
      <c r="AZ83" s="1136">
        <f t="shared" si="335"/>
        <v>0</v>
      </c>
      <c r="BA83" s="1137"/>
      <c r="BB83" s="1137"/>
      <c r="BC83" s="1138"/>
      <c r="BD83" s="1138"/>
      <c r="BE83" s="1139"/>
      <c r="BF83" s="187">
        <f t="shared" si="367"/>
        <v>0</v>
      </c>
      <c r="BG83" s="1493"/>
      <c r="BH83" s="1493"/>
      <c r="BI83" s="1494"/>
      <c r="BJ83" s="1494"/>
      <c r="BK83" s="1495"/>
      <c r="BL83" s="1136">
        <f t="shared" si="337"/>
        <v>0</v>
      </c>
      <c r="BM83" s="1137"/>
      <c r="BN83" s="1137"/>
      <c r="BO83" s="1138"/>
      <c r="BP83" s="1138"/>
      <c r="BQ83" s="1139"/>
      <c r="BR83" s="940" t="str">
        <f t="shared" si="351"/>
        <v xml:space="preserve"> </v>
      </c>
      <c r="BS83" s="542" t="str">
        <f t="shared" si="352"/>
        <v xml:space="preserve"> </v>
      </c>
      <c r="BT83" s="942" t="str">
        <f t="shared" si="350"/>
        <v xml:space="preserve"> </v>
      </c>
      <c r="BU83" s="324" t="str">
        <f t="shared" si="59"/>
        <v xml:space="preserve"> </v>
      </c>
      <c r="BV83" s="324" t="str">
        <f t="shared" si="60"/>
        <v xml:space="preserve"> </v>
      </c>
      <c r="BW83" s="201" t="str">
        <f t="shared" si="61"/>
        <v xml:space="preserve"> </v>
      </c>
      <c r="BX83" s="967"/>
    </row>
    <row r="84" spans="1:77" s="111" customFormat="1" ht="69" customHeight="1" thickBot="1">
      <c r="A84" s="114" t="s">
        <v>482</v>
      </c>
      <c r="B84" s="1524" t="s">
        <v>297</v>
      </c>
      <c r="C84" s="1489" t="s">
        <v>1</v>
      </c>
      <c r="D84" s="187">
        <f t="shared" si="338"/>
        <v>0</v>
      </c>
      <c r="E84" s="1137"/>
      <c r="F84" s="1137"/>
      <c r="G84" s="1138"/>
      <c r="H84" s="1138"/>
      <c r="I84" s="510"/>
      <c r="J84" s="187">
        <f t="shared" si="328"/>
        <v>317.81</v>
      </c>
      <c r="K84" s="1493">
        <v>317.81</v>
      </c>
      <c r="L84" s="1493"/>
      <c r="M84" s="1494"/>
      <c r="N84" s="1494"/>
      <c r="O84" s="1495"/>
      <c r="P84" s="187">
        <f t="shared" si="329"/>
        <v>0</v>
      </c>
      <c r="Q84" s="1137"/>
      <c r="R84" s="1137"/>
      <c r="S84" s="1138"/>
      <c r="T84" s="1138"/>
      <c r="U84" s="510"/>
      <c r="V84" s="187">
        <f t="shared" si="364"/>
        <v>317.81</v>
      </c>
      <c r="W84" s="1493">
        <v>317.81</v>
      </c>
      <c r="X84" s="1493"/>
      <c r="Y84" s="1494"/>
      <c r="Z84" s="1494"/>
      <c r="AA84" s="1495"/>
      <c r="AB84" s="1136">
        <f t="shared" si="331"/>
        <v>0</v>
      </c>
      <c r="AC84" s="1137"/>
      <c r="AD84" s="1137"/>
      <c r="AE84" s="1138"/>
      <c r="AF84" s="1138"/>
      <c r="AG84" s="510"/>
      <c r="AH84" s="187">
        <f t="shared" si="365"/>
        <v>317.81</v>
      </c>
      <c r="AI84" s="1493">
        <v>317.81</v>
      </c>
      <c r="AJ84" s="1493"/>
      <c r="AK84" s="1494"/>
      <c r="AL84" s="1494"/>
      <c r="AM84" s="1495"/>
      <c r="AN84" s="1136">
        <f t="shared" si="333"/>
        <v>0</v>
      </c>
      <c r="AO84" s="1137"/>
      <c r="AP84" s="1137"/>
      <c r="AQ84" s="1138"/>
      <c r="AR84" s="1138"/>
      <c r="AS84" s="1139"/>
      <c r="AT84" s="187">
        <f t="shared" si="366"/>
        <v>317.81</v>
      </c>
      <c r="AU84" s="1493">
        <v>317.81</v>
      </c>
      <c r="AV84" s="1493"/>
      <c r="AW84" s="1494"/>
      <c r="AX84" s="1494"/>
      <c r="AY84" s="1495"/>
      <c r="AZ84" s="1136">
        <f t="shared" si="335"/>
        <v>0</v>
      </c>
      <c r="BA84" s="1137"/>
      <c r="BB84" s="1137"/>
      <c r="BC84" s="1138"/>
      <c r="BD84" s="1138"/>
      <c r="BE84" s="1139"/>
      <c r="BF84" s="187">
        <f t="shared" si="367"/>
        <v>317.81</v>
      </c>
      <c r="BG84" s="1493">
        <v>317.81</v>
      </c>
      <c r="BH84" s="1493"/>
      <c r="BI84" s="1494"/>
      <c r="BJ84" s="1494"/>
      <c r="BK84" s="1495"/>
      <c r="BL84" s="1136">
        <f t="shared" si="337"/>
        <v>0</v>
      </c>
      <c r="BM84" s="1137"/>
      <c r="BN84" s="1137"/>
      <c r="BO84" s="1138"/>
      <c r="BP84" s="1138"/>
      <c r="BQ84" s="1139"/>
      <c r="BR84" s="1484">
        <f t="shared" si="351"/>
        <v>0</v>
      </c>
      <c r="BS84" s="1485" t="str">
        <f t="shared" si="352"/>
        <v xml:space="preserve"> </v>
      </c>
      <c r="BT84" s="1496" t="str">
        <f t="shared" si="350"/>
        <v xml:space="preserve"> </v>
      </c>
      <c r="BU84" s="1497" t="str">
        <f t="shared" si="59"/>
        <v xml:space="preserve"> </v>
      </c>
      <c r="BV84" s="1497" t="str">
        <f t="shared" si="60"/>
        <v xml:space="preserve"> </v>
      </c>
      <c r="BW84" s="1498" t="str">
        <f t="shared" si="61"/>
        <v xml:space="preserve"> </v>
      </c>
      <c r="BX84" s="967"/>
    </row>
    <row r="85" spans="1:77" s="88" customFormat="1" ht="19.5" thickBot="1">
      <c r="A85" s="1588" t="s">
        <v>244</v>
      </c>
      <c r="B85" s="1584"/>
      <c r="C85" s="84" t="s">
        <v>1</v>
      </c>
      <c r="D85" s="186">
        <f>E85+F85+G85+H85</f>
        <v>0</v>
      </c>
      <c r="E85" s="184">
        <f t="shared" ref="E85:H85" si="368">E86+E87</f>
        <v>0</v>
      </c>
      <c r="F85" s="184">
        <f t="shared" si="368"/>
        <v>0</v>
      </c>
      <c r="G85" s="184">
        <f t="shared" si="368"/>
        <v>0</v>
      </c>
      <c r="H85" s="185">
        <f t="shared" si="368"/>
        <v>0</v>
      </c>
      <c r="I85" s="462">
        <f>I86+I87</f>
        <v>0</v>
      </c>
      <c r="J85" s="186">
        <f>K85+L85+M85+N85</f>
        <v>0</v>
      </c>
      <c r="K85" s="184"/>
      <c r="L85" s="184"/>
      <c r="M85" s="184">
        <f t="shared" ref="M85:N85" si="369">M86+M87</f>
        <v>0</v>
      </c>
      <c r="N85" s="185">
        <f t="shared" si="369"/>
        <v>0</v>
      </c>
      <c r="O85" s="462">
        <f>O86+O87</f>
        <v>0</v>
      </c>
      <c r="P85" s="186">
        <f>Q85+R85+S85+T85</f>
        <v>0</v>
      </c>
      <c r="Q85" s="184">
        <f t="shared" ref="Q85:T85" si="370">Q86+Q87</f>
        <v>0</v>
      </c>
      <c r="R85" s="184">
        <f t="shared" si="370"/>
        <v>0</v>
      </c>
      <c r="S85" s="184">
        <f t="shared" si="370"/>
        <v>0</v>
      </c>
      <c r="T85" s="185">
        <f t="shared" si="370"/>
        <v>0</v>
      </c>
      <c r="U85" s="462">
        <f>U86+U87</f>
        <v>0</v>
      </c>
      <c r="V85" s="186">
        <f>W85+X85+Y85+Z85</f>
        <v>0</v>
      </c>
      <c r="W85" s="184">
        <f t="shared" ref="W85:Z85" si="371">W86+W87</f>
        <v>0</v>
      </c>
      <c r="X85" s="184">
        <f t="shared" si="371"/>
        <v>0</v>
      </c>
      <c r="Y85" s="184">
        <f t="shared" si="371"/>
        <v>0</v>
      </c>
      <c r="Z85" s="185">
        <f t="shared" si="371"/>
        <v>0</v>
      </c>
      <c r="AA85" s="462">
        <f>AA86+AA87</f>
        <v>0</v>
      </c>
      <c r="AB85" s="186">
        <f>AC85+AD85+AE85+AF85</f>
        <v>0</v>
      </c>
      <c r="AC85" s="184">
        <f t="shared" ref="AC85:AF85" si="372">AC86+AC87</f>
        <v>0</v>
      </c>
      <c r="AD85" s="184">
        <f t="shared" si="372"/>
        <v>0</v>
      </c>
      <c r="AE85" s="184">
        <f t="shared" si="372"/>
        <v>0</v>
      </c>
      <c r="AF85" s="185">
        <f t="shared" si="372"/>
        <v>0</v>
      </c>
      <c r="AG85" s="462">
        <f>AG86+AG87</f>
        <v>0</v>
      </c>
      <c r="AH85" s="186">
        <f>AI85+AJ85+AK85+AL85</f>
        <v>0</v>
      </c>
      <c r="AI85" s="184">
        <f t="shared" ref="AI85:AL85" si="373">AI86+AI87</f>
        <v>0</v>
      </c>
      <c r="AJ85" s="184">
        <f t="shared" si="373"/>
        <v>0</v>
      </c>
      <c r="AK85" s="184">
        <f t="shared" si="373"/>
        <v>0</v>
      </c>
      <c r="AL85" s="185">
        <f t="shared" si="373"/>
        <v>0</v>
      </c>
      <c r="AM85" s="462">
        <f>AM86+AM87</f>
        <v>0</v>
      </c>
      <c r="AN85" s="186">
        <f>AO85+AP85+AQ85+AR85</f>
        <v>0</v>
      </c>
      <c r="AO85" s="184">
        <f t="shared" ref="AO85:AR85" si="374">AO86+AO87</f>
        <v>0</v>
      </c>
      <c r="AP85" s="184">
        <f t="shared" si="374"/>
        <v>0</v>
      </c>
      <c r="AQ85" s="184">
        <f t="shared" si="374"/>
        <v>0</v>
      </c>
      <c r="AR85" s="185">
        <f t="shared" si="374"/>
        <v>0</v>
      </c>
      <c r="AS85" s="462">
        <f>AS86+AS87</f>
        <v>0</v>
      </c>
      <c r="AT85" s="186">
        <f>AU85+AV85+AW85+AX85</f>
        <v>0</v>
      </c>
      <c r="AU85" s="184">
        <f t="shared" ref="AU85:AX85" si="375">AU86+AU87</f>
        <v>0</v>
      </c>
      <c r="AV85" s="184">
        <f t="shared" si="375"/>
        <v>0</v>
      </c>
      <c r="AW85" s="184">
        <f t="shared" si="375"/>
        <v>0</v>
      </c>
      <c r="AX85" s="185">
        <f t="shared" si="375"/>
        <v>0</v>
      </c>
      <c r="AY85" s="462">
        <f>AY86+AY87</f>
        <v>0</v>
      </c>
      <c r="AZ85" s="186">
        <f>BA85+BB85+BC85+BD85</f>
        <v>0</v>
      </c>
      <c r="BA85" s="184">
        <f t="shared" ref="BA85:BD85" si="376">BA86+BA87</f>
        <v>0</v>
      </c>
      <c r="BB85" s="184">
        <f t="shared" si="376"/>
        <v>0</v>
      </c>
      <c r="BC85" s="184">
        <f t="shared" si="376"/>
        <v>0</v>
      </c>
      <c r="BD85" s="185">
        <f t="shared" si="376"/>
        <v>0</v>
      </c>
      <c r="BE85" s="462">
        <f>BE86+BE87</f>
        <v>0</v>
      </c>
      <c r="BF85" s="186">
        <f>BG85+BH85+BI85+BJ85</f>
        <v>0</v>
      </c>
      <c r="BG85" s="184">
        <f t="shared" ref="BG85:BJ85" si="377">BG86+BG87</f>
        <v>0</v>
      </c>
      <c r="BH85" s="184">
        <f t="shared" si="377"/>
        <v>0</v>
      </c>
      <c r="BI85" s="184">
        <f t="shared" si="377"/>
        <v>0</v>
      </c>
      <c r="BJ85" s="185">
        <f t="shared" si="377"/>
        <v>0</v>
      </c>
      <c r="BK85" s="462">
        <f>BK86+BK87</f>
        <v>0</v>
      </c>
      <c r="BL85" s="186">
        <f>BM85+BN85+BO85+BP85</f>
        <v>0</v>
      </c>
      <c r="BM85" s="184">
        <f t="shared" ref="BM85:BP85" si="378">BM86+BM87</f>
        <v>0</v>
      </c>
      <c r="BN85" s="184">
        <f t="shared" si="378"/>
        <v>0</v>
      </c>
      <c r="BO85" s="184">
        <f t="shared" si="378"/>
        <v>0</v>
      </c>
      <c r="BP85" s="185">
        <f t="shared" si="378"/>
        <v>0</v>
      </c>
      <c r="BQ85" s="462">
        <f>BQ86+BQ87</f>
        <v>0</v>
      </c>
      <c r="BR85" s="826" t="str">
        <f t="shared" si="351"/>
        <v xml:space="preserve"> </v>
      </c>
      <c r="BS85" s="330" t="str">
        <f t="shared" si="352"/>
        <v xml:space="preserve"> </v>
      </c>
      <c r="BT85" s="826" t="str">
        <f t="shared" si="350"/>
        <v xml:space="preserve"> </v>
      </c>
      <c r="BU85" s="330" t="str">
        <f t="shared" si="59"/>
        <v xml:space="preserve"> </v>
      </c>
      <c r="BV85" s="330" t="str">
        <f t="shared" si="60"/>
        <v xml:space="preserve"> </v>
      </c>
      <c r="BW85" s="196" t="str">
        <f t="shared" si="61"/>
        <v xml:space="preserve"> </v>
      </c>
      <c r="BX85" s="967"/>
    </row>
    <row r="86" spans="1:77" s="535" customFormat="1" ht="78.75">
      <c r="A86" s="536" t="s">
        <v>251</v>
      </c>
      <c r="B86" s="537" t="s">
        <v>289</v>
      </c>
      <c r="C86" s="1002" t="s">
        <v>1</v>
      </c>
      <c r="D86" s="211">
        <f t="shared" ref="D86:D87" si="379">E86+F86+G86+H86</f>
        <v>0</v>
      </c>
      <c r="E86" s="188"/>
      <c r="F86" s="188"/>
      <c r="G86" s="188"/>
      <c r="H86" s="415"/>
      <c r="I86" s="522"/>
      <c r="J86" s="211">
        <f t="shared" ref="J86:J87" si="380">K86+L86+M86+N86</f>
        <v>0</v>
      </c>
      <c r="K86" s="532"/>
      <c r="L86" s="532"/>
      <c r="M86" s="532"/>
      <c r="N86" s="533"/>
      <c r="O86" s="534"/>
      <c r="P86" s="211">
        <f t="shared" ref="P86:P87" si="381">Q86+R86+S86+T86</f>
        <v>0</v>
      </c>
      <c r="Q86" s="188"/>
      <c r="R86" s="188"/>
      <c r="S86" s="188"/>
      <c r="T86" s="415"/>
      <c r="U86" s="522"/>
      <c r="V86" s="211">
        <f t="shared" ref="V86:V87" si="382">W86+X86+Y86+Z86</f>
        <v>0</v>
      </c>
      <c r="W86" s="532"/>
      <c r="X86" s="532"/>
      <c r="Y86" s="532"/>
      <c r="Z86" s="533"/>
      <c r="AA86" s="534"/>
      <c r="AB86" s="211">
        <f t="shared" ref="AB86:AB87" si="383">AC86+AD86+AE86+AF86</f>
        <v>0</v>
      </c>
      <c r="AC86" s="188"/>
      <c r="AD86" s="188"/>
      <c r="AE86" s="188"/>
      <c r="AF86" s="415"/>
      <c r="AG86" s="463"/>
      <c r="AH86" s="211">
        <f t="shared" ref="AH86:AH87" si="384">AI86+AJ86+AK86+AL86</f>
        <v>0</v>
      </c>
      <c r="AI86" s="532"/>
      <c r="AJ86" s="532"/>
      <c r="AK86" s="532"/>
      <c r="AL86" s="533"/>
      <c r="AM86" s="534"/>
      <c r="AN86" s="211">
        <f t="shared" ref="AN86:AN87" si="385">AO86+AP86+AQ86+AR86</f>
        <v>0</v>
      </c>
      <c r="AO86" s="188"/>
      <c r="AP86" s="188"/>
      <c r="AQ86" s="188"/>
      <c r="AR86" s="415"/>
      <c r="AS86" s="463"/>
      <c r="AT86" s="211">
        <f t="shared" ref="AT86:AT87" si="386">AU86+AV86+AW86+AX86</f>
        <v>0</v>
      </c>
      <c r="AU86" s="532"/>
      <c r="AV86" s="532"/>
      <c r="AW86" s="532"/>
      <c r="AX86" s="533"/>
      <c r="AY86" s="534"/>
      <c r="AZ86" s="211">
        <f t="shared" ref="AZ86:AZ87" si="387">BA86+BB86+BC86+BD86</f>
        <v>0</v>
      </c>
      <c r="BA86" s="188"/>
      <c r="BB86" s="188"/>
      <c r="BC86" s="188"/>
      <c r="BD86" s="415"/>
      <c r="BE86" s="463"/>
      <c r="BF86" s="211">
        <f t="shared" ref="BF86:BF87" si="388">BG86+BH86+BI86+BJ86</f>
        <v>0</v>
      </c>
      <c r="BG86" s="532"/>
      <c r="BH86" s="532"/>
      <c r="BI86" s="532"/>
      <c r="BJ86" s="533"/>
      <c r="BK86" s="534"/>
      <c r="BL86" s="211">
        <f t="shared" ref="BL86:BL87" si="389">BM86+BN86+BO86+BP86</f>
        <v>0</v>
      </c>
      <c r="BM86" s="188"/>
      <c r="BN86" s="188"/>
      <c r="BO86" s="188"/>
      <c r="BP86" s="415"/>
      <c r="BQ86" s="463"/>
      <c r="BR86" s="844" t="str">
        <f t="shared" si="351"/>
        <v xml:space="preserve"> </v>
      </c>
      <c r="BS86" s="840" t="str">
        <f t="shared" si="352"/>
        <v xml:space="preserve"> </v>
      </c>
      <c r="BT86" s="841" t="str">
        <f t="shared" si="350"/>
        <v xml:space="preserve"> </v>
      </c>
      <c r="BU86" s="842" t="str">
        <f t="shared" si="59"/>
        <v xml:space="preserve"> </v>
      </c>
      <c r="BV86" s="842" t="str">
        <f t="shared" si="60"/>
        <v xml:space="preserve"> </v>
      </c>
      <c r="BW86" s="843" t="str">
        <f t="shared" si="61"/>
        <v xml:space="preserve"> </v>
      </c>
      <c r="BX86" s="975"/>
    </row>
    <row r="87" spans="1:77" s="539" customFormat="1" ht="18.75">
      <c r="A87" s="538" t="s">
        <v>290</v>
      </c>
      <c r="B87" s="537" t="s">
        <v>291</v>
      </c>
      <c r="C87" s="1002" t="s">
        <v>1</v>
      </c>
      <c r="D87" s="211">
        <f t="shared" si="379"/>
        <v>0</v>
      </c>
      <c r="E87" s="493">
        <f>E88+E89+E90+E91</f>
        <v>0</v>
      </c>
      <c r="F87" s="493">
        <f t="shared" ref="F87:H87" si="390">F88+F89+F90</f>
        <v>0</v>
      </c>
      <c r="G87" s="493">
        <f t="shared" si="390"/>
        <v>0</v>
      </c>
      <c r="H87" s="494">
        <f t="shared" si="390"/>
        <v>0</v>
      </c>
      <c r="I87" s="495">
        <f>I88+I89+I90</f>
        <v>0</v>
      </c>
      <c r="J87" s="211">
        <f t="shared" si="380"/>
        <v>0</v>
      </c>
      <c r="K87" s="532">
        <f t="shared" ref="K87:N87" si="391">K88+K89+K90</f>
        <v>0</v>
      </c>
      <c r="L87" s="532">
        <f t="shared" si="391"/>
        <v>0</v>
      </c>
      <c r="M87" s="532">
        <f t="shared" si="391"/>
        <v>0</v>
      </c>
      <c r="N87" s="533">
        <f t="shared" si="391"/>
        <v>0</v>
      </c>
      <c r="O87" s="534">
        <f>O88+O89+O90</f>
        <v>0</v>
      </c>
      <c r="P87" s="211">
        <f t="shared" si="381"/>
        <v>0</v>
      </c>
      <c r="Q87" s="493">
        <f t="shared" ref="Q87:T87" si="392">Q88+Q89+Q90</f>
        <v>0</v>
      </c>
      <c r="R87" s="493">
        <f t="shared" si="392"/>
        <v>0</v>
      </c>
      <c r="S87" s="493">
        <f t="shared" si="392"/>
        <v>0</v>
      </c>
      <c r="T87" s="494">
        <f t="shared" si="392"/>
        <v>0</v>
      </c>
      <c r="U87" s="495">
        <f>U88+U89+U90</f>
        <v>0</v>
      </c>
      <c r="V87" s="211">
        <f t="shared" si="382"/>
        <v>0</v>
      </c>
      <c r="W87" s="532">
        <f t="shared" ref="W87:Z87" si="393">W88+W89+W90</f>
        <v>0</v>
      </c>
      <c r="X87" s="532">
        <f t="shared" si="393"/>
        <v>0</v>
      </c>
      <c r="Y87" s="532">
        <f t="shared" si="393"/>
        <v>0</v>
      </c>
      <c r="Z87" s="533">
        <f t="shared" si="393"/>
        <v>0</v>
      </c>
      <c r="AA87" s="534">
        <f>AA88+AA89+AA90</f>
        <v>0</v>
      </c>
      <c r="AB87" s="211">
        <f t="shared" si="383"/>
        <v>0</v>
      </c>
      <c r="AC87" s="493">
        <f t="shared" ref="AC87:AF87" si="394">AC88+AC89+AC90</f>
        <v>0</v>
      </c>
      <c r="AD87" s="493">
        <f t="shared" si="394"/>
        <v>0</v>
      </c>
      <c r="AE87" s="493">
        <f t="shared" si="394"/>
        <v>0</v>
      </c>
      <c r="AF87" s="494">
        <f t="shared" si="394"/>
        <v>0</v>
      </c>
      <c r="AG87" s="495">
        <f>AG88+AG89+AG90</f>
        <v>0</v>
      </c>
      <c r="AH87" s="211">
        <f t="shared" si="384"/>
        <v>0</v>
      </c>
      <c r="AI87" s="532">
        <f t="shared" ref="AI87:AL87" si="395">AI88+AI89+AI90</f>
        <v>0</v>
      </c>
      <c r="AJ87" s="532">
        <f t="shared" si="395"/>
        <v>0</v>
      </c>
      <c r="AK87" s="532">
        <f t="shared" si="395"/>
        <v>0</v>
      </c>
      <c r="AL87" s="533">
        <f t="shared" si="395"/>
        <v>0</v>
      </c>
      <c r="AM87" s="534">
        <f>AM88+AM89+AM90</f>
        <v>0</v>
      </c>
      <c r="AN87" s="211">
        <f t="shared" si="385"/>
        <v>0</v>
      </c>
      <c r="AO87" s="493">
        <f t="shared" ref="AO87:AR87" si="396">AO88+AO89+AO90</f>
        <v>0</v>
      </c>
      <c r="AP87" s="493">
        <f t="shared" si="396"/>
        <v>0</v>
      </c>
      <c r="AQ87" s="493">
        <f t="shared" si="396"/>
        <v>0</v>
      </c>
      <c r="AR87" s="494">
        <f t="shared" si="396"/>
        <v>0</v>
      </c>
      <c r="AS87" s="495">
        <f>AS88+AS89+AS90</f>
        <v>0</v>
      </c>
      <c r="AT87" s="211">
        <f t="shared" si="386"/>
        <v>0</v>
      </c>
      <c r="AU87" s="532">
        <f t="shared" ref="AU87:AX87" si="397">AU88+AU89+AU90</f>
        <v>0</v>
      </c>
      <c r="AV87" s="532">
        <f t="shared" si="397"/>
        <v>0</v>
      </c>
      <c r="AW87" s="532">
        <f t="shared" si="397"/>
        <v>0</v>
      </c>
      <c r="AX87" s="533">
        <f t="shared" si="397"/>
        <v>0</v>
      </c>
      <c r="AY87" s="534">
        <f>AY88+AY89+AY90</f>
        <v>0</v>
      </c>
      <c r="AZ87" s="211">
        <f t="shared" si="387"/>
        <v>0</v>
      </c>
      <c r="BA87" s="493">
        <f t="shared" ref="BA87:BD87" si="398">BA88+BA89+BA90</f>
        <v>0</v>
      </c>
      <c r="BB87" s="493">
        <f t="shared" si="398"/>
        <v>0</v>
      </c>
      <c r="BC87" s="493">
        <f t="shared" si="398"/>
        <v>0</v>
      </c>
      <c r="BD87" s="494">
        <f t="shared" si="398"/>
        <v>0</v>
      </c>
      <c r="BE87" s="495">
        <f>BE88+BE89+BE90</f>
        <v>0</v>
      </c>
      <c r="BF87" s="211">
        <f t="shared" si="388"/>
        <v>0</v>
      </c>
      <c r="BG87" s="532">
        <f t="shared" ref="BG87:BJ87" si="399">BG88+BG89+BG90</f>
        <v>0</v>
      </c>
      <c r="BH87" s="532">
        <f t="shared" si="399"/>
        <v>0</v>
      </c>
      <c r="BI87" s="532">
        <f t="shared" si="399"/>
        <v>0</v>
      </c>
      <c r="BJ87" s="533">
        <f t="shared" si="399"/>
        <v>0</v>
      </c>
      <c r="BK87" s="534">
        <f>BK88+BK89+BK90</f>
        <v>0</v>
      </c>
      <c r="BL87" s="211">
        <f t="shared" si="389"/>
        <v>0</v>
      </c>
      <c r="BM87" s="493">
        <f t="shared" ref="BM87:BP87" si="400">BM88+BM89+BM90</f>
        <v>0</v>
      </c>
      <c r="BN87" s="493">
        <f t="shared" si="400"/>
        <v>0</v>
      </c>
      <c r="BO87" s="493">
        <f t="shared" si="400"/>
        <v>0</v>
      </c>
      <c r="BP87" s="494">
        <f t="shared" si="400"/>
        <v>0</v>
      </c>
      <c r="BQ87" s="495">
        <f>BQ88+BQ89+BQ90</f>
        <v>0</v>
      </c>
      <c r="BR87" s="940" t="str">
        <f t="shared" si="351"/>
        <v xml:space="preserve"> </v>
      </c>
      <c r="BS87" s="542" t="str">
        <f t="shared" si="352"/>
        <v xml:space="preserve"> </v>
      </c>
      <c r="BT87" s="1484" t="str">
        <f t="shared" si="350"/>
        <v xml:space="preserve"> </v>
      </c>
      <c r="BU87" s="1485" t="str">
        <f t="shared" si="59"/>
        <v xml:space="preserve"> </v>
      </c>
      <c r="BV87" s="1485" t="str">
        <f t="shared" si="60"/>
        <v xml:space="preserve"> </v>
      </c>
      <c r="BW87" s="1525" t="str">
        <f t="shared" si="61"/>
        <v xml:space="preserve"> </v>
      </c>
      <c r="BX87" s="976"/>
    </row>
    <row r="88" spans="1:77" s="83" customFormat="1" ht="18.75">
      <c r="A88" s="146"/>
      <c r="B88" s="147" t="s">
        <v>80</v>
      </c>
      <c r="C88" s="1013" t="s">
        <v>1</v>
      </c>
      <c r="D88" s="559">
        <f>E88+F88+G88+H88</f>
        <v>0</v>
      </c>
      <c r="E88" s="560"/>
      <c r="F88" s="560"/>
      <c r="G88" s="560"/>
      <c r="H88" s="561"/>
      <c r="I88" s="519"/>
      <c r="J88" s="559">
        <f>K88+L88+M88+N88</f>
        <v>0</v>
      </c>
      <c r="K88" s="562"/>
      <c r="L88" s="562"/>
      <c r="M88" s="562"/>
      <c r="N88" s="563"/>
      <c r="O88" s="530"/>
      <c r="P88" s="559">
        <f>Q88+R88+S88+T88</f>
        <v>0</v>
      </c>
      <c r="Q88" s="560"/>
      <c r="R88" s="560"/>
      <c r="S88" s="560"/>
      <c r="T88" s="561"/>
      <c r="U88" s="519"/>
      <c r="V88" s="559">
        <f>W88+X88+Y88+Z88</f>
        <v>0</v>
      </c>
      <c r="W88" s="562"/>
      <c r="X88" s="562"/>
      <c r="Y88" s="562"/>
      <c r="Z88" s="563"/>
      <c r="AA88" s="530"/>
      <c r="AB88" s="559">
        <f>AC88+AD88+AE88+AF88</f>
        <v>0</v>
      </c>
      <c r="AC88" s="560"/>
      <c r="AD88" s="560"/>
      <c r="AE88" s="561"/>
      <c r="AF88" s="561"/>
      <c r="AG88" s="519"/>
      <c r="AH88" s="559">
        <f>AI88+AJ88+AK88+AL88</f>
        <v>0</v>
      </c>
      <c r="AI88" s="562"/>
      <c r="AJ88" s="562"/>
      <c r="AK88" s="562"/>
      <c r="AL88" s="563"/>
      <c r="AM88" s="530"/>
      <c r="AN88" s="559">
        <f>AO88+AP88+AQ88+AR88</f>
        <v>0</v>
      </c>
      <c r="AO88" s="560"/>
      <c r="AP88" s="560"/>
      <c r="AQ88" s="561"/>
      <c r="AR88" s="561"/>
      <c r="AS88" s="519"/>
      <c r="AT88" s="559">
        <f>AU88+AV88+AW88+AX88</f>
        <v>0</v>
      </c>
      <c r="AU88" s="562"/>
      <c r="AV88" s="562"/>
      <c r="AW88" s="562"/>
      <c r="AX88" s="563"/>
      <c r="AY88" s="530"/>
      <c r="AZ88" s="559">
        <f>BA88+BB88+BC88+BD88</f>
        <v>0</v>
      </c>
      <c r="BA88" s="560"/>
      <c r="BB88" s="560"/>
      <c r="BC88" s="561"/>
      <c r="BD88" s="561"/>
      <c r="BE88" s="519"/>
      <c r="BF88" s="559">
        <f>BG88+BH88+BI88+BJ88</f>
        <v>0</v>
      </c>
      <c r="BG88" s="562"/>
      <c r="BH88" s="562"/>
      <c r="BI88" s="562"/>
      <c r="BJ88" s="563"/>
      <c r="BK88" s="530"/>
      <c r="BL88" s="559">
        <f>BM88+BN88+BO88+BP88</f>
        <v>0</v>
      </c>
      <c r="BM88" s="560"/>
      <c r="BN88" s="560"/>
      <c r="BO88" s="561"/>
      <c r="BP88" s="561"/>
      <c r="BQ88" s="519"/>
      <c r="BR88" s="940" t="str">
        <f t="shared" si="351"/>
        <v xml:space="preserve"> </v>
      </c>
      <c r="BS88" s="542" t="str">
        <f t="shared" si="352"/>
        <v xml:space="preserve"> </v>
      </c>
      <c r="BT88" s="940" t="str">
        <f t="shared" si="350"/>
        <v xml:space="preserve"> </v>
      </c>
      <c r="BU88" s="542" t="str">
        <f t="shared" si="59"/>
        <v xml:space="preserve"> </v>
      </c>
      <c r="BV88" s="542" t="str">
        <f t="shared" si="60"/>
        <v xml:space="preserve"> </v>
      </c>
      <c r="BW88" s="543" t="str">
        <f t="shared" si="61"/>
        <v xml:space="preserve"> </v>
      </c>
      <c r="BX88" s="967"/>
    </row>
    <row r="89" spans="1:77" s="83" customFormat="1" ht="31.5">
      <c r="A89" s="133"/>
      <c r="B89" s="148" t="s">
        <v>249</v>
      </c>
      <c r="C89" s="1013" t="s">
        <v>1</v>
      </c>
      <c r="D89" s="559">
        <f t="shared" ref="D89:D90" si="401">E89+F89+G89+H89</f>
        <v>0</v>
      </c>
      <c r="E89" s="560"/>
      <c r="F89" s="560"/>
      <c r="G89" s="560"/>
      <c r="H89" s="561"/>
      <c r="I89" s="519"/>
      <c r="J89" s="559">
        <f t="shared" ref="J89:J90" si="402">K89+L89+M89+N89</f>
        <v>0</v>
      </c>
      <c r="K89" s="383"/>
      <c r="L89" s="383"/>
      <c r="M89" s="1501"/>
      <c r="N89" s="1501"/>
      <c r="O89" s="500"/>
      <c r="P89" s="559">
        <f t="shared" ref="P89:P90" si="403">Q89+R89+S89+T89</f>
        <v>0</v>
      </c>
      <c r="Q89" s="560"/>
      <c r="R89" s="560"/>
      <c r="S89" s="560"/>
      <c r="T89" s="561"/>
      <c r="U89" s="519"/>
      <c r="V89" s="559">
        <f t="shared" ref="V89:V90" si="404">W89+X89+Y89+Z89</f>
        <v>0</v>
      </c>
      <c r="W89" s="383"/>
      <c r="X89" s="383"/>
      <c r="Y89" s="1501"/>
      <c r="Z89" s="1501"/>
      <c r="AA89" s="500"/>
      <c r="AB89" s="564">
        <f t="shared" ref="AB89:AB90" si="405">AC89+AD89+AE89+AF89</f>
        <v>0</v>
      </c>
      <c r="AC89" s="207"/>
      <c r="AD89" s="207"/>
      <c r="AE89" s="1145"/>
      <c r="AF89" s="1145"/>
      <c r="AG89" s="469"/>
      <c r="AH89" s="559">
        <f t="shared" ref="AH89:AH90" si="406">AI89+AJ89+AK89+AL89</f>
        <v>0</v>
      </c>
      <c r="AI89" s="383"/>
      <c r="AJ89" s="383"/>
      <c r="AK89" s="1501"/>
      <c r="AL89" s="1501"/>
      <c r="AM89" s="500"/>
      <c r="AN89" s="564">
        <f t="shared" ref="AN89:AN90" si="407">AO89+AP89+AQ89+AR89</f>
        <v>0</v>
      </c>
      <c r="AO89" s="207"/>
      <c r="AP89" s="207"/>
      <c r="AQ89" s="1145"/>
      <c r="AR89" s="1145"/>
      <c r="AS89" s="469"/>
      <c r="AT89" s="559">
        <f t="shared" ref="AT89:AT90" si="408">AU89+AV89+AW89+AX89</f>
        <v>0</v>
      </c>
      <c r="AU89" s="383"/>
      <c r="AV89" s="383"/>
      <c r="AW89" s="1501"/>
      <c r="AX89" s="1501"/>
      <c r="AY89" s="500"/>
      <c r="AZ89" s="564">
        <f t="shared" ref="AZ89:AZ90" si="409">BA89+BB89+BC89+BD89</f>
        <v>0</v>
      </c>
      <c r="BA89" s="207"/>
      <c r="BB89" s="207"/>
      <c r="BC89" s="1145"/>
      <c r="BD89" s="1145"/>
      <c r="BE89" s="469"/>
      <c r="BF89" s="559">
        <f t="shared" ref="BF89:BF90" si="410">BG89+BH89+BI89+BJ89</f>
        <v>0</v>
      </c>
      <c r="BG89" s="383"/>
      <c r="BH89" s="383"/>
      <c r="BI89" s="1501"/>
      <c r="BJ89" s="1501"/>
      <c r="BK89" s="500"/>
      <c r="BL89" s="564">
        <f t="shared" ref="BL89:BL90" si="411">BM89+BN89+BO89+BP89</f>
        <v>0</v>
      </c>
      <c r="BM89" s="207"/>
      <c r="BN89" s="207"/>
      <c r="BO89" s="1145"/>
      <c r="BP89" s="1145"/>
      <c r="BQ89" s="469"/>
      <c r="BR89" s="940" t="str">
        <f t="shared" si="351"/>
        <v xml:space="preserve"> </v>
      </c>
      <c r="BS89" s="542" t="str">
        <f t="shared" si="352"/>
        <v xml:space="preserve"> </v>
      </c>
      <c r="BT89" s="827" t="str">
        <f t="shared" si="350"/>
        <v xml:space="preserve"> </v>
      </c>
      <c r="BU89" s="329" t="str">
        <f t="shared" si="59"/>
        <v xml:space="preserve"> </v>
      </c>
      <c r="BV89" s="329" t="str">
        <f t="shared" si="60"/>
        <v xml:space="preserve"> </v>
      </c>
      <c r="BW89" s="197" t="str">
        <f t="shared" si="61"/>
        <v xml:space="preserve"> </v>
      </c>
      <c r="BX89" s="967"/>
      <c r="BY89" s="565"/>
    </row>
    <row r="90" spans="1:77" s="83" customFormat="1" ht="19.5" thickBot="1">
      <c r="A90" s="133"/>
      <c r="B90" s="148" t="s">
        <v>250</v>
      </c>
      <c r="C90" s="1013" t="s">
        <v>1</v>
      </c>
      <c r="D90" s="559">
        <f t="shared" si="401"/>
        <v>0</v>
      </c>
      <c r="E90" s="560"/>
      <c r="F90" s="560"/>
      <c r="G90" s="560"/>
      <c r="H90" s="561"/>
      <c r="I90" s="566"/>
      <c r="J90" s="559">
        <f t="shared" si="402"/>
        <v>0</v>
      </c>
      <c r="K90" s="383"/>
      <c r="L90" s="383"/>
      <c r="M90" s="383"/>
      <c r="N90" s="1501"/>
      <c r="O90" s="500"/>
      <c r="P90" s="559">
        <f t="shared" si="403"/>
        <v>0</v>
      </c>
      <c r="Q90" s="995"/>
      <c r="R90" s="560"/>
      <c r="S90" s="560"/>
      <c r="T90" s="561"/>
      <c r="U90" s="566"/>
      <c r="V90" s="559">
        <f t="shared" si="404"/>
        <v>0</v>
      </c>
      <c r="W90" s="383"/>
      <c r="X90" s="383"/>
      <c r="Y90" s="383"/>
      <c r="Z90" s="1501"/>
      <c r="AA90" s="500"/>
      <c r="AB90" s="564">
        <f t="shared" si="405"/>
        <v>0</v>
      </c>
      <c r="AC90" s="207">
        <f>ROUND(Q90*[185]индексы!I8,2)</f>
        <v>0</v>
      </c>
      <c r="AD90" s="207"/>
      <c r="AE90" s="1145"/>
      <c r="AF90" s="1145"/>
      <c r="AG90" s="469"/>
      <c r="AH90" s="559">
        <f t="shared" si="406"/>
        <v>0</v>
      </c>
      <c r="AI90" s="383"/>
      <c r="AJ90" s="383"/>
      <c r="AK90" s="383"/>
      <c r="AL90" s="1501"/>
      <c r="AM90" s="500"/>
      <c r="AN90" s="564">
        <f t="shared" si="407"/>
        <v>0</v>
      </c>
      <c r="AO90" s="207">
        <f>ROUND(AC90*[185]индексы!J8,2)</f>
        <v>0</v>
      </c>
      <c r="AP90" s="207"/>
      <c r="AQ90" s="1145"/>
      <c r="AR90" s="1145"/>
      <c r="AS90" s="469"/>
      <c r="AT90" s="559">
        <f t="shared" si="408"/>
        <v>0</v>
      </c>
      <c r="AU90" s="383"/>
      <c r="AV90" s="383"/>
      <c r="AW90" s="383"/>
      <c r="AX90" s="1501"/>
      <c r="AY90" s="500"/>
      <c r="AZ90" s="564">
        <f t="shared" si="409"/>
        <v>0</v>
      </c>
      <c r="BA90" s="207">
        <f>ROUND(AO90*[185]индексы!K8,2)</f>
        <v>0</v>
      </c>
      <c r="BB90" s="207"/>
      <c r="BC90" s="1145"/>
      <c r="BD90" s="1145"/>
      <c r="BE90" s="469"/>
      <c r="BF90" s="559">
        <f t="shared" si="410"/>
        <v>0</v>
      </c>
      <c r="BG90" s="383"/>
      <c r="BH90" s="383"/>
      <c r="BI90" s="383"/>
      <c r="BJ90" s="1501"/>
      <c r="BK90" s="500"/>
      <c r="BL90" s="564">
        <f t="shared" si="411"/>
        <v>0</v>
      </c>
      <c r="BM90" s="207">
        <f>ROUND(BA90*[185]индексы!L8,2)</f>
        <v>0</v>
      </c>
      <c r="BN90" s="207"/>
      <c r="BO90" s="1145"/>
      <c r="BP90" s="1145"/>
      <c r="BQ90" s="469"/>
      <c r="BR90" s="1484" t="str">
        <f t="shared" si="351"/>
        <v xml:space="preserve"> </v>
      </c>
      <c r="BS90" s="1485" t="str">
        <f t="shared" si="352"/>
        <v xml:space="preserve"> </v>
      </c>
      <c r="BT90" s="1486" t="str">
        <f t="shared" si="350"/>
        <v xml:space="preserve"> </v>
      </c>
      <c r="BU90" s="1487" t="str">
        <f t="shared" si="59"/>
        <v xml:space="preserve"> </v>
      </c>
      <c r="BV90" s="1487" t="str">
        <f t="shared" si="60"/>
        <v xml:space="preserve"> </v>
      </c>
      <c r="BW90" s="1488" t="str">
        <f t="shared" si="61"/>
        <v xml:space="preserve"> </v>
      </c>
      <c r="BX90" s="967"/>
    </row>
    <row r="91" spans="1:77" s="83" customFormat="1" ht="19.5" thickBot="1">
      <c r="A91" s="133"/>
      <c r="B91" s="148" t="s">
        <v>483</v>
      </c>
      <c r="C91" s="1013" t="s">
        <v>1</v>
      </c>
      <c r="D91" s="945"/>
      <c r="E91" s="946"/>
      <c r="F91" s="946"/>
      <c r="G91" s="946"/>
      <c r="H91" s="947"/>
      <c r="I91" s="566"/>
      <c r="J91" s="945"/>
      <c r="K91" s="948"/>
      <c r="L91" s="948"/>
      <c r="M91" s="948"/>
      <c r="N91" s="949"/>
      <c r="O91" s="950"/>
      <c r="P91" s="945"/>
      <c r="Q91" s="946"/>
      <c r="R91" s="946"/>
      <c r="S91" s="946"/>
      <c r="T91" s="947"/>
      <c r="U91" s="566"/>
      <c r="V91" s="945"/>
      <c r="W91" s="948"/>
      <c r="X91" s="948"/>
      <c r="Y91" s="948"/>
      <c r="Z91" s="949"/>
      <c r="AA91" s="950"/>
      <c r="AB91" s="945"/>
      <c r="AC91" s="946"/>
      <c r="AD91" s="946"/>
      <c r="AE91" s="947"/>
      <c r="AF91" s="947"/>
      <c r="AG91" s="951"/>
      <c r="AH91" s="945"/>
      <c r="AI91" s="948"/>
      <c r="AJ91" s="948"/>
      <c r="AK91" s="948"/>
      <c r="AL91" s="949"/>
      <c r="AM91" s="950"/>
      <c r="AN91" s="945"/>
      <c r="AO91" s="946"/>
      <c r="AP91" s="946"/>
      <c r="AQ91" s="947"/>
      <c r="AR91" s="947"/>
      <c r="AS91" s="951"/>
      <c r="AT91" s="945"/>
      <c r="AU91" s="948"/>
      <c r="AV91" s="948"/>
      <c r="AW91" s="948"/>
      <c r="AX91" s="949"/>
      <c r="AY91" s="950"/>
      <c r="AZ91" s="945"/>
      <c r="BA91" s="946"/>
      <c r="BB91" s="946"/>
      <c r="BC91" s="947"/>
      <c r="BD91" s="947"/>
      <c r="BE91" s="951"/>
      <c r="BF91" s="945"/>
      <c r="BG91" s="948"/>
      <c r="BH91" s="948"/>
      <c r="BI91" s="948"/>
      <c r="BJ91" s="949"/>
      <c r="BK91" s="950"/>
      <c r="BL91" s="945"/>
      <c r="BM91" s="946"/>
      <c r="BN91" s="946"/>
      <c r="BO91" s="947"/>
      <c r="BP91" s="947"/>
      <c r="BQ91" s="951"/>
      <c r="BR91" s="841"/>
      <c r="BS91" s="842"/>
      <c r="BT91" s="952"/>
      <c r="BU91" s="953"/>
      <c r="BV91" s="953"/>
      <c r="BW91" s="954"/>
      <c r="BX91" s="967"/>
    </row>
    <row r="92" spans="1:77" s="88" customFormat="1" ht="19.5" thickBot="1">
      <c r="A92" s="1583" t="s">
        <v>215</v>
      </c>
      <c r="B92" s="1584"/>
      <c r="C92" s="84" t="s">
        <v>1</v>
      </c>
      <c r="D92" s="186">
        <f>E92+F92+G92+H92</f>
        <v>556.14</v>
      </c>
      <c r="E92" s="184">
        <v>556.14</v>
      </c>
      <c r="F92" s="184"/>
      <c r="G92" s="184"/>
      <c r="H92" s="185"/>
      <c r="I92" s="462"/>
      <c r="J92" s="186">
        <f>K92+L92+M92+N92</f>
        <v>644.03</v>
      </c>
      <c r="K92" s="184">
        <v>384.93673100000001</v>
      </c>
      <c r="L92" s="184">
        <v>247.30751999999998</v>
      </c>
      <c r="M92" s="184"/>
      <c r="N92" s="185">
        <v>11.785748999999999</v>
      </c>
      <c r="O92" s="462"/>
      <c r="P92" s="184">
        <f>ROUND((P15-P16+P21+P59)*0.05,2)</f>
        <v>622.75</v>
      </c>
      <c r="Q92" s="184">
        <f>ROUND((P15-P16+P21+P59)*0.05,2)</f>
        <v>622.75</v>
      </c>
      <c r="R92" s="184"/>
      <c r="S92" s="184">
        <f t="shared" ref="S92" si="412">ROUND((S15-S16+S21+S59)*0.05,2)</f>
        <v>0</v>
      </c>
      <c r="T92" s="1228"/>
      <c r="U92" s="462"/>
      <c r="V92" s="186">
        <f>W92+X92+Y92+Z92</f>
        <v>711.72879421344373</v>
      </c>
      <c r="W92" s="184">
        <v>698.70155779011191</v>
      </c>
      <c r="X92" s="184"/>
      <c r="Y92" s="184"/>
      <c r="Z92" s="185">
        <v>13.027236423331868</v>
      </c>
      <c r="AA92" s="462"/>
      <c r="AB92" s="186">
        <f>AC92+AD92+AE92+AF92</f>
        <v>649.70000000000005</v>
      </c>
      <c r="AC92" s="184">
        <f>ROUND((AB15-AB16+AB21+AB59)*0.05,2)</f>
        <v>649.70000000000005</v>
      </c>
      <c r="AD92" s="184">
        <f t="shared" ref="AD92:AG92" si="413">IF(R92&gt;0,(AD15-AD16-AD18-AD20+AD21+AD59-AD62-AD82)*5%,0)</f>
        <v>0</v>
      </c>
      <c r="AE92" s="184">
        <f t="shared" si="413"/>
        <v>0</v>
      </c>
      <c r="AF92" s="185">
        <f t="shared" si="413"/>
        <v>0</v>
      </c>
      <c r="AG92" s="462">
        <f t="shared" si="413"/>
        <v>0</v>
      </c>
      <c r="AH92" s="186">
        <f>AI92+AJ92+AK92+AL92</f>
        <v>748.78002642186652</v>
      </c>
      <c r="AI92" s="184">
        <v>735.07461712471081</v>
      </c>
      <c r="AJ92" s="184"/>
      <c r="AK92" s="184"/>
      <c r="AL92" s="185">
        <v>13.705409297155683</v>
      </c>
      <c r="AM92" s="462"/>
      <c r="AN92" s="186">
        <f>AO92+AP92+AQ92+AR92</f>
        <v>671.67</v>
      </c>
      <c r="AO92" s="184">
        <f>ROUND((AN15-AN16+AN21+AN59)*0.05,2)</f>
        <v>671.67</v>
      </c>
      <c r="AP92" s="184">
        <f t="shared" ref="AP92:AS92" si="414">IF(AD92&gt;0,(AP15-AP16-AP18-AP20+AP21+AP59-AP62-AP82)*5%,0)</f>
        <v>0</v>
      </c>
      <c r="AQ92" s="185">
        <f t="shared" si="414"/>
        <v>0</v>
      </c>
      <c r="AR92" s="185">
        <f t="shared" si="414"/>
        <v>0</v>
      </c>
      <c r="AS92" s="462">
        <f t="shared" si="414"/>
        <v>0</v>
      </c>
      <c r="AT92" s="186">
        <f>AU92+AV92+AW92+AX92</f>
        <v>785.90759104089943</v>
      </c>
      <c r="AU92" s="184">
        <v>771.52261170801239</v>
      </c>
      <c r="AV92" s="184"/>
      <c r="AW92" s="184"/>
      <c r="AX92" s="185">
        <v>14.384979332887054</v>
      </c>
      <c r="AY92" s="462"/>
      <c r="AZ92" s="186">
        <f>BA92+BB92+BC92+BD92</f>
        <v>695.03</v>
      </c>
      <c r="BA92" s="184">
        <f>ROUND((AZ15-AZ16+AZ21+AZ59)*0.05,2)</f>
        <v>695.03</v>
      </c>
      <c r="BB92" s="184">
        <f t="shared" ref="BB92:BE92" si="415">IF(AP92&gt;0,(BB15-BB16-BB18-BB20+BB21+BB59-BB62-BB82)*5%,0)</f>
        <v>0</v>
      </c>
      <c r="BC92" s="185">
        <f t="shared" si="415"/>
        <v>0</v>
      </c>
      <c r="BD92" s="185">
        <f t="shared" si="415"/>
        <v>0</v>
      </c>
      <c r="BE92" s="462">
        <f t="shared" si="415"/>
        <v>0</v>
      </c>
      <c r="BF92" s="186">
        <f>BG92+BH92+BI92+BJ92</f>
        <v>830.50463449049425</v>
      </c>
      <c r="BG92" s="184">
        <v>815.30336637805669</v>
      </c>
      <c r="BH92" s="184"/>
      <c r="BI92" s="184"/>
      <c r="BJ92" s="185">
        <v>15.201268112437601</v>
      </c>
      <c r="BK92" s="462"/>
      <c r="BL92" s="186">
        <f>BM92+BN92+BO92+BP92</f>
        <v>719.1</v>
      </c>
      <c r="BM92" s="184">
        <f>ROUND((BL15-BL16+BL21+BL59)*0.05,2)</f>
        <v>719.1</v>
      </c>
      <c r="BN92" s="184">
        <f t="shared" ref="BN92:BQ92" si="416">IF(BB92&gt;0,(BN15-BN16-BN18-BN20+BN21+BN59-BN62-BN82)*5%,0)</f>
        <v>0</v>
      </c>
      <c r="BO92" s="185">
        <f t="shared" si="416"/>
        <v>0</v>
      </c>
      <c r="BP92" s="185">
        <f t="shared" si="416"/>
        <v>0</v>
      </c>
      <c r="BQ92" s="462">
        <f t="shared" si="416"/>
        <v>0</v>
      </c>
      <c r="BR92" s="826">
        <f t="shared" si="351"/>
        <v>0.96695806095989323</v>
      </c>
      <c r="BS92" s="330">
        <f t="shared" si="352"/>
        <v>1.1197719998561513</v>
      </c>
      <c r="BT92" s="826">
        <f t="shared" ref="BT92:BT126" si="417">IF(ISERROR(AB92/P92)," ",AB92/P92)</f>
        <v>1.0432757928542755</v>
      </c>
      <c r="BU92" s="330">
        <f t="shared" ref="BU92:BU126" si="418">IF(ISERROR(AN92/AB92)," ",AN92/AB92)</f>
        <v>1.0338156072033244</v>
      </c>
      <c r="BV92" s="330">
        <f t="shared" ref="BV92:BV126" si="419">IF(ISERROR(AZ92/AN92)," ",AZ92/AN92)</f>
        <v>1.034778983727128</v>
      </c>
      <c r="BW92" s="196">
        <f t="shared" ref="BW92:BW126" si="420">IF(ISERROR(BL92/AZ92)," ",BL92/AZ92)</f>
        <v>1.0346315986360302</v>
      </c>
      <c r="BX92" s="967"/>
    </row>
    <row r="93" spans="1:77" s="88" customFormat="1" ht="36" customHeight="1" thickBot="1">
      <c r="A93" s="1583" t="s">
        <v>216</v>
      </c>
      <c r="B93" s="1584"/>
      <c r="C93" s="84" t="s">
        <v>1</v>
      </c>
      <c r="D93" s="186">
        <f>E93+F93+G93+H93</f>
        <v>0</v>
      </c>
      <c r="E93" s="184"/>
      <c r="F93" s="184"/>
      <c r="G93" s="184"/>
      <c r="H93" s="185"/>
      <c r="I93" s="462"/>
      <c r="J93" s="186">
        <f t="shared" ref="J93:J98" si="421">K93+L93+M93+N93</f>
        <v>0</v>
      </c>
      <c r="K93" s="184"/>
      <c r="L93" s="184"/>
      <c r="M93" s="184"/>
      <c r="N93" s="185"/>
      <c r="O93" s="462"/>
      <c r="P93" s="186">
        <f>Q93+R93+S93+T93</f>
        <v>0</v>
      </c>
      <c r="Q93" s="184"/>
      <c r="R93" s="184"/>
      <c r="S93" s="184"/>
      <c r="T93" s="185"/>
      <c r="U93" s="462"/>
      <c r="V93" s="186">
        <f t="shared" ref="V93:V98" si="422">W93+X93+Y93+Z93</f>
        <v>0</v>
      </c>
      <c r="W93" s="184"/>
      <c r="X93" s="184"/>
      <c r="Y93" s="184"/>
      <c r="Z93" s="185"/>
      <c r="AA93" s="462"/>
      <c r="AB93" s="186">
        <f t="shared" ref="AB93:AB98" si="423">AC93+AD93+AE93+AF93</f>
        <v>0</v>
      </c>
      <c r="AC93" s="184"/>
      <c r="AD93" s="184"/>
      <c r="AE93" s="185"/>
      <c r="AF93" s="185"/>
      <c r="AG93" s="462"/>
      <c r="AH93" s="186">
        <f t="shared" ref="AH93:AH98" si="424">AI93+AJ93+AK93+AL93</f>
        <v>0</v>
      </c>
      <c r="AI93" s="184"/>
      <c r="AJ93" s="184"/>
      <c r="AK93" s="184"/>
      <c r="AL93" s="185"/>
      <c r="AM93" s="462"/>
      <c r="AN93" s="186">
        <f t="shared" ref="AN93:AN94" si="425">AO93+AP93+AQ93+AR93</f>
        <v>0</v>
      </c>
      <c r="AO93" s="184"/>
      <c r="AP93" s="184"/>
      <c r="AQ93" s="185"/>
      <c r="AR93" s="185"/>
      <c r="AS93" s="462"/>
      <c r="AT93" s="186">
        <f t="shared" ref="AT93:AT98" si="426">AU93+AV93+AW93+AX93</f>
        <v>0</v>
      </c>
      <c r="AU93" s="184"/>
      <c r="AV93" s="184"/>
      <c r="AW93" s="184"/>
      <c r="AX93" s="185"/>
      <c r="AY93" s="462"/>
      <c r="AZ93" s="186">
        <f t="shared" ref="AZ93:AZ94" si="427">BA93+BB93+BC93+BD93</f>
        <v>0</v>
      </c>
      <c r="BA93" s="184"/>
      <c r="BB93" s="184"/>
      <c r="BC93" s="185"/>
      <c r="BD93" s="185"/>
      <c r="BE93" s="462"/>
      <c r="BF93" s="186">
        <f t="shared" ref="BF93:BF98" si="428">BG93+BH93+BI93+BJ93</f>
        <v>0</v>
      </c>
      <c r="BG93" s="184"/>
      <c r="BH93" s="184"/>
      <c r="BI93" s="184"/>
      <c r="BJ93" s="185"/>
      <c r="BK93" s="462"/>
      <c r="BL93" s="186">
        <f t="shared" ref="BL93:BL94" si="429">BM93+BN93+BO93+BP93</f>
        <v>0</v>
      </c>
      <c r="BM93" s="184"/>
      <c r="BN93" s="184"/>
      <c r="BO93" s="185"/>
      <c r="BP93" s="185"/>
      <c r="BQ93" s="462"/>
      <c r="BR93" s="826" t="str">
        <f t="shared" si="351"/>
        <v xml:space="preserve"> </v>
      </c>
      <c r="BS93" s="330" t="str">
        <f t="shared" si="352"/>
        <v xml:space="preserve"> </v>
      </c>
      <c r="BT93" s="826" t="str">
        <f t="shared" si="417"/>
        <v xml:space="preserve"> </v>
      </c>
      <c r="BU93" s="330" t="str">
        <f t="shared" si="418"/>
        <v xml:space="preserve"> </v>
      </c>
      <c r="BV93" s="330" t="str">
        <f t="shared" si="419"/>
        <v xml:space="preserve"> </v>
      </c>
      <c r="BW93" s="196" t="str">
        <f t="shared" si="420"/>
        <v xml:space="preserve"> </v>
      </c>
      <c r="BX93" s="967"/>
    </row>
    <row r="94" spans="1:77" s="88" customFormat="1" ht="19.5" thickBot="1">
      <c r="A94" s="1583" t="s">
        <v>217</v>
      </c>
      <c r="B94" s="1584"/>
      <c r="C94" s="84" t="s">
        <v>1</v>
      </c>
      <c r="D94" s="555">
        <f>E94+F94+G94+H94</f>
        <v>0</v>
      </c>
      <c r="E94" s="549">
        <f>SUM(E95:E98)</f>
        <v>0</v>
      </c>
      <c r="F94" s="549">
        <f t="shared" ref="F94:I94" si="430">SUM(F95:F98)</f>
        <v>0</v>
      </c>
      <c r="G94" s="549">
        <f t="shared" si="430"/>
        <v>0</v>
      </c>
      <c r="H94" s="550">
        <f t="shared" si="430"/>
        <v>0</v>
      </c>
      <c r="I94" s="551">
        <f t="shared" si="430"/>
        <v>0</v>
      </c>
      <c r="J94" s="186">
        <f t="shared" si="421"/>
        <v>0</v>
      </c>
      <c r="K94" s="184">
        <f>SUM(K95:K98)</f>
        <v>0</v>
      </c>
      <c r="L94" s="184">
        <f t="shared" ref="L94:O94" si="431">SUM(L95:L98)</f>
        <v>0</v>
      </c>
      <c r="M94" s="184">
        <f t="shared" si="431"/>
        <v>0</v>
      </c>
      <c r="N94" s="185">
        <f t="shared" si="431"/>
        <v>0</v>
      </c>
      <c r="O94" s="462">
        <f t="shared" si="431"/>
        <v>0</v>
      </c>
      <c r="P94" s="555">
        <f>Q94+R94+S94+T94</f>
        <v>0</v>
      </c>
      <c r="Q94" s="549">
        <f>SUM(Q95:Q98)</f>
        <v>0</v>
      </c>
      <c r="R94" s="549">
        <f t="shared" ref="R94:U94" si="432">SUM(R95:R98)</f>
        <v>0</v>
      </c>
      <c r="S94" s="549">
        <f t="shared" si="432"/>
        <v>0</v>
      </c>
      <c r="T94" s="550">
        <f t="shared" si="432"/>
        <v>0</v>
      </c>
      <c r="U94" s="551">
        <f t="shared" si="432"/>
        <v>0</v>
      </c>
      <c r="V94" s="186">
        <f t="shared" si="422"/>
        <v>0</v>
      </c>
      <c r="W94" s="184">
        <f>SUM(W95:W98)</f>
        <v>0</v>
      </c>
      <c r="X94" s="184">
        <f t="shared" ref="X94:AA94" si="433">SUM(X95:X98)</f>
        <v>0</v>
      </c>
      <c r="Y94" s="184">
        <f t="shared" si="433"/>
        <v>0</v>
      </c>
      <c r="Z94" s="185">
        <f t="shared" si="433"/>
        <v>0</v>
      </c>
      <c r="AA94" s="462">
        <f t="shared" si="433"/>
        <v>0</v>
      </c>
      <c r="AB94" s="186">
        <f t="shared" si="423"/>
        <v>0</v>
      </c>
      <c r="AC94" s="184">
        <f>SUM(AC95:AC98)</f>
        <v>0</v>
      </c>
      <c r="AD94" s="184">
        <f t="shared" ref="AD94" si="434">SUM(AD95:AD98)</f>
        <v>0</v>
      </c>
      <c r="AE94" s="185">
        <f>SUM(AE95:AE98)</f>
        <v>0</v>
      </c>
      <c r="AF94" s="185">
        <f t="shared" ref="AF94:AG94" si="435">SUM(AF95:AF98)</f>
        <v>0</v>
      </c>
      <c r="AG94" s="462">
        <f t="shared" si="435"/>
        <v>0</v>
      </c>
      <c r="AH94" s="186">
        <f t="shared" si="424"/>
        <v>0</v>
      </c>
      <c r="AI94" s="184">
        <f>SUM(AI95:AI98)</f>
        <v>0</v>
      </c>
      <c r="AJ94" s="184">
        <f t="shared" ref="AJ94:AM94" si="436">SUM(AJ95:AJ98)</f>
        <v>0</v>
      </c>
      <c r="AK94" s="184">
        <f t="shared" si="436"/>
        <v>0</v>
      </c>
      <c r="AL94" s="185">
        <f t="shared" si="436"/>
        <v>0</v>
      </c>
      <c r="AM94" s="462">
        <f t="shared" si="436"/>
        <v>0</v>
      </c>
      <c r="AN94" s="186">
        <f t="shared" si="425"/>
        <v>-159.78</v>
      </c>
      <c r="AO94" s="184">
        <f>SUM(AO95:AO98)</f>
        <v>-159.78</v>
      </c>
      <c r="AP94" s="184">
        <f t="shared" ref="AP94" si="437">SUM(AP95:AP98)</f>
        <v>0</v>
      </c>
      <c r="AQ94" s="185">
        <f>SUM(AQ95:AQ98)</f>
        <v>0</v>
      </c>
      <c r="AR94" s="185">
        <f t="shared" ref="AR94:AS94" si="438">SUM(AR95:AR98)</f>
        <v>0</v>
      </c>
      <c r="AS94" s="462">
        <f t="shared" si="438"/>
        <v>0</v>
      </c>
      <c r="AT94" s="186">
        <f t="shared" si="426"/>
        <v>0</v>
      </c>
      <c r="AU94" s="184">
        <f>SUM(AU95:AU98)</f>
        <v>0</v>
      </c>
      <c r="AV94" s="184">
        <f t="shared" ref="AV94:AY94" si="439">SUM(AV95:AV98)</f>
        <v>0</v>
      </c>
      <c r="AW94" s="184">
        <f t="shared" si="439"/>
        <v>0</v>
      </c>
      <c r="AX94" s="185">
        <f t="shared" si="439"/>
        <v>0</v>
      </c>
      <c r="AY94" s="462">
        <f t="shared" si="439"/>
        <v>0</v>
      </c>
      <c r="AZ94" s="186">
        <f t="shared" si="427"/>
        <v>0</v>
      </c>
      <c r="BA94" s="184">
        <f>SUM(BA95:BA98)</f>
        <v>0</v>
      </c>
      <c r="BB94" s="184">
        <f t="shared" ref="BB94" si="440">SUM(BB95:BB98)</f>
        <v>0</v>
      </c>
      <c r="BC94" s="185">
        <f>SUM(BC95:BC98)</f>
        <v>0</v>
      </c>
      <c r="BD94" s="185">
        <f t="shared" ref="BD94:BE94" si="441">SUM(BD95:BD98)</f>
        <v>0</v>
      </c>
      <c r="BE94" s="462">
        <f t="shared" si="441"/>
        <v>0</v>
      </c>
      <c r="BF94" s="186">
        <f t="shared" si="428"/>
        <v>0</v>
      </c>
      <c r="BG94" s="184">
        <f>SUM(BG95:BG98)</f>
        <v>0</v>
      </c>
      <c r="BH94" s="184">
        <f t="shared" ref="BH94:BK94" si="442">SUM(BH95:BH98)</f>
        <v>0</v>
      </c>
      <c r="BI94" s="184">
        <f t="shared" si="442"/>
        <v>0</v>
      </c>
      <c r="BJ94" s="185">
        <f t="shared" si="442"/>
        <v>0</v>
      </c>
      <c r="BK94" s="462">
        <f t="shared" si="442"/>
        <v>0</v>
      </c>
      <c r="BL94" s="186">
        <f t="shared" si="429"/>
        <v>0</v>
      </c>
      <c r="BM94" s="184">
        <f>SUM(BM95:BM98)</f>
        <v>0</v>
      </c>
      <c r="BN94" s="184">
        <f t="shared" ref="BN94" si="443">SUM(BN95:BN98)</f>
        <v>0</v>
      </c>
      <c r="BO94" s="185">
        <f>SUM(BO95:BO98)</f>
        <v>0</v>
      </c>
      <c r="BP94" s="185">
        <f t="shared" ref="BP94:BQ94" si="444">SUM(BP95:BP98)</f>
        <v>0</v>
      </c>
      <c r="BQ94" s="462">
        <f t="shared" si="444"/>
        <v>0</v>
      </c>
      <c r="BR94" s="826" t="str">
        <f t="shared" si="351"/>
        <v xml:space="preserve"> </v>
      </c>
      <c r="BS94" s="330" t="str">
        <f t="shared" si="352"/>
        <v xml:space="preserve"> </v>
      </c>
      <c r="BT94" s="826" t="str">
        <f t="shared" si="417"/>
        <v xml:space="preserve"> </v>
      </c>
      <c r="BU94" s="330" t="str">
        <f t="shared" si="418"/>
        <v xml:space="preserve"> </v>
      </c>
      <c r="BV94" s="330">
        <f t="shared" si="419"/>
        <v>0</v>
      </c>
      <c r="BW94" s="196" t="str">
        <f t="shared" si="420"/>
        <v xml:space="preserve"> </v>
      </c>
      <c r="BX94" s="967"/>
    </row>
    <row r="95" spans="1:77" s="83" customFormat="1" ht="32.25" customHeight="1" outlineLevel="1">
      <c r="A95" s="146" t="s">
        <v>42</v>
      </c>
      <c r="B95" s="147" t="s">
        <v>245</v>
      </c>
      <c r="C95" s="1013" t="s">
        <v>1</v>
      </c>
      <c r="D95" s="557">
        <f t="shared" ref="D95:D98" si="445">E95+F95+G95+H95</f>
        <v>0</v>
      </c>
      <c r="E95" s="544"/>
      <c r="F95" s="544"/>
      <c r="G95" s="544"/>
      <c r="H95" s="544"/>
      <c r="I95" s="545"/>
      <c r="J95" s="211">
        <f t="shared" si="421"/>
        <v>0</v>
      </c>
      <c r="K95" s="213"/>
      <c r="L95" s="213"/>
      <c r="M95" s="213"/>
      <c r="N95" s="446"/>
      <c r="O95" s="472"/>
      <c r="P95" s="557">
        <f t="shared" ref="P95:P98" si="446">Q95+R95+S95+T95</f>
        <v>0</v>
      </c>
      <c r="Q95" s="544">
        <f>'[185]учет итогов'!I28</f>
        <v>0</v>
      </c>
      <c r="R95" s="544"/>
      <c r="S95" s="544"/>
      <c r="T95" s="544"/>
      <c r="U95" s="545"/>
      <c r="V95" s="211">
        <f t="shared" si="422"/>
        <v>0</v>
      </c>
      <c r="W95" s="213"/>
      <c r="X95" s="213"/>
      <c r="Y95" s="213"/>
      <c r="Z95" s="446"/>
      <c r="AA95" s="472"/>
      <c r="AB95" s="212">
        <f>AC95+AD95+AE95+AF95</f>
        <v>0</v>
      </c>
      <c r="AC95" s="213"/>
      <c r="AD95" s="213"/>
      <c r="AE95" s="446"/>
      <c r="AF95" s="446"/>
      <c r="AG95" s="472"/>
      <c r="AH95" s="211">
        <f t="shared" si="424"/>
        <v>0</v>
      </c>
      <c r="AI95" s="213"/>
      <c r="AJ95" s="213"/>
      <c r="AK95" s="213"/>
      <c r="AL95" s="446"/>
      <c r="AM95" s="472"/>
      <c r="AN95" s="212">
        <f>AO95+AP95+AQ95+AR95</f>
        <v>-159.78</v>
      </c>
      <c r="AO95" s="213">
        <f>'[185]учет итогов'!K21</f>
        <v>-159.78</v>
      </c>
      <c r="AP95" s="213"/>
      <c r="AQ95" s="446"/>
      <c r="AR95" s="446"/>
      <c r="AS95" s="472"/>
      <c r="AT95" s="211">
        <f t="shared" si="426"/>
        <v>0</v>
      </c>
      <c r="AU95" s="213"/>
      <c r="AV95" s="213"/>
      <c r="AW95" s="213"/>
      <c r="AX95" s="446"/>
      <c r="AY95" s="472"/>
      <c r="AZ95" s="212">
        <f>BA95+BB95+BC95+BD95</f>
        <v>0</v>
      </c>
      <c r="BA95" s="213"/>
      <c r="BB95" s="213"/>
      <c r="BC95" s="446"/>
      <c r="BD95" s="446"/>
      <c r="BE95" s="472"/>
      <c r="BF95" s="211">
        <f t="shared" si="428"/>
        <v>0</v>
      </c>
      <c r="BG95" s="213"/>
      <c r="BH95" s="213"/>
      <c r="BI95" s="213"/>
      <c r="BJ95" s="446"/>
      <c r="BK95" s="472"/>
      <c r="BL95" s="212">
        <f>BM95+BN95+BO95+BP95</f>
        <v>0</v>
      </c>
      <c r="BM95" s="213"/>
      <c r="BN95" s="213"/>
      <c r="BO95" s="446"/>
      <c r="BP95" s="446"/>
      <c r="BQ95" s="472"/>
      <c r="BR95" s="844" t="str">
        <f t="shared" si="351"/>
        <v xml:space="preserve"> </v>
      </c>
      <c r="BS95" s="840" t="str">
        <f t="shared" si="352"/>
        <v xml:space="preserve"> </v>
      </c>
      <c r="BT95" s="827" t="str">
        <f t="shared" si="417"/>
        <v xml:space="preserve"> </v>
      </c>
      <c r="BU95" s="329" t="str">
        <f t="shared" si="418"/>
        <v xml:space="preserve"> </v>
      </c>
      <c r="BV95" s="329">
        <f t="shared" si="419"/>
        <v>0</v>
      </c>
      <c r="BW95" s="197" t="str">
        <f t="shared" si="420"/>
        <v xml:space="preserve"> </v>
      </c>
      <c r="BX95" s="967"/>
    </row>
    <row r="96" spans="1:77" s="83" customFormat="1" ht="78.75" outlineLevel="1">
      <c r="A96" s="133" t="s">
        <v>45</v>
      </c>
      <c r="B96" s="148" t="s">
        <v>246</v>
      </c>
      <c r="C96" s="1013" t="s">
        <v>1</v>
      </c>
      <c r="D96" s="211">
        <f t="shared" si="445"/>
        <v>0</v>
      </c>
      <c r="E96" s="215"/>
      <c r="F96" s="215"/>
      <c r="G96" s="215"/>
      <c r="H96" s="215"/>
      <c r="I96" s="546"/>
      <c r="J96" s="211">
        <f t="shared" si="421"/>
        <v>0</v>
      </c>
      <c r="K96" s="215"/>
      <c r="L96" s="215"/>
      <c r="M96" s="215"/>
      <c r="N96" s="1158"/>
      <c r="O96" s="473"/>
      <c r="P96" s="211">
        <f t="shared" si="446"/>
        <v>0</v>
      </c>
      <c r="Q96" s="215"/>
      <c r="R96" s="215"/>
      <c r="S96" s="215"/>
      <c r="T96" s="215"/>
      <c r="U96" s="546"/>
      <c r="V96" s="211">
        <f t="shared" si="422"/>
        <v>0</v>
      </c>
      <c r="W96" s="215"/>
      <c r="X96" s="215"/>
      <c r="Y96" s="215"/>
      <c r="Z96" s="1158"/>
      <c r="AA96" s="473"/>
      <c r="AB96" s="214">
        <f t="shared" si="423"/>
        <v>0</v>
      </c>
      <c r="AC96" s="215"/>
      <c r="AD96" s="215"/>
      <c r="AE96" s="1158"/>
      <c r="AF96" s="1158"/>
      <c r="AG96" s="473"/>
      <c r="AH96" s="211">
        <f t="shared" si="424"/>
        <v>0</v>
      </c>
      <c r="AI96" s="215"/>
      <c r="AJ96" s="215"/>
      <c r="AK96" s="215"/>
      <c r="AL96" s="1158"/>
      <c r="AM96" s="473"/>
      <c r="AN96" s="214">
        <f t="shared" ref="AN96:AN98" si="447">AO96+AP96+AQ96+AR96</f>
        <v>0</v>
      </c>
      <c r="AO96" s="215"/>
      <c r="AP96" s="215"/>
      <c r="AQ96" s="1158"/>
      <c r="AR96" s="1158"/>
      <c r="AS96" s="473"/>
      <c r="AT96" s="211">
        <f t="shared" si="426"/>
        <v>0</v>
      </c>
      <c r="AU96" s="215"/>
      <c r="AV96" s="215"/>
      <c r="AW96" s="215"/>
      <c r="AX96" s="1158"/>
      <c r="AY96" s="473"/>
      <c r="AZ96" s="214">
        <f t="shared" ref="AZ96:AZ98" si="448">BA96+BB96+BC96+BD96</f>
        <v>0</v>
      </c>
      <c r="BA96" s="215"/>
      <c r="BB96" s="215"/>
      <c r="BC96" s="1158"/>
      <c r="BD96" s="1158"/>
      <c r="BE96" s="473"/>
      <c r="BF96" s="211">
        <f t="shared" si="428"/>
        <v>0</v>
      </c>
      <c r="BG96" s="215"/>
      <c r="BH96" s="215"/>
      <c r="BI96" s="215"/>
      <c r="BJ96" s="1158"/>
      <c r="BK96" s="473"/>
      <c r="BL96" s="214">
        <f t="shared" ref="BL96:BL98" si="449">BM96+BN96+BO96+BP96</f>
        <v>0</v>
      </c>
      <c r="BM96" s="215"/>
      <c r="BN96" s="215"/>
      <c r="BO96" s="1158"/>
      <c r="BP96" s="1158"/>
      <c r="BQ96" s="473"/>
      <c r="BR96" s="940" t="str">
        <f t="shared" si="351"/>
        <v xml:space="preserve"> </v>
      </c>
      <c r="BS96" s="542" t="str">
        <f t="shared" si="352"/>
        <v xml:space="preserve"> </v>
      </c>
      <c r="BT96" s="1502" t="str">
        <f t="shared" si="417"/>
        <v xml:space="preserve"> </v>
      </c>
      <c r="BU96" s="323" t="str">
        <f t="shared" si="418"/>
        <v xml:space="preserve"> </v>
      </c>
      <c r="BV96" s="323" t="str">
        <f t="shared" si="419"/>
        <v xml:space="preserve"> </v>
      </c>
      <c r="BW96" s="198" t="str">
        <f t="shared" si="420"/>
        <v xml:space="preserve"> </v>
      </c>
      <c r="BX96" s="967"/>
    </row>
    <row r="97" spans="1:77" s="83" customFormat="1" ht="32.25" customHeight="1" outlineLevel="1">
      <c r="A97" s="133" t="s">
        <v>46</v>
      </c>
      <c r="B97" s="148" t="s">
        <v>247</v>
      </c>
      <c r="C97" s="1013" t="s">
        <v>1</v>
      </c>
      <c r="D97" s="211">
        <f t="shared" si="445"/>
        <v>0</v>
      </c>
      <c r="E97" s="215"/>
      <c r="F97" s="215"/>
      <c r="G97" s="215"/>
      <c r="H97" s="215"/>
      <c r="I97" s="546"/>
      <c r="J97" s="211">
        <f t="shared" si="421"/>
        <v>0</v>
      </c>
      <c r="K97" s="215"/>
      <c r="L97" s="215"/>
      <c r="M97" s="215"/>
      <c r="N97" s="1158"/>
      <c r="O97" s="473"/>
      <c r="P97" s="211">
        <f t="shared" si="446"/>
        <v>0</v>
      </c>
      <c r="Q97" s="215"/>
      <c r="R97" s="215"/>
      <c r="S97" s="215"/>
      <c r="T97" s="215"/>
      <c r="U97" s="546"/>
      <c r="V97" s="211">
        <f t="shared" si="422"/>
        <v>0</v>
      </c>
      <c r="W97" s="215"/>
      <c r="X97" s="215"/>
      <c r="Y97" s="215"/>
      <c r="Z97" s="1158"/>
      <c r="AA97" s="473"/>
      <c r="AB97" s="214">
        <f t="shared" si="423"/>
        <v>0</v>
      </c>
      <c r="AC97" s="215"/>
      <c r="AD97" s="215"/>
      <c r="AE97" s="1158"/>
      <c r="AF97" s="1158"/>
      <c r="AG97" s="473"/>
      <c r="AH97" s="211">
        <f t="shared" si="424"/>
        <v>0</v>
      </c>
      <c r="AI97" s="215"/>
      <c r="AJ97" s="215"/>
      <c r="AK97" s="215"/>
      <c r="AL97" s="1158"/>
      <c r="AM97" s="473"/>
      <c r="AN97" s="214">
        <f t="shared" si="447"/>
        <v>0</v>
      </c>
      <c r="AO97" s="215"/>
      <c r="AP97" s="215"/>
      <c r="AQ97" s="1158"/>
      <c r="AR97" s="1158"/>
      <c r="AS97" s="473"/>
      <c r="AT97" s="211">
        <f t="shared" si="426"/>
        <v>0</v>
      </c>
      <c r="AU97" s="215"/>
      <c r="AV97" s="215"/>
      <c r="AW97" s="215"/>
      <c r="AX97" s="1158"/>
      <c r="AY97" s="473"/>
      <c r="AZ97" s="214">
        <f t="shared" si="448"/>
        <v>0</v>
      </c>
      <c r="BA97" s="215"/>
      <c r="BB97" s="215"/>
      <c r="BC97" s="1158"/>
      <c r="BD97" s="1158"/>
      <c r="BE97" s="473"/>
      <c r="BF97" s="211">
        <f t="shared" si="428"/>
        <v>0</v>
      </c>
      <c r="BG97" s="215"/>
      <c r="BH97" s="215"/>
      <c r="BI97" s="215"/>
      <c r="BJ97" s="1158"/>
      <c r="BK97" s="473"/>
      <c r="BL97" s="214">
        <f t="shared" si="449"/>
        <v>0</v>
      </c>
      <c r="BM97" s="215"/>
      <c r="BN97" s="215"/>
      <c r="BO97" s="1158"/>
      <c r="BP97" s="1158"/>
      <c r="BQ97" s="473"/>
      <c r="BR97" s="940" t="str">
        <f t="shared" si="351"/>
        <v xml:space="preserve"> </v>
      </c>
      <c r="BS97" s="542" t="str">
        <f t="shared" si="352"/>
        <v xml:space="preserve"> </v>
      </c>
      <c r="BT97" s="1502" t="str">
        <f t="shared" si="417"/>
        <v xml:space="preserve"> </v>
      </c>
      <c r="BU97" s="323" t="str">
        <f t="shared" si="418"/>
        <v xml:space="preserve"> </v>
      </c>
      <c r="BV97" s="323" t="str">
        <f t="shared" si="419"/>
        <v xml:space="preserve"> </v>
      </c>
      <c r="BW97" s="198" t="str">
        <f t="shared" si="420"/>
        <v xml:space="preserve"> </v>
      </c>
      <c r="BX97" s="967"/>
    </row>
    <row r="98" spans="1:77" s="83" customFormat="1" ht="97.5" customHeight="1" outlineLevel="1" thickBot="1">
      <c r="A98" s="1508" t="s">
        <v>48</v>
      </c>
      <c r="B98" s="1526" t="s">
        <v>248</v>
      </c>
      <c r="C98" s="1013" t="s">
        <v>1</v>
      </c>
      <c r="D98" s="558">
        <f t="shared" si="445"/>
        <v>0</v>
      </c>
      <c r="E98" s="547"/>
      <c r="F98" s="547"/>
      <c r="G98" s="547"/>
      <c r="H98" s="547"/>
      <c r="I98" s="548"/>
      <c r="J98" s="211">
        <f t="shared" si="421"/>
        <v>0</v>
      </c>
      <c r="K98" s="1160"/>
      <c r="L98" s="1160"/>
      <c r="M98" s="1160"/>
      <c r="N98" s="1161"/>
      <c r="O98" s="1162"/>
      <c r="P98" s="558">
        <f t="shared" si="446"/>
        <v>0</v>
      </c>
      <c r="Q98" s="547"/>
      <c r="R98" s="547"/>
      <c r="S98" s="547"/>
      <c r="T98" s="547"/>
      <c r="U98" s="548"/>
      <c r="V98" s="211">
        <f t="shared" si="422"/>
        <v>0</v>
      </c>
      <c r="W98" s="1160"/>
      <c r="X98" s="1160"/>
      <c r="Y98" s="1160"/>
      <c r="Z98" s="1161"/>
      <c r="AA98" s="1162"/>
      <c r="AB98" s="1159">
        <f t="shared" si="423"/>
        <v>0</v>
      </c>
      <c r="AC98" s="1160"/>
      <c r="AD98" s="1160"/>
      <c r="AE98" s="1161"/>
      <c r="AF98" s="1161"/>
      <c r="AG98" s="1162"/>
      <c r="AH98" s="211">
        <f t="shared" si="424"/>
        <v>0</v>
      </c>
      <c r="AI98" s="1160"/>
      <c r="AJ98" s="1160"/>
      <c r="AK98" s="1160"/>
      <c r="AL98" s="1161"/>
      <c r="AM98" s="1162"/>
      <c r="AN98" s="1159">
        <f t="shared" si="447"/>
        <v>0</v>
      </c>
      <c r="AO98" s="1160"/>
      <c r="AP98" s="1160"/>
      <c r="AQ98" s="1161"/>
      <c r="AR98" s="1161"/>
      <c r="AS98" s="1162"/>
      <c r="AT98" s="211">
        <f t="shared" si="426"/>
        <v>0</v>
      </c>
      <c r="AU98" s="1160"/>
      <c r="AV98" s="1160"/>
      <c r="AW98" s="1160"/>
      <c r="AX98" s="1161"/>
      <c r="AY98" s="1162"/>
      <c r="AZ98" s="1159">
        <f t="shared" si="448"/>
        <v>0</v>
      </c>
      <c r="BA98" s="1160"/>
      <c r="BB98" s="1160"/>
      <c r="BC98" s="1161"/>
      <c r="BD98" s="1161"/>
      <c r="BE98" s="1162"/>
      <c r="BF98" s="211">
        <f t="shared" si="428"/>
        <v>0</v>
      </c>
      <c r="BG98" s="1160"/>
      <c r="BH98" s="1160"/>
      <c r="BI98" s="1160"/>
      <c r="BJ98" s="1161"/>
      <c r="BK98" s="1162"/>
      <c r="BL98" s="1159">
        <f t="shared" si="449"/>
        <v>0</v>
      </c>
      <c r="BM98" s="1160"/>
      <c r="BN98" s="1160"/>
      <c r="BO98" s="1161"/>
      <c r="BP98" s="1161"/>
      <c r="BQ98" s="1162"/>
      <c r="BR98" s="1484" t="str">
        <f t="shared" si="351"/>
        <v xml:space="preserve"> </v>
      </c>
      <c r="BS98" s="1485" t="str">
        <f t="shared" si="352"/>
        <v xml:space="preserve"> </v>
      </c>
      <c r="BT98" s="1486" t="str">
        <f t="shared" si="417"/>
        <v xml:space="preserve"> </v>
      </c>
      <c r="BU98" s="1487" t="str">
        <f t="shared" si="418"/>
        <v xml:space="preserve"> </v>
      </c>
      <c r="BV98" s="1487" t="str">
        <f t="shared" si="419"/>
        <v xml:space="preserve"> </v>
      </c>
      <c r="BW98" s="1488" t="str">
        <f t="shared" si="420"/>
        <v xml:space="preserve"> </v>
      </c>
      <c r="BX98" s="967"/>
    </row>
    <row r="99" spans="1:77" s="88" customFormat="1" ht="19.5" thickBot="1">
      <c r="A99" s="1583" t="s">
        <v>218</v>
      </c>
      <c r="B99" s="1584"/>
      <c r="C99" s="84" t="s">
        <v>1</v>
      </c>
      <c r="D99" s="556">
        <f>E99+F99+G99+H99</f>
        <v>30934.646451300003</v>
      </c>
      <c r="E99" s="552">
        <f>SUM(E101:E107)</f>
        <v>26220.452000000001</v>
      </c>
      <c r="F99" s="552">
        <f t="shared" ref="F99:I99" si="450">SUM(F101:F107)</f>
        <v>2201.2444513</v>
      </c>
      <c r="G99" s="552">
        <f t="shared" si="450"/>
        <v>0</v>
      </c>
      <c r="H99" s="553">
        <f t="shared" si="450"/>
        <v>2512.9499999999998</v>
      </c>
      <c r="I99" s="554">
        <f t="shared" si="450"/>
        <v>0</v>
      </c>
      <c r="J99" s="186">
        <f>K99+L99+M99+N99</f>
        <v>33667.60686599859</v>
      </c>
      <c r="K99" s="184">
        <f>SUM(K101:K107)</f>
        <v>29987.450431783924</v>
      </c>
      <c r="L99" s="184">
        <f t="shared" ref="L99:O99" si="451">SUM(L101:L107)</f>
        <v>3285.7367572146686</v>
      </c>
      <c r="M99" s="184">
        <f t="shared" si="451"/>
        <v>0</v>
      </c>
      <c r="N99" s="185">
        <f t="shared" si="451"/>
        <v>394.41967700000004</v>
      </c>
      <c r="O99" s="462">
        <f t="shared" si="451"/>
        <v>0</v>
      </c>
      <c r="P99" s="556">
        <f>Q99+R99+S99+T99</f>
        <v>32729.009000000002</v>
      </c>
      <c r="Q99" s="552">
        <f>SUM(Q101:Q107)</f>
        <v>27382.267</v>
      </c>
      <c r="R99" s="552">
        <f>SUM(R101:R107)</f>
        <v>2653.4720000000002</v>
      </c>
      <c r="S99" s="552">
        <f t="shared" ref="S99:U99" si="452">SUM(S101:S107)</f>
        <v>0</v>
      </c>
      <c r="T99" s="553">
        <f t="shared" si="452"/>
        <v>2693.27</v>
      </c>
      <c r="U99" s="554">
        <f t="shared" si="452"/>
        <v>0</v>
      </c>
      <c r="V99" s="186">
        <f>W99+X99+Y99+Z99</f>
        <v>35088.107376617372</v>
      </c>
      <c r="W99" s="184">
        <f>SUM(W101:W107)</f>
        <v>31789.269292930039</v>
      </c>
      <c r="X99" s="184">
        <f t="shared" ref="X99:AA99" si="453">SUM(X101:X107)</f>
        <v>2861.5055040000007</v>
      </c>
      <c r="Y99" s="184">
        <f t="shared" si="453"/>
        <v>0</v>
      </c>
      <c r="Z99" s="185">
        <f t="shared" si="453"/>
        <v>437.33257968733187</v>
      </c>
      <c r="AA99" s="462">
        <f t="shared" si="453"/>
        <v>0</v>
      </c>
      <c r="AB99" s="186">
        <f>AC99+AD99+AE99+AF99</f>
        <v>33674.99</v>
      </c>
      <c r="AC99" s="184">
        <f>SUM(AC101:AC107)</f>
        <v>28038.629999999997</v>
      </c>
      <c r="AD99" s="184">
        <f>SUM(AD101:AD107)</f>
        <v>2716.26</v>
      </c>
      <c r="AE99" s="184">
        <f t="shared" ref="AE99:AG99" si="454">SUM(AE101:AE107)</f>
        <v>0</v>
      </c>
      <c r="AF99" s="185">
        <f t="shared" si="454"/>
        <v>2920.1</v>
      </c>
      <c r="AG99" s="462">
        <f t="shared" si="454"/>
        <v>0</v>
      </c>
      <c r="AH99" s="186">
        <f>AI99+AJ99+AK99+AL99</f>
        <v>36509.074875856953</v>
      </c>
      <c r="AI99" s="184">
        <f>SUM(AI101:AI107)</f>
        <v>33077.22979138486</v>
      </c>
      <c r="AJ99" s="184">
        <f t="shared" ref="AJ99:AM99" si="455">SUM(AJ101:AJ107)</f>
        <v>2946.2060669184007</v>
      </c>
      <c r="AK99" s="184">
        <f t="shared" si="455"/>
        <v>0</v>
      </c>
      <c r="AL99" s="185">
        <f t="shared" si="455"/>
        <v>485.63901755369193</v>
      </c>
      <c r="AM99" s="462">
        <f t="shared" si="455"/>
        <v>0</v>
      </c>
      <c r="AN99" s="186">
        <f>AO99+AP99+AQ99+AR99</f>
        <v>34552.79</v>
      </c>
      <c r="AO99" s="184">
        <f>SUM(AO101:AO107)</f>
        <v>28667.37</v>
      </c>
      <c r="AP99" s="184">
        <f t="shared" ref="AP99:AS99" si="456">SUM(AP101:AP107)</f>
        <v>2796.66</v>
      </c>
      <c r="AQ99" s="184">
        <f t="shared" si="456"/>
        <v>0</v>
      </c>
      <c r="AR99" s="185">
        <f t="shared" si="456"/>
        <v>3088.76</v>
      </c>
      <c r="AS99" s="462">
        <f t="shared" si="456"/>
        <v>0</v>
      </c>
      <c r="AT99" s="186">
        <f>AU99+AV99+AW99+AX99</f>
        <v>37952.466774871813</v>
      </c>
      <c r="AU99" s="184">
        <f>SUM(AU101:AU107)</f>
        <v>34382.609763608845</v>
      </c>
      <c r="AV99" s="184">
        <f t="shared" ref="AV99:AY99" si="457">SUM(AV101:AV107)</f>
        <v>3033.4137664991858</v>
      </c>
      <c r="AW99" s="184">
        <f t="shared" si="457"/>
        <v>0</v>
      </c>
      <c r="AX99" s="185">
        <f t="shared" si="457"/>
        <v>536.44324476378438</v>
      </c>
      <c r="AY99" s="462">
        <f t="shared" si="457"/>
        <v>0</v>
      </c>
      <c r="AZ99" s="186">
        <f>BA99+BB99+BC99+BD99</f>
        <v>35795.949999999997</v>
      </c>
      <c r="BA99" s="184">
        <f>SUM(BA101:BA107)</f>
        <v>29704.289999999997</v>
      </c>
      <c r="BB99" s="184">
        <f t="shared" ref="BB99:BE99" si="458">SUM(BB101:BB107)</f>
        <v>2879.44</v>
      </c>
      <c r="BC99" s="184">
        <f t="shared" si="458"/>
        <v>0</v>
      </c>
      <c r="BD99" s="185">
        <f t="shared" si="458"/>
        <v>3212.2200000000003</v>
      </c>
      <c r="BE99" s="462">
        <f t="shared" si="458"/>
        <v>0</v>
      </c>
      <c r="BF99" s="186">
        <f>BG99+BH99+BI99+BJ99</f>
        <v>39574.221879145436</v>
      </c>
      <c r="BG99" s="184">
        <f>SUM(BG101:BG107)</f>
        <v>35856.130582165591</v>
      </c>
      <c r="BH99" s="184">
        <f t="shared" ref="BH99:BK99" si="459">SUM(BH101:BH107)</f>
        <v>3123.2028139875615</v>
      </c>
      <c r="BI99" s="184">
        <f t="shared" si="459"/>
        <v>0</v>
      </c>
      <c r="BJ99" s="185">
        <f t="shared" si="459"/>
        <v>594.88848299228573</v>
      </c>
      <c r="BK99" s="462">
        <f t="shared" si="459"/>
        <v>0</v>
      </c>
      <c r="BL99" s="186">
        <f>BM99+BN99+BO99+BP99</f>
        <v>36911.069999999992</v>
      </c>
      <c r="BM99" s="184">
        <f>SUM(BM101:BM107)</f>
        <v>30606.089999999993</v>
      </c>
      <c r="BN99" s="184">
        <f t="shared" ref="BN99:BQ99" si="460">SUM(BN101:BN107)</f>
        <v>2964.67</v>
      </c>
      <c r="BO99" s="184">
        <f t="shared" si="460"/>
        <v>0</v>
      </c>
      <c r="BP99" s="185">
        <f t="shared" si="460"/>
        <v>3340.31</v>
      </c>
      <c r="BQ99" s="462">
        <f t="shared" si="460"/>
        <v>0</v>
      </c>
      <c r="BR99" s="826">
        <f t="shared" si="351"/>
        <v>0.97212163401650942</v>
      </c>
      <c r="BS99" s="330">
        <f t="shared" si="352"/>
        <v>1.05800494767331</v>
      </c>
      <c r="BT99" s="826">
        <f t="shared" si="417"/>
        <v>1.0289034415921361</v>
      </c>
      <c r="BU99" s="330">
        <f t="shared" si="418"/>
        <v>1.0260668228854708</v>
      </c>
      <c r="BV99" s="330">
        <f>IF(ISERROR(AZ99/AN99)," ",AZ99/AN99)</f>
        <v>1.035978570760856</v>
      </c>
      <c r="BW99" s="196">
        <f t="shared" si="420"/>
        <v>1.0311521275451552</v>
      </c>
      <c r="BX99" s="967"/>
    </row>
    <row r="100" spans="1:77" s="152" customFormat="1" ht="18.75" outlineLevel="1">
      <c r="A100" s="150"/>
      <c r="B100" s="151" t="s">
        <v>123</v>
      </c>
      <c r="C100" s="1014"/>
      <c r="D100" s="220">
        <f>E100+F100+G100+H100</f>
        <v>0</v>
      </c>
      <c r="E100" s="218"/>
      <c r="F100" s="218"/>
      <c r="G100" s="218"/>
      <c r="H100" s="219"/>
      <c r="I100" s="511"/>
      <c r="J100" s="220">
        <f>K100+L100+M100+N100</f>
        <v>0</v>
      </c>
      <c r="K100" s="218"/>
      <c r="L100" s="218"/>
      <c r="M100" s="219"/>
      <c r="N100" s="219"/>
      <c r="O100" s="475"/>
      <c r="P100" s="220">
        <f>Q100+R100+S100+T100</f>
        <v>0</v>
      </c>
      <c r="Q100" s="218"/>
      <c r="R100" s="218"/>
      <c r="S100" s="218"/>
      <c r="T100" s="219"/>
      <c r="U100" s="511"/>
      <c r="V100" s="220">
        <f>W100+X100+Y100+Z100</f>
        <v>0</v>
      </c>
      <c r="W100" s="218"/>
      <c r="X100" s="218"/>
      <c r="Y100" s="219"/>
      <c r="Z100" s="219"/>
      <c r="AA100" s="475"/>
      <c r="AB100" s="220">
        <f>AC100+AD100+AE100+AF100</f>
        <v>0</v>
      </c>
      <c r="AC100" s="218"/>
      <c r="AD100" s="218"/>
      <c r="AE100" s="219"/>
      <c r="AF100" s="219"/>
      <c r="AG100" s="475"/>
      <c r="AH100" s="220">
        <f>AI100+AJ100+AK100+AL100</f>
        <v>0</v>
      </c>
      <c r="AI100" s="218"/>
      <c r="AJ100" s="218"/>
      <c r="AK100" s="219"/>
      <c r="AL100" s="219"/>
      <c r="AM100" s="475"/>
      <c r="AN100" s="220">
        <f>AO100+AP100+AQ100+AR100</f>
        <v>0</v>
      </c>
      <c r="AO100" s="218"/>
      <c r="AP100" s="218"/>
      <c r="AQ100" s="219"/>
      <c r="AR100" s="219"/>
      <c r="AS100" s="475"/>
      <c r="AT100" s="220">
        <f>AU100+AV100+AW100+AX100</f>
        <v>0</v>
      </c>
      <c r="AU100" s="218"/>
      <c r="AV100" s="218"/>
      <c r="AW100" s="219"/>
      <c r="AX100" s="219"/>
      <c r="AY100" s="475"/>
      <c r="AZ100" s="220">
        <f>BA100+BB100+BC100+BD100</f>
        <v>0</v>
      </c>
      <c r="BA100" s="218"/>
      <c r="BB100" s="218"/>
      <c r="BC100" s="219"/>
      <c r="BD100" s="219"/>
      <c r="BE100" s="475"/>
      <c r="BF100" s="220">
        <f>BG100+BH100+BI100+BJ100</f>
        <v>0</v>
      </c>
      <c r="BG100" s="218"/>
      <c r="BH100" s="218"/>
      <c r="BI100" s="219"/>
      <c r="BJ100" s="219"/>
      <c r="BK100" s="475"/>
      <c r="BL100" s="220">
        <f>BM100+BN100+BO100+BP100</f>
        <v>0</v>
      </c>
      <c r="BM100" s="218"/>
      <c r="BN100" s="218"/>
      <c r="BO100" s="219"/>
      <c r="BP100" s="219"/>
      <c r="BQ100" s="475"/>
      <c r="BR100" s="844" t="str">
        <f t="shared" si="351"/>
        <v xml:space="preserve"> </v>
      </c>
      <c r="BS100" s="840" t="str">
        <f t="shared" si="352"/>
        <v xml:space="preserve"> </v>
      </c>
      <c r="BT100" s="836" t="str">
        <f t="shared" si="417"/>
        <v xml:space="preserve"> </v>
      </c>
      <c r="BU100" s="334" t="str">
        <f t="shared" si="418"/>
        <v xml:space="preserve"> </v>
      </c>
      <c r="BV100" s="334" t="str">
        <f t="shared" si="419"/>
        <v xml:space="preserve"> </v>
      </c>
      <c r="BW100" s="204" t="str">
        <f t="shared" si="420"/>
        <v xml:space="preserve"> </v>
      </c>
      <c r="BX100" s="977"/>
    </row>
    <row r="101" spans="1:77" s="83" customFormat="1" ht="18.75">
      <c r="A101" s="153"/>
      <c r="B101" s="154" t="s">
        <v>145</v>
      </c>
      <c r="C101" s="1527" t="s">
        <v>1</v>
      </c>
      <c r="D101" s="189">
        <f>E101+F101+G101+H101</f>
        <v>5281.12</v>
      </c>
      <c r="E101" s="221">
        <f>E21</f>
        <v>3220.72</v>
      </c>
      <c r="F101" s="221">
        <f>F21</f>
        <v>2060.4</v>
      </c>
      <c r="G101" s="1164">
        <f>G21</f>
        <v>0</v>
      </c>
      <c r="H101" s="1164">
        <f>H21</f>
        <v>0</v>
      </c>
      <c r="I101" s="476">
        <f>I21</f>
        <v>0</v>
      </c>
      <c r="J101" s="189">
        <f>K101+L101+M101+N101</f>
        <v>6078.2068659985916</v>
      </c>
      <c r="K101" s="221">
        <f>K21</f>
        <v>3213.9307007839229</v>
      </c>
      <c r="L101" s="221">
        <f>L21</f>
        <v>2824.2592372146687</v>
      </c>
      <c r="M101" s="1164">
        <f>M21</f>
        <v>0</v>
      </c>
      <c r="N101" s="1164">
        <f>N21</f>
        <v>40.016928000000007</v>
      </c>
      <c r="O101" s="476">
        <f>O21</f>
        <v>0</v>
      </c>
      <c r="P101" s="189">
        <f>Q101+R101+S101+T101</f>
        <v>5814.4290000000001</v>
      </c>
      <c r="Q101" s="221">
        <f>Q21</f>
        <v>3344.2069999999999</v>
      </c>
      <c r="R101" s="221">
        <f>R21</f>
        <v>2470.2220000000002</v>
      </c>
      <c r="S101" s="1164">
        <f>S21</f>
        <v>0</v>
      </c>
      <c r="T101" s="1164">
        <f>T21</f>
        <v>0</v>
      </c>
      <c r="U101" s="476">
        <f>U21</f>
        <v>0</v>
      </c>
      <c r="V101" s="189">
        <f>W101+X101+Y101+Z101</f>
        <v>6137.4024276199279</v>
      </c>
      <c r="W101" s="221">
        <f>W21</f>
        <v>3236.9049420199271</v>
      </c>
      <c r="X101" s="221">
        <f>X21</f>
        <v>2861.5055040000007</v>
      </c>
      <c r="Y101" s="1164">
        <f>Y21</f>
        <v>0</v>
      </c>
      <c r="Z101" s="1164">
        <f>Z21</f>
        <v>38.991981600000017</v>
      </c>
      <c r="AA101" s="476">
        <f>AA21</f>
        <v>0</v>
      </c>
      <c r="AB101" s="189">
        <f>AC101+AD101+AE101+AF101</f>
        <v>5952</v>
      </c>
      <c r="AC101" s="221">
        <f>AC21</f>
        <v>3423.33</v>
      </c>
      <c r="AD101" s="221">
        <f>AD21</f>
        <v>2528.67</v>
      </c>
      <c r="AE101" s="221">
        <f>AE21</f>
        <v>0</v>
      </c>
      <c r="AF101" s="1164">
        <f>AF21</f>
        <v>0</v>
      </c>
      <c r="AG101" s="476">
        <f>AG21</f>
        <v>0</v>
      </c>
      <c r="AH101" s="189">
        <f>AI101+AJ101+AK101+AL101</f>
        <v>6319.0695394774775</v>
      </c>
      <c r="AI101" s="221">
        <f>AI21</f>
        <v>3332.7173283037168</v>
      </c>
      <c r="AJ101" s="221">
        <f>AJ21</f>
        <v>2946.2060669184007</v>
      </c>
      <c r="AK101" s="1164">
        <f>AK21</f>
        <v>0</v>
      </c>
      <c r="AL101" s="1164">
        <f>AL21</f>
        <v>40.146144255360007</v>
      </c>
      <c r="AM101" s="476">
        <f>AM21</f>
        <v>0</v>
      </c>
      <c r="AN101" s="189">
        <f>AO101+AP101+AQ101+AR101</f>
        <v>6128.18</v>
      </c>
      <c r="AO101" s="221">
        <f>AO21</f>
        <v>3524.66</v>
      </c>
      <c r="AP101" s="221">
        <f>AP21</f>
        <v>2603.52</v>
      </c>
      <c r="AQ101" s="221">
        <f>AQ21</f>
        <v>0</v>
      </c>
      <c r="AR101" s="1164">
        <f>AR21</f>
        <v>0</v>
      </c>
      <c r="AS101" s="476">
        <f>AS21</f>
        <v>0</v>
      </c>
      <c r="AT101" s="189">
        <f>AU101+AV101+AW101+AX101</f>
        <v>6506.1139978460124</v>
      </c>
      <c r="AU101" s="221">
        <f>AU21</f>
        <v>3431.3657612215075</v>
      </c>
      <c r="AV101" s="221">
        <f>AV21</f>
        <v>3033.4137664991858</v>
      </c>
      <c r="AW101" s="1164">
        <f>AW21</f>
        <v>0</v>
      </c>
      <c r="AX101" s="1164">
        <f>AX21</f>
        <v>41.334470125318674</v>
      </c>
      <c r="AY101" s="476">
        <f>AY21</f>
        <v>0</v>
      </c>
      <c r="AZ101" s="189">
        <f>BA101+BB101+BC101+BD101</f>
        <v>6309.57</v>
      </c>
      <c r="BA101" s="221">
        <f>BA21</f>
        <v>3628.99</v>
      </c>
      <c r="BB101" s="221">
        <f>BB21</f>
        <v>2680.58</v>
      </c>
      <c r="BC101" s="221">
        <f>BC21</f>
        <v>0</v>
      </c>
      <c r="BD101" s="1164">
        <f>BD21</f>
        <v>0</v>
      </c>
      <c r="BE101" s="476">
        <f>BE21</f>
        <v>0</v>
      </c>
      <c r="BF101" s="189">
        <f>BG101+BH101+BI101+BJ101</f>
        <v>6698.6830630302184</v>
      </c>
      <c r="BG101" s="221">
        <f>BG21</f>
        <v>3532.934187753664</v>
      </c>
      <c r="BH101" s="221">
        <f>BH21</f>
        <v>3123.2028139875615</v>
      </c>
      <c r="BI101" s="1164">
        <f>BI21</f>
        <v>0</v>
      </c>
      <c r="BJ101" s="1164">
        <f>BJ21</f>
        <v>42.546061288993037</v>
      </c>
      <c r="BK101" s="476">
        <f>BK21</f>
        <v>0</v>
      </c>
      <c r="BL101" s="189">
        <f>BM101+BN101+BO101+BP101</f>
        <v>6496.34</v>
      </c>
      <c r="BM101" s="221">
        <f>BM21</f>
        <v>3736.41</v>
      </c>
      <c r="BN101" s="221">
        <f>BN21</f>
        <v>2759.93</v>
      </c>
      <c r="BO101" s="221">
        <f>BO21</f>
        <v>0</v>
      </c>
      <c r="BP101" s="1164">
        <f>BP21</f>
        <v>0</v>
      </c>
      <c r="BQ101" s="476">
        <f>BQ21</f>
        <v>0</v>
      </c>
      <c r="BR101" s="940">
        <f t="shared" si="351"/>
        <v>0.95660268368387369</v>
      </c>
      <c r="BS101" s="542">
        <f t="shared" si="352"/>
        <v>1.1009840715605781</v>
      </c>
      <c r="BT101" s="1502">
        <f t="shared" si="417"/>
        <v>1.023660276873275</v>
      </c>
      <c r="BU101" s="323">
        <f t="shared" si="418"/>
        <v>1.0296001344086021</v>
      </c>
      <c r="BV101" s="323">
        <f t="shared" si="419"/>
        <v>1.0295993263905432</v>
      </c>
      <c r="BW101" s="198">
        <f t="shared" si="420"/>
        <v>1.0296010663167221</v>
      </c>
      <c r="BX101" s="967"/>
    </row>
    <row r="102" spans="1:77" s="83" customFormat="1" ht="18.75">
      <c r="A102" s="153"/>
      <c r="B102" s="154" t="s">
        <v>146</v>
      </c>
      <c r="C102" s="1527" t="s">
        <v>1</v>
      </c>
      <c r="D102" s="189">
        <f t="shared" ref="D102:D107" si="461">E102+F102+G102+H102</f>
        <v>495.01645129999997</v>
      </c>
      <c r="E102" s="221">
        <f>E59</f>
        <v>354.17200000000003</v>
      </c>
      <c r="F102" s="221">
        <f>F59</f>
        <v>140.84445129999997</v>
      </c>
      <c r="G102" s="1164">
        <f>G59</f>
        <v>0</v>
      </c>
      <c r="H102" s="1164">
        <f>H59</f>
        <v>0</v>
      </c>
      <c r="I102" s="476">
        <f>I59</f>
        <v>0</v>
      </c>
      <c r="J102" s="189">
        <f t="shared" ref="J102:J107" si="462">K102+L102+M102+N102</f>
        <v>985.96500000000003</v>
      </c>
      <c r="K102" s="221">
        <f>K59</f>
        <v>761.58799999999997</v>
      </c>
      <c r="L102" s="221">
        <f>L59</f>
        <v>214.17000000000002</v>
      </c>
      <c r="M102" s="1164">
        <f>M59</f>
        <v>0</v>
      </c>
      <c r="N102" s="1164">
        <f>N59</f>
        <v>10.207000000000001</v>
      </c>
      <c r="O102" s="476">
        <f>O59</f>
        <v>0</v>
      </c>
      <c r="P102" s="189">
        <f>Q102+R102+S102+T102</f>
        <v>617.3900000000001</v>
      </c>
      <c r="Q102" s="221">
        <f>Q59</f>
        <v>434.14000000000004</v>
      </c>
      <c r="R102" s="221">
        <f>R59</f>
        <v>183.25</v>
      </c>
      <c r="S102" s="1164">
        <f>S59</f>
        <v>0</v>
      </c>
      <c r="T102" s="1164">
        <f>T59</f>
        <v>0</v>
      </c>
      <c r="U102" s="476">
        <f>U59</f>
        <v>0</v>
      </c>
      <c r="V102" s="189">
        <f t="shared" ref="V102:V107" si="463">W102+X102+Y102+Z102</f>
        <v>1141.1401547839998</v>
      </c>
      <c r="W102" s="221">
        <f>W59</f>
        <v>1128.1207931199999</v>
      </c>
      <c r="X102" s="221">
        <f>X59</f>
        <v>0</v>
      </c>
      <c r="Y102" s="1164">
        <f>Y59</f>
        <v>0</v>
      </c>
      <c r="Z102" s="1164">
        <f>Z59</f>
        <v>13.019361664000002</v>
      </c>
      <c r="AA102" s="476">
        <f>AA59</f>
        <v>0</v>
      </c>
      <c r="AB102" s="189">
        <f t="shared" ref="AB102:AB111" si="464">AC102+AD102+AE102+AF102</f>
        <v>627.65000000000009</v>
      </c>
      <c r="AC102" s="221">
        <f>AC59</f>
        <v>440.06000000000006</v>
      </c>
      <c r="AD102" s="221">
        <f>AD59</f>
        <v>187.59</v>
      </c>
      <c r="AE102" s="221">
        <f>AE59</f>
        <v>0</v>
      </c>
      <c r="AF102" s="1164">
        <f>AF59</f>
        <v>0</v>
      </c>
      <c r="AG102" s="476">
        <f>AG59</f>
        <v>0</v>
      </c>
      <c r="AH102" s="189">
        <f t="shared" ref="AH102:AH107" si="465">AI102+AJ102+AK102+AL102</f>
        <v>1143.4223099576066</v>
      </c>
      <c r="AI102" s="221">
        <f>AI59</f>
        <v>1128.6048459564304</v>
      </c>
      <c r="AJ102" s="221">
        <f>AJ59</f>
        <v>0</v>
      </c>
      <c r="AK102" s="1164">
        <f>AK59</f>
        <v>0</v>
      </c>
      <c r="AL102" s="1164">
        <f>AL59</f>
        <v>14.81746400117617</v>
      </c>
      <c r="AM102" s="476">
        <f>AM59</f>
        <v>0</v>
      </c>
      <c r="AN102" s="189">
        <f t="shared" ref="AN102:AN107" si="466">AO102+AP102+AQ102+AR102</f>
        <v>544.29999999999995</v>
      </c>
      <c r="AO102" s="221">
        <f>AO59</f>
        <v>351.16</v>
      </c>
      <c r="AP102" s="221">
        <f>AP59</f>
        <v>193.14</v>
      </c>
      <c r="AQ102" s="221">
        <f>AQ59</f>
        <v>0</v>
      </c>
      <c r="AR102" s="1164">
        <f>AR59</f>
        <v>0</v>
      </c>
      <c r="AS102" s="476">
        <f>AS59</f>
        <v>0</v>
      </c>
      <c r="AT102" s="189">
        <f t="shared" ref="AT102:AT107" si="467">AU102+AV102+AW102+AX102</f>
        <v>1085.272185984908</v>
      </c>
      <c r="AU102" s="221">
        <f>AU59</f>
        <v>1071.5543906793293</v>
      </c>
      <c r="AV102" s="221">
        <f>AV59</f>
        <v>0</v>
      </c>
      <c r="AW102" s="1164">
        <f>AW59</f>
        <v>0</v>
      </c>
      <c r="AX102" s="1164">
        <f>AX59</f>
        <v>13.717795305578729</v>
      </c>
      <c r="AY102" s="476">
        <f>AY59</f>
        <v>0</v>
      </c>
      <c r="AZ102" s="189">
        <f t="shared" ref="AZ102:AZ107" si="468">BA102+BB102+BC102+BD102</f>
        <v>559.80999999999995</v>
      </c>
      <c r="BA102" s="221">
        <f>BA59</f>
        <v>360.95</v>
      </c>
      <c r="BB102" s="221">
        <f>BB59</f>
        <v>198.86</v>
      </c>
      <c r="BC102" s="221">
        <f>BC59</f>
        <v>0</v>
      </c>
      <c r="BD102" s="1164">
        <f>BD59</f>
        <v>0</v>
      </c>
      <c r="BE102" s="476">
        <f>BE59</f>
        <v>0</v>
      </c>
      <c r="BF102" s="189">
        <f t="shared" ref="BF102:BF107" si="469">BG102+BH102+BI102+BJ102</f>
        <v>1107.9941816247206</v>
      </c>
      <c r="BG102" s="221">
        <f>BG59</f>
        <v>1093.9000280338655</v>
      </c>
      <c r="BH102" s="221">
        <f>BH59</f>
        <v>0</v>
      </c>
      <c r="BI102" s="1164">
        <f>BI59</f>
        <v>0</v>
      </c>
      <c r="BJ102" s="1164">
        <f>BJ59</f>
        <v>14.094153590855102</v>
      </c>
      <c r="BK102" s="476">
        <f>BK59</f>
        <v>0</v>
      </c>
      <c r="BL102" s="189">
        <f t="shared" ref="BL102:BL107" si="470">BM102+BN102+BO102+BP102</f>
        <v>575.79</v>
      </c>
      <c r="BM102" s="221">
        <f>BM59</f>
        <v>371.05</v>
      </c>
      <c r="BN102" s="221">
        <f>BN59</f>
        <v>204.74</v>
      </c>
      <c r="BO102" s="221">
        <f>BO59</f>
        <v>0</v>
      </c>
      <c r="BP102" s="1164">
        <f>BP59</f>
        <v>0</v>
      </c>
      <c r="BQ102" s="476">
        <f>BQ59</f>
        <v>0</v>
      </c>
      <c r="BR102" s="940">
        <f t="shared" si="351"/>
        <v>0.62617841404106644</v>
      </c>
      <c r="BS102" s="542">
        <f t="shared" si="352"/>
        <v>1.2472110742554632</v>
      </c>
      <c r="BT102" s="1502">
        <f t="shared" si="417"/>
        <v>1.0166183449683344</v>
      </c>
      <c r="BU102" s="323">
        <f t="shared" si="418"/>
        <v>0.86720305902971384</v>
      </c>
      <c r="BV102" s="323">
        <f t="shared" si="419"/>
        <v>1.0284953150835936</v>
      </c>
      <c r="BW102" s="198">
        <f t="shared" si="420"/>
        <v>1.0285453993319162</v>
      </c>
      <c r="BX102" s="967"/>
    </row>
    <row r="103" spans="1:77" s="83" customFormat="1" ht="18.75">
      <c r="A103" s="153"/>
      <c r="B103" s="154" t="s">
        <v>147</v>
      </c>
      <c r="C103" s="1527" t="s">
        <v>1</v>
      </c>
      <c r="D103" s="189">
        <f t="shared" si="461"/>
        <v>24602.370000000003</v>
      </c>
      <c r="E103" s="221">
        <f>E15</f>
        <v>22089.420000000002</v>
      </c>
      <c r="F103" s="221">
        <f>F15</f>
        <v>0</v>
      </c>
      <c r="G103" s="1164">
        <f>G15</f>
        <v>0</v>
      </c>
      <c r="H103" s="1164">
        <f>H15</f>
        <v>2512.9499999999998</v>
      </c>
      <c r="I103" s="476">
        <f>I15</f>
        <v>0</v>
      </c>
      <c r="J103" s="189">
        <f t="shared" si="462"/>
        <v>25959.404999999999</v>
      </c>
      <c r="K103" s="221">
        <f>K15</f>
        <v>25626.994999999999</v>
      </c>
      <c r="L103" s="221">
        <f>L15</f>
        <v>0</v>
      </c>
      <c r="M103" s="1164">
        <f>M15</f>
        <v>0</v>
      </c>
      <c r="N103" s="1164">
        <f>N15</f>
        <v>332.41</v>
      </c>
      <c r="O103" s="476">
        <f>O15</f>
        <v>0</v>
      </c>
      <c r="P103" s="189">
        <f t="shared" ref="P103:P111" si="471">Q103+R103+S103+T103</f>
        <v>25674.44</v>
      </c>
      <c r="Q103" s="221">
        <f>Q15</f>
        <v>22981.17</v>
      </c>
      <c r="R103" s="221">
        <f>R15</f>
        <v>0</v>
      </c>
      <c r="S103" s="1164">
        <f>S15</f>
        <v>0</v>
      </c>
      <c r="T103" s="1164">
        <f>T15</f>
        <v>2693.27</v>
      </c>
      <c r="U103" s="476">
        <f>U15</f>
        <v>0</v>
      </c>
      <c r="V103" s="189">
        <f t="shared" si="463"/>
        <v>27097.836000000003</v>
      </c>
      <c r="W103" s="221">
        <f>W15</f>
        <v>26725.542000000001</v>
      </c>
      <c r="X103" s="221">
        <f>X15</f>
        <v>0</v>
      </c>
      <c r="Y103" s="1164">
        <f>Y15</f>
        <v>0</v>
      </c>
      <c r="Z103" s="1164">
        <f>Z15</f>
        <v>372.29399999999998</v>
      </c>
      <c r="AA103" s="476">
        <f>AA15</f>
        <v>0</v>
      </c>
      <c r="AB103" s="189">
        <f t="shared" si="464"/>
        <v>26445.639999999996</v>
      </c>
      <c r="AC103" s="221">
        <f>AC15</f>
        <v>23525.539999999997</v>
      </c>
      <c r="AD103" s="221">
        <f>AD15</f>
        <v>0</v>
      </c>
      <c r="AE103" s="221">
        <f>AE15</f>
        <v>0</v>
      </c>
      <c r="AF103" s="1164">
        <f>AF15</f>
        <v>2920.1</v>
      </c>
      <c r="AG103" s="476">
        <f>AG15</f>
        <v>0</v>
      </c>
      <c r="AH103" s="189">
        <f t="shared" si="465"/>
        <v>28297.803000000004</v>
      </c>
      <c r="AI103" s="221">
        <f>AI15</f>
        <v>27880.833000000002</v>
      </c>
      <c r="AJ103" s="221">
        <f>AJ15</f>
        <v>0</v>
      </c>
      <c r="AK103" s="1164">
        <f>AK15</f>
        <v>0</v>
      </c>
      <c r="AL103" s="1164">
        <f>AL15</f>
        <v>416.97</v>
      </c>
      <c r="AM103" s="476">
        <f>AM15</f>
        <v>0</v>
      </c>
      <c r="AN103" s="189">
        <f t="shared" si="466"/>
        <v>27368.42</v>
      </c>
      <c r="AO103" s="221">
        <f>AO15</f>
        <v>24279.66</v>
      </c>
      <c r="AP103" s="221">
        <f>AP15</f>
        <v>0</v>
      </c>
      <c r="AQ103" s="221">
        <f>AQ15</f>
        <v>0</v>
      </c>
      <c r="AR103" s="1164">
        <f>AR15</f>
        <v>3088.76</v>
      </c>
      <c r="AS103" s="476">
        <f>AS15</f>
        <v>0</v>
      </c>
      <c r="AT103" s="189">
        <f t="shared" si="467"/>
        <v>29575.173000000003</v>
      </c>
      <c r="AU103" s="221">
        <f>AU15</f>
        <v>29108.167000000001</v>
      </c>
      <c r="AV103" s="221">
        <f>AV15</f>
        <v>0</v>
      </c>
      <c r="AW103" s="1164">
        <f>AW15</f>
        <v>0</v>
      </c>
      <c r="AX103" s="1164">
        <f>AX15</f>
        <v>467.00599999999997</v>
      </c>
      <c r="AY103" s="476">
        <f>AY15</f>
        <v>0</v>
      </c>
      <c r="AZ103" s="189">
        <f t="shared" si="468"/>
        <v>28231.54</v>
      </c>
      <c r="BA103" s="221">
        <f>BA15</f>
        <v>25019.32</v>
      </c>
      <c r="BB103" s="221">
        <f>BB15</f>
        <v>0</v>
      </c>
      <c r="BC103" s="221">
        <f>BC15</f>
        <v>0</v>
      </c>
      <c r="BD103" s="1164">
        <f>BD15</f>
        <v>3212.2200000000003</v>
      </c>
      <c r="BE103" s="476">
        <f>BE15</f>
        <v>0</v>
      </c>
      <c r="BF103" s="189">
        <f t="shared" si="469"/>
        <v>30937.040000000001</v>
      </c>
      <c r="BG103" s="221">
        <f>BG15</f>
        <v>30413.993000000002</v>
      </c>
      <c r="BH103" s="221">
        <f>BH15</f>
        <v>0</v>
      </c>
      <c r="BI103" s="1164">
        <f>BI15</f>
        <v>0</v>
      </c>
      <c r="BJ103" s="1164">
        <f>BJ15</f>
        <v>523.04700000000003</v>
      </c>
      <c r="BK103" s="476">
        <f>BK15</f>
        <v>0</v>
      </c>
      <c r="BL103" s="189">
        <f t="shared" si="470"/>
        <v>29119.839999999997</v>
      </c>
      <c r="BM103" s="221">
        <f>BM15</f>
        <v>25779.529999999995</v>
      </c>
      <c r="BN103" s="221">
        <f>BN15</f>
        <v>0</v>
      </c>
      <c r="BO103" s="221">
        <f>BO15</f>
        <v>0</v>
      </c>
      <c r="BP103" s="1164">
        <f>BP15</f>
        <v>3340.31</v>
      </c>
      <c r="BQ103" s="476">
        <f>BQ15</f>
        <v>0</v>
      </c>
      <c r="BR103" s="940">
        <f t="shared" si="351"/>
        <v>0.98902266827764351</v>
      </c>
      <c r="BS103" s="542">
        <f t="shared" si="352"/>
        <v>1.0435758831364619</v>
      </c>
      <c r="BT103" s="1502">
        <f t="shared" si="417"/>
        <v>1.03003765612804</v>
      </c>
      <c r="BU103" s="323">
        <f t="shared" si="418"/>
        <v>1.0348934644803454</v>
      </c>
      <c r="BV103" s="323">
        <f t="shared" si="419"/>
        <v>1.0315370781360416</v>
      </c>
      <c r="BW103" s="198">
        <f t="shared" si="420"/>
        <v>1.0314648085084979</v>
      </c>
      <c r="BX103" s="967"/>
    </row>
    <row r="104" spans="1:77" s="83" customFormat="1" ht="18.75">
      <c r="A104" s="153"/>
      <c r="B104" s="154" t="s">
        <v>148</v>
      </c>
      <c r="C104" s="1527" t="s">
        <v>1</v>
      </c>
      <c r="D104" s="189">
        <f t="shared" si="461"/>
        <v>0</v>
      </c>
      <c r="E104" s="221">
        <f>E85</f>
        <v>0</v>
      </c>
      <c r="F104" s="221">
        <f>F85</f>
        <v>0</v>
      </c>
      <c r="G104" s="1164">
        <f>G85</f>
        <v>0</v>
      </c>
      <c r="H104" s="1164">
        <f>H85</f>
        <v>0</v>
      </c>
      <c r="I104" s="476">
        <f>I85</f>
        <v>0</v>
      </c>
      <c r="J104" s="189">
        <f t="shared" si="462"/>
        <v>0</v>
      </c>
      <c r="K104" s="221">
        <f>K85</f>
        <v>0</v>
      </c>
      <c r="L104" s="221">
        <f>L85</f>
        <v>0</v>
      </c>
      <c r="M104" s="1164">
        <f>M85</f>
        <v>0</v>
      </c>
      <c r="N104" s="1164">
        <f>N85</f>
        <v>0</v>
      </c>
      <c r="O104" s="476">
        <f>O85</f>
        <v>0</v>
      </c>
      <c r="P104" s="189">
        <f t="shared" si="471"/>
        <v>0</v>
      </c>
      <c r="Q104" s="221">
        <f>Q85</f>
        <v>0</v>
      </c>
      <c r="R104" s="221">
        <f>R85</f>
        <v>0</v>
      </c>
      <c r="S104" s="1164">
        <f>S85</f>
        <v>0</v>
      </c>
      <c r="T104" s="1164">
        <f>T85</f>
        <v>0</v>
      </c>
      <c r="U104" s="476">
        <f>U85</f>
        <v>0</v>
      </c>
      <c r="V104" s="189">
        <f t="shared" si="463"/>
        <v>0</v>
      </c>
      <c r="W104" s="221">
        <f>W85</f>
        <v>0</v>
      </c>
      <c r="X104" s="221">
        <f>X85</f>
        <v>0</v>
      </c>
      <c r="Y104" s="1164">
        <f>Y85</f>
        <v>0</v>
      </c>
      <c r="Z104" s="1164">
        <f>Z85</f>
        <v>0</v>
      </c>
      <c r="AA104" s="476">
        <f>AA85</f>
        <v>0</v>
      </c>
      <c r="AB104" s="189">
        <f t="shared" si="464"/>
        <v>0</v>
      </c>
      <c r="AC104" s="221">
        <f>AC85</f>
        <v>0</v>
      </c>
      <c r="AD104" s="221">
        <f>AD85</f>
        <v>0</v>
      </c>
      <c r="AE104" s="221">
        <f>AE85</f>
        <v>0</v>
      </c>
      <c r="AF104" s="1164">
        <f>AF85</f>
        <v>0</v>
      </c>
      <c r="AG104" s="476">
        <f>AG85</f>
        <v>0</v>
      </c>
      <c r="AH104" s="189">
        <f t="shared" si="465"/>
        <v>0</v>
      </c>
      <c r="AI104" s="221">
        <f>AI85</f>
        <v>0</v>
      </c>
      <c r="AJ104" s="221">
        <f>AJ85</f>
        <v>0</v>
      </c>
      <c r="AK104" s="1164">
        <f>AK85</f>
        <v>0</v>
      </c>
      <c r="AL104" s="1164">
        <f>AL85</f>
        <v>0</v>
      </c>
      <c r="AM104" s="476">
        <f>AM85</f>
        <v>0</v>
      </c>
      <c r="AN104" s="189">
        <f t="shared" si="466"/>
        <v>0</v>
      </c>
      <c r="AO104" s="221">
        <f>AO85</f>
        <v>0</v>
      </c>
      <c r="AP104" s="221">
        <f>AP85</f>
        <v>0</v>
      </c>
      <c r="AQ104" s="221">
        <f>AQ85</f>
        <v>0</v>
      </c>
      <c r="AR104" s="1164">
        <f>AR85</f>
        <v>0</v>
      </c>
      <c r="AS104" s="476">
        <f>AS85</f>
        <v>0</v>
      </c>
      <c r="AT104" s="189">
        <f t="shared" si="467"/>
        <v>0</v>
      </c>
      <c r="AU104" s="221">
        <f>AU85</f>
        <v>0</v>
      </c>
      <c r="AV104" s="221">
        <f>AV85</f>
        <v>0</v>
      </c>
      <c r="AW104" s="1164">
        <f>AW85</f>
        <v>0</v>
      </c>
      <c r="AX104" s="1164">
        <f>AX85</f>
        <v>0</v>
      </c>
      <c r="AY104" s="476">
        <f>AY85</f>
        <v>0</v>
      </c>
      <c r="AZ104" s="189">
        <f t="shared" si="468"/>
        <v>0</v>
      </c>
      <c r="BA104" s="221">
        <f>BA85</f>
        <v>0</v>
      </c>
      <c r="BB104" s="221">
        <f>BB85</f>
        <v>0</v>
      </c>
      <c r="BC104" s="221">
        <f>BC85</f>
        <v>0</v>
      </c>
      <c r="BD104" s="1164">
        <f>BD85</f>
        <v>0</v>
      </c>
      <c r="BE104" s="476">
        <f>BE85</f>
        <v>0</v>
      </c>
      <c r="BF104" s="189">
        <f t="shared" si="469"/>
        <v>0</v>
      </c>
      <c r="BG104" s="221">
        <f>BG85</f>
        <v>0</v>
      </c>
      <c r="BH104" s="221">
        <f>BH85</f>
        <v>0</v>
      </c>
      <c r="BI104" s="1164">
        <f>BI85</f>
        <v>0</v>
      </c>
      <c r="BJ104" s="1164">
        <f>BJ85</f>
        <v>0</v>
      </c>
      <c r="BK104" s="476">
        <f>BK85</f>
        <v>0</v>
      </c>
      <c r="BL104" s="189">
        <f t="shared" si="470"/>
        <v>0</v>
      </c>
      <c r="BM104" s="221">
        <f>BM85</f>
        <v>0</v>
      </c>
      <c r="BN104" s="221">
        <f>BN85</f>
        <v>0</v>
      </c>
      <c r="BO104" s="221">
        <f>BO85</f>
        <v>0</v>
      </c>
      <c r="BP104" s="1164">
        <f>BP85</f>
        <v>0</v>
      </c>
      <c r="BQ104" s="476">
        <f>BQ85</f>
        <v>0</v>
      </c>
      <c r="BR104" s="940" t="str">
        <f t="shared" si="351"/>
        <v xml:space="preserve"> </v>
      </c>
      <c r="BS104" s="542" t="str">
        <f t="shared" si="352"/>
        <v xml:space="preserve"> </v>
      </c>
      <c r="BT104" s="1502" t="str">
        <f t="shared" si="417"/>
        <v xml:space="preserve"> </v>
      </c>
      <c r="BU104" s="323" t="str">
        <f t="shared" si="418"/>
        <v xml:space="preserve"> </v>
      </c>
      <c r="BV104" s="323" t="str">
        <f t="shared" si="419"/>
        <v xml:space="preserve"> </v>
      </c>
      <c r="BW104" s="198" t="str">
        <f t="shared" si="420"/>
        <v xml:space="preserve"> </v>
      </c>
      <c r="BX104" s="967"/>
    </row>
    <row r="105" spans="1:77" s="83" customFormat="1" ht="18.75">
      <c r="A105" s="153"/>
      <c r="B105" s="154" t="s">
        <v>207</v>
      </c>
      <c r="C105" s="1527" t="s">
        <v>1</v>
      </c>
      <c r="D105" s="189">
        <f t="shared" si="461"/>
        <v>556.14</v>
      </c>
      <c r="E105" s="221">
        <f t="shared" ref="E105:I107" si="472">E92</f>
        <v>556.14</v>
      </c>
      <c r="F105" s="221">
        <f t="shared" si="472"/>
        <v>0</v>
      </c>
      <c r="G105" s="1164">
        <f t="shared" si="472"/>
        <v>0</v>
      </c>
      <c r="H105" s="1164">
        <f t="shared" si="472"/>
        <v>0</v>
      </c>
      <c r="I105" s="476">
        <f t="shared" si="472"/>
        <v>0</v>
      </c>
      <c r="J105" s="189">
        <f t="shared" si="462"/>
        <v>644.03</v>
      </c>
      <c r="K105" s="221">
        <f t="shared" ref="K105:O107" si="473">K92</f>
        <v>384.93673100000001</v>
      </c>
      <c r="L105" s="221">
        <f t="shared" si="473"/>
        <v>247.30751999999998</v>
      </c>
      <c r="M105" s="1164">
        <f t="shared" si="473"/>
        <v>0</v>
      </c>
      <c r="N105" s="1164">
        <f t="shared" si="473"/>
        <v>11.785748999999999</v>
      </c>
      <c r="O105" s="476">
        <f t="shared" si="473"/>
        <v>0</v>
      </c>
      <c r="P105" s="189">
        <f t="shared" si="471"/>
        <v>622.75</v>
      </c>
      <c r="Q105" s="221">
        <f t="shared" ref="Q105:U107" si="474">Q92</f>
        <v>622.75</v>
      </c>
      <c r="R105" s="221">
        <f t="shared" si="474"/>
        <v>0</v>
      </c>
      <c r="S105" s="1164">
        <f t="shared" si="474"/>
        <v>0</v>
      </c>
      <c r="T105" s="1164">
        <f t="shared" si="474"/>
        <v>0</v>
      </c>
      <c r="U105" s="476">
        <f t="shared" si="474"/>
        <v>0</v>
      </c>
      <c r="V105" s="189">
        <f t="shared" si="463"/>
        <v>711.72879421344373</v>
      </c>
      <c r="W105" s="221">
        <f t="shared" ref="W105:AA107" si="475">W92</f>
        <v>698.70155779011191</v>
      </c>
      <c r="X105" s="221">
        <f t="shared" si="475"/>
        <v>0</v>
      </c>
      <c r="Y105" s="1164">
        <f t="shared" si="475"/>
        <v>0</v>
      </c>
      <c r="Z105" s="1164">
        <f t="shared" si="475"/>
        <v>13.027236423331868</v>
      </c>
      <c r="AA105" s="476">
        <f t="shared" si="475"/>
        <v>0</v>
      </c>
      <c r="AB105" s="189">
        <f t="shared" si="464"/>
        <v>649.70000000000005</v>
      </c>
      <c r="AC105" s="221">
        <f>AC92</f>
        <v>649.70000000000005</v>
      </c>
      <c r="AD105" s="221">
        <f t="shared" ref="AD105:AG107" si="476">AD92</f>
        <v>0</v>
      </c>
      <c r="AE105" s="221">
        <f t="shared" si="476"/>
        <v>0</v>
      </c>
      <c r="AF105" s="1164">
        <f t="shared" si="476"/>
        <v>0</v>
      </c>
      <c r="AG105" s="476">
        <f t="shared" si="476"/>
        <v>0</v>
      </c>
      <c r="AH105" s="189">
        <f t="shared" si="465"/>
        <v>748.78002642186652</v>
      </c>
      <c r="AI105" s="221">
        <f t="shared" ref="AI105:AM107" si="477">AI92</f>
        <v>735.07461712471081</v>
      </c>
      <c r="AJ105" s="221">
        <f t="shared" si="477"/>
        <v>0</v>
      </c>
      <c r="AK105" s="1164">
        <f t="shared" si="477"/>
        <v>0</v>
      </c>
      <c r="AL105" s="1164">
        <f t="shared" si="477"/>
        <v>13.705409297155683</v>
      </c>
      <c r="AM105" s="476">
        <f t="shared" si="477"/>
        <v>0</v>
      </c>
      <c r="AN105" s="189">
        <f t="shared" si="466"/>
        <v>671.67</v>
      </c>
      <c r="AO105" s="221">
        <f>AO92</f>
        <v>671.67</v>
      </c>
      <c r="AP105" s="221">
        <f t="shared" ref="AP105:AS105" si="478">AP92</f>
        <v>0</v>
      </c>
      <c r="AQ105" s="221">
        <f t="shared" si="478"/>
        <v>0</v>
      </c>
      <c r="AR105" s="1164">
        <f t="shared" si="478"/>
        <v>0</v>
      </c>
      <c r="AS105" s="476">
        <f t="shared" si="478"/>
        <v>0</v>
      </c>
      <c r="AT105" s="189">
        <f t="shared" si="467"/>
        <v>785.90759104089943</v>
      </c>
      <c r="AU105" s="221">
        <f t="shared" ref="AU105:AY107" si="479">AU92</f>
        <v>771.52261170801239</v>
      </c>
      <c r="AV105" s="221">
        <f t="shared" si="479"/>
        <v>0</v>
      </c>
      <c r="AW105" s="1164">
        <f t="shared" si="479"/>
        <v>0</v>
      </c>
      <c r="AX105" s="1164">
        <f t="shared" si="479"/>
        <v>14.384979332887054</v>
      </c>
      <c r="AY105" s="476">
        <f t="shared" si="479"/>
        <v>0</v>
      </c>
      <c r="AZ105" s="189">
        <f t="shared" si="468"/>
        <v>695.03</v>
      </c>
      <c r="BA105" s="221">
        <f>BA92</f>
        <v>695.03</v>
      </c>
      <c r="BB105" s="221">
        <f t="shared" ref="BB105:BE105" si="480">BB92</f>
        <v>0</v>
      </c>
      <c r="BC105" s="221">
        <f t="shared" si="480"/>
        <v>0</v>
      </c>
      <c r="BD105" s="1164">
        <f t="shared" si="480"/>
        <v>0</v>
      </c>
      <c r="BE105" s="476">
        <f t="shared" si="480"/>
        <v>0</v>
      </c>
      <c r="BF105" s="189">
        <f t="shared" si="469"/>
        <v>830.50463449049425</v>
      </c>
      <c r="BG105" s="221">
        <f t="shared" ref="BG105:BK107" si="481">BG92</f>
        <v>815.30336637805669</v>
      </c>
      <c r="BH105" s="221">
        <f t="shared" si="481"/>
        <v>0</v>
      </c>
      <c r="BI105" s="1164">
        <f t="shared" si="481"/>
        <v>0</v>
      </c>
      <c r="BJ105" s="1164">
        <f t="shared" si="481"/>
        <v>15.201268112437601</v>
      </c>
      <c r="BK105" s="476">
        <f t="shared" si="481"/>
        <v>0</v>
      </c>
      <c r="BL105" s="189">
        <f t="shared" si="470"/>
        <v>719.1</v>
      </c>
      <c r="BM105" s="221">
        <f>BM92</f>
        <v>719.1</v>
      </c>
      <c r="BN105" s="221">
        <f t="shared" ref="BN105:BQ105" si="482">BN92</f>
        <v>0</v>
      </c>
      <c r="BO105" s="221">
        <f t="shared" si="482"/>
        <v>0</v>
      </c>
      <c r="BP105" s="1164">
        <f t="shared" si="482"/>
        <v>0</v>
      </c>
      <c r="BQ105" s="476">
        <f t="shared" si="482"/>
        <v>0</v>
      </c>
      <c r="BR105" s="940">
        <f t="shared" si="351"/>
        <v>0.96695806095989323</v>
      </c>
      <c r="BS105" s="542">
        <f t="shared" si="352"/>
        <v>1.1197719998561513</v>
      </c>
      <c r="BT105" s="1502">
        <f t="shared" si="417"/>
        <v>1.0432757928542755</v>
      </c>
      <c r="BU105" s="323">
        <f t="shared" si="418"/>
        <v>1.0338156072033244</v>
      </c>
      <c r="BV105" s="323">
        <f t="shared" si="419"/>
        <v>1.034778983727128</v>
      </c>
      <c r="BW105" s="198">
        <f t="shared" si="420"/>
        <v>1.0346315986360302</v>
      </c>
      <c r="BX105" s="967"/>
    </row>
    <row r="106" spans="1:77" s="83" customFormat="1" ht="18.75">
      <c r="A106" s="153"/>
      <c r="B106" s="154" t="s">
        <v>149</v>
      </c>
      <c r="C106" s="1527" t="s">
        <v>1</v>
      </c>
      <c r="D106" s="189">
        <f t="shared" si="461"/>
        <v>0</v>
      </c>
      <c r="E106" s="221">
        <f t="shared" si="472"/>
        <v>0</v>
      </c>
      <c r="F106" s="221">
        <f t="shared" si="472"/>
        <v>0</v>
      </c>
      <c r="G106" s="1164">
        <f t="shared" si="472"/>
        <v>0</v>
      </c>
      <c r="H106" s="1164">
        <f t="shared" si="472"/>
        <v>0</v>
      </c>
      <c r="I106" s="476">
        <f t="shared" si="472"/>
        <v>0</v>
      </c>
      <c r="J106" s="189">
        <f t="shared" si="462"/>
        <v>0</v>
      </c>
      <c r="K106" s="221">
        <f t="shared" si="473"/>
        <v>0</v>
      </c>
      <c r="L106" s="221">
        <f t="shared" si="473"/>
        <v>0</v>
      </c>
      <c r="M106" s="1164">
        <f t="shared" si="473"/>
        <v>0</v>
      </c>
      <c r="N106" s="1164">
        <f t="shared" si="473"/>
        <v>0</v>
      </c>
      <c r="O106" s="476">
        <f t="shared" si="473"/>
        <v>0</v>
      </c>
      <c r="P106" s="189">
        <f t="shared" si="471"/>
        <v>0</v>
      </c>
      <c r="Q106" s="221">
        <f t="shared" si="474"/>
        <v>0</v>
      </c>
      <c r="R106" s="221">
        <f t="shared" si="474"/>
        <v>0</v>
      </c>
      <c r="S106" s="1164">
        <f t="shared" si="474"/>
        <v>0</v>
      </c>
      <c r="T106" s="1164">
        <f t="shared" si="474"/>
        <v>0</v>
      </c>
      <c r="U106" s="476">
        <f t="shared" si="474"/>
        <v>0</v>
      </c>
      <c r="V106" s="189">
        <f t="shared" si="463"/>
        <v>0</v>
      </c>
      <c r="W106" s="221">
        <f t="shared" si="475"/>
        <v>0</v>
      </c>
      <c r="X106" s="221">
        <f t="shared" si="475"/>
        <v>0</v>
      </c>
      <c r="Y106" s="1164">
        <f t="shared" si="475"/>
        <v>0</v>
      </c>
      <c r="Z106" s="1164">
        <f t="shared" si="475"/>
        <v>0</v>
      </c>
      <c r="AA106" s="476">
        <f t="shared" si="475"/>
        <v>0</v>
      </c>
      <c r="AB106" s="189">
        <f t="shared" si="464"/>
        <v>0</v>
      </c>
      <c r="AC106" s="221">
        <f t="shared" ref="AC106:AC107" si="483">AC93</f>
        <v>0</v>
      </c>
      <c r="AD106" s="221">
        <f t="shared" si="476"/>
        <v>0</v>
      </c>
      <c r="AE106" s="221">
        <f t="shared" si="476"/>
        <v>0</v>
      </c>
      <c r="AF106" s="1164">
        <f t="shared" si="476"/>
        <v>0</v>
      </c>
      <c r="AG106" s="476">
        <f t="shared" si="476"/>
        <v>0</v>
      </c>
      <c r="AH106" s="189">
        <f t="shared" si="465"/>
        <v>0</v>
      </c>
      <c r="AI106" s="221">
        <f t="shared" si="477"/>
        <v>0</v>
      </c>
      <c r="AJ106" s="221">
        <f t="shared" si="477"/>
        <v>0</v>
      </c>
      <c r="AK106" s="1164">
        <f t="shared" si="477"/>
        <v>0</v>
      </c>
      <c r="AL106" s="1164">
        <f t="shared" si="477"/>
        <v>0</v>
      </c>
      <c r="AM106" s="476">
        <f t="shared" si="477"/>
        <v>0</v>
      </c>
      <c r="AN106" s="189">
        <f t="shared" si="466"/>
        <v>0</v>
      </c>
      <c r="AO106" s="221">
        <f t="shared" ref="AO106:AS107" si="484">AO93</f>
        <v>0</v>
      </c>
      <c r="AP106" s="221">
        <f t="shared" si="484"/>
        <v>0</v>
      </c>
      <c r="AQ106" s="221">
        <f t="shared" si="484"/>
        <v>0</v>
      </c>
      <c r="AR106" s="1164">
        <f t="shared" si="484"/>
        <v>0</v>
      </c>
      <c r="AS106" s="476">
        <f t="shared" si="484"/>
        <v>0</v>
      </c>
      <c r="AT106" s="189">
        <f t="shared" si="467"/>
        <v>0</v>
      </c>
      <c r="AU106" s="221">
        <f t="shared" si="479"/>
        <v>0</v>
      </c>
      <c r="AV106" s="221">
        <f t="shared" si="479"/>
        <v>0</v>
      </c>
      <c r="AW106" s="1164">
        <f t="shared" si="479"/>
        <v>0</v>
      </c>
      <c r="AX106" s="1164">
        <f t="shared" si="479"/>
        <v>0</v>
      </c>
      <c r="AY106" s="476">
        <f t="shared" si="479"/>
        <v>0</v>
      </c>
      <c r="AZ106" s="189">
        <f t="shared" si="468"/>
        <v>0</v>
      </c>
      <c r="BA106" s="221">
        <f t="shared" ref="BA106:BE107" si="485">BA93</f>
        <v>0</v>
      </c>
      <c r="BB106" s="221">
        <f t="shared" si="485"/>
        <v>0</v>
      </c>
      <c r="BC106" s="221">
        <f t="shared" si="485"/>
        <v>0</v>
      </c>
      <c r="BD106" s="1164">
        <f t="shared" si="485"/>
        <v>0</v>
      </c>
      <c r="BE106" s="476">
        <f t="shared" si="485"/>
        <v>0</v>
      </c>
      <c r="BF106" s="189">
        <f t="shared" si="469"/>
        <v>0</v>
      </c>
      <c r="BG106" s="221">
        <f t="shared" si="481"/>
        <v>0</v>
      </c>
      <c r="BH106" s="221">
        <f t="shared" si="481"/>
        <v>0</v>
      </c>
      <c r="BI106" s="1164">
        <f t="shared" si="481"/>
        <v>0</v>
      </c>
      <c r="BJ106" s="1164">
        <f t="shared" si="481"/>
        <v>0</v>
      </c>
      <c r="BK106" s="476">
        <f t="shared" si="481"/>
        <v>0</v>
      </c>
      <c r="BL106" s="189">
        <f t="shared" si="470"/>
        <v>0</v>
      </c>
      <c r="BM106" s="221">
        <f t="shared" ref="BM106:BQ107" si="486">BM93</f>
        <v>0</v>
      </c>
      <c r="BN106" s="221">
        <f t="shared" si="486"/>
        <v>0</v>
      </c>
      <c r="BO106" s="221">
        <f t="shared" si="486"/>
        <v>0</v>
      </c>
      <c r="BP106" s="1164">
        <f t="shared" si="486"/>
        <v>0</v>
      </c>
      <c r="BQ106" s="476">
        <f t="shared" si="486"/>
        <v>0</v>
      </c>
      <c r="BR106" s="940" t="str">
        <f t="shared" si="351"/>
        <v xml:space="preserve"> </v>
      </c>
      <c r="BS106" s="542" t="str">
        <f t="shared" si="352"/>
        <v xml:space="preserve"> </v>
      </c>
      <c r="BT106" s="1502" t="str">
        <f t="shared" si="417"/>
        <v xml:space="preserve"> </v>
      </c>
      <c r="BU106" s="323" t="str">
        <f t="shared" si="418"/>
        <v xml:space="preserve"> </v>
      </c>
      <c r="BV106" s="323" t="str">
        <f t="shared" si="419"/>
        <v xml:space="preserve"> </v>
      </c>
      <c r="BW106" s="198" t="str">
        <f t="shared" si="420"/>
        <v xml:space="preserve"> </v>
      </c>
      <c r="BX106" s="967"/>
    </row>
    <row r="107" spans="1:77" s="83" customFormat="1" ht="18.75">
      <c r="A107" s="153"/>
      <c r="B107" s="155" t="s">
        <v>150</v>
      </c>
      <c r="C107" s="1527" t="s">
        <v>1</v>
      </c>
      <c r="D107" s="189">
        <f t="shared" si="461"/>
        <v>0</v>
      </c>
      <c r="E107" s="221">
        <f>E94</f>
        <v>0</v>
      </c>
      <c r="F107" s="221">
        <f t="shared" si="472"/>
        <v>0</v>
      </c>
      <c r="G107" s="1164">
        <f t="shared" si="472"/>
        <v>0</v>
      </c>
      <c r="H107" s="1164">
        <f t="shared" si="472"/>
        <v>0</v>
      </c>
      <c r="I107" s="476">
        <f t="shared" si="472"/>
        <v>0</v>
      </c>
      <c r="J107" s="189">
        <f t="shared" si="462"/>
        <v>0</v>
      </c>
      <c r="K107" s="221">
        <f>K94</f>
        <v>0</v>
      </c>
      <c r="L107" s="221">
        <f t="shared" si="473"/>
        <v>0</v>
      </c>
      <c r="M107" s="1164">
        <f t="shared" si="473"/>
        <v>0</v>
      </c>
      <c r="N107" s="1164">
        <f t="shared" si="473"/>
        <v>0</v>
      </c>
      <c r="O107" s="476">
        <f t="shared" si="473"/>
        <v>0</v>
      </c>
      <c r="P107" s="189">
        <f t="shared" si="471"/>
        <v>0</v>
      </c>
      <c r="Q107" s="221">
        <f>Q94</f>
        <v>0</v>
      </c>
      <c r="R107" s="221">
        <f t="shared" si="474"/>
        <v>0</v>
      </c>
      <c r="S107" s="1164">
        <f t="shared" si="474"/>
        <v>0</v>
      </c>
      <c r="T107" s="1164">
        <f t="shared" si="474"/>
        <v>0</v>
      </c>
      <c r="U107" s="476">
        <f t="shared" si="474"/>
        <v>0</v>
      </c>
      <c r="V107" s="189">
        <f t="shared" si="463"/>
        <v>0</v>
      </c>
      <c r="W107" s="221">
        <f>W94</f>
        <v>0</v>
      </c>
      <c r="X107" s="221">
        <f t="shared" si="475"/>
        <v>0</v>
      </c>
      <c r="Y107" s="1164">
        <f t="shared" si="475"/>
        <v>0</v>
      </c>
      <c r="Z107" s="1164">
        <f t="shared" si="475"/>
        <v>0</v>
      </c>
      <c r="AA107" s="476">
        <f t="shared" si="475"/>
        <v>0</v>
      </c>
      <c r="AB107" s="189">
        <f t="shared" si="464"/>
        <v>0</v>
      </c>
      <c r="AC107" s="221">
        <f t="shared" si="483"/>
        <v>0</v>
      </c>
      <c r="AD107" s="221">
        <f t="shared" si="476"/>
        <v>0</v>
      </c>
      <c r="AE107" s="221">
        <f t="shared" si="476"/>
        <v>0</v>
      </c>
      <c r="AF107" s="1164">
        <f t="shared" si="476"/>
        <v>0</v>
      </c>
      <c r="AG107" s="476">
        <f t="shared" si="476"/>
        <v>0</v>
      </c>
      <c r="AH107" s="189">
        <f t="shared" si="465"/>
        <v>0</v>
      </c>
      <c r="AI107" s="221">
        <f>AI94</f>
        <v>0</v>
      </c>
      <c r="AJ107" s="221">
        <f t="shared" si="477"/>
        <v>0</v>
      </c>
      <c r="AK107" s="1164">
        <f t="shared" si="477"/>
        <v>0</v>
      </c>
      <c r="AL107" s="1164">
        <f t="shared" si="477"/>
        <v>0</v>
      </c>
      <c r="AM107" s="476">
        <f t="shared" si="477"/>
        <v>0</v>
      </c>
      <c r="AN107" s="189">
        <f t="shared" si="466"/>
        <v>-159.78</v>
      </c>
      <c r="AO107" s="221">
        <f t="shared" si="484"/>
        <v>-159.78</v>
      </c>
      <c r="AP107" s="221">
        <f t="shared" si="484"/>
        <v>0</v>
      </c>
      <c r="AQ107" s="221">
        <f t="shared" si="484"/>
        <v>0</v>
      </c>
      <c r="AR107" s="1164">
        <f t="shared" si="484"/>
        <v>0</v>
      </c>
      <c r="AS107" s="476">
        <f t="shared" si="484"/>
        <v>0</v>
      </c>
      <c r="AT107" s="189">
        <f t="shared" si="467"/>
        <v>0</v>
      </c>
      <c r="AU107" s="221">
        <f>AU94</f>
        <v>0</v>
      </c>
      <c r="AV107" s="221">
        <f t="shared" si="479"/>
        <v>0</v>
      </c>
      <c r="AW107" s="1164">
        <f t="shared" si="479"/>
        <v>0</v>
      </c>
      <c r="AX107" s="1164">
        <f t="shared" si="479"/>
        <v>0</v>
      </c>
      <c r="AY107" s="476">
        <f t="shared" si="479"/>
        <v>0</v>
      </c>
      <c r="AZ107" s="189">
        <f t="shared" si="468"/>
        <v>0</v>
      </c>
      <c r="BA107" s="221">
        <f t="shared" si="485"/>
        <v>0</v>
      </c>
      <c r="BB107" s="221">
        <f t="shared" si="485"/>
        <v>0</v>
      </c>
      <c r="BC107" s="221">
        <f t="shared" si="485"/>
        <v>0</v>
      </c>
      <c r="BD107" s="1164">
        <f t="shared" si="485"/>
        <v>0</v>
      </c>
      <c r="BE107" s="476">
        <f t="shared" si="485"/>
        <v>0</v>
      </c>
      <c r="BF107" s="189">
        <f t="shared" si="469"/>
        <v>0</v>
      </c>
      <c r="BG107" s="221">
        <f>BG94</f>
        <v>0</v>
      </c>
      <c r="BH107" s="221">
        <f t="shared" si="481"/>
        <v>0</v>
      </c>
      <c r="BI107" s="1164">
        <f t="shared" si="481"/>
        <v>0</v>
      </c>
      <c r="BJ107" s="1164">
        <f t="shared" si="481"/>
        <v>0</v>
      </c>
      <c r="BK107" s="476">
        <f t="shared" si="481"/>
        <v>0</v>
      </c>
      <c r="BL107" s="189">
        <f t="shared" si="470"/>
        <v>0</v>
      </c>
      <c r="BM107" s="221">
        <f t="shared" si="486"/>
        <v>0</v>
      </c>
      <c r="BN107" s="221">
        <f t="shared" si="486"/>
        <v>0</v>
      </c>
      <c r="BO107" s="221">
        <f t="shared" si="486"/>
        <v>0</v>
      </c>
      <c r="BP107" s="1164">
        <f t="shared" si="486"/>
        <v>0</v>
      </c>
      <c r="BQ107" s="476">
        <f t="shared" si="486"/>
        <v>0</v>
      </c>
      <c r="BR107" s="940" t="str">
        <f t="shared" si="351"/>
        <v xml:space="preserve"> </v>
      </c>
      <c r="BS107" s="542" t="str">
        <f t="shared" si="352"/>
        <v xml:space="preserve"> </v>
      </c>
      <c r="BT107" s="1502" t="str">
        <f t="shared" si="417"/>
        <v xml:space="preserve"> </v>
      </c>
      <c r="BU107" s="323" t="str">
        <f t="shared" si="418"/>
        <v xml:space="preserve"> </v>
      </c>
      <c r="BV107" s="323">
        <f t="shared" si="419"/>
        <v>0</v>
      </c>
      <c r="BW107" s="198" t="str">
        <f t="shared" si="420"/>
        <v xml:space="preserve"> </v>
      </c>
      <c r="BX107" s="967"/>
    </row>
    <row r="108" spans="1:77" s="159" customFormat="1">
      <c r="A108" s="156"/>
      <c r="B108" s="157"/>
      <c r="C108" s="158"/>
      <c r="D108" s="1031"/>
      <c r="E108" s="223"/>
      <c r="F108" s="223"/>
      <c r="G108" s="223"/>
      <c r="H108" s="223"/>
      <c r="I108" s="1032"/>
      <c r="J108" s="1031"/>
      <c r="K108" s="223"/>
      <c r="L108" s="223"/>
      <c r="M108" s="223"/>
      <c r="N108" s="223"/>
      <c r="O108" s="1032"/>
      <c r="P108" s="1031"/>
      <c r="Q108" s="223"/>
      <c r="R108" s="223"/>
      <c r="S108" s="223"/>
      <c r="T108" s="223"/>
      <c r="U108" s="1032"/>
      <c r="V108" s="1031"/>
      <c r="W108" s="223"/>
      <c r="X108" s="223"/>
      <c r="Y108" s="223"/>
      <c r="Z108" s="223"/>
      <c r="AA108" s="1032"/>
      <c r="AB108" s="1031"/>
      <c r="AC108" s="223"/>
      <c r="AD108" s="223"/>
      <c r="AE108" s="223"/>
      <c r="AF108" s="455"/>
      <c r="AG108" s="477"/>
      <c r="AH108" s="1031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455"/>
      <c r="AS108" s="477"/>
      <c r="AT108" s="1031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455"/>
      <c r="BE108" s="477"/>
      <c r="BF108" s="1031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1522"/>
      <c r="BU108" s="223"/>
      <c r="BV108" s="223"/>
      <c r="BW108" s="223"/>
      <c r="BX108" s="978"/>
      <c r="BY108" s="223"/>
    </row>
    <row r="109" spans="1:77" ht="18.75">
      <c r="A109" s="160" t="s">
        <v>92</v>
      </c>
      <c r="B109" s="161" t="s">
        <v>221</v>
      </c>
      <c r="C109" s="1527" t="s">
        <v>1</v>
      </c>
      <c r="D109" s="189">
        <f>E109+F109+G109+H109</f>
        <v>30934.646451300003</v>
      </c>
      <c r="E109" s="224">
        <f>E99-E104-E111</f>
        <v>26220.452000000001</v>
      </c>
      <c r="F109" s="224">
        <f>F99-F104-F111</f>
        <v>2201.2444513</v>
      </c>
      <c r="G109" s="1166">
        <f>G99-G104-G111</f>
        <v>0</v>
      </c>
      <c r="H109" s="1166">
        <f t="shared" ref="H109:I109" si="487">H99-H104-H111</f>
        <v>2512.9499999999998</v>
      </c>
      <c r="I109" s="478">
        <f t="shared" si="487"/>
        <v>0</v>
      </c>
      <c r="J109" s="189">
        <f>K109+L109+M109+N109</f>
        <v>33667.60686599859</v>
      </c>
      <c r="K109" s="224">
        <f>K99-K104-K111</f>
        <v>29987.450431783924</v>
      </c>
      <c r="L109" s="224">
        <f>L99-L104-L111</f>
        <v>3285.7367572146686</v>
      </c>
      <c r="M109" s="1166">
        <f>M99-M104-M111</f>
        <v>0</v>
      </c>
      <c r="N109" s="1166">
        <f t="shared" ref="N109:O109" si="488">N99-N104-N111</f>
        <v>394.41967700000004</v>
      </c>
      <c r="O109" s="478">
        <f t="shared" si="488"/>
        <v>0</v>
      </c>
      <c r="P109" s="189">
        <f>Q109+R109+S109+T109</f>
        <v>32729.009000000002</v>
      </c>
      <c r="Q109" s="224">
        <f>Q99-Q104-Q111</f>
        <v>27382.267</v>
      </c>
      <c r="R109" s="224">
        <f>R99-R104-R111</f>
        <v>2653.4720000000002</v>
      </c>
      <c r="S109" s="1166">
        <f>S99-S104-S111</f>
        <v>0</v>
      </c>
      <c r="T109" s="1166">
        <f t="shared" ref="T109:U109" si="489">T99-T104-T111</f>
        <v>2693.27</v>
      </c>
      <c r="U109" s="478">
        <f t="shared" si="489"/>
        <v>0</v>
      </c>
      <c r="V109" s="189">
        <f>W109+X109+Y109+Z109</f>
        <v>35088.107376617372</v>
      </c>
      <c r="W109" s="224">
        <f>W99-W104-W111</f>
        <v>31789.269292930039</v>
      </c>
      <c r="X109" s="224">
        <f>X99-X104-X111</f>
        <v>2861.5055040000007</v>
      </c>
      <c r="Y109" s="1166">
        <f>Y99-Y104-Y111</f>
        <v>0</v>
      </c>
      <c r="Z109" s="1166">
        <f t="shared" ref="Z109:AA109" si="490">Z99-Z104-Z111</f>
        <v>437.33257968733187</v>
      </c>
      <c r="AA109" s="478">
        <f t="shared" si="490"/>
        <v>0</v>
      </c>
      <c r="AB109" s="189">
        <f>AC109+AD109+AE109+AF109</f>
        <v>33674.99</v>
      </c>
      <c r="AC109" s="224">
        <f>AC99-AC104-AC111</f>
        <v>28038.629999999997</v>
      </c>
      <c r="AD109" s="224">
        <f>AD99-AD104-AD111</f>
        <v>2716.26</v>
      </c>
      <c r="AE109" s="224">
        <f>AE99-AE104-AE111</f>
        <v>0</v>
      </c>
      <c r="AF109" s="1166">
        <f t="shared" ref="AF109:AG109" si="491">AF99-AF104-AF111</f>
        <v>2920.1</v>
      </c>
      <c r="AG109" s="478">
        <f t="shared" si="491"/>
        <v>0</v>
      </c>
      <c r="AH109" s="189">
        <f>AI109+AJ109+AK109+AL109</f>
        <v>36509.074875856953</v>
      </c>
      <c r="AI109" s="224">
        <f>AI99-AI104-AI111</f>
        <v>33077.22979138486</v>
      </c>
      <c r="AJ109" s="224">
        <f>AJ99-AJ104-AJ111</f>
        <v>2946.2060669184007</v>
      </c>
      <c r="AK109" s="1166">
        <f>AK99-AK104-AK111</f>
        <v>0</v>
      </c>
      <c r="AL109" s="1166">
        <f t="shared" ref="AL109:AM109" si="492">AL99-AL104-AL111</f>
        <v>485.63901755369193</v>
      </c>
      <c r="AM109" s="478">
        <f t="shared" si="492"/>
        <v>0</v>
      </c>
      <c r="AN109" s="189">
        <f>AO109+AP109+AQ109+AR109</f>
        <v>34552.79</v>
      </c>
      <c r="AO109" s="224">
        <f>AO99-AO104-AO111</f>
        <v>28667.37</v>
      </c>
      <c r="AP109" s="224">
        <f>AP99-AP104-AP111</f>
        <v>2796.66</v>
      </c>
      <c r="AQ109" s="224">
        <f>AQ99-AQ104-AQ111</f>
        <v>0</v>
      </c>
      <c r="AR109" s="1166">
        <f t="shared" ref="AR109:AS109" si="493">AR99-AR104-AR111</f>
        <v>3088.76</v>
      </c>
      <c r="AS109" s="478">
        <f t="shared" si="493"/>
        <v>0</v>
      </c>
      <c r="AT109" s="189">
        <f>AU109+AV109+AW109+AX109</f>
        <v>37952.466774871813</v>
      </c>
      <c r="AU109" s="224">
        <f>AU99-AU104-AU111</f>
        <v>34382.609763608845</v>
      </c>
      <c r="AV109" s="224">
        <f>AV99-AV104-AV111</f>
        <v>3033.4137664991858</v>
      </c>
      <c r="AW109" s="1166">
        <f>AW99-AW104-AW111</f>
        <v>0</v>
      </c>
      <c r="AX109" s="1166">
        <f t="shared" ref="AX109:AY109" si="494">AX99-AX104-AX111</f>
        <v>536.44324476378438</v>
      </c>
      <c r="AY109" s="478">
        <f t="shared" si="494"/>
        <v>0</v>
      </c>
      <c r="AZ109" s="189">
        <f>BA109+BB109+BC109+BD109</f>
        <v>35795.949999999997</v>
      </c>
      <c r="BA109" s="224">
        <f>BA99-BA104-BA111</f>
        <v>29704.289999999997</v>
      </c>
      <c r="BB109" s="224">
        <f>BB99-BB104-BB111</f>
        <v>2879.44</v>
      </c>
      <c r="BC109" s="224">
        <f>BC99-BC104-BC111</f>
        <v>0</v>
      </c>
      <c r="BD109" s="1166">
        <f t="shared" ref="BD109:BE109" si="495">BD99-BD104-BD111</f>
        <v>3212.2200000000003</v>
      </c>
      <c r="BE109" s="478">
        <f t="shared" si="495"/>
        <v>0</v>
      </c>
      <c r="BF109" s="189">
        <f>BG109+BH109+BI109+BJ109</f>
        <v>39574.221879145436</v>
      </c>
      <c r="BG109" s="224">
        <f>BG99-BG104-BG111</f>
        <v>35856.130582165591</v>
      </c>
      <c r="BH109" s="224">
        <f>BH99-BH104-BH111</f>
        <v>3123.2028139875615</v>
      </c>
      <c r="BI109" s="1166">
        <f>BI99-BI104-BI111</f>
        <v>0</v>
      </c>
      <c r="BJ109" s="1166">
        <f t="shared" ref="BJ109:BK109" si="496">BJ99-BJ104-BJ111</f>
        <v>594.88848299228573</v>
      </c>
      <c r="BK109" s="478">
        <f t="shared" si="496"/>
        <v>0</v>
      </c>
      <c r="BL109" s="189">
        <f>BM109+BN109+BO109+BP109</f>
        <v>36911.069999999992</v>
      </c>
      <c r="BM109" s="224">
        <f>BM99-BM104-BM111</f>
        <v>30606.089999999993</v>
      </c>
      <c r="BN109" s="224">
        <f>BN99-BN104-BN111</f>
        <v>2964.67</v>
      </c>
      <c r="BO109" s="224">
        <f>BO99-BO104-BO111</f>
        <v>0</v>
      </c>
      <c r="BP109" s="1166">
        <f t="shared" ref="BP109:BQ109" si="497">BP99-BP104-BP111</f>
        <v>3340.31</v>
      </c>
      <c r="BQ109" s="478">
        <f t="shared" si="497"/>
        <v>0</v>
      </c>
      <c r="BR109" s="940">
        <f t="shared" si="351"/>
        <v>0.97212163401650942</v>
      </c>
      <c r="BS109" s="542">
        <f t="shared" si="352"/>
        <v>1.05800494767331</v>
      </c>
      <c r="BT109" s="1502">
        <f t="shared" si="417"/>
        <v>1.0289034415921361</v>
      </c>
      <c r="BU109" s="323">
        <f t="shared" si="418"/>
        <v>1.0260668228854708</v>
      </c>
      <c r="BV109" s="323">
        <f t="shared" si="419"/>
        <v>1.035978570760856</v>
      </c>
      <c r="BW109" s="198">
        <f t="shared" si="420"/>
        <v>1.0311521275451552</v>
      </c>
    </row>
    <row r="110" spans="1:77" ht="31.5">
      <c r="A110" s="160" t="s">
        <v>93</v>
      </c>
      <c r="B110" s="161" t="s">
        <v>223</v>
      </c>
      <c r="C110" s="1527" t="s">
        <v>1</v>
      </c>
      <c r="D110" s="189">
        <f t="shared" ref="D110:D111" si="498">E110+F110+G110+H110</f>
        <v>0</v>
      </c>
      <c r="E110" s="226">
        <f>E85</f>
        <v>0</v>
      </c>
      <c r="F110" s="226">
        <f>F85</f>
        <v>0</v>
      </c>
      <c r="G110" s="1168">
        <f>G85</f>
        <v>0</v>
      </c>
      <c r="H110" s="1168">
        <f>H85</f>
        <v>0</v>
      </c>
      <c r="I110" s="479">
        <f>I85</f>
        <v>0</v>
      </c>
      <c r="J110" s="189">
        <f t="shared" ref="J110:J111" si="499">K110+L110+M110+N110</f>
        <v>0</v>
      </c>
      <c r="K110" s="226">
        <f>K85</f>
        <v>0</v>
      </c>
      <c r="L110" s="226">
        <f>L85</f>
        <v>0</v>
      </c>
      <c r="M110" s="1168">
        <f>M85</f>
        <v>0</v>
      </c>
      <c r="N110" s="1168">
        <f>N85</f>
        <v>0</v>
      </c>
      <c r="O110" s="479">
        <f>O85</f>
        <v>0</v>
      </c>
      <c r="P110" s="189">
        <f t="shared" si="471"/>
        <v>0</v>
      </c>
      <c r="Q110" s="226">
        <f>Q85</f>
        <v>0</v>
      </c>
      <c r="R110" s="226">
        <f>R85</f>
        <v>0</v>
      </c>
      <c r="S110" s="1168">
        <f>S85</f>
        <v>0</v>
      </c>
      <c r="T110" s="1168">
        <f>T85</f>
        <v>0</v>
      </c>
      <c r="U110" s="479">
        <f>U85</f>
        <v>0</v>
      </c>
      <c r="V110" s="189">
        <f t="shared" ref="V110:V111" si="500">W110+X110+Y110+Z110</f>
        <v>0</v>
      </c>
      <c r="W110" s="226">
        <f>W85</f>
        <v>0</v>
      </c>
      <c r="X110" s="226">
        <f>X85</f>
        <v>0</v>
      </c>
      <c r="Y110" s="1168">
        <f>Y85</f>
        <v>0</v>
      </c>
      <c r="Z110" s="1168">
        <f>Z85</f>
        <v>0</v>
      </c>
      <c r="AA110" s="479">
        <f>AA85</f>
        <v>0</v>
      </c>
      <c r="AB110" s="189">
        <f t="shared" si="464"/>
        <v>0</v>
      </c>
      <c r="AC110" s="226">
        <f>AC85</f>
        <v>0</v>
      </c>
      <c r="AD110" s="226">
        <f>AD85</f>
        <v>0</v>
      </c>
      <c r="AE110" s="226">
        <f>AE85</f>
        <v>0</v>
      </c>
      <c r="AF110" s="1168">
        <f>AF85</f>
        <v>0</v>
      </c>
      <c r="AG110" s="479">
        <f>AG85</f>
        <v>0</v>
      </c>
      <c r="AH110" s="189">
        <f t="shared" ref="AH110:AH111" si="501">AI110+AJ110+AK110+AL110</f>
        <v>0</v>
      </c>
      <c r="AI110" s="226">
        <f>AI85</f>
        <v>0</v>
      </c>
      <c r="AJ110" s="226">
        <f>AJ85</f>
        <v>0</v>
      </c>
      <c r="AK110" s="1168">
        <f>AK85</f>
        <v>0</v>
      </c>
      <c r="AL110" s="1168">
        <f>AL85</f>
        <v>0</v>
      </c>
      <c r="AM110" s="479">
        <f>AM85</f>
        <v>0</v>
      </c>
      <c r="AN110" s="189">
        <f t="shared" ref="AN110:AN111" si="502">AO110+AP110+AQ110+AR110</f>
        <v>0</v>
      </c>
      <c r="AO110" s="226">
        <f>AO85</f>
        <v>0</v>
      </c>
      <c r="AP110" s="226">
        <f>AP85</f>
        <v>0</v>
      </c>
      <c r="AQ110" s="226">
        <f>AQ85</f>
        <v>0</v>
      </c>
      <c r="AR110" s="1168">
        <f>AR85</f>
        <v>0</v>
      </c>
      <c r="AS110" s="479">
        <f>AS85</f>
        <v>0</v>
      </c>
      <c r="AT110" s="189">
        <f t="shared" ref="AT110:AT111" si="503">AU110+AV110+AW110+AX110</f>
        <v>0</v>
      </c>
      <c r="AU110" s="226">
        <f>AU85</f>
        <v>0</v>
      </c>
      <c r="AV110" s="226">
        <f>AV85</f>
        <v>0</v>
      </c>
      <c r="AW110" s="1168">
        <f>AW85</f>
        <v>0</v>
      </c>
      <c r="AX110" s="1168">
        <f>AX85</f>
        <v>0</v>
      </c>
      <c r="AY110" s="479">
        <f>AY85</f>
        <v>0</v>
      </c>
      <c r="AZ110" s="189">
        <f t="shared" ref="AZ110:AZ111" si="504">BA110+BB110+BC110+BD110</f>
        <v>0</v>
      </c>
      <c r="BA110" s="226">
        <f>BA85</f>
        <v>0</v>
      </c>
      <c r="BB110" s="226">
        <f>BB85</f>
        <v>0</v>
      </c>
      <c r="BC110" s="226">
        <f>BC85</f>
        <v>0</v>
      </c>
      <c r="BD110" s="1168">
        <f>BD85</f>
        <v>0</v>
      </c>
      <c r="BE110" s="479">
        <f>BE85</f>
        <v>0</v>
      </c>
      <c r="BF110" s="189">
        <f t="shared" ref="BF110:BF111" si="505">BG110+BH110+BI110+BJ110</f>
        <v>0</v>
      </c>
      <c r="BG110" s="226">
        <f>BG85</f>
        <v>0</v>
      </c>
      <c r="BH110" s="226">
        <f>BH85</f>
        <v>0</v>
      </c>
      <c r="BI110" s="1168">
        <f>BI85</f>
        <v>0</v>
      </c>
      <c r="BJ110" s="1168">
        <f>BJ85</f>
        <v>0</v>
      </c>
      <c r="BK110" s="479">
        <f>BK85</f>
        <v>0</v>
      </c>
      <c r="BL110" s="189">
        <f t="shared" ref="BL110:BL111" si="506">BM110+BN110+BO110+BP110</f>
        <v>0</v>
      </c>
      <c r="BM110" s="226">
        <f>BM85</f>
        <v>0</v>
      </c>
      <c r="BN110" s="226">
        <f>BN85</f>
        <v>0</v>
      </c>
      <c r="BO110" s="226">
        <f>BO85</f>
        <v>0</v>
      </c>
      <c r="BP110" s="1168">
        <f>BP85</f>
        <v>0</v>
      </c>
      <c r="BQ110" s="479">
        <f>BQ85</f>
        <v>0</v>
      </c>
      <c r="BR110" s="940" t="str">
        <f t="shared" si="351"/>
        <v xml:space="preserve"> </v>
      </c>
      <c r="BS110" s="542" t="str">
        <f t="shared" si="352"/>
        <v xml:space="preserve"> </v>
      </c>
      <c r="BT110" s="1502" t="str">
        <f t="shared" si="417"/>
        <v xml:space="preserve"> </v>
      </c>
      <c r="BU110" s="323" t="str">
        <f t="shared" si="418"/>
        <v xml:space="preserve"> </v>
      </c>
      <c r="BV110" s="323" t="str">
        <f t="shared" si="419"/>
        <v xml:space="preserve"> </v>
      </c>
      <c r="BW110" s="198" t="str">
        <f t="shared" si="420"/>
        <v xml:space="preserve"> </v>
      </c>
    </row>
    <row r="111" spans="1:77" ht="18.75">
      <c r="A111" s="160" t="s">
        <v>94</v>
      </c>
      <c r="B111" s="161" t="s">
        <v>222</v>
      </c>
      <c r="C111" s="1527" t="s">
        <v>1</v>
      </c>
      <c r="D111" s="189">
        <f t="shared" si="498"/>
        <v>0</v>
      </c>
      <c r="E111" s="226">
        <f>E70</f>
        <v>0</v>
      </c>
      <c r="F111" s="226">
        <f>F70</f>
        <v>0</v>
      </c>
      <c r="G111" s="1168">
        <f>G70</f>
        <v>0</v>
      </c>
      <c r="H111" s="1168">
        <f>H70</f>
        <v>0</v>
      </c>
      <c r="I111" s="479">
        <f>I70</f>
        <v>0</v>
      </c>
      <c r="J111" s="189">
        <f t="shared" si="499"/>
        <v>0</v>
      </c>
      <c r="K111" s="226">
        <f>K70</f>
        <v>0</v>
      </c>
      <c r="L111" s="226">
        <f>L70</f>
        <v>0</v>
      </c>
      <c r="M111" s="1168">
        <f>M70</f>
        <v>0</v>
      </c>
      <c r="N111" s="1168">
        <f>N70</f>
        <v>0</v>
      </c>
      <c r="O111" s="479">
        <f>O70</f>
        <v>0</v>
      </c>
      <c r="P111" s="189">
        <f t="shared" si="471"/>
        <v>0</v>
      </c>
      <c r="Q111" s="226">
        <f>Q70</f>
        <v>0</v>
      </c>
      <c r="R111" s="226">
        <f>R70</f>
        <v>0</v>
      </c>
      <c r="S111" s="1168">
        <f>S70</f>
        <v>0</v>
      </c>
      <c r="T111" s="1168">
        <f>T70</f>
        <v>0</v>
      </c>
      <c r="U111" s="479">
        <f>U70</f>
        <v>0</v>
      </c>
      <c r="V111" s="189">
        <f t="shared" si="500"/>
        <v>0</v>
      </c>
      <c r="W111" s="226">
        <f>W70</f>
        <v>0</v>
      </c>
      <c r="X111" s="226">
        <f>X70</f>
        <v>0</v>
      </c>
      <c r="Y111" s="1168">
        <f>Y70</f>
        <v>0</v>
      </c>
      <c r="Z111" s="1168">
        <f>Z70</f>
        <v>0</v>
      </c>
      <c r="AA111" s="479">
        <f>AA70</f>
        <v>0</v>
      </c>
      <c r="AB111" s="189">
        <f t="shared" si="464"/>
        <v>0</v>
      </c>
      <c r="AC111" s="226">
        <f>AC70</f>
        <v>0</v>
      </c>
      <c r="AD111" s="226">
        <f>AD70</f>
        <v>0</v>
      </c>
      <c r="AE111" s="226">
        <f>AE70</f>
        <v>0</v>
      </c>
      <c r="AF111" s="1168">
        <f>AF70</f>
        <v>0</v>
      </c>
      <c r="AG111" s="479">
        <f>AG70</f>
        <v>0</v>
      </c>
      <c r="AH111" s="189">
        <f t="shared" si="501"/>
        <v>0</v>
      </c>
      <c r="AI111" s="226">
        <f>AI70</f>
        <v>0</v>
      </c>
      <c r="AJ111" s="226">
        <f>AJ70</f>
        <v>0</v>
      </c>
      <c r="AK111" s="1168">
        <f>AK70</f>
        <v>0</v>
      </c>
      <c r="AL111" s="1168">
        <f>AL70</f>
        <v>0</v>
      </c>
      <c r="AM111" s="479">
        <f>AM70</f>
        <v>0</v>
      </c>
      <c r="AN111" s="189">
        <f t="shared" si="502"/>
        <v>0</v>
      </c>
      <c r="AO111" s="226">
        <f>AO70</f>
        <v>0</v>
      </c>
      <c r="AP111" s="226">
        <f>AP70</f>
        <v>0</v>
      </c>
      <c r="AQ111" s="226">
        <f>AQ70</f>
        <v>0</v>
      </c>
      <c r="AR111" s="1168">
        <f>AR70</f>
        <v>0</v>
      </c>
      <c r="AS111" s="479">
        <f>AS70</f>
        <v>0</v>
      </c>
      <c r="AT111" s="189">
        <f t="shared" si="503"/>
        <v>0</v>
      </c>
      <c r="AU111" s="226">
        <f>AU70</f>
        <v>0</v>
      </c>
      <c r="AV111" s="226">
        <f>AV70</f>
        <v>0</v>
      </c>
      <c r="AW111" s="1168">
        <f>AW70</f>
        <v>0</v>
      </c>
      <c r="AX111" s="1168">
        <f>AX70</f>
        <v>0</v>
      </c>
      <c r="AY111" s="479">
        <f>AY70</f>
        <v>0</v>
      </c>
      <c r="AZ111" s="189">
        <f t="shared" si="504"/>
        <v>0</v>
      </c>
      <c r="BA111" s="226">
        <f>BA70</f>
        <v>0</v>
      </c>
      <c r="BB111" s="226">
        <f>BB70</f>
        <v>0</v>
      </c>
      <c r="BC111" s="226">
        <f>BC70</f>
        <v>0</v>
      </c>
      <c r="BD111" s="1168">
        <f>BD70</f>
        <v>0</v>
      </c>
      <c r="BE111" s="479">
        <f>BE70</f>
        <v>0</v>
      </c>
      <c r="BF111" s="189">
        <f t="shared" si="505"/>
        <v>0</v>
      </c>
      <c r="BG111" s="226">
        <f>BG70</f>
        <v>0</v>
      </c>
      <c r="BH111" s="226">
        <f>BH70</f>
        <v>0</v>
      </c>
      <c r="BI111" s="1168">
        <f>BI70</f>
        <v>0</v>
      </c>
      <c r="BJ111" s="1168">
        <f>BJ70</f>
        <v>0</v>
      </c>
      <c r="BK111" s="479">
        <f>BK70</f>
        <v>0</v>
      </c>
      <c r="BL111" s="189">
        <f t="shared" si="506"/>
        <v>0</v>
      </c>
      <c r="BM111" s="226">
        <f>BM70</f>
        <v>0</v>
      </c>
      <c r="BN111" s="226">
        <f>BN70</f>
        <v>0</v>
      </c>
      <c r="BO111" s="226">
        <f>BO70</f>
        <v>0</v>
      </c>
      <c r="BP111" s="1168">
        <f>BP70</f>
        <v>0</v>
      </c>
      <c r="BQ111" s="479">
        <f>BQ70</f>
        <v>0</v>
      </c>
      <c r="BR111" s="940" t="str">
        <f t="shared" si="351"/>
        <v xml:space="preserve"> </v>
      </c>
      <c r="BS111" s="542" t="str">
        <f t="shared" si="352"/>
        <v xml:space="preserve"> </v>
      </c>
      <c r="BT111" s="1502" t="str">
        <f t="shared" si="417"/>
        <v xml:space="preserve"> </v>
      </c>
      <c r="BU111" s="323" t="str">
        <f t="shared" si="418"/>
        <v xml:space="preserve"> </v>
      </c>
      <c r="BV111" s="323" t="str">
        <f t="shared" si="419"/>
        <v xml:space="preserve"> </v>
      </c>
      <c r="BW111" s="198" t="str">
        <f t="shared" si="420"/>
        <v xml:space="preserve"> </v>
      </c>
    </row>
    <row r="112" spans="1:77" ht="18.75">
      <c r="A112" s="160" t="s">
        <v>95</v>
      </c>
      <c r="B112" s="166" t="s">
        <v>151</v>
      </c>
      <c r="C112" s="1527" t="s">
        <v>1</v>
      </c>
      <c r="D112" s="189">
        <f>E112+F112+G112+H112</f>
        <v>30934.646451300003</v>
      </c>
      <c r="E112" s="226">
        <f>E109+E110+E111</f>
        <v>26220.452000000001</v>
      </c>
      <c r="F112" s="226">
        <f t="shared" ref="F112:I112" si="507">F109+F110+F111</f>
        <v>2201.2444513</v>
      </c>
      <c r="G112" s="1168">
        <f t="shared" si="507"/>
        <v>0</v>
      </c>
      <c r="H112" s="1168">
        <f t="shared" si="507"/>
        <v>2512.9499999999998</v>
      </c>
      <c r="I112" s="479">
        <f t="shared" si="507"/>
        <v>0</v>
      </c>
      <c r="J112" s="189">
        <f>K112+L112+M112+N112</f>
        <v>33667.60686599859</v>
      </c>
      <c r="K112" s="226">
        <f>K109+K110+K111</f>
        <v>29987.450431783924</v>
      </c>
      <c r="L112" s="226">
        <f t="shared" ref="L112:O112" si="508">L109+L110+L111</f>
        <v>3285.7367572146686</v>
      </c>
      <c r="M112" s="1168">
        <f t="shared" si="508"/>
        <v>0</v>
      </c>
      <c r="N112" s="1168">
        <f t="shared" si="508"/>
        <v>394.41967700000004</v>
      </c>
      <c r="O112" s="479">
        <f t="shared" si="508"/>
        <v>0</v>
      </c>
      <c r="P112" s="189">
        <f>Q112+R112+S112+T112</f>
        <v>32729.009000000002</v>
      </c>
      <c r="Q112" s="226">
        <f>Q109+Q110+Q111</f>
        <v>27382.267</v>
      </c>
      <c r="R112" s="226">
        <f t="shared" ref="R112:U112" si="509">R109+R110+R111</f>
        <v>2653.4720000000002</v>
      </c>
      <c r="S112" s="1168">
        <f t="shared" si="509"/>
        <v>0</v>
      </c>
      <c r="T112" s="1168">
        <f t="shared" si="509"/>
        <v>2693.27</v>
      </c>
      <c r="U112" s="479">
        <f t="shared" si="509"/>
        <v>0</v>
      </c>
      <c r="V112" s="189">
        <f>W112+X112+Y112+Z112</f>
        <v>35088.107376617372</v>
      </c>
      <c r="W112" s="226">
        <f>W109+W110+W111</f>
        <v>31789.269292930039</v>
      </c>
      <c r="X112" s="226">
        <f t="shared" ref="X112:AA112" si="510">X109+X110+X111</f>
        <v>2861.5055040000007</v>
      </c>
      <c r="Y112" s="1168">
        <f t="shared" si="510"/>
        <v>0</v>
      </c>
      <c r="Z112" s="1168">
        <f t="shared" si="510"/>
        <v>437.33257968733187</v>
      </c>
      <c r="AA112" s="479">
        <f t="shared" si="510"/>
        <v>0</v>
      </c>
      <c r="AB112" s="189">
        <f>AC112+AD112+AE112+AF112</f>
        <v>33674.99</v>
      </c>
      <c r="AC112" s="226">
        <f>AC109+AC110+AC111</f>
        <v>28038.629999999997</v>
      </c>
      <c r="AD112" s="226">
        <f t="shared" ref="AD112:AG112" si="511">AD109+AD110+AD111</f>
        <v>2716.26</v>
      </c>
      <c r="AE112" s="226">
        <f t="shared" si="511"/>
        <v>0</v>
      </c>
      <c r="AF112" s="1168">
        <f t="shared" si="511"/>
        <v>2920.1</v>
      </c>
      <c r="AG112" s="479">
        <f t="shared" si="511"/>
        <v>0</v>
      </c>
      <c r="AH112" s="189">
        <f>AI112+AJ112+AK112+AL112</f>
        <v>36509.074875856953</v>
      </c>
      <c r="AI112" s="226">
        <f>AI109+AI110+AI111</f>
        <v>33077.22979138486</v>
      </c>
      <c r="AJ112" s="226">
        <f t="shared" ref="AJ112:AM112" si="512">AJ109+AJ110+AJ111</f>
        <v>2946.2060669184007</v>
      </c>
      <c r="AK112" s="1168">
        <f t="shared" si="512"/>
        <v>0</v>
      </c>
      <c r="AL112" s="1168">
        <f t="shared" si="512"/>
        <v>485.63901755369193</v>
      </c>
      <c r="AM112" s="479">
        <f t="shared" si="512"/>
        <v>0</v>
      </c>
      <c r="AN112" s="189">
        <f>AO112+AP112+AQ112+AR112</f>
        <v>34552.79</v>
      </c>
      <c r="AO112" s="226">
        <f>AO109+AO110+AO111</f>
        <v>28667.37</v>
      </c>
      <c r="AP112" s="226">
        <f t="shared" ref="AP112:AS112" si="513">AP109+AP110+AP111</f>
        <v>2796.66</v>
      </c>
      <c r="AQ112" s="226">
        <f t="shared" si="513"/>
        <v>0</v>
      </c>
      <c r="AR112" s="1168">
        <f t="shared" si="513"/>
        <v>3088.76</v>
      </c>
      <c r="AS112" s="479">
        <f t="shared" si="513"/>
        <v>0</v>
      </c>
      <c r="AT112" s="189">
        <f>AU112+AV112+AW112+AX112</f>
        <v>37952.466774871813</v>
      </c>
      <c r="AU112" s="226">
        <f>AU109+AU110+AU111</f>
        <v>34382.609763608845</v>
      </c>
      <c r="AV112" s="226">
        <f t="shared" ref="AV112:AY112" si="514">AV109+AV110+AV111</f>
        <v>3033.4137664991858</v>
      </c>
      <c r="AW112" s="1168">
        <f t="shared" si="514"/>
        <v>0</v>
      </c>
      <c r="AX112" s="1168">
        <f t="shared" si="514"/>
        <v>536.44324476378438</v>
      </c>
      <c r="AY112" s="479">
        <f t="shared" si="514"/>
        <v>0</v>
      </c>
      <c r="AZ112" s="189">
        <f>BA112+BB112+BC112+BD112</f>
        <v>35795.949999999997</v>
      </c>
      <c r="BA112" s="226">
        <f>BA109+BA110+BA111</f>
        <v>29704.289999999997</v>
      </c>
      <c r="BB112" s="226">
        <f t="shared" ref="BB112:BE112" si="515">BB109+BB110+BB111</f>
        <v>2879.44</v>
      </c>
      <c r="BC112" s="226">
        <f t="shared" si="515"/>
        <v>0</v>
      </c>
      <c r="BD112" s="1168">
        <f t="shared" si="515"/>
        <v>3212.2200000000003</v>
      </c>
      <c r="BE112" s="479">
        <f t="shared" si="515"/>
        <v>0</v>
      </c>
      <c r="BF112" s="189">
        <f>BG112+BH112+BI112+BJ112</f>
        <v>39574.221879145436</v>
      </c>
      <c r="BG112" s="226">
        <f>BG109+BG110+BG111</f>
        <v>35856.130582165591</v>
      </c>
      <c r="BH112" s="226">
        <f t="shared" ref="BH112:BK112" si="516">BH109+BH110+BH111</f>
        <v>3123.2028139875615</v>
      </c>
      <c r="BI112" s="1168">
        <f t="shared" si="516"/>
        <v>0</v>
      </c>
      <c r="BJ112" s="1168">
        <f t="shared" si="516"/>
        <v>594.88848299228573</v>
      </c>
      <c r="BK112" s="479">
        <f t="shared" si="516"/>
        <v>0</v>
      </c>
      <c r="BL112" s="189">
        <f>BM112+BN112+BO112+BP112</f>
        <v>36911.069999999992</v>
      </c>
      <c r="BM112" s="226">
        <f>BM109+BM110+BM111</f>
        <v>30606.089999999993</v>
      </c>
      <c r="BN112" s="226">
        <f t="shared" ref="BN112:BQ112" si="517">BN109+BN110+BN111</f>
        <v>2964.67</v>
      </c>
      <c r="BO112" s="226">
        <f t="shared" si="517"/>
        <v>0</v>
      </c>
      <c r="BP112" s="1168">
        <f t="shared" si="517"/>
        <v>3340.31</v>
      </c>
      <c r="BQ112" s="479">
        <f t="shared" si="517"/>
        <v>0</v>
      </c>
      <c r="BR112" s="940">
        <f t="shared" si="351"/>
        <v>0.97212163401650942</v>
      </c>
      <c r="BS112" s="542">
        <f t="shared" si="352"/>
        <v>1.05800494767331</v>
      </c>
      <c r="BT112" s="1502">
        <f t="shared" si="417"/>
        <v>1.0289034415921361</v>
      </c>
      <c r="BU112" s="323">
        <f t="shared" si="418"/>
        <v>1.0260668228854708</v>
      </c>
      <c r="BV112" s="323">
        <f t="shared" si="419"/>
        <v>1.035978570760856</v>
      </c>
      <c r="BW112" s="198">
        <f t="shared" si="420"/>
        <v>1.0311521275451552</v>
      </c>
    </row>
    <row r="113" spans="1:76" ht="18.75">
      <c r="A113" s="160"/>
      <c r="B113" s="379" t="s">
        <v>33</v>
      </c>
      <c r="C113" s="1527"/>
      <c r="D113" s="189"/>
      <c r="E113" s="226"/>
      <c r="F113" s="226"/>
      <c r="G113" s="1168"/>
      <c r="H113" s="1168"/>
      <c r="I113" s="479"/>
      <c r="J113" s="189"/>
      <c r="K113" s="226"/>
      <c r="L113" s="226"/>
      <c r="M113" s="1168"/>
      <c r="N113" s="1168"/>
      <c r="O113" s="479"/>
      <c r="P113" s="189"/>
      <c r="Q113" s="226"/>
      <c r="R113" s="226"/>
      <c r="S113" s="1168"/>
      <c r="T113" s="1168"/>
      <c r="U113" s="479"/>
      <c r="V113" s="189"/>
      <c r="W113" s="226"/>
      <c r="X113" s="226"/>
      <c r="Y113" s="1168"/>
      <c r="Z113" s="1168"/>
      <c r="AA113" s="479"/>
      <c r="AB113" s="189"/>
      <c r="AC113" s="226"/>
      <c r="AD113" s="226"/>
      <c r="AE113" s="1168"/>
      <c r="AF113" s="1168"/>
      <c r="AG113" s="479"/>
      <c r="AH113" s="189"/>
      <c r="AI113" s="226"/>
      <c r="AJ113" s="226"/>
      <c r="AK113" s="1168"/>
      <c r="AL113" s="1168"/>
      <c r="AM113" s="479"/>
      <c r="AN113" s="189"/>
      <c r="AO113" s="226"/>
      <c r="AP113" s="226"/>
      <c r="AQ113" s="1168"/>
      <c r="AR113" s="1168"/>
      <c r="AS113" s="479"/>
      <c r="AT113" s="189"/>
      <c r="AU113" s="226"/>
      <c r="AV113" s="226"/>
      <c r="AW113" s="1168"/>
      <c r="AX113" s="1168"/>
      <c r="AY113" s="479"/>
      <c r="AZ113" s="189"/>
      <c r="BA113" s="226"/>
      <c r="BB113" s="226"/>
      <c r="BC113" s="1168"/>
      <c r="BD113" s="1168"/>
      <c r="BE113" s="479"/>
      <c r="BF113" s="189"/>
      <c r="BG113" s="226"/>
      <c r="BH113" s="226"/>
      <c r="BI113" s="1168"/>
      <c r="BJ113" s="1168"/>
      <c r="BK113" s="479"/>
      <c r="BL113" s="189"/>
      <c r="BM113" s="226"/>
      <c r="BN113" s="226"/>
      <c r="BO113" s="1168"/>
      <c r="BP113" s="1168"/>
      <c r="BQ113" s="479"/>
      <c r="BR113" s="940" t="str">
        <f t="shared" si="351"/>
        <v xml:space="preserve"> </v>
      </c>
      <c r="BS113" s="542" t="str">
        <f t="shared" si="352"/>
        <v xml:space="preserve"> </v>
      </c>
      <c r="BT113" s="1502"/>
      <c r="BU113" s="323"/>
      <c r="BV113" s="323"/>
      <c r="BW113" s="198"/>
    </row>
    <row r="114" spans="1:76" s="58" customFormat="1" ht="38.25" customHeight="1">
      <c r="A114" s="167"/>
      <c r="B114" s="168" t="s">
        <v>224</v>
      </c>
      <c r="C114" s="1528" t="s">
        <v>3</v>
      </c>
      <c r="D114" s="372">
        <f>IF((E99+F99)&gt;0,D110/(E99+F99),0)</f>
        <v>0</v>
      </c>
      <c r="E114" s="373"/>
      <c r="F114" s="373"/>
      <c r="G114" s="1170"/>
      <c r="H114" s="1170"/>
      <c r="I114" s="480"/>
      <c r="J114" s="372">
        <f>IF((K99+L99)&gt;0,J110/(K99+L99),0)</f>
        <v>0</v>
      </c>
      <c r="K114" s="373"/>
      <c r="L114" s="373"/>
      <c r="M114" s="1170"/>
      <c r="N114" s="1170"/>
      <c r="O114" s="480"/>
      <c r="P114" s="372">
        <f>IF((Q99+R99)&gt;0,P110/(Q99+R99),0)</f>
        <v>0</v>
      </c>
      <c r="Q114" s="373"/>
      <c r="R114" s="373"/>
      <c r="S114" s="1170"/>
      <c r="T114" s="1170"/>
      <c r="U114" s="480"/>
      <c r="V114" s="372">
        <f>IF((W99+X99)&gt;0,V110/(W99+X99),0)</f>
        <v>0</v>
      </c>
      <c r="W114" s="373"/>
      <c r="X114" s="373"/>
      <c r="Y114" s="1170"/>
      <c r="Z114" s="1170"/>
      <c r="AA114" s="480"/>
      <c r="AB114" s="372">
        <f>IF((AC99+AD99)&gt;0,AB110/(AC99+AD99),0)</f>
        <v>0</v>
      </c>
      <c r="AC114" s="373"/>
      <c r="AD114" s="373"/>
      <c r="AE114" s="1170"/>
      <c r="AF114" s="1170"/>
      <c r="AG114" s="480"/>
      <c r="AH114" s="372">
        <f>IF((AI99+AJ99)&gt;0,AH110/(AI99+AJ99),0)</f>
        <v>0</v>
      </c>
      <c r="AI114" s="373"/>
      <c r="AJ114" s="373"/>
      <c r="AK114" s="1170"/>
      <c r="AL114" s="1170"/>
      <c r="AM114" s="480"/>
      <c r="AN114" s="372">
        <f>IF((AO99+AP99)&gt;0,AN110/(AO99+AP99),0)</f>
        <v>0</v>
      </c>
      <c r="AO114" s="373"/>
      <c r="AP114" s="373"/>
      <c r="AQ114" s="1170"/>
      <c r="AR114" s="1170"/>
      <c r="AS114" s="480"/>
      <c r="AT114" s="372">
        <f>IF((AU99+AV99)&gt;0,AT110/(AU99+AV99),0)</f>
        <v>0</v>
      </c>
      <c r="AU114" s="373"/>
      <c r="AV114" s="373"/>
      <c r="AW114" s="1170"/>
      <c r="AX114" s="1170"/>
      <c r="AY114" s="480"/>
      <c r="AZ114" s="372">
        <f>IF((BA99+BB99)&gt;0,AZ110/(BA99+BB99),0)</f>
        <v>0</v>
      </c>
      <c r="BA114" s="373"/>
      <c r="BB114" s="373"/>
      <c r="BC114" s="1170"/>
      <c r="BD114" s="1170"/>
      <c r="BE114" s="480"/>
      <c r="BF114" s="372">
        <f>IF((BG99+BH99)&gt;0,BF110/(BG99+BH99),0)</f>
        <v>0</v>
      </c>
      <c r="BG114" s="373"/>
      <c r="BH114" s="373"/>
      <c r="BI114" s="1170"/>
      <c r="BJ114" s="1170"/>
      <c r="BK114" s="480"/>
      <c r="BL114" s="372">
        <f>IF((BM99+BN99)&gt;0,BL110/(BM99+BN99),0)</f>
        <v>0</v>
      </c>
      <c r="BM114" s="373"/>
      <c r="BN114" s="373"/>
      <c r="BO114" s="1170"/>
      <c r="BP114" s="1170"/>
      <c r="BQ114" s="480"/>
      <c r="BR114" s="940" t="str">
        <f t="shared" si="351"/>
        <v xml:space="preserve"> </v>
      </c>
      <c r="BS114" s="542" t="str">
        <f t="shared" si="352"/>
        <v xml:space="preserve"> </v>
      </c>
      <c r="BT114" s="1502" t="str">
        <f t="shared" si="417"/>
        <v xml:space="preserve"> </v>
      </c>
      <c r="BU114" s="323" t="str">
        <f t="shared" si="418"/>
        <v xml:space="preserve"> </v>
      </c>
      <c r="BV114" s="323" t="str">
        <f t="shared" si="419"/>
        <v xml:space="preserve"> </v>
      </c>
      <c r="BW114" s="198" t="str">
        <f t="shared" si="420"/>
        <v xml:space="preserve"> </v>
      </c>
      <c r="BX114" s="966"/>
    </row>
    <row r="115" spans="1:76" s="58" customFormat="1" ht="63.75">
      <c r="A115" s="167"/>
      <c r="B115" s="168" t="s">
        <v>219</v>
      </c>
      <c r="C115" s="1528" t="s">
        <v>3</v>
      </c>
      <c r="D115" s="1119">
        <f>IF((D15+D21+D59-D16-D18-D20-D62-D82)&gt;0,D92/(D15+D21+D59-D16-D18-D20-D62-D82),0)</f>
        <v>4.9999970999675167E-2</v>
      </c>
      <c r="E115" s="373"/>
      <c r="F115" s="373"/>
      <c r="G115" s="1170"/>
      <c r="H115" s="1170"/>
      <c r="I115" s="480"/>
      <c r="J115" s="1119">
        <f>IF((J15+J21+J59-J16-J18-J20-J62-J82)&gt;0,J92/(J15+J21+J59-J16-J18-J20-J62-J82),0)</f>
        <v>4.9999973347534546E-2</v>
      </c>
      <c r="K115" s="373"/>
      <c r="L115" s="373"/>
      <c r="M115" s="1170"/>
      <c r="N115" s="1170"/>
      <c r="O115" s="480"/>
      <c r="P115" s="1119">
        <f>IF((P15+P21+P59-P16-P18-P20-P62-P82)&gt;0,P92/(P15+P21+P59-P16-P18-P20-P62-P82),0)</f>
        <v>4.9999602572408305E-2</v>
      </c>
      <c r="Q115" s="373"/>
      <c r="R115" s="373"/>
      <c r="S115" s="1170"/>
      <c r="T115" s="1170"/>
      <c r="U115" s="480"/>
      <c r="V115" s="1119">
        <f>IF((V15+V21+V59-V16-V18-V20-V62-V82)&gt;0,V92/(V15+V21+V59-V16-V18-V20-V62-V82),0)</f>
        <v>5.2400578665068101E-2</v>
      </c>
      <c r="W115" s="373"/>
      <c r="X115" s="373"/>
      <c r="Y115" s="1170"/>
      <c r="Z115" s="1170"/>
      <c r="AA115" s="480"/>
      <c r="AB115" s="1119">
        <f>IF((AB15+AB21+AB59-AB16-AB18-AB20-AB62-AB82)&gt;0,AB92/(AB15+AB21+AB59-AB16-AB18-AB20-AB62-AB82),0)</f>
        <v>4.9999961520731502E-2</v>
      </c>
      <c r="AC115" s="373"/>
      <c r="AD115" s="373"/>
      <c r="AE115" s="1170"/>
      <c r="AF115" s="1170"/>
      <c r="AG115" s="480"/>
      <c r="AH115" s="1119">
        <f>IF((AH15+AH21+AH59-AH16-AH18-AH20-AH62-AH82)&gt;0,AH92/(AH15+AH21+AH59-AH16-AH18-AH20-AH62-AH82),0)</f>
        <v>5.2346909471790673E-2</v>
      </c>
      <c r="AI115" s="373"/>
      <c r="AJ115" s="373"/>
      <c r="AK115" s="1170"/>
      <c r="AL115" s="1170"/>
      <c r="AM115" s="480"/>
      <c r="AN115" s="1119">
        <f>IF((AN15+AN21+AN59-AN16-AN18-AN20-AN62-AN82)&gt;0,AN92/(AN15+AN21+AN59-AN16-AN18-AN20-AN62-AN82),0)</f>
        <v>4.9999999999999989E-2</v>
      </c>
      <c r="AO115" s="373"/>
      <c r="AP115" s="373"/>
      <c r="AQ115" s="1170"/>
      <c r="AR115" s="1170"/>
      <c r="AS115" s="480"/>
      <c r="AT115" s="1119">
        <f>IF((AT15+AT21+AT59-AT16-AT18-AT20-AT62-AT82)&gt;0,AT92/(AT15+AT21+AT59-AT16-AT18-AT20-AT62-AT82),0)</f>
        <v>5.2300179600139357E-2</v>
      </c>
      <c r="AU115" s="373"/>
      <c r="AV115" s="373"/>
      <c r="AW115" s="1170"/>
      <c r="AX115" s="1170"/>
      <c r="AY115" s="480"/>
      <c r="AZ115" s="1119">
        <f>IF((AZ15+AZ21+AZ59-AZ16-AZ18-AZ20-AZ62-AZ82)&gt;0,AZ92/(AZ15+AZ21+AZ59-AZ16-AZ18-AZ20-AZ62-AZ82),0)</f>
        <v>4.9999820152295045E-2</v>
      </c>
      <c r="BA115" s="373"/>
      <c r="BB115" s="373"/>
      <c r="BC115" s="1170"/>
      <c r="BD115" s="1170"/>
      <c r="BE115" s="480"/>
      <c r="BF115" s="1119">
        <f>IF((BF15+BF21+BF59-BF16-BF18-BF20-BF62-BF82)&gt;0,BF92/(BF15+BF21+BF59-BF16-BF18-BF20-BF62-BF82),0)</f>
        <v>5.223848833097982E-2</v>
      </c>
      <c r="BG115" s="373"/>
      <c r="BH115" s="373"/>
      <c r="BI115" s="1170"/>
      <c r="BJ115" s="1170"/>
      <c r="BK115" s="480"/>
      <c r="BL115" s="1119">
        <f>IF((BL15+BL21+BL59-BL16-BL18-BL20-BL62-BL82)&gt;0,BL92/(BL15+BL21+BL59-BL16-BL18-BL20-BL62-BL82),0)</f>
        <v>5.0000312893071934E-2</v>
      </c>
      <c r="BM115" s="373"/>
      <c r="BN115" s="373"/>
      <c r="BO115" s="1170"/>
      <c r="BP115" s="1170"/>
      <c r="BQ115" s="480"/>
      <c r="BR115" s="940">
        <f t="shared" si="351"/>
        <v>0.99999258449352235</v>
      </c>
      <c r="BS115" s="542">
        <f t="shared" si="352"/>
        <v>0.99999263145038897</v>
      </c>
      <c r="BT115" s="1502">
        <f t="shared" si="417"/>
        <v>1.0000071790235268</v>
      </c>
      <c r="BU115" s="323">
        <f t="shared" si="418"/>
        <v>1.0000007695859621</v>
      </c>
      <c r="BV115" s="323">
        <f t="shared" si="419"/>
        <v>0.99999640304590109</v>
      </c>
      <c r="BW115" s="198">
        <f t="shared" si="420"/>
        <v>1.0000098548509853</v>
      </c>
      <c r="BX115" s="966"/>
    </row>
    <row r="116" spans="1:76" s="159" customFormat="1">
      <c r="A116" s="358" t="str">
        <f>IF(ISERROR(AB116/P116)," ",AB116/P116)</f>
        <v xml:space="preserve"> </v>
      </c>
      <c r="B116" s="1529"/>
      <c r="C116" s="1529"/>
      <c r="D116" s="377"/>
      <c r="E116" s="375"/>
      <c r="F116" s="375"/>
      <c r="G116" s="1172"/>
      <c r="H116" s="1172"/>
      <c r="I116" s="481"/>
      <c r="J116" s="377"/>
      <c r="K116" s="375"/>
      <c r="L116" s="375"/>
      <c r="M116" s="1172"/>
      <c r="N116" s="1172"/>
      <c r="O116" s="481"/>
      <c r="P116" s="377"/>
      <c r="Q116" s="375"/>
      <c r="R116" s="375"/>
      <c r="S116" s="1172"/>
      <c r="T116" s="1172"/>
      <c r="U116" s="481"/>
      <c r="V116" s="377"/>
      <c r="W116" s="375"/>
      <c r="X116" s="375"/>
      <c r="Y116" s="1172"/>
      <c r="Z116" s="1172"/>
      <c r="AA116" s="481"/>
      <c r="AB116" s="377"/>
      <c r="AC116" s="375"/>
      <c r="AD116" s="375"/>
      <c r="AE116" s="1172"/>
      <c r="AF116" s="1172"/>
      <c r="AG116" s="481"/>
      <c r="AH116" s="377"/>
      <c r="AI116" s="375"/>
      <c r="AJ116" s="375"/>
      <c r="AK116" s="1172"/>
      <c r="AL116" s="1172"/>
      <c r="AM116" s="481"/>
      <c r="AN116" s="377"/>
      <c r="AO116" s="375"/>
      <c r="AP116" s="375"/>
      <c r="AQ116" s="1172"/>
      <c r="AR116" s="1172"/>
      <c r="AS116" s="481"/>
      <c r="AT116" s="377"/>
      <c r="AU116" s="375"/>
      <c r="AV116" s="375"/>
      <c r="AW116" s="1172"/>
      <c r="AX116" s="1172"/>
      <c r="AY116" s="481"/>
      <c r="AZ116" s="377"/>
      <c r="BA116" s="375"/>
      <c r="BB116" s="375"/>
      <c r="BC116" s="1172"/>
      <c r="BD116" s="1172"/>
      <c r="BE116" s="481"/>
      <c r="BF116" s="377"/>
      <c r="BG116" s="375"/>
      <c r="BH116" s="375"/>
      <c r="BI116" s="1172"/>
      <c r="BJ116" s="1172"/>
      <c r="BK116" s="481"/>
      <c r="BL116" s="377"/>
      <c r="BM116" s="375"/>
      <c r="BN116" s="375"/>
      <c r="BO116" s="1172"/>
      <c r="BP116" s="1172"/>
      <c r="BQ116" s="481"/>
      <c r="BR116" s="1529"/>
      <c r="BS116" s="1529"/>
      <c r="BT116" s="1529"/>
      <c r="BU116" s="1529"/>
      <c r="BV116" s="1529"/>
      <c r="BW116" s="1530"/>
      <c r="BX116" s="979"/>
    </row>
    <row r="117" spans="1:76" ht="18.75">
      <c r="A117" s="160"/>
      <c r="B117" s="161" t="s">
        <v>152</v>
      </c>
      <c r="C117" s="1527" t="s">
        <v>13</v>
      </c>
      <c r="D117" s="169">
        <f>D118+D119</f>
        <v>26741</v>
      </c>
      <c r="E117" s="164"/>
      <c r="F117" s="164"/>
      <c r="G117" s="1174"/>
      <c r="H117" s="1174"/>
      <c r="I117" s="482"/>
      <c r="J117" s="169">
        <f>J118+J119</f>
        <v>26129.759999999998</v>
      </c>
      <c r="K117" s="164"/>
      <c r="L117" s="164"/>
      <c r="M117" s="1174"/>
      <c r="N117" s="1174"/>
      <c r="O117" s="482"/>
      <c r="P117" s="169">
        <f>P118+P119</f>
        <v>26741</v>
      </c>
      <c r="Q117" s="164"/>
      <c r="R117" s="164"/>
      <c r="S117" s="1174"/>
      <c r="T117" s="1174"/>
      <c r="U117" s="482"/>
      <c r="V117" s="169">
        <f>V118+V119</f>
        <v>26130</v>
      </c>
      <c r="W117" s="164"/>
      <c r="X117" s="164"/>
      <c r="Y117" s="1174"/>
      <c r="Z117" s="1174"/>
      <c r="AA117" s="482"/>
      <c r="AB117" s="169">
        <f>AB118+AB119</f>
        <v>26741</v>
      </c>
      <c r="AC117" s="164"/>
      <c r="AD117" s="164"/>
      <c r="AE117" s="1174"/>
      <c r="AF117" s="1174"/>
      <c r="AG117" s="482"/>
      <c r="AH117" s="169">
        <f>AH118+AH119</f>
        <v>26130</v>
      </c>
      <c r="AI117" s="164"/>
      <c r="AJ117" s="164"/>
      <c r="AK117" s="1174"/>
      <c r="AL117" s="1174"/>
      <c r="AM117" s="482"/>
      <c r="AN117" s="169">
        <f>AN118+AN119</f>
        <v>26741</v>
      </c>
      <c r="AO117" s="164"/>
      <c r="AP117" s="164"/>
      <c r="AQ117" s="1174"/>
      <c r="AR117" s="1174"/>
      <c r="AS117" s="482"/>
      <c r="AT117" s="169">
        <f>AT118+AT119</f>
        <v>26130</v>
      </c>
      <c r="AU117" s="164"/>
      <c r="AV117" s="164"/>
      <c r="AW117" s="1174"/>
      <c r="AX117" s="1174"/>
      <c r="AY117" s="482"/>
      <c r="AZ117" s="169">
        <f>AZ118+AZ119</f>
        <v>26741</v>
      </c>
      <c r="BA117" s="164"/>
      <c r="BB117" s="164"/>
      <c r="BC117" s="1174"/>
      <c r="BD117" s="1174"/>
      <c r="BE117" s="482"/>
      <c r="BF117" s="169">
        <f>BF118+BF119</f>
        <v>26130</v>
      </c>
      <c r="BG117" s="164"/>
      <c r="BH117" s="164"/>
      <c r="BI117" s="1174"/>
      <c r="BJ117" s="1174"/>
      <c r="BK117" s="482"/>
      <c r="BL117" s="169">
        <f>BL118+BL119</f>
        <v>26741</v>
      </c>
      <c r="BM117" s="164"/>
      <c r="BN117" s="164"/>
      <c r="BO117" s="1174"/>
      <c r="BP117" s="1174"/>
      <c r="BQ117" s="482"/>
      <c r="BR117" s="940">
        <f t="shared" si="351"/>
        <v>1.0233924842784625</v>
      </c>
      <c r="BS117" s="542">
        <f t="shared" si="352"/>
        <v>1</v>
      </c>
      <c r="BT117" s="1502">
        <f t="shared" si="417"/>
        <v>1</v>
      </c>
      <c r="BU117" s="323">
        <f t="shared" si="418"/>
        <v>1</v>
      </c>
      <c r="BV117" s="323">
        <f t="shared" si="419"/>
        <v>1</v>
      </c>
      <c r="BW117" s="198">
        <f t="shared" si="420"/>
        <v>1</v>
      </c>
    </row>
    <row r="118" spans="1:76" ht="18.75">
      <c r="A118" s="160"/>
      <c r="B118" s="161" t="s">
        <v>153</v>
      </c>
      <c r="C118" s="1527" t="s">
        <v>13</v>
      </c>
      <c r="D118" s="170"/>
      <c r="E118" s="162"/>
      <c r="F118" s="162"/>
      <c r="G118" s="1176"/>
      <c r="H118" s="1176"/>
      <c r="I118" s="483"/>
      <c r="J118" s="512"/>
      <c r="K118" s="162"/>
      <c r="L118" s="162"/>
      <c r="M118" s="1176"/>
      <c r="N118" s="1176"/>
      <c r="O118" s="483"/>
      <c r="P118" s="170">
        <f>[185]индексы!G83</f>
        <v>0</v>
      </c>
      <c r="Q118" s="162"/>
      <c r="R118" s="162"/>
      <c r="S118" s="1176"/>
      <c r="T118" s="1176"/>
      <c r="U118" s="483"/>
      <c r="V118" s="512"/>
      <c r="W118" s="162"/>
      <c r="X118" s="162"/>
      <c r="Y118" s="1176"/>
      <c r="Z118" s="1176"/>
      <c r="AA118" s="483"/>
      <c r="AB118" s="170">
        <f>[185]индексы!J83</f>
        <v>0</v>
      </c>
      <c r="AC118" s="162"/>
      <c r="AD118" s="162"/>
      <c r="AE118" s="1176"/>
      <c r="AF118" s="1176"/>
      <c r="AG118" s="483"/>
      <c r="AH118" s="512"/>
      <c r="AI118" s="162"/>
      <c r="AJ118" s="162"/>
      <c r="AK118" s="1176"/>
      <c r="AL118" s="1176"/>
      <c r="AM118" s="483"/>
      <c r="AN118" s="170">
        <f>[185]индексы!M83</f>
        <v>0</v>
      </c>
      <c r="AO118" s="162"/>
      <c r="AP118" s="162"/>
      <c r="AQ118" s="1176"/>
      <c r="AR118" s="1176"/>
      <c r="AS118" s="483"/>
      <c r="AT118" s="512"/>
      <c r="AU118" s="162"/>
      <c r="AV118" s="162"/>
      <c r="AW118" s="1176"/>
      <c r="AX118" s="1176"/>
      <c r="AY118" s="483"/>
      <c r="AZ118" s="170">
        <f>[185]индексы!P83</f>
        <v>0</v>
      </c>
      <c r="BA118" s="162"/>
      <c r="BB118" s="162"/>
      <c r="BC118" s="1176"/>
      <c r="BD118" s="1176"/>
      <c r="BE118" s="483"/>
      <c r="BF118" s="512"/>
      <c r="BG118" s="162"/>
      <c r="BH118" s="162"/>
      <c r="BI118" s="1176"/>
      <c r="BJ118" s="1176"/>
      <c r="BK118" s="483"/>
      <c r="BL118" s="170">
        <f>[185]индексы!S83</f>
        <v>0</v>
      </c>
      <c r="BM118" s="162"/>
      <c r="BN118" s="162"/>
      <c r="BO118" s="1176"/>
      <c r="BP118" s="1176"/>
      <c r="BQ118" s="483"/>
      <c r="BR118" s="940" t="str">
        <f t="shared" si="351"/>
        <v xml:space="preserve"> </v>
      </c>
      <c r="BS118" s="542" t="str">
        <f t="shared" si="352"/>
        <v xml:space="preserve"> </v>
      </c>
      <c r="BT118" s="1502" t="str">
        <f t="shared" si="417"/>
        <v xml:space="preserve"> </v>
      </c>
      <c r="BU118" s="323" t="str">
        <f t="shared" si="418"/>
        <v xml:space="preserve"> </v>
      </c>
      <c r="BV118" s="323" t="str">
        <f t="shared" si="419"/>
        <v xml:space="preserve"> </v>
      </c>
      <c r="BW118" s="198" t="str">
        <f t="shared" si="420"/>
        <v xml:space="preserve"> </v>
      </c>
    </row>
    <row r="119" spans="1:76" ht="18.75">
      <c r="A119" s="160"/>
      <c r="B119" s="161" t="s">
        <v>154</v>
      </c>
      <c r="C119" s="1527" t="s">
        <v>13</v>
      </c>
      <c r="D119" s="170">
        <v>26741</v>
      </c>
      <c r="E119" s="162"/>
      <c r="F119" s="162"/>
      <c r="G119" s="1176"/>
      <c r="H119" s="1176"/>
      <c r="I119" s="483"/>
      <c r="J119" s="512">
        <v>26129.759999999998</v>
      </c>
      <c r="K119" s="162"/>
      <c r="L119" s="162"/>
      <c r="M119" s="1176"/>
      <c r="N119" s="1176"/>
      <c r="O119" s="483"/>
      <c r="P119" s="170">
        <f>[185]индексы!G89</f>
        <v>26741</v>
      </c>
      <c r="Q119" s="162"/>
      <c r="R119" s="162"/>
      <c r="S119" s="1176"/>
      <c r="T119" s="1176"/>
      <c r="U119" s="483"/>
      <c r="V119" s="512">
        <v>26130</v>
      </c>
      <c r="W119" s="162"/>
      <c r="X119" s="162"/>
      <c r="Y119" s="1176"/>
      <c r="Z119" s="1176"/>
      <c r="AA119" s="483"/>
      <c r="AB119" s="170">
        <f>[185]индексы!J89</f>
        <v>26741</v>
      </c>
      <c r="AC119" s="162"/>
      <c r="AD119" s="162"/>
      <c r="AE119" s="1176"/>
      <c r="AF119" s="1176"/>
      <c r="AG119" s="483"/>
      <c r="AH119" s="512">
        <f>V119</f>
        <v>26130</v>
      </c>
      <c r="AI119" s="162"/>
      <c r="AJ119" s="162"/>
      <c r="AK119" s="1176"/>
      <c r="AL119" s="1176"/>
      <c r="AM119" s="483"/>
      <c r="AN119" s="170">
        <f>[185]индексы!M89</f>
        <v>26741</v>
      </c>
      <c r="AO119" s="162"/>
      <c r="AP119" s="162"/>
      <c r="AQ119" s="1176"/>
      <c r="AR119" s="1176"/>
      <c r="AS119" s="483"/>
      <c r="AT119" s="512">
        <v>26130</v>
      </c>
      <c r="AU119" s="162"/>
      <c r="AV119" s="162"/>
      <c r="AW119" s="1176"/>
      <c r="AX119" s="1176"/>
      <c r="AY119" s="483"/>
      <c r="AZ119" s="170">
        <f>[185]индексы!P89</f>
        <v>26741</v>
      </c>
      <c r="BA119" s="162"/>
      <c r="BB119" s="162"/>
      <c r="BC119" s="1176"/>
      <c r="BD119" s="1176"/>
      <c r="BE119" s="483"/>
      <c r="BF119" s="512">
        <f>AT119</f>
        <v>26130</v>
      </c>
      <c r="BG119" s="162"/>
      <c r="BH119" s="162"/>
      <c r="BI119" s="1176"/>
      <c r="BJ119" s="1176"/>
      <c r="BK119" s="483"/>
      <c r="BL119" s="170">
        <f>[185]индексы!S89</f>
        <v>26741</v>
      </c>
      <c r="BM119" s="162"/>
      <c r="BN119" s="162"/>
      <c r="BO119" s="1176"/>
      <c r="BP119" s="1176"/>
      <c r="BQ119" s="483"/>
      <c r="BR119" s="940">
        <f t="shared" si="351"/>
        <v>1.0233924842784625</v>
      </c>
      <c r="BS119" s="542">
        <f t="shared" si="352"/>
        <v>1</v>
      </c>
      <c r="BT119" s="1502">
        <f t="shared" si="417"/>
        <v>1</v>
      </c>
      <c r="BU119" s="323">
        <f t="shared" si="418"/>
        <v>1</v>
      </c>
      <c r="BV119" s="323">
        <f t="shared" si="419"/>
        <v>1</v>
      </c>
      <c r="BW119" s="198">
        <f t="shared" si="420"/>
        <v>1</v>
      </c>
    </row>
    <row r="120" spans="1:76" ht="18.75">
      <c r="A120" s="160"/>
      <c r="B120" s="161" t="s">
        <v>155</v>
      </c>
      <c r="C120" s="1527" t="s">
        <v>13</v>
      </c>
      <c r="D120" s="170">
        <v>272.83999999999997</v>
      </c>
      <c r="E120" s="162"/>
      <c r="F120" s="162"/>
      <c r="G120" s="1176"/>
      <c r="H120" s="1176"/>
      <c r="I120" s="483"/>
      <c r="J120" s="512">
        <v>266.55</v>
      </c>
      <c r="K120" s="162"/>
      <c r="L120" s="162"/>
      <c r="M120" s="1176"/>
      <c r="N120" s="1176"/>
      <c r="O120" s="483"/>
      <c r="P120" s="170">
        <v>272.83999999999997</v>
      </c>
      <c r="Q120" s="162"/>
      <c r="R120" s="162"/>
      <c r="S120" s="1176"/>
      <c r="T120" s="1176"/>
      <c r="U120" s="483"/>
      <c r="V120" s="512">
        <v>266</v>
      </c>
      <c r="W120" s="162"/>
      <c r="X120" s="162"/>
      <c r="Y120" s="1176"/>
      <c r="Z120" s="1176"/>
      <c r="AA120" s="483"/>
      <c r="AB120" s="170">
        <f>P120</f>
        <v>272.83999999999997</v>
      </c>
      <c r="AC120" s="162"/>
      <c r="AD120" s="162"/>
      <c r="AE120" s="1176"/>
      <c r="AF120" s="1176"/>
      <c r="AG120" s="483"/>
      <c r="AH120" s="512">
        <f>V120</f>
        <v>266</v>
      </c>
      <c r="AI120" s="162"/>
      <c r="AJ120" s="162"/>
      <c r="AK120" s="1176"/>
      <c r="AL120" s="1176"/>
      <c r="AM120" s="483"/>
      <c r="AN120" s="170">
        <f>AB120</f>
        <v>272.83999999999997</v>
      </c>
      <c r="AO120" s="162"/>
      <c r="AP120" s="162"/>
      <c r="AQ120" s="1176"/>
      <c r="AR120" s="1176"/>
      <c r="AS120" s="483"/>
      <c r="AT120" s="512">
        <v>266</v>
      </c>
      <c r="AU120" s="162"/>
      <c r="AV120" s="162"/>
      <c r="AW120" s="1176"/>
      <c r="AX120" s="1176"/>
      <c r="AY120" s="483"/>
      <c r="AZ120" s="170">
        <f>AN120</f>
        <v>272.83999999999997</v>
      </c>
      <c r="BA120" s="162"/>
      <c r="BB120" s="162"/>
      <c r="BC120" s="1176"/>
      <c r="BD120" s="1176"/>
      <c r="BE120" s="483"/>
      <c r="BF120" s="512">
        <f>AT120</f>
        <v>266</v>
      </c>
      <c r="BG120" s="162"/>
      <c r="BH120" s="162"/>
      <c r="BI120" s="1176"/>
      <c r="BJ120" s="1176"/>
      <c r="BK120" s="483"/>
      <c r="BL120" s="170">
        <f>AZ120</f>
        <v>272.83999999999997</v>
      </c>
      <c r="BM120" s="162"/>
      <c r="BN120" s="162"/>
      <c r="BO120" s="1176"/>
      <c r="BP120" s="1176"/>
      <c r="BQ120" s="483"/>
      <c r="BR120" s="940">
        <f t="shared" si="351"/>
        <v>1.0235978240480208</v>
      </c>
      <c r="BS120" s="542">
        <f t="shared" si="352"/>
        <v>1</v>
      </c>
      <c r="BT120" s="1502">
        <f t="shared" si="417"/>
        <v>1</v>
      </c>
      <c r="BU120" s="323">
        <f t="shared" si="418"/>
        <v>1</v>
      </c>
      <c r="BV120" s="323">
        <f t="shared" si="419"/>
        <v>1</v>
      </c>
      <c r="BW120" s="198">
        <f t="shared" si="420"/>
        <v>1</v>
      </c>
    </row>
    <row r="121" spans="1:76" ht="18.75" outlineLevel="1">
      <c r="A121" s="160"/>
      <c r="B121" s="161" t="s">
        <v>75</v>
      </c>
      <c r="C121" s="1527" t="s">
        <v>76</v>
      </c>
      <c r="D121" s="357"/>
      <c r="E121" s="164"/>
      <c r="F121" s="164"/>
      <c r="G121" s="1177"/>
      <c r="H121" s="1177">
        <v>101888</v>
      </c>
      <c r="I121" s="484"/>
      <c r="J121" s="513"/>
      <c r="K121" s="501"/>
      <c r="L121" s="501"/>
      <c r="M121" s="1531"/>
      <c r="N121" s="1531">
        <v>10334.290000000001</v>
      </c>
      <c r="O121" s="502"/>
      <c r="P121" s="357"/>
      <c r="Q121" s="164"/>
      <c r="R121" s="164"/>
      <c r="S121" s="1177"/>
      <c r="T121" s="1177">
        <v>101888</v>
      </c>
      <c r="U121" s="484"/>
      <c r="V121" s="513"/>
      <c r="W121" s="501"/>
      <c r="X121" s="501"/>
      <c r="Y121" s="1531"/>
      <c r="Z121" s="1531">
        <f>N121</f>
        <v>10334.290000000001</v>
      </c>
      <c r="AA121" s="502"/>
      <c r="AB121" s="357"/>
      <c r="AC121" s="164"/>
      <c r="AD121" s="164"/>
      <c r="AE121" s="1177"/>
      <c r="AF121" s="1177">
        <f>AR121</f>
        <v>101888</v>
      </c>
      <c r="AG121" s="484"/>
      <c r="AH121" s="513"/>
      <c r="AI121" s="501"/>
      <c r="AJ121" s="501"/>
      <c r="AK121" s="1531"/>
      <c r="AL121" s="1531">
        <f>Z121</f>
        <v>10334.290000000001</v>
      </c>
      <c r="AM121" s="502"/>
      <c r="AN121" s="357"/>
      <c r="AO121" s="164"/>
      <c r="AP121" s="164"/>
      <c r="AQ121" s="1177"/>
      <c r="AR121" s="1177">
        <f>BD121</f>
        <v>101888</v>
      </c>
      <c r="AS121" s="484"/>
      <c r="AT121" s="513"/>
      <c r="AU121" s="501"/>
      <c r="AV121" s="501"/>
      <c r="AW121" s="1531"/>
      <c r="AX121" s="1531">
        <f>AL121</f>
        <v>10334.290000000001</v>
      </c>
      <c r="AY121" s="502"/>
      <c r="AZ121" s="357"/>
      <c r="BA121" s="164"/>
      <c r="BB121" s="164"/>
      <c r="BC121" s="1177"/>
      <c r="BD121" s="1177">
        <f>BP121</f>
        <v>101888</v>
      </c>
      <c r="BE121" s="484"/>
      <c r="BF121" s="513"/>
      <c r="BG121" s="501"/>
      <c r="BH121" s="501"/>
      <c r="BI121" s="1531"/>
      <c r="BJ121" s="1531">
        <f>AX121</f>
        <v>10334.290000000001</v>
      </c>
      <c r="BK121" s="502"/>
      <c r="BL121" s="357"/>
      <c r="BM121" s="164"/>
      <c r="BN121" s="164"/>
      <c r="BO121" s="1177"/>
      <c r="BP121" s="1177">
        <f>T121</f>
        <v>101888</v>
      </c>
      <c r="BQ121" s="484"/>
      <c r="BR121" s="940" t="str">
        <f t="shared" si="351"/>
        <v xml:space="preserve"> </v>
      </c>
      <c r="BS121" s="542" t="str">
        <f t="shared" si="352"/>
        <v xml:space="preserve"> </v>
      </c>
      <c r="BT121" s="1502" t="str">
        <f t="shared" si="417"/>
        <v xml:space="preserve"> </v>
      </c>
      <c r="BU121" s="323" t="str">
        <f t="shared" si="418"/>
        <v xml:space="preserve"> </v>
      </c>
      <c r="BV121" s="323" t="str">
        <f t="shared" si="419"/>
        <v xml:space="preserve"> </v>
      </c>
      <c r="BW121" s="198" t="str">
        <f t="shared" si="420"/>
        <v xml:space="preserve"> </v>
      </c>
    </row>
    <row r="122" spans="1:76" ht="18.75">
      <c r="A122" s="160"/>
      <c r="B122" s="161" t="s">
        <v>156</v>
      </c>
      <c r="C122" s="1527" t="s">
        <v>1</v>
      </c>
      <c r="D122" s="171">
        <f>ROUND(E124*D120/1000,2)</f>
        <v>264.83</v>
      </c>
      <c r="E122" s="164"/>
      <c r="F122" s="164"/>
      <c r="G122" s="1174"/>
      <c r="H122" s="1174"/>
      <c r="I122" s="482"/>
      <c r="J122" s="169">
        <f>ROUND(K124*J120/1000,2)</f>
        <v>302.81</v>
      </c>
      <c r="K122" s="501"/>
      <c r="L122" s="501"/>
      <c r="M122" s="1532"/>
      <c r="N122" s="1532"/>
      <c r="O122" s="503"/>
      <c r="P122" s="171">
        <f>ROUND(Q124*P120/1000,2)</f>
        <v>276.56</v>
      </c>
      <c r="Q122" s="164"/>
      <c r="R122" s="164"/>
      <c r="S122" s="1174"/>
      <c r="T122" s="1174"/>
      <c r="U122" s="482"/>
      <c r="V122" s="169">
        <f>ROUND(W124*V120/1000,2)</f>
        <v>320.35000000000002</v>
      </c>
      <c r="W122" s="501"/>
      <c r="X122" s="501"/>
      <c r="Y122" s="1532"/>
      <c r="Z122" s="1532"/>
      <c r="AA122" s="503"/>
      <c r="AB122" s="171">
        <f>ROUND(AC124*AB120/1000,2)</f>
        <v>283.19</v>
      </c>
      <c r="AC122" s="164"/>
      <c r="AD122" s="164"/>
      <c r="AE122" s="1174"/>
      <c r="AF122" s="1174"/>
      <c r="AG122" s="482"/>
      <c r="AH122" s="169">
        <f>ROUND(AI124*AH120/1000,2)</f>
        <v>333.33</v>
      </c>
      <c r="AI122" s="501"/>
      <c r="AJ122" s="501"/>
      <c r="AK122" s="1532"/>
      <c r="AL122" s="1532"/>
      <c r="AM122" s="503"/>
      <c r="AN122" s="171">
        <f>ROUND(AO124*AN120/1000,2)</f>
        <v>289.54000000000002</v>
      </c>
      <c r="AO122" s="164"/>
      <c r="AP122" s="164"/>
      <c r="AQ122" s="1174"/>
      <c r="AR122" s="1174"/>
      <c r="AS122" s="482"/>
      <c r="AT122" s="169">
        <f>ROUND(AU124*AT120/1000,2)</f>
        <v>346.48</v>
      </c>
      <c r="AU122" s="501"/>
      <c r="AV122" s="501"/>
      <c r="AW122" s="1532"/>
      <c r="AX122" s="1532"/>
      <c r="AY122" s="503"/>
      <c r="AZ122" s="171">
        <f>ROUND(BA124*AZ120/1000,2)</f>
        <v>300.01</v>
      </c>
      <c r="BA122" s="164"/>
      <c r="BB122" s="164"/>
      <c r="BC122" s="1174"/>
      <c r="BD122" s="1174"/>
      <c r="BE122" s="482"/>
      <c r="BF122" s="169">
        <f>ROUND(BG124*BF120/1000,2)</f>
        <v>361.33</v>
      </c>
      <c r="BG122" s="501"/>
      <c r="BH122" s="501"/>
      <c r="BI122" s="1532"/>
      <c r="BJ122" s="1532"/>
      <c r="BK122" s="503"/>
      <c r="BL122" s="171">
        <f>ROUND(BM124*BL120/1000,2)</f>
        <v>309.12</v>
      </c>
      <c r="BM122" s="164"/>
      <c r="BN122" s="164"/>
      <c r="BO122" s="1174"/>
      <c r="BP122" s="1174"/>
      <c r="BQ122" s="482"/>
      <c r="BR122" s="940">
        <f t="shared" si="351"/>
        <v>0.91331197780786633</v>
      </c>
      <c r="BS122" s="542">
        <f t="shared" si="352"/>
        <v>1.044292565041725</v>
      </c>
      <c r="BT122" s="1502">
        <f t="shared" si="417"/>
        <v>1.0239730980619033</v>
      </c>
      <c r="BU122" s="323">
        <f t="shared" si="418"/>
        <v>1.022423108160599</v>
      </c>
      <c r="BV122" s="323">
        <f t="shared" si="419"/>
        <v>1.0361608067969883</v>
      </c>
      <c r="BW122" s="198">
        <f t="shared" si="420"/>
        <v>1.0303656544781841</v>
      </c>
    </row>
    <row r="123" spans="1:76" ht="18.75">
      <c r="A123" s="160"/>
      <c r="B123" s="161" t="s">
        <v>157</v>
      </c>
      <c r="C123" s="1527" t="s">
        <v>1</v>
      </c>
      <c r="D123" s="171">
        <f>F99+D122</f>
        <v>2466.0744513</v>
      </c>
      <c r="E123" s="164"/>
      <c r="F123" s="164"/>
      <c r="G123" s="1174"/>
      <c r="H123" s="1174"/>
      <c r="I123" s="482"/>
      <c r="J123" s="169">
        <f>L99+J122</f>
        <v>3588.5467572146686</v>
      </c>
      <c r="K123" s="501"/>
      <c r="L123" s="501"/>
      <c r="M123" s="1532"/>
      <c r="N123" s="1532"/>
      <c r="O123" s="503"/>
      <c r="P123" s="171">
        <f>R99+P122</f>
        <v>2930.0320000000002</v>
      </c>
      <c r="Q123" s="164"/>
      <c r="R123" s="164"/>
      <c r="S123" s="1174"/>
      <c r="T123" s="1174"/>
      <c r="U123" s="482"/>
      <c r="V123" s="169">
        <f>X99+V122</f>
        <v>3181.8555040000006</v>
      </c>
      <c r="W123" s="501"/>
      <c r="X123" s="501"/>
      <c r="Y123" s="1532"/>
      <c r="Z123" s="1532"/>
      <c r="AA123" s="503"/>
      <c r="AB123" s="171">
        <f>AD99+AB122</f>
        <v>2999.4500000000003</v>
      </c>
      <c r="AC123" s="164"/>
      <c r="AD123" s="164"/>
      <c r="AE123" s="1174"/>
      <c r="AF123" s="1174"/>
      <c r="AG123" s="482"/>
      <c r="AH123" s="169">
        <f>AJ99+AH122</f>
        <v>3279.5360669184006</v>
      </c>
      <c r="AI123" s="501"/>
      <c r="AJ123" s="501"/>
      <c r="AK123" s="1532"/>
      <c r="AL123" s="1532"/>
      <c r="AM123" s="503"/>
      <c r="AN123" s="171">
        <f>AP99+AN122</f>
        <v>3086.2</v>
      </c>
      <c r="AO123" s="164"/>
      <c r="AP123" s="164"/>
      <c r="AQ123" s="1174"/>
      <c r="AR123" s="1174"/>
      <c r="AS123" s="482"/>
      <c r="AT123" s="169">
        <f>AV99+AT122</f>
        <v>3379.8937664991859</v>
      </c>
      <c r="AU123" s="501"/>
      <c r="AV123" s="501"/>
      <c r="AW123" s="1532"/>
      <c r="AX123" s="1532"/>
      <c r="AY123" s="503"/>
      <c r="AZ123" s="171">
        <f>BB99+AZ122</f>
        <v>3179.45</v>
      </c>
      <c r="BA123" s="164"/>
      <c r="BB123" s="164"/>
      <c r="BC123" s="1174"/>
      <c r="BD123" s="1174"/>
      <c r="BE123" s="482"/>
      <c r="BF123" s="169">
        <f>BH99+BF122</f>
        <v>3484.5328139875614</v>
      </c>
      <c r="BG123" s="501"/>
      <c r="BH123" s="501"/>
      <c r="BI123" s="1532"/>
      <c r="BJ123" s="1532"/>
      <c r="BK123" s="503"/>
      <c r="BL123" s="171">
        <f>BN99+BL122</f>
        <v>3273.79</v>
      </c>
      <c r="BM123" s="164"/>
      <c r="BN123" s="164"/>
      <c r="BO123" s="1174"/>
      <c r="BP123" s="1174"/>
      <c r="BQ123" s="482"/>
      <c r="BR123" s="940">
        <f t="shared" si="351"/>
        <v>0.81649542230688688</v>
      </c>
      <c r="BS123" s="542">
        <f t="shared" si="352"/>
        <v>1.1881360672040633</v>
      </c>
      <c r="BT123" s="1502">
        <f t="shared" si="417"/>
        <v>1.023691891419616</v>
      </c>
      <c r="BU123" s="323">
        <f t="shared" si="418"/>
        <v>1.028921969027655</v>
      </c>
      <c r="BV123" s="323">
        <f t="shared" si="419"/>
        <v>1.0302151513187738</v>
      </c>
      <c r="BW123" s="198">
        <f t="shared" si="420"/>
        <v>1.0296717985815158</v>
      </c>
    </row>
    <row r="124" spans="1:76" s="176" customFormat="1" ht="20.25" thickBot="1">
      <c r="A124" s="172"/>
      <c r="B124" s="173" t="s">
        <v>158</v>
      </c>
      <c r="C124" s="1533" t="s">
        <v>12</v>
      </c>
      <c r="D124" s="1534">
        <f>E124+F124</f>
        <v>1062.8510405909969</v>
      </c>
      <c r="E124" s="1535">
        <f>IF((D117+D120)&gt;0,(E99)*1000/(D117+D120),0)</f>
        <v>970.63031394277891</v>
      </c>
      <c r="F124" s="1535">
        <f>IF(D119&gt;0,D123*1000/D119,0)</f>
        <v>92.22072664821809</v>
      </c>
      <c r="G124" s="1536"/>
      <c r="H124" s="1536"/>
      <c r="I124" s="1040"/>
      <c r="J124" s="1537">
        <f>K124+L124</f>
        <v>1273.3826810707492</v>
      </c>
      <c r="K124" s="1538">
        <f>IF((J117+J120)&gt;0,(K99)*1000/(J117+J120),0)</f>
        <v>1136.0470623274209</v>
      </c>
      <c r="L124" s="1538">
        <f>IF(J119&gt;0,J123*1000/J119,0)</f>
        <v>137.33561874332827</v>
      </c>
      <c r="M124" s="1539"/>
      <c r="N124" s="1539"/>
      <c r="O124" s="1058"/>
      <c r="P124" s="1534">
        <f>Q124+R124</f>
        <v>1123.21</v>
      </c>
      <c r="Q124" s="1535">
        <f>ROUND(IF((P117+P120)&gt;0,(Q99)*1000/(P117+P120),0),2)</f>
        <v>1013.64</v>
      </c>
      <c r="R124" s="1535">
        <f>ROUND(IF(P119&gt;0,P123*1000/P119,0),2)</f>
        <v>109.57</v>
      </c>
      <c r="S124" s="1536"/>
      <c r="T124" s="1536"/>
      <c r="U124" s="1040"/>
      <c r="V124" s="514">
        <f>W124+X124</f>
        <v>1326.09166812934</v>
      </c>
      <c r="W124" s="504">
        <f>IF((V117+V120)&gt;0,(W99)*1000/(V117+V120),2)</f>
        <v>1204.3214613172465</v>
      </c>
      <c r="X124" s="504">
        <f>IF(V119&gt;0,V123*1000/V119,0)</f>
        <v>121.77020681209341</v>
      </c>
      <c r="Y124" s="1540"/>
      <c r="Z124" s="1540"/>
      <c r="AA124" s="505"/>
      <c r="AB124" s="174">
        <f>AC124+AD124</f>
        <v>1150.102449901121</v>
      </c>
      <c r="AC124" s="175">
        <f>IF((AB117+AB120)&gt;0,(AC99)*1000/(AB117+AB120),0)</f>
        <v>1037.9357396060684</v>
      </c>
      <c r="AD124" s="175">
        <f>IF(AB119&gt;0,AB123*1000/AB119,0)</f>
        <v>112.16671029505255</v>
      </c>
      <c r="AE124" s="1179"/>
      <c r="AF124" s="1179"/>
      <c r="AG124" s="485"/>
      <c r="AH124" s="514">
        <f>AI124+AJ124</f>
        <v>1378.6236971031872</v>
      </c>
      <c r="AI124" s="504">
        <f>IF((AH117+AH120)&gt;0,(AI99)*1000/(AH117+AH120),0)</f>
        <v>1253.1152368307646</v>
      </c>
      <c r="AJ124" s="504">
        <f>IF(AH119&gt;0,AH123*1000/AH119,0)</f>
        <v>125.50846027242252</v>
      </c>
      <c r="AK124" s="1540"/>
      <c r="AL124" s="1540"/>
      <c r="AM124" s="505"/>
      <c r="AN124" s="174">
        <f>AO124+AP124</f>
        <v>1176.6212682314999</v>
      </c>
      <c r="AO124" s="175">
        <f>IF((AN117+AN120)&gt;0,(AO99)*1000/(AN117+AN120),0)</f>
        <v>1061.2104758153598</v>
      </c>
      <c r="AP124" s="175">
        <f>IF(AN119&gt;0,AN123*1000/AN119,0)</f>
        <v>115.41079241614001</v>
      </c>
      <c r="AQ124" s="1179"/>
      <c r="AR124" s="1179"/>
      <c r="AS124" s="485"/>
      <c r="AT124" s="514">
        <f>AU124+AV124</f>
        <v>1431.9181091401658</v>
      </c>
      <c r="AU124" s="504">
        <f>IF((AT117+AT120)&gt;0,(AU99)*1000/(AT117+AT120),2)</f>
        <v>1302.5689408853175</v>
      </c>
      <c r="AV124" s="504">
        <f>IF(AT119&gt;0,AT123*1000/AT119,0)</f>
        <v>129.34916825484831</v>
      </c>
      <c r="AW124" s="1540"/>
      <c r="AX124" s="1540"/>
      <c r="AY124" s="505"/>
      <c r="AZ124" s="174">
        <f>BA124+BB124</f>
        <v>1218.4931914845154</v>
      </c>
      <c r="BA124" s="175">
        <f>IF((AZ117+AZ120)&gt;0,(BA99)*1000/(AZ117+AZ120),0)</f>
        <v>1099.595244511702</v>
      </c>
      <c r="BB124" s="175">
        <f>IF(AZ119&gt;0,AZ123*1000/AZ119,0)</f>
        <v>118.89794697281329</v>
      </c>
      <c r="BC124" s="1179"/>
      <c r="BD124" s="1179"/>
      <c r="BE124" s="485"/>
      <c r="BF124" s="514">
        <f>BG124+BH124</f>
        <v>1491.7463057583302</v>
      </c>
      <c r="BG124" s="504">
        <f>IF((BF117+BF120)&gt;0,(BG99)*1000/(BF117+BF120),0)</f>
        <v>1358.3925815337775</v>
      </c>
      <c r="BH124" s="504">
        <f>IF(BF119&gt;0,BF123*1000/BF119,0)</f>
        <v>133.35372422455268</v>
      </c>
      <c r="BI124" s="1540"/>
      <c r="BJ124" s="1540"/>
      <c r="BK124" s="505"/>
      <c r="BL124" s="174">
        <f>BM124+BN124</f>
        <v>1255.4039955976482</v>
      </c>
      <c r="BM124" s="175">
        <f>IF((BL117+BL120)&gt;0,(BM99)*1000/(BL117+BL120),0)</f>
        <v>1132.978132690502</v>
      </c>
      <c r="BN124" s="175">
        <f>IF(BL119&gt;0,BL123*1000/BL119,0)</f>
        <v>122.42586290714632</v>
      </c>
      <c r="BO124" s="1179"/>
      <c r="BP124" s="1179"/>
      <c r="BQ124" s="485"/>
      <c r="BR124" s="940">
        <f t="shared" si="351"/>
        <v>0.88206790990397843</v>
      </c>
      <c r="BS124" s="542">
        <f t="shared" si="352"/>
        <v>1.0567896695810173</v>
      </c>
      <c r="BT124" s="1541">
        <f t="shared" si="417"/>
        <v>1.0239424950820604</v>
      </c>
      <c r="BU124" s="326">
        <f t="shared" si="418"/>
        <v>1.0230577878802527</v>
      </c>
      <c r="BV124" s="326">
        <f t="shared" si="419"/>
        <v>1.0355865769075807</v>
      </c>
      <c r="BW124" s="327">
        <f t="shared" si="420"/>
        <v>1.0302921709953616</v>
      </c>
      <c r="BX124" s="966"/>
    </row>
    <row r="125" spans="1:76" s="176" customFormat="1" ht="20.25" outlineLevel="1" thickBot="1">
      <c r="A125" s="172"/>
      <c r="B125" s="173" t="s">
        <v>260</v>
      </c>
      <c r="C125" s="1533" t="s">
        <v>53</v>
      </c>
      <c r="D125" s="1072"/>
      <c r="E125" s="1073"/>
      <c r="F125" s="1073"/>
      <c r="G125" s="1074">
        <f>IF(G121&gt;0,G99/G121*1000,0)</f>
        <v>0</v>
      </c>
      <c r="H125" s="1074">
        <f t="shared" ref="H125" si="518">IF(H121&gt;0,H99/H121*1000,0)</f>
        <v>24.663846576633166</v>
      </c>
      <c r="I125" s="1075">
        <f>IF(I121&gt;0,I99/I121*1000,0)</f>
        <v>0</v>
      </c>
      <c r="J125" s="1083"/>
      <c r="K125" s="1084"/>
      <c r="L125" s="1084"/>
      <c r="M125" s="1085">
        <f>IF(M121&gt;0,M99/M121*1000,0)</f>
        <v>0</v>
      </c>
      <c r="N125" s="1085">
        <f t="shared" ref="N125" si="519">IF(N121&gt;0,N99/N121*1000,0)</f>
        <v>38.166112717951599</v>
      </c>
      <c r="O125" s="1086">
        <f>IF(O121&gt;0,O99/O121*1000,0)</f>
        <v>0</v>
      </c>
      <c r="P125" s="1072"/>
      <c r="Q125" s="1073"/>
      <c r="R125" s="1073"/>
      <c r="S125" s="1074">
        <f>IF(S121&gt;0,S99/S121*1000,0)</f>
        <v>0</v>
      </c>
      <c r="T125" s="1074">
        <f t="shared" ref="T125" si="520">IF(T121&gt;0,T99/T121*1000,0)</f>
        <v>26.433633008793972</v>
      </c>
      <c r="U125" s="1075">
        <f>IF(U121&gt;0,U99/U121*1000,0)</f>
        <v>0</v>
      </c>
      <c r="V125" s="1083"/>
      <c r="W125" s="1084"/>
      <c r="X125" s="1084"/>
      <c r="Y125" s="1090">
        <f>IF(Y121&gt;0,Y99/Y121*1000,0)</f>
        <v>0</v>
      </c>
      <c r="Z125" s="1090">
        <f t="shared" ref="Z125" si="521">IF(Z121&gt;0,Z99/Z121*1000,0)</f>
        <v>42.318589829328559</v>
      </c>
      <c r="AA125" s="1091">
        <f>IF(AA121&gt;0,AA99/AA121*1000,0)</f>
        <v>0</v>
      </c>
      <c r="AB125" s="1072"/>
      <c r="AC125" s="1073"/>
      <c r="AD125" s="1073"/>
      <c r="AE125" s="1180">
        <f>IF(AE121&gt;0,AE99/AE121*1000,0)</f>
        <v>0</v>
      </c>
      <c r="AF125" s="1181">
        <f t="shared" ref="AF125" si="522">IF(AF121&gt;0,AF99/AF121*1000,0)</f>
        <v>28.659901067839193</v>
      </c>
      <c r="AG125" s="1182">
        <f>IF(AG121&gt;0,AG99/AG121*1000,0)</f>
        <v>0</v>
      </c>
      <c r="AH125" s="1083"/>
      <c r="AI125" s="1084"/>
      <c r="AJ125" s="1084"/>
      <c r="AK125" s="1090">
        <f>IF(AK121&gt;0,AK99/AK121*1000,0)</f>
        <v>0</v>
      </c>
      <c r="AL125" s="1090">
        <f t="shared" ref="AL125" si="523">IF(AL121&gt;0,AL99/AL121*1000,0)</f>
        <v>46.992973639571936</v>
      </c>
      <c r="AM125" s="571">
        <f>IF(AM121&gt;0,AM99/AM121*1000,0)</f>
        <v>0</v>
      </c>
      <c r="AN125" s="567"/>
      <c r="AO125" s="568"/>
      <c r="AP125" s="568"/>
      <c r="AQ125" s="1542">
        <f>IF(AQ121&gt;0,AQ99/AQ121*1000,0)</f>
        <v>0</v>
      </c>
      <c r="AR125" s="1543">
        <f t="shared" ref="AR125" si="524">IF(AR121&gt;0,AR99/AR121*1000,0)</f>
        <v>30.315248115577891</v>
      </c>
      <c r="AS125" s="570">
        <f>IF(AS121&gt;0,AS99/AS121*1000,0)</f>
        <v>0</v>
      </c>
      <c r="AT125" s="1083"/>
      <c r="AU125" s="1084"/>
      <c r="AV125" s="1084"/>
      <c r="AW125" s="1090">
        <f>IF(AW121&gt;0,AW99/AW121*1000,0)</f>
        <v>0</v>
      </c>
      <c r="AX125" s="1090">
        <f t="shared" ref="AX125" si="525">IF(AX121&gt;0,AX99/AX121*1000,0)</f>
        <v>51.909056622543432</v>
      </c>
      <c r="AY125" s="571">
        <f>IF(AY121&gt;0,AY99/AY121*1000,0)</f>
        <v>0</v>
      </c>
      <c r="AZ125" s="567"/>
      <c r="BA125" s="568"/>
      <c r="BB125" s="568"/>
      <c r="BC125" s="1542">
        <f>IF(BC121&gt;0,BC99/BC121*1000,0)</f>
        <v>0</v>
      </c>
      <c r="BD125" s="1543">
        <f t="shared" ref="BD125" si="526">IF(BD121&gt;0,BD99/BD121*1000,0)</f>
        <v>31.526970791457291</v>
      </c>
      <c r="BE125" s="570">
        <f>IF(BE121&gt;0,BE99/BE121*1000,0)</f>
        <v>0</v>
      </c>
      <c r="BF125" s="1083"/>
      <c r="BG125" s="1084"/>
      <c r="BH125" s="1084"/>
      <c r="BI125" s="1090">
        <f>IF(BI121&gt;0,BI99/BI121*1000,0)</f>
        <v>0</v>
      </c>
      <c r="BJ125" s="1090">
        <f t="shared" ref="BJ125" si="527">IF(BJ121&gt;0,BJ99/BJ121*1000,0)</f>
        <v>57.564523832047072</v>
      </c>
      <c r="BK125" s="571">
        <f>IF(BK121&gt;0,BK99/BK121*1000,0)</f>
        <v>0</v>
      </c>
      <c r="BL125" s="567"/>
      <c r="BM125" s="568"/>
      <c r="BN125" s="568"/>
      <c r="BO125" s="1542">
        <f>IF(BO121&gt;0,BO99/BO121*1000,0)</f>
        <v>0</v>
      </c>
      <c r="BP125" s="1543">
        <f t="shared" ref="BP125" si="528">IF(BP121&gt;0,BP99/BP121*1000,0)</f>
        <v>32.784135521356781</v>
      </c>
      <c r="BQ125" s="570">
        <f>IF(BQ121&gt;0,BQ99/BQ121*1000,0)</f>
        <v>0</v>
      </c>
      <c r="BR125" s="940" t="str">
        <f t="shared" si="351"/>
        <v xml:space="preserve"> </v>
      </c>
      <c r="BS125" s="542" t="str">
        <f t="shared" si="352"/>
        <v xml:space="preserve"> </v>
      </c>
      <c r="BT125" s="1541" t="str">
        <f t="shared" si="417"/>
        <v xml:space="preserve"> </v>
      </c>
      <c r="BU125" s="326" t="str">
        <f t="shared" si="418"/>
        <v xml:space="preserve"> </v>
      </c>
      <c r="BV125" s="326" t="str">
        <f t="shared" si="419"/>
        <v xml:space="preserve"> </v>
      </c>
      <c r="BW125" s="327" t="str">
        <f t="shared" si="420"/>
        <v xml:space="preserve"> </v>
      </c>
      <c r="BX125" s="966"/>
    </row>
    <row r="126" spans="1:76" ht="19.5" thickBot="1">
      <c r="A126" s="177"/>
      <c r="B126" s="178" t="s">
        <v>123</v>
      </c>
      <c r="C126" s="179"/>
      <c r="D126" s="1068" t="str">
        <f>IF(D118&gt;0,(E99+F99)/D117*1000,"---")</f>
        <v>---</v>
      </c>
      <c r="E126" s="1069"/>
      <c r="F126" s="1069"/>
      <c r="G126" s="1070"/>
      <c r="H126" s="1070"/>
      <c r="I126" s="1071"/>
      <c r="J126" s="1079" t="str">
        <f>IF(J118&gt;0,(K99+L99)/J117*1000,"---")</f>
        <v>---</v>
      </c>
      <c r="K126" s="1080"/>
      <c r="L126" s="1080"/>
      <c r="M126" s="1081"/>
      <c r="N126" s="1081"/>
      <c r="O126" s="1082"/>
      <c r="P126" s="1068" t="str">
        <f>IF(P118&gt;0,(Q99+R99)/P117*1000,"---")</f>
        <v>---</v>
      </c>
      <c r="Q126" s="1069"/>
      <c r="R126" s="1069"/>
      <c r="S126" s="1070"/>
      <c r="T126" s="1070"/>
      <c r="U126" s="1071"/>
      <c r="V126" s="1087" t="str">
        <f>IF(V118&gt;0,(W99+X99)/V117*1000,"---")</f>
        <v>---</v>
      </c>
      <c r="W126" s="1080"/>
      <c r="X126" s="1080"/>
      <c r="Y126" s="1081"/>
      <c r="Z126" s="1081"/>
      <c r="AA126" s="1082"/>
      <c r="AB126" s="1068" t="str">
        <f>IF(AB118&gt;0,(AC99+AD99)/AB117*1000,"---")</f>
        <v>---</v>
      </c>
      <c r="AC126" s="1069"/>
      <c r="AD126" s="1069"/>
      <c r="AE126" s="1070"/>
      <c r="AF126" s="1070"/>
      <c r="AG126" s="1071"/>
      <c r="AH126" s="515" t="str">
        <f>IF(AH118&gt;0,(AI99+AJ99)/AH117*1000,"---")</f>
        <v>---</v>
      </c>
      <c r="AI126" s="506"/>
      <c r="AJ126" s="506"/>
      <c r="AK126" s="507"/>
      <c r="AL126" s="507"/>
      <c r="AM126" s="508"/>
      <c r="AN126" s="182" t="str">
        <f>IF(AN118&gt;0,(AO99+AP99)/AN117*1000,"---")</f>
        <v>---</v>
      </c>
      <c r="AO126" s="180"/>
      <c r="AP126" s="180"/>
      <c r="AQ126" s="181"/>
      <c r="AR126" s="181"/>
      <c r="AS126" s="486"/>
      <c r="AT126" s="515" t="str">
        <f>IF(AT118&gt;0,(AU99+AV99)/AT117*1000,"---")</f>
        <v>---</v>
      </c>
      <c r="AU126" s="506"/>
      <c r="AV126" s="506"/>
      <c r="AW126" s="507"/>
      <c r="AX126" s="507"/>
      <c r="AY126" s="508"/>
      <c r="AZ126" s="182" t="str">
        <f>IF(AZ118&gt;0,(BA99+BB99)/AZ117*1000,"---")</f>
        <v>---</v>
      </c>
      <c r="BA126" s="180"/>
      <c r="BB126" s="180"/>
      <c r="BC126" s="181"/>
      <c r="BD126" s="181"/>
      <c r="BE126" s="486"/>
      <c r="BF126" s="515" t="str">
        <f>IF(BF118&gt;0,(BG99+BH99)/BF117*1000,"---")</f>
        <v>---</v>
      </c>
      <c r="BG126" s="506"/>
      <c r="BH126" s="506"/>
      <c r="BI126" s="507"/>
      <c r="BJ126" s="507"/>
      <c r="BK126" s="508"/>
      <c r="BL126" s="182" t="str">
        <f>IF(BL118&gt;0,(BM99+BN99)/BL117*1000,"---")</f>
        <v>---</v>
      </c>
      <c r="BM126" s="180"/>
      <c r="BN126" s="180"/>
      <c r="BO126" s="181"/>
      <c r="BP126" s="181"/>
      <c r="BQ126" s="486"/>
      <c r="BR126" s="940" t="str">
        <f t="shared" si="351"/>
        <v xml:space="preserve"> </v>
      </c>
      <c r="BS126" s="542" t="str">
        <f t="shared" si="352"/>
        <v xml:space="preserve"> </v>
      </c>
      <c r="BT126" s="838" t="str">
        <f t="shared" si="417"/>
        <v xml:space="preserve"> </v>
      </c>
      <c r="BU126" s="328" t="str">
        <f t="shared" si="418"/>
        <v xml:space="preserve"> </v>
      </c>
      <c r="BV126" s="328" t="str">
        <f t="shared" si="419"/>
        <v xml:space="preserve"> </v>
      </c>
      <c r="BW126" s="205" t="str">
        <f t="shared" si="420"/>
        <v xml:space="preserve"> </v>
      </c>
    </row>
    <row r="127" spans="1:76">
      <c r="T127" s="1227">
        <f>T125/H125</f>
        <v>1.0717563023538075</v>
      </c>
    </row>
    <row r="128" spans="1:76">
      <c r="AB128" s="75">
        <f>AB124/P124</f>
        <v>1.0239424950820604</v>
      </c>
    </row>
    <row r="129" spans="16:71">
      <c r="P129" s="183">
        <f>P124/D124</f>
        <v>1.0567896695810173</v>
      </c>
      <c r="Q129" s="183"/>
      <c r="R129" s="183"/>
      <c r="S129" s="183"/>
      <c r="T129" s="183"/>
      <c r="U129" s="183"/>
      <c r="AB129" s="183"/>
      <c r="AC129" s="183"/>
      <c r="AD129" s="183"/>
      <c r="AE129" s="183"/>
      <c r="AF129" s="183"/>
      <c r="AG129" s="183"/>
      <c r="AN129" s="183"/>
      <c r="AO129" s="183"/>
      <c r="AP129" s="183"/>
      <c r="AQ129" s="183"/>
      <c r="AR129" s="183"/>
      <c r="AS129" s="183"/>
      <c r="AZ129" s="183"/>
      <c r="BA129" s="183"/>
      <c r="BB129" s="183"/>
      <c r="BC129" s="183"/>
      <c r="BD129" s="183"/>
      <c r="BE129" s="183"/>
      <c r="BL129" s="183"/>
      <c r="BM129" s="183"/>
      <c r="BN129" s="183"/>
      <c r="BO129" s="183"/>
      <c r="BP129" s="183"/>
      <c r="BQ129" s="183"/>
      <c r="BR129" s="183"/>
      <c r="BS129" s="183"/>
    </row>
    <row r="131" spans="16:71">
      <c r="AB131" s="74"/>
    </row>
    <row r="132" spans="16:71">
      <c r="AB132" s="74"/>
    </row>
  </sheetData>
  <mergeCells count="73">
    <mergeCell ref="A99:B99"/>
    <mergeCell ref="A21:B21"/>
    <mergeCell ref="A59:B59"/>
    <mergeCell ref="A85:B85"/>
    <mergeCell ref="A92:B92"/>
    <mergeCell ref="A93:B93"/>
    <mergeCell ref="A94:B94"/>
    <mergeCell ref="BL6:BL7"/>
    <mergeCell ref="BM6:BN6"/>
    <mergeCell ref="BO6:BP6"/>
    <mergeCell ref="BQ6:BQ7"/>
    <mergeCell ref="A8:B8"/>
    <mergeCell ref="BC6:BD6"/>
    <mergeCell ref="BE6:BE7"/>
    <mergeCell ref="AM6:AM7"/>
    <mergeCell ref="V6:V7"/>
    <mergeCell ref="W6:X6"/>
    <mergeCell ref="Y6:Z6"/>
    <mergeCell ref="AA6:AA7"/>
    <mergeCell ref="AB6:AB7"/>
    <mergeCell ref="AC6:AD6"/>
    <mergeCell ref="BF6:BF7"/>
    <mergeCell ref="BG6:BH6"/>
    <mergeCell ref="A15:B15"/>
    <mergeCell ref="AW6:AX6"/>
    <mergeCell ref="AY6:AY7"/>
    <mergeCell ref="AZ6:AZ7"/>
    <mergeCell ref="BA6:BB6"/>
    <mergeCell ref="AN6:AN7"/>
    <mergeCell ref="AO6:AP6"/>
    <mergeCell ref="AQ6:AR6"/>
    <mergeCell ref="AS6:AS7"/>
    <mergeCell ref="AT6:AT7"/>
    <mergeCell ref="AU6:AV6"/>
    <mergeCell ref="AE6:AF6"/>
    <mergeCell ref="AG6:AG7"/>
    <mergeCell ref="AH6:AH7"/>
    <mergeCell ref="AI6:AJ6"/>
    <mergeCell ref="AK6:AL6"/>
    <mergeCell ref="BV5:BV7"/>
    <mergeCell ref="BW5:BW7"/>
    <mergeCell ref="D6:D7"/>
    <mergeCell ref="E6:F6"/>
    <mergeCell ref="G6:H6"/>
    <mergeCell ref="I6:I7"/>
    <mergeCell ref="J6:J7"/>
    <mergeCell ref="K6:L6"/>
    <mergeCell ref="M6:N6"/>
    <mergeCell ref="O6:O7"/>
    <mergeCell ref="BF5:BK5"/>
    <mergeCell ref="BL5:BQ5"/>
    <mergeCell ref="BR5:BR7"/>
    <mergeCell ref="BS5:BS7"/>
    <mergeCell ref="BT5:BT7"/>
    <mergeCell ref="BU5:BU7"/>
    <mergeCell ref="BI6:BJ6"/>
    <mergeCell ref="BK6:BK7"/>
    <mergeCell ref="V5:AA5"/>
    <mergeCell ref="AB5:AG5"/>
    <mergeCell ref="AH5:AM5"/>
    <mergeCell ref="AN5:AS5"/>
    <mergeCell ref="AT5:AY5"/>
    <mergeCell ref="AZ5:BE5"/>
    <mergeCell ref="A5:A7"/>
    <mergeCell ref="B5:B7"/>
    <mergeCell ref="C5:C7"/>
    <mergeCell ref="D5:I5"/>
    <mergeCell ref="J5:O5"/>
    <mergeCell ref="P5:U5"/>
    <mergeCell ref="P6:P7"/>
    <mergeCell ref="Q6:R6"/>
    <mergeCell ref="S6:T6"/>
    <mergeCell ref="U6:U7"/>
  </mergeCells>
  <pageMargins left="0.23622047244094491" right="0.23622047244094491" top="0.55118110236220474" bottom="0.55118110236220474" header="0.31496062992125984" footer="0.31496062992125984"/>
  <pageSetup paperSize="8" scale="47" fitToWidth="2" fitToHeight="0" orientation="landscape" blackAndWhite="1" r:id="rId1"/>
  <rowBreaks count="1" manualBreakCount="1">
    <brk id="68" max="75" man="1"/>
  </rowBreaks>
  <colBreaks count="1" manualBreakCount="1">
    <brk id="26" min="1" max="1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Z132"/>
  <sheetViews>
    <sheetView view="pageBreakPreview" zoomScale="60" zoomScaleNormal="60" workbookViewId="0">
      <pane xSplit="3" ySplit="7" topLeftCell="D14" activePane="bottomRight" state="frozen"/>
      <selection pane="topRight" activeCell="D1" sqref="D1"/>
      <selection pane="bottomLeft" activeCell="A8" sqref="A8"/>
      <selection pane="bottomRight" activeCell="T128" sqref="T128"/>
    </sheetView>
  </sheetViews>
  <sheetFormatPr defaultColWidth="9" defaultRowHeight="15.75" outlineLevelRow="1" outlineLevelCol="1"/>
  <cols>
    <col min="1" max="1" width="9" style="72"/>
    <col min="2" max="2" width="72.25" style="72" customWidth="1"/>
    <col min="3" max="3" width="11.5" style="72" customWidth="1"/>
    <col min="4" max="6" width="19" style="72" customWidth="1"/>
    <col min="7" max="7" width="19" style="72" hidden="1" customWidth="1"/>
    <col min="8" max="8" width="19" style="72" customWidth="1"/>
    <col min="9" max="9" width="19" style="72" hidden="1" customWidth="1"/>
    <col min="10" max="12" width="17.375" style="72" customWidth="1" outlineLevel="1"/>
    <col min="13" max="13" width="17.375" style="72" hidden="1" customWidth="1" outlineLevel="1"/>
    <col min="14" max="14" width="17.375" style="72" customWidth="1" outlineLevel="1"/>
    <col min="15" max="15" width="17.375" style="72" hidden="1" customWidth="1" outlineLevel="1"/>
    <col min="16" max="16" width="17.125" style="75" customWidth="1" collapsed="1"/>
    <col min="17" max="17" width="17.875" style="75" customWidth="1"/>
    <col min="18" max="18" width="15.375" style="75" customWidth="1"/>
    <col min="19" max="19" width="15.25" style="75" hidden="1" customWidth="1" outlineLevel="1"/>
    <col min="20" max="20" width="14.875" style="75" customWidth="1" outlineLevel="1"/>
    <col min="21" max="21" width="16.125" style="75" hidden="1" customWidth="1" outlineLevel="1"/>
    <col min="22" max="22" width="17.375" style="72" customWidth="1" collapsed="1"/>
    <col min="23" max="23" width="17.375" style="72" customWidth="1"/>
    <col min="24" max="24" width="15.875" style="72" customWidth="1"/>
    <col min="25" max="25" width="14.875" style="72" hidden="1" customWidth="1"/>
    <col min="26" max="26" width="16.125" style="72" customWidth="1"/>
    <col min="27" max="27" width="15.5" style="72" hidden="1" customWidth="1"/>
    <col min="28" max="28" width="17.125" style="75" customWidth="1"/>
    <col min="29" max="29" width="17.875" style="75" customWidth="1"/>
    <col min="30" max="30" width="15.375" style="75" customWidth="1"/>
    <col min="31" max="31" width="14.875" style="75" hidden="1" customWidth="1" outlineLevel="1"/>
    <col min="32" max="32" width="15.125" style="75" customWidth="1" outlineLevel="1"/>
    <col min="33" max="33" width="14.75" style="75" hidden="1" customWidth="1" outlineLevel="1"/>
    <col min="34" max="34" width="16.75" style="72" customWidth="1" collapsed="1"/>
    <col min="35" max="36" width="16.75" style="72" customWidth="1"/>
    <col min="37" max="37" width="15.125" style="72" hidden="1" customWidth="1"/>
    <col min="38" max="38" width="17.125" style="72" customWidth="1"/>
    <col min="39" max="39" width="15.25" style="72" hidden="1" customWidth="1"/>
    <col min="40" max="40" width="17.125" style="75" customWidth="1"/>
    <col min="41" max="41" width="17.875" style="75" customWidth="1"/>
    <col min="42" max="42" width="15.375" style="75" customWidth="1"/>
    <col min="43" max="43" width="14.875" style="75" hidden="1" customWidth="1" outlineLevel="1"/>
    <col min="44" max="44" width="14.75" style="75" customWidth="1" outlineLevel="1"/>
    <col min="45" max="45" width="15.375" style="75" hidden="1" customWidth="1" outlineLevel="1"/>
    <col min="46" max="46" width="16.75" style="72" customWidth="1" collapsed="1"/>
    <col min="47" max="48" width="16.75" style="72" customWidth="1"/>
    <col min="49" max="49" width="14.375" style="72" hidden="1" customWidth="1"/>
    <col min="50" max="50" width="16.5" style="72" customWidth="1"/>
    <col min="51" max="51" width="15.625" style="72" hidden="1" customWidth="1"/>
    <col min="52" max="52" width="17.125" style="75" customWidth="1"/>
    <col min="53" max="53" width="17.875" style="75" customWidth="1"/>
    <col min="54" max="54" width="15.375" style="75" customWidth="1"/>
    <col min="55" max="55" width="15.125" style="75" hidden="1" customWidth="1" outlineLevel="1"/>
    <col min="56" max="56" width="14.75" style="75" customWidth="1" outlineLevel="1"/>
    <col min="57" max="57" width="16" style="75" hidden="1" customWidth="1" outlineLevel="1"/>
    <col min="58" max="58" width="16.75" style="72" customWidth="1" collapsed="1"/>
    <col min="59" max="60" width="16.75" style="72" customWidth="1"/>
    <col min="61" max="61" width="14.875" style="72" hidden="1" customWidth="1"/>
    <col min="62" max="62" width="14.875" style="72" customWidth="1"/>
    <col min="63" max="63" width="14.875" style="72" hidden="1" customWidth="1"/>
    <col min="64" max="64" width="17.125" style="75" customWidth="1"/>
    <col min="65" max="65" width="17.875" style="75" customWidth="1"/>
    <col min="66" max="66" width="15.375" style="75" customWidth="1"/>
    <col min="67" max="67" width="14.75" style="75" hidden="1" customWidth="1" outlineLevel="1"/>
    <col min="68" max="68" width="14.75" style="75" customWidth="1" outlineLevel="1"/>
    <col min="69" max="69" width="15.125" style="75" hidden="1" customWidth="1" outlineLevel="1"/>
    <col min="70" max="70" width="12.875" style="75" customWidth="1" outlineLevel="1"/>
    <col min="71" max="71" width="11.125" style="75" customWidth="1" outlineLevel="1"/>
    <col min="72" max="72" width="11.125" style="193" customWidth="1"/>
    <col min="73" max="75" width="11" style="193" customWidth="1"/>
    <col min="76" max="76" width="38" style="966" customWidth="1"/>
    <col min="77" max="77" width="11.375" style="72" bestFit="1" customWidth="1"/>
    <col min="78" max="78" width="11.375" style="72" customWidth="1"/>
    <col min="79" max="79" width="11.375" style="72" bestFit="1" customWidth="1"/>
    <col min="80" max="16384" width="9" style="72"/>
  </cols>
  <sheetData>
    <row r="1" spans="1:78" ht="16.5" customHeight="1">
      <c r="D1" s="73">
        <f>D99-D100</f>
        <v>30934.646451300003</v>
      </c>
      <c r="E1" s="73"/>
      <c r="F1" s="73"/>
      <c r="G1" s="73"/>
      <c r="H1" s="73"/>
      <c r="I1" s="73"/>
      <c r="J1" s="73">
        <f>J99-J100</f>
        <v>33667.60686599859</v>
      </c>
      <c r="K1" s="73"/>
      <c r="L1" s="73"/>
      <c r="M1" s="73"/>
      <c r="N1" s="73"/>
      <c r="O1" s="73"/>
      <c r="P1" s="73">
        <f t="shared" ref="P1:V1" si="0">P99-P100</f>
        <v>32729.009000000002</v>
      </c>
      <c r="Q1" s="73">
        <f t="shared" si="0"/>
        <v>27382.267</v>
      </c>
      <c r="R1" s="73">
        <f t="shared" si="0"/>
        <v>2653.4720000000002</v>
      </c>
      <c r="S1" s="73">
        <f t="shared" si="0"/>
        <v>0</v>
      </c>
      <c r="T1" s="73"/>
      <c r="U1" s="73"/>
      <c r="V1" s="73">
        <f t="shared" si="0"/>
        <v>35088.107376617372</v>
      </c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>
        <f t="shared" ref="AH1" si="1">AH99-AH100</f>
        <v>36509.074875856953</v>
      </c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>
        <f t="shared" ref="AT1" si="2">AT99-AT100</f>
        <v>37952.466774871813</v>
      </c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>
        <f t="shared" ref="BF1" si="3">BF99-BF100</f>
        <v>39574.221879145436</v>
      </c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</row>
    <row r="2" spans="1:78">
      <c r="P2" s="74"/>
      <c r="Q2" s="74"/>
      <c r="R2" s="74"/>
      <c r="S2" s="74"/>
      <c r="T2" s="74"/>
      <c r="U2" s="74"/>
      <c r="AB2" s="74"/>
      <c r="AC2" s="74"/>
      <c r="AD2" s="74"/>
      <c r="AE2" s="74"/>
      <c r="AF2" s="74"/>
      <c r="AG2" s="74"/>
      <c r="AN2" s="74"/>
      <c r="AO2" s="74"/>
      <c r="AP2" s="74"/>
      <c r="AQ2" s="74"/>
      <c r="AR2" s="74"/>
      <c r="AS2" s="74"/>
      <c r="AZ2" s="74"/>
      <c r="BA2" s="74"/>
      <c r="BB2" s="74"/>
      <c r="BC2" s="74"/>
      <c r="BD2" s="74"/>
      <c r="BE2" s="74"/>
      <c r="BL2" s="74"/>
      <c r="BM2" s="74"/>
      <c r="BN2" s="74"/>
      <c r="BO2" s="74"/>
      <c r="BP2" s="74"/>
      <c r="BQ2" s="74"/>
      <c r="BR2" s="74"/>
      <c r="BS2" s="74"/>
    </row>
    <row r="3" spans="1:78" s="79" customFormat="1" ht="20.25">
      <c r="A3" s="76" t="s">
        <v>497</v>
      </c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381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381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194"/>
      <c r="BU3" s="194"/>
      <c r="BV3" s="194"/>
      <c r="BW3" s="194"/>
      <c r="BX3" s="966"/>
    </row>
    <row r="4" spans="1:78" s="26" customFormat="1" ht="16.5" thickBot="1">
      <c r="B4" s="80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2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2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2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2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2"/>
      <c r="BM4" s="81"/>
      <c r="BN4" s="81"/>
      <c r="BO4" s="81"/>
      <c r="BP4" s="81"/>
      <c r="BQ4" s="81"/>
      <c r="BR4" s="81"/>
      <c r="BS4" s="81"/>
      <c r="BT4" s="195"/>
      <c r="BU4" s="195"/>
      <c r="BV4" s="195"/>
      <c r="BW4" s="195"/>
      <c r="BX4" s="966"/>
    </row>
    <row r="5" spans="1:78" s="83" customFormat="1" ht="44.25" customHeight="1" thickBot="1">
      <c r="A5" s="1622" t="s">
        <v>98</v>
      </c>
      <c r="B5" s="1624" t="s">
        <v>99</v>
      </c>
      <c r="C5" s="1626" t="s">
        <v>100</v>
      </c>
      <c r="D5" s="1628" t="s">
        <v>252</v>
      </c>
      <c r="E5" s="1629"/>
      <c r="F5" s="1629"/>
      <c r="G5" s="1629"/>
      <c r="H5" s="1629"/>
      <c r="I5" s="1630"/>
      <c r="J5" s="1607" t="s">
        <v>174</v>
      </c>
      <c r="K5" s="1608"/>
      <c r="L5" s="1608"/>
      <c r="M5" s="1608"/>
      <c r="N5" s="1608"/>
      <c r="O5" s="1609"/>
      <c r="P5" s="1628" t="s">
        <v>175</v>
      </c>
      <c r="Q5" s="1629"/>
      <c r="R5" s="1629"/>
      <c r="S5" s="1629"/>
      <c r="T5" s="1629"/>
      <c r="U5" s="1630"/>
      <c r="V5" s="1607" t="s">
        <v>176</v>
      </c>
      <c r="W5" s="1608"/>
      <c r="X5" s="1608"/>
      <c r="Y5" s="1608"/>
      <c r="Z5" s="1608"/>
      <c r="AA5" s="1609"/>
      <c r="AB5" s="1619" t="s">
        <v>177</v>
      </c>
      <c r="AC5" s="1620"/>
      <c r="AD5" s="1620"/>
      <c r="AE5" s="1620"/>
      <c r="AF5" s="1620"/>
      <c r="AG5" s="1621"/>
      <c r="AH5" s="1607" t="s">
        <v>178</v>
      </c>
      <c r="AI5" s="1608"/>
      <c r="AJ5" s="1608"/>
      <c r="AK5" s="1608"/>
      <c r="AL5" s="1608"/>
      <c r="AM5" s="1609"/>
      <c r="AN5" s="1619" t="s">
        <v>179</v>
      </c>
      <c r="AO5" s="1620"/>
      <c r="AP5" s="1620"/>
      <c r="AQ5" s="1620"/>
      <c r="AR5" s="1620"/>
      <c r="AS5" s="1621"/>
      <c r="AT5" s="1607" t="s">
        <v>235</v>
      </c>
      <c r="AU5" s="1608"/>
      <c r="AV5" s="1608"/>
      <c r="AW5" s="1608"/>
      <c r="AX5" s="1608"/>
      <c r="AY5" s="1609"/>
      <c r="AZ5" s="1619" t="s">
        <v>236</v>
      </c>
      <c r="BA5" s="1620"/>
      <c r="BB5" s="1620"/>
      <c r="BC5" s="1620"/>
      <c r="BD5" s="1620"/>
      <c r="BE5" s="1621"/>
      <c r="BF5" s="1607" t="s">
        <v>253</v>
      </c>
      <c r="BG5" s="1608"/>
      <c r="BH5" s="1608"/>
      <c r="BI5" s="1608"/>
      <c r="BJ5" s="1608"/>
      <c r="BK5" s="1609"/>
      <c r="BL5" s="1610" t="s">
        <v>254</v>
      </c>
      <c r="BM5" s="1611"/>
      <c r="BN5" s="1611"/>
      <c r="BO5" s="1611"/>
      <c r="BP5" s="1611"/>
      <c r="BQ5" s="1612"/>
      <c r="BR5" s="1613" t="s">
        <v>66</v>
      </c>
      <c r="BS5" s="1616" t="s">
        <v>180</v>
      </c>
      <c r="BT5" s="1616" t="s">
        <v>181</v>
      </c>
      <c r="BU5" s="1601" t="s">
        <v>182</v>
      </c>
      <c r="BV5" s="1601" t="s">
        <v>237</v>
      </c>
      <c r="BW5" s="1604" t="s">
        <v>255</v>
      </c>
      <c r="BX5" s="967"/>
    </row>
    <row r="6" spans="1:78" s="83" customFormat="1" ht="44.25" customHeight="1">
      <c r="A6" s="1623"/>
      <c r="B6" s="1625"/>
      <c r="C6" s="1627"/>
      <c r="D6" s="1631" t="s">
        <v>58</v>
      </c>
      <c r="E6" s="1632" t="s">
        <v>18</v>
      </c>
      <c r="F6" s="1632"/>
      <c r="G6" s="1632" t="s">
        <v>84</v>
      </c>
      <c r="H6" s="1637"/>
      <c r="I6" s="1593" t="s">
        <v>266</v>
      </c>
      <c r="J6" s="1634" t="s">
        <v>58</v>
      </c>
      <c r="K6" s="1635" t="s">
        <v>18</v>
      </c>
      <c r="L6" s="1635"/>
      <c r="M6" s="1635" t="s">
        <v>84</v>
      </c>
      <c r="N6" s="1638"/>
      <c r="O6" s="1595" t="s">
        <v>266</v>
      </c>
      <c r="P6" s="1631" t="s">
        <v>58</v>
      </c>
      <c r="Q6" s="1632" t="s">
        <v>18</v>
      </c>
      <c r="R6" s="1632"/>
      <c r="S6" s="1632" t="s">
        <v>84</v>
      </c>
      <c r="T6" s="1637"/>
      <c r="U6" s="1593" t="s">
        <v>266</v>
      </c>
      <c r="V6" s="1634" t="s">
        <v>58</v>
      </c>
      <c r="W6" s="1635" t="s">
        <v>18</v>
      </c>
      <c r="X6" s="1635"/>
      <c r="Y6" s="1635" t="s">
        <v>84</v>
      </c>
      <c r="Z6" s="1638"/>
      <c r="AA6" s="1595" t="s">
        <v>266</v>
      </c>
      <c r="AB6" s="1589" t="s">
        <v>58</v>
      </c>
      <c r="AC6" s="1591" t="s">
        <v>18</v>
      </c>
      <c r="AD6" s="1591"/>
      <c r="AE6" s="1591" t="s">
        <v>84</v>
      </c>
      <c r="AF6" s="1592"/>
      <c r="AG6" s="1593" t="s">
        <v>266</v>
      </c>
      <c r="AH6" s="1634" t="s">
        <v>58</v>
      </c>
      <c r="AI6" s="1635" t="s">
        <v>18</v>
      </c>
      <c r="AJ6" s="1635"/>
      <c r="AK6" s="1635" t="s">
        <v>84</v>
      </c>
      <c r="AL6" s="1636"/>
      <c r="AM6" s="1595" t="s">
        <v>266</v>
      </c>
      <c r="AN6" s="1631" t="s">
        <v>58</v>
      </c>
      <c r="AO6" s="1632" t="s">
        <v>18</v>
      </c>
      <c r="AP6" s="1632"/>
      <c r="AQ6" s="1632" t="s">
        <v>84</v>
      </c>
      <c r="AR6" s="1633"/>
      <c r="AS6" s="1593" t="s">
        <v>266</v>
      </c>
      <c r="AT6" s="1634" t="s">
        <v>58</v>
      </c>
      <c r="AU6" s="1635" t="s">
        <v>18</v>
      </c>
      <c r="AV6" s="1635"/>
      <c r="AW6" s="1635" t="s">
        <v>84</v>
      </c>
      <c r="AX6" s="1636"/>
      <c r="AY6" s="1595" t="s">
        <v>266</v>
      </c>
      <c r="AZ6" s="1631" t="s">
        <v>58</v>
      </c>
      <c r="BA6" s="1632" t="s">
        <v>18</v>
      </c>
      <c r="BB6" s="1632"/>
      <c r="BC6" s="1632" t="s">
        <v>84</v>
      </c>
      <c r="BD6" s="1633"/>
      <c r="BE6" s="1593" t="s">
        <v>266</v>
      </c>
      <c r="BF6" s="1634" t="s">
        <v>58</v>
      </c>
      <c r="BG6" s="1635" t="s">
        <v>18</v>
      </c>
      <c r="BH6" s="1635"/>
      <c r="BI6" s="1635" t="s">
        <v>84</v>
      </c>
      <c r="BJ6" s="1636"/>
      <c r="BK6" s="1595" t="s">
        <v>266</v>
      </c>
      <c r="BL6" s="1631" t="s">
        <v>58</v>
      </c>
      <c r="BM6" s="1632" t="s">
        <v>18</v>
      </c>
      <c r="BN6" s="1632"/>
      <c r="BO6" s="1632" t="s">
        <v>84</v>
      </c>
      <c r="BP6" s="1633"/>
      <c r="BQ6" s="1593" t="s">
        <v>266</v>
      </c>
      <c r="BR6" s="1614"/>
      <c r="BS6" s="1617"/>
      <c r="BT6" s="1617"/>
      <c r="BU6" s="1602"/>
      <c r="BV6" s="1602"/>
      <c r="BW6" s="1605"/>
      <c r="BX6" s="967"/>
    </row>
    <row r="7" spans="1:78" s="83" customFormat="1" ht="42" customHeight="1" thickBot="1">
      <c r="A7" s="1623"/>
      <c r="B7" s="1625"/>
      <c r="C7" s="1627"/>
      <c r="D7" s="1590"/>
      <c r="E7" s="436" t="s">
        <v>268</v>
      </c>
      <c r="F7" s="436" t="s">
        <v>269</v>
      </c>
      <c r="G7" s="436" t="s">
        <v>270</v>
      </c>
      <c r="H7" s="453" t="s">
        <v>267</v>
      </c>
      <c r="I7" s="1594"/>
      <c r="J7" s="1598"/>
      <c r="K7" s="487" t="s">
        <v>268</v>
      </c>
      <c r="L7" s="487" t="s">
        <v>269</v>
      </c>
      <c r="M7" s="487" t="s">
        <v>270</v>
      </c>
      <c r="N7" s="488" t="s">
        <v>267</v>
      </c>
      <c r="O7" s="1596"/>
      <c r="P7" s="1590"/>
      <c r="Q7" s="436" t="s">
        <v>268</v>
      </c>
      <c r="R7" s="436" t="s">
        <v>269</v>
      </c>
      <c r="S7" s="436" t="s">
        <v>270</v>
      </c>
      <c r="T7" s="453" t="s">
        <v>267</v>
      </c>
      <c r="U7" s="1594"/>
      <c r="V7" s="1598"/>
      <c r="W7" s="487" t="s">
        <v>268</v>
      </c>
      <c r="X7" s="487" t="s">
        <v>269</v>
      </c>
      <c r="Y7" s="487" t="s">
        <v>270</v>
      </c>
      <c r="Z7" s="488" t="s">
        <v>267</v>
      </c>
      <c r="AA7" s="1596"/>
      <c r="AB7" s="1590"/>
      <c r="AC7" s="436" t="s">
        <v>268</v>
      </c>
      <c r="AD7" s="436" t="s">
        <v>269</v>
      </c>
      <c r="AE7" s="436" t="s">
        <v>270</v>
      </c>
      <c r="AF7" s="453" t="s">
        <v>267</v>
      </c>
      <c r="AG7" s="1594"/>
      <c r="AH7" s="1598"/>
      <c r="AI7" s="487" t="s">
        <v>268</v>
      </c>
      <c r="AJ7" s="487" t="s">
        <v>269</v>
      </c>
      <c r="AK7" s="487" t="s">
        <v>270</v>
      </c>
      <c r="AL7" s="488" t="s">
        <v>267</v>
      </c>
      <c r="AM7" s="1596"/>
      <c r="AN7" s="1590"/>
      <c r="AO7" s="436" t="s">
        <v>268</v>
      </c>
      <c r="AP7" s="436" t="s">
        <v>269</v>
      </c>
      <c r="AQ7" s="436" t="s">
        <v>270</v>
      </c>
      <c r="AR7" s="453" t="s">
        <v>267</v>
      </c>
      <c r="AS7" s="1594"/>
      <c r="AT7" s="1598"/>
      <c r="AU7" s="487" t="s">
        <v>268</v>
      </c>
      <c r="AV7" s="487" t="s">
        <v>269</v>
      </c>
      <c r="AW7" s="487" t="s">
        <v>270</v>
      </c>
      <c r="AX7" s="488" t="s">
        <v>267</v>
      </c>
      <c r="AY7" s="1596"/>
      <c r="AZ7" s="1590"/>
      <c r="BA7" s="436" t="s">
        <v>268</v>
      </c>
      <c r="BB7" s="436" t="s">
        <v>269</v>
      </c>
      <c r="BC7" s="436" t="s">
        <v>270</v>
      </c>
      <c r="BD7" s="453" t="s">
        <v>267</v>
      </c>
      <c r="BE7" s="1594"/>
      <c r="BF7" s="1598"/>
      <c r="BG7" s="487" t="s">
        <v>268</v>
      </c>
      <c r="BH7" s="487" t="s">
        <v>269</v>
      </c>
      <c r="BI7" s="487" t="s">
        <v>270</v>
      </c>
      <c r="BJ7" s="488" t="s">
        <v>267</v>
      </c>
      <c r="BK7" s="1596"/>
      <c r="BL7" s="1590"/>
      <c r="BM7" s="436" t="s">
        <v>268</v>
      </c>
      <c r="BN7" s="436" t="s">
        <v>269</v>
      </c>
      <c r="BO7" s="436" t="s">
        <v>270</v>
      </c>
      <c r="BP7" s="453" t="s">
        <v>267</v>
      </c>
      <c r="BQ7" s="1594"/>
      <c r="BR7" s="1615"/>
      <c r="BS7" s="1618"/>
      <c r="BT7" s="1618"/>
      <c r="BU7" s="1603"/>
      <c r="BV7" s="1603"/>
      <c r="BW7" s="1606"/>
      <c r="BX7" s="967"/>
    </row>
    <row r="8" spans="1:78" s="88" customFormat="1" ht="19.5" thickBot="1">
      <c r="A8" s="1583" t="s">
        <v>102</v>
      </c>
      <c r="B8" s="1584"/>
      <c r="C8" s="84"/>
      <c r="D8" s="813" t="s">
        <v>478</v>
      </c>
      <c r="E8" s="84" t="s">
        <v>478</v>
      </c>
      <c r="F8" s="84" t="s">
        <v>478</v>
      </c>
      <c r="G8" s="84"/>
      <c r="H8" s="432" t="s">
        <v>478</v>
      </c>
      <c r="I8" s="820"/>
      <c r="J8" s="957" t="s">
        <v>499</v>
      </c>
      <c r="K8" s="84" t="s">
        <v>499</v>
      </c>
      <c r="L8" s="84" t="s">
        <v>499</v>
      </c>
      <c r="M8" s="84"/>
      <c r="N8" s="84" t="s">
        <v>499</v>
      </c>
      <c r="O8" s="820"/>
      <c r="P8" s="434"/>
      <c r="Q8" s="435"/>
      <c r="R8" s="435"/>
      <c r="S8" s="437"/>
      <c r="T8" s="454"/>
      <c r="U8" s="456"/>
      <c r="V8" s="430" t="s">
        <v>499</v>
      </c>
      <c r="W8" s="490" t="s">
        <v>499</v>
      </c>
      <c r="X8" s="492" t="s">
        <v>499</v>
      </c>
      <c r="Y8" s="491"/>
      <c r="Z8" s="489" t="s">
        <v>499</v>
      </c>
      <c r="AA8" s="1088"/>
      <c r="AB8" s="85">
        <f>IF(AND(AC8=AD8),AC8,"расчет")</f>
        <v>1.02366</v>
      </c>
      <c r="AC8" s="86">
        <f>(1-AB10)*(1+AB9)*(1+AC11*AB14)</f>
        <v>1.02366</v>
      </c>
      <c r="AD8" s="86">
        <f>(1-AB10)*(1+AB9)*(1+AD11*AB14)</f>
        <v>1.02366</v>
      </c>
      <c r="AE8" s="454">
        <f>(1-AB10)*(1+AB9)*(1+AE11*AB14)</f>
        <v>1.02366</v>
      </c>
      <c r="AF8" s="454">
        <f>(1-AB10)*(1+AB9)*(1+AF11*AB14)</f>
        <v>1.02366</v>
      </c>
      <c r="AG8" s="517">
        <f>(1-AB10)*(1+AB9)*(1+AG11*AB14)</f>
        <v>1.02366</v>
      </c>
      <c r="AH8" s="85" t="s">
        <v>499</v>
      </c>
      <c r="AI8" s="86" t="s">
        <v>499</v>
      </c>
      <c r="AJ8" s="86" t="s">
        <v>499</v>
      </c>
      <c r="AK8" s="454"/>
      <c r="AL8" s="87" t="s">
        <v>499</v>
      </c>
      <c r="AM8" s="423"/>
      <c r="AN8" s="85">
        <f>IF(AND(AO8=AP8),AO8,"расчет")</f>
        <v>1.0296000000000001</v>
      </c>
      <c r="AO8" s="86">
        <f>(1-AN10)*(1+AN9)*(1+AO11*AN14)</f>
        <v>1.0296000000000001</v>
      </c>
      <c r="AP8" s="86">
        <f>(1-AN10)*(1+AN9)*(1+AP11*AN14)</f>
        <v>1.0296000000000001</v>
      </c>
      <c r="AQ8" s="454">
        <f>(1-AN10)*(1+AN9)*(1+AQ11*AN14)</f>
        <v>1.0296000000000001</v>
      </c>
      <c r="AR8" s="454">
        <f>(1-AN10)*(1+AN9)*(1+AR11*AN14)</f>
        <v>1.0296000000000001</v>
      </c>
      <c r="AS8" s="517">
        <f>(1-AN10)*(1+AN9)*(1+AS11*AN14)</f>
        <v>1.0296000000000001</v>
      </c>
      <c r="AT8" s="85" t="s">
        <v>499</v>
      </c>
      <c r="AU8" s="86" t="s">
        <v>499</v>
      </c>
      <c r="AV8" s="86" t="s">
        <v>499</v>
      </c>
      <c r="AW8" s="454"/>
      <c r="AX8" s="87" t="s">
        <v>499</v>
      </c>
      <c r="AY8" s="423"/>
      <c r="AZ8" s="85">
        <f>IF(AND(BA8=BB8),BA8,"расчет")</f>
        <v>1.0296000000000001</v>
      </c>
      <c r="BA8" s="86">
        <f>(1-AZ10)*(1+AZ9)*(1+BA11*AZ14)</f>
        <v>1.0296000000000001</v>
      </c>
      <c r="BB8" s="86">
        <f>(1-AZ10)*(1+AZ9)*(1+BB11*AZ14)</f>
        <v>1.0296000000000001</v>
      </c>
      <c r="BC8" s="454">
        <f>(1-AZ10)*(1+AZ9)*(1+BC11*AZ14)</f>
        <v>1.0296000000000001</v>
      </c>
      <c r="BD8" s="454">
        <f>(1-AZ10)*(1+AZ9)*(1+BD11*AZ14)</f>
        <v>1.0296000000000001</v>
      </c>
      <c r="BE8" s="517">
        <f>(1-AZ10)*(1+AZ9)*(1+BE11*AZ14)</f>
        <v>1.0296000000000001</v>
      </c>
      <c r="BF8" s="85" t="s">
        <v>499</v>
      </c>
      <c r="BG8" s="86" t="s">
        <v>499</v>
      </c>
      <c r="BH8" s="86" t="s">
        <v>499</v>
      </c>
      <c r="BI8" s="454"/>
      <c r="BJ8" s="87" t="s">
        <v>499</v>
      </c>
      <c r="BK8" s="423"/>
      <c r="BL8" s="85">
        <f>IF(AND(BM8=BN8),BM8,"расчет")</f>
        <v>1.0296000000000001</v>
      </c>
      <c r="BM8" s="86">
        <f>(1-BL10)*(1+BL9)*(1+BM11*BL14)</f>
        <v>1.0296000000000001</v>
      </c>
      <c r="BN8" s="86">
        <f>(1-BL10)*(1+BL9)*(1+BN11*BL14)</f>
        <v>1.0296000000000001</v>
      </c>
      <c r="BO8" s="454">
        <f>(1-BL10)*(1+BL9)*(1+BO11*BL14)</f>
        <v>1.0296000000000001</v>
      </c>
      <c r="BP8" s="454">
        <f>(1-BL10)*(1+BL9)*(1+BP11*BL14)</f>
        <v>1.0296000000000001</v>
      </c>
      <c r="BQ8" s="517">
        <f>(1-BL10)*(1+BL9)*(1+BQ11*BL14)</f>
        <v>1.0296000000000001</v>
      </c>
      <c r="BR8" s="826">
        <f>IF(ISERROR(P8/J8)," ",P8/J8)</f>
        <v>0</v>
      </c>
      <c r="BS8" s="330">
        <f>IF(ISERROR(P8/D8)," ",P8/D8)</f>
        <v>0</v>
      </c>
      <c r="BT8" s="826" t="str">
        <f t="shared" ref="BT8:BT21" si="4">IF(ISERROR(AB8/P8)," ",AB8/P8)</f>
        <v xml:space="preserve"> </v>
      </c>
      <c r="BU8" s="330">
        <f t="shared" ref="BU8:BU20" si="5">IF(ISERROR(AN8/AB8)," ",AN8/AB8)</f>
        <v>1.0058027079303675</v>
      </c>
      <c r="BV8" s="330">
        <f t="shared" ref="BV8:BV20" si="6">IF(ISERROR(AZ8/AN8)," ",AZ8/AN8)</f>
        <v>1</v>
      </c>
      <c r="BW8" s="196">
        <f t="shared" ref="BW8:BW20" si="7">IF(ISERROR(BL8/AZ8)," ",BL8/AZ8)</f>
        <v>1</v>
      </c>
      <c r="BX8" s="967"/>
    </row>
    <row r="9" spans="1:78" s="83" customFormat="1" ht="18.75">
      <c r="A9" s="89"/>
      <c r="B9" s="90" t="s">
        <v>103</v>
      </c>
      <c r="C9" s="422" t="s">
        <v>3</v>
      </c>
      <c r="D9" s="814">
        <v>3.7</v>
      </c>
      <c r="E9" s="422"/>
      <c r="F9" s="422"/>
      <c r="G9" s="422"/>
      <c r="H9" s="815"/>
      <c r="I9" s="821"/>
      <c r="J9" s="958">
        <v>0.04</v>
      </c>
      <c r="K9" s="378"/>
      <c r="L9" s="378"/>
      <c r="M9" s="378"/>
      <c r="N9" s="378"/>
      <c r="O9" s="824"/>
      <c r="P9" s="91">
        <f>индексы!H8-1</f>
        <v>4.6000000000000041E-2</v>
      </c>
      <c r="Q9" s="92"/>
      <c r="R9" s="92"/>
      <c r="S9" s="438"/>
      <c r="T9" s="438"/>
      <c r="U9" s="457"/>
      <c r="V9" s="91">
        <v>0.04</v>
      </c>
      <c r="W9" s="92"/>
      <c r="X9" s="92"/>
      <c r="Y9" s="438"/>
      <c r="Z9" s="438"/>
      <c r="AA9" s="457"/>
      <c r="AB9" s="91">
        <f>индексы!I8-1</f>
        <v>3.400000000000003E-2</v>
      </c>
      <c r="AC9" s="92"/>
      <c r="AD9" s="92"/>
      <c r="AE9" s="438"/>
      <c r="AF9" s="93"/>
      <c r="AG9" s="424"/>
      <c r="AH9" s="91">
        <v>0.04</v>
      </c>
      <c r="AI9" s="92"/>
      <c r="AJ9" s="92"/>
      <c r="AK9" s="438"/>
      <c r="AL9" s="93"/>
      <c r="AM9" s="424"/>
      <c r="AN9" s="91">
        <f>индексы!J8-1</f>
        <v>4.0000000000000036E-2</v>
      </c>
      <c r="AO9" s="92"/>
      <c r="AP9" s="92"/>
      <c r="AQ9" s="438"/>
      <c r="AR9" s="93"/>
      <c r="AS9" s="424"/>
      <c r="AT9" s="91">
        <v>0.04</v>
      </c>
      <c r="AU9" s="92"/>
      <c r="AV9" s="92"/>
      <c r="AW9" s="438"/>
      <c r="AX9" s="93"/>
      <c r="AY9" s="424"/>
      <c r="AZ9" s="91">
        <f>индексы!K8-1</f>
        <v>4.0000000000000036E-2</v>
      </c>
      <c r="BA9" s="92"/>
      <c r="BB9" s="92"/>
      <c r="BC9" s="438"/>
      <c r="BD9" s="93"/>
      <c r="BE9" s="424"/>
      <c r="BF9" s="91">
        <v>0.04</v>
      </c>
      <c r="BG9" s="92"/>
      <c r="BH9" s="92"/>
      <c r="BI9" s="438"/>
      <c r="BJ9" s="93"/>
      <c r="BK9" s="424"/>
      <c r="BL9" s="91">
        <f>индексы!L8-1</f>
        <v>4.0000000000000036E-2</v>
      </c>
      <c r="BM9" s="92"/>
      <c r="BN9" s="92"/>
      <c r="BO9" s="438"/>
      <c r="BP9" s="93"/>
      <c r="BQ9" s="457"/>
      <c r="BR9" s="844">
        <f t="shared" ref="BR9:BR72" si="8">IF(ISERROR(P9/J9)," ",P9/J9)</f>
        <v>1.150000000000001</v>
      </c>
      <c r="BS9" s="840">
        <f t="shared" ref="BS9:BS72" si="9">IF(ISERROR(P9/D9)," ",P9/D9)</f>
        <v>1.2432432432432442E-2</v>
      </c>
      <c r="BT9" s="827">
        <f t="shared" si="4"/>
        <v>0.73913043478260865</v>
      </c>
      <c r="BU9" s="329">
        <f t="shared" si="5"/>
        <v>1.1764705882352942</v>
      </c>
      <c r="BV9" s="329">
        <f t="shared" si="6"/>
        <v>1</v>
      </c>
      <c r="BW9" s="197">
        <f t="shared" si="7"/>
        <v>1</v>
      </c>
      <c r="BX9" s="967"/>
    </row>
    <row r="10" spans="1:78" s="83" customFormat="1" ht="18.75">
      <c r="A10" s="94"/>
      <c r="B10" s="573" t="s">
        <v>104</v>
      </c>
      <c r="C10" s="962" t="s">
        <v>3</v>
      </c>
      <c r="D10" s="816">
        <v>1</v>
      </c>
      <c r="E10" s="962"/>
      <c r="F10" s="962"/>
      <c r="G10" s="962"/>
      <c r="H10" s="433"/>
      <c r="I10" s="822"/>
      <c r="J10" s="959">
        <v>0.01</v>
      </c>
      <c r="K10" s="960"/>
      <c r="L10" s="960"/>
      <c r="M10" s="960"/>
      <c r="N10" s="960"/>
      <c r="O10" s="825"/>
      <c r="P10" s="96">
        <v>0.01</v>
      </c>
      <c r="Q10" s="97"/>
      <c r="R10" s="97"/>
      <c r="S10" s="1059"/>
      <c r="T10" s="1059"/>
      <c r="U10" s="458"/>
      <c r="V10" s="96">
        <v>0.01</v>
      </c>
      <c r="W10" s="97"/>
      <c r="X10" s="97"/>
      <c r="Y10" s="1059"/>
      <c r="Z10" s="1059"/>
      <c r="AA10" s="458"/>
      <c r="AB10" s="96">
        <v>0.01</v>
      </c>
      <c r="AC10" s="1120"/>
      <c r="AD10" s="1120"/>
      <c r="AE10" s="1121"/>
      <c r="AF10" s="98"/>
      <c r="AG10" s="1122"/>
      <c r="AH10" s="96">
        <v>0.01</v>
      </c>
      <c r="AI10" s="97"/>
      <c r="AJ10" s="97"/>
      <c r="AK10" s="439"/>
      <c r="AL10" s="98"/>
      <c r="AM10" s="425"/>
      <c r="AN10" s="96">
        <v>0.01</v>
      </c>
      <c r="AO10" s="97"/>
      <c r="AP10" s="97"/>
      <c r="AQ10" s="439"/>
      <c r="AR10" s="98"/>
      <c r="AS10" s="425"/>
      <c r="AT10" s="96">
        <v>0.01</v>
      </c>
      <c r="AU10" s="97"/>
      <c r="AV10" s="97"/>
      <c r="AW10" s="439"/>
      <c r="AX10" s="98"/>
      <c r="AY10" s="425"/>
      <c r="AZ10" s="96">
        <v>0.01</v>
      </c>
      <c r="BA10" s="97"/>
      <c r="BB10" s="97"/>
      <c r="BC10" s="439"/>
      <c r="BD10" s="98"/>
      <c r="BE10" s="425"/>
      <c r="BF10" s="96">
        <v>0.01</v>
      </c>
      <c r="BG10" s="97"/>
      <c r="BH10" s="97"/>
      <c r="BI10" s="439"/>
      <c r="BJ10" s="98"/>
      <c r="BK10" s="425"/>
      <c r="BL10" s="96">
        <v>0.01</v>
      </c>
      <c r="BM10" s="97"/>
      <c r="BN10" s="97"/>
      <c r="BO10" s="439"/>
      <c r="BP10" s="98"/>
      <c r="BQ10" s="458"/>
      <c r="BR10" s="835">
        <f t="shared" si="8"/>
        <v>1</v>
      </c>
      <c r="BS10" s="542">
        <f t="shared" si="9"/>
        <v>0.01</v>
      </c>
      <c r="BT10" s="828">
        <f t="shared" si="4"/>
        <v>1</v>
      </c>
      <c r="BU10" s="323">
        <f t="shared" si="5"/>
        <v>1</v>
      </c>
      <c r="BV10" s="323">
        <f t="shared" si="6"/>
        <v>1</v>
      </c>
      <c r="BW10" s="198">
        <f t="shared" si="7"/>
        <v>1</v>
      </c>
      <c r="BX10" s="967"/>
      <c r="BZ10" s="99"/>
    </row>
    <row r="11" spans="1:78" s="83" customFormat="1" ht="18.75">
      <c r="A11" s="94"/>
      <c r="B11" s="95" t="s">
        <v>105</v>
      </c>
      <c r="C11" s="962" t="s">
        <v>3</v>
      </c>
      <c r="D11" s="816"/>
      <c r="E11" s="962"/>
      <c r="F11" s="962"/>
      <c r="G11" s="962"/>
      <c r="H11" s="433"/>
      <c r="I11" s="822"/>
      <c r="J11" s="961">
        <v>0</v>
      </c>
      <c r="K11" s="962"/>
      <c r="L11" s="962"/>
      <c r="M11" s="962"/>
      <c r="N11" s="962"/>
      <c r="O11" s="822"/>
      <c r="P11" s="100">
        <v>0</v>
      </c>
      <c r="Q11" s="101"/>
      <c r="R11" s="101"/>
      <c r="S11" s="1060"/>
      <c r="T11" s="1060"/>
      <c r="U11" s="459"/>
      <c r="V11" s="100">
        <v>0</v>
      </c>
      <c r="W11" s="101"/>
      <c r="X11" s="101"/>
      <c r="Y11" s="1060"/>
      <c r="Z11" s="1060"/>
      <c r="AA11" s="459"/>
      <c r="AB11" s="100">
        <f>IF(AND(AC11=AD11),AC11,"расчет")</f>
        <v>0</v>
      </c>
      <c r="AC11" s="1123">
        <f>(AB12-P12)/P12</f>
        <v>0</v>
      </c>
      <c r="AD11" s="1123">
        <f>IF(AND(ISNUMBER(P13),P13&gt;0),(AB13-P13)/P13,0)</f>
        <v>0</v>
      </c>
      <c r="AE11" s="1124">
        <f>AC11</f>
        <v>0</v>
      </c>
      <c r="AF11" s="102">
        <f>AC11</f>
        <v>0</v>
      </c>
      <c r="AG11" s="1125">
        <f>AF11</f>
        <v>0</v>
      </c>
      <c r="AH11" s="100">
        <v>0</v>
      </c>
      <c r="AI11" s="101"/>
      <c r="AJ11" s="101"/>
      <c r="AK11" s="440"/>
      <c r="AL11" s="102"/>
      <c r="AM11" s="426"/>
      <c r="AN11" s="100">
        <f>IF(AND(AO11=AP11),AO11,"расчет")</f>
        <v>0</v>
      </c>
      <c r="AO11" s="101">
        <f>(AN12-AB12)/AB12</f>
        <v>0</v>
      </c>
      <c r="AP11" s="101">
        <f>IF(AND(ISNUMBER(AB13),AB13&gt;0),(AN13-AB13)/AB13,0)</f>
        <v>0</v>
      </c>
      <c r="AQ11" s="440">
        <f>AO11</f>
        <v>0</v>
      </c>
      <c r="AR11" s="102">
        <f>AO11</f>
        <v>0</v>
      </c>
      <c r="AS11" s="426">
        <f>AR11</f>
        <v>0</v>
      </c>
      <c r="AT11" s="100">
        <v>0</v>
      </c>
      <c r="AU11" s="101"/>
      <c r="AV11" s="101"/>
      <c r="AW11" s="440"/>
      <c r="AX11" s="102"/>
      <c r="AY11" s="426"/>
      <c r="AZ11" s="100">
        <f>IF(AND(BA11=BB11),BA11,"расчет")</f>
        <v>0</v>
      </c>
      <c r="BA11" s="101">
        <f>(AZ12-AN12)/AN12</f>
        <v>0</v>
      </c>
      <c r="BB11" s="101">
        <f>IF(AND(ISNUMBER(AN13),AN13&gt;0),(AZ13-AN13)/AN13,0)</f>
        <v>0</v>
      </c>
      <c r="BC11" s="440">
        <f>BA11</f>
        <v>0</v>
      </c>
      <c r="BD11" s="102">
        <f>BA11</f>
        <v>0</v>
      </c>
      <c r="BE11" s="426">
        <f>BD11</f>
        <v>0</v>
      </c>
      <c r="BF11" s="100">
        <v>0</v>
      </c>
      <c r="BG11" s="101"/>
      <c r="BH11" s="101"/>
      <c r="BI11" s="440"/>
      <c r="BJ11" s="102"/>
      <c r="BK11" s="426"/>
      <c r="BL11" s="100">
        <f>IF(AND(BM11=BN11),BM11,"расчет")</f>
        <v>0</v>
      </c>
      <c r="BM11" s="101">
        <f>(BL12-AZ12)/AZ12</f>
        <v>0</v>
      </c>
      <c r="BN11" s="101">
        <f>IF(AND(ISNUMBER(AZ13),AZ13&gt;0),(BL13-AZ13)/AZ13,0)</f>
        <v>0</v>
      </c>
      <c r="BO11" s="440">
        <f>BM11</f>
        <v>0</v>
      </c>
      <c r="BP11" s="102">
        <f>BM11</f>
        <v>0</v>
      </c>
      <c r="BQ11" s="459">
        <f>BP11</f>
        <v>0</v>
      </c>
      <c r="BR11" s="835" t="str">
        <f t="shared" si="8"/>
        <v xml:space="preserve"> </v>
      </c>
      <c r="BS11" s="542" t="str">
        <f t="shared" si="9"/>
        <v xml:space="preserve"> </v>
      </c>
      <c r="BT11" s="828" t="str">
        <f t="shared" si="4"/>
        <v xml:space="preserve"> </v>
      </c>
      <c r="BU11" s="323" t="str">
        <f t="shared" si="5"/>
        <v xml:space="preserve"> </v>
      </c>
      <c r="BV11" s="323" t="str">
        <f t="shared" si="6"/>
        <v xml:space="preserve"> </v>
      </c>
      <c r="BW11" s="198" t="str">
        <f t="shared" si="7"/>
        <v xml:space="preserve"> </v>
      </c>
      <c r="BX11" s="967"/>
    </row>
    <row r="12" spans="1:78" s="83" customFormat="1" ht="18.75">
      <c r="A12" s="94"/>
      <c r="B12" s="95" t="s">
        <v>106</v>
      </c>
      <c r="C12" s="962" t="s">
        <v>97</v>
      </c>
      <c r="D12" s="816">
        <v>15.22</v>
      </c>
      <c r="E12" s="962"/>
      <c r="F12" s="962"/>
      <c r="G12" s="962"/>
      <c r="H12" s="433"/>
      <c r="I12" s="822"/>
      <c r="J12" s="963">
        <v>15.22</v>
      </c>
      <c r="K12" s="962"/>
      <c r="L12" s="962"/>
      <c r="M12" s="962"/>
      <c r="N12" s="962"/>
      <c r="O12" s="822"/>
      <c r="P12" s="103">
        <v>15.22</v>
      </c>
      <c r="Q12" s="374"/>
      <c r="R12" s="97"/>
      <c r="S12" s="1059"/>
      <c r="T12" s="1059"/>
      <c r="U12" s="458"/>
      <c r="V12" s="103">
        <v>15.22</v>
      </c>
      <c r="W12" s="374"/>
      <c r="X12" s="97"/>
      <c r="Y12" s="1059"/>
      <c r="Z12" s="1059"/>
      <c r="AA12" s="458"/>
      <c r="AB12" s="103">
        <f>P12</f>
        <v>15.22</v>
      </c>
      <c r="AC12" s="1126"/>
      <c r="AD12" s="1120"/>
      <c r="AE12" s="1121"/>
      <c r="AF12" s="98"/>
      <c r="AG12" s="1122"/>
      <c r="AH12" s="103">
        <f>V12</f>
        <v>15.22</v>
      </c>
      <c r="AI12" s="374"/>
      <c r="AJ12" s="97"/>
      <c r="AK12" s="439"/>
      <c r="AL12" s="98"/>
      <c r="AM12" s="425"/>
      <c r="AN12" s="103">
        <f>AB12</f>
        <v>15.22</v>
      </c>
      <c r="AO12" s="374"/>
      <c r="AP12" s="97"/>
      <c r="AQ12" s="439"/>
      <c r="AR12" s="98"/>
      <c r="AS12" s="425"/>
      <c r="AT12" s="103">
        <f>AH12</f>
        <v>15.22</v>
      </c>
      <c r="AU12" s="374"/>
      <c r="AV12" s="97"/>
      <c r="AW12" s="439"/>
      <c r="AX12" s="98"/>
      <c r="AY12" s="425"/>
      <c r="AZ12" s="103">
        <f>AN12</f>
        <v>15.22</v>
      </c>
      <c r="BA12" s="374"/>
      <c r="BB12" s="97"/>
      <c r="BC12" s="439"/>
      <c r="BD12" s="98"/>
      <c r="BE12" s="425"/>
      <c r="BF12" s="103">
        <f>AT12</f>
        <v>15.22</v>
      </c>
      <c r="BG12" s="374"/>
      <c r="BH12" s="97"/>
      <c r="BI12" s="439"/>
      <c r="BJ12" s="98"/>
      <c r="BK12" s="425"/>
      <c r="BL12" s="103">
        <f>AZ12</f>
        <v>15.22</v>
      </c>
      <c r="BM12" s="374"/>
      <c r="BN12" s="97"/>
      <c r="BO12" s="439"/>
      <c r="BP12" s="98"/>
      <c r="BQ12" s="458"/>
      <c r="BR12" s="835">
        <f t="shared" si="8"/>
        <v>1</v>
      </c>
      <c r="BS12" s="542">
        <f t="shared" si="9"/>
        <v>1</v>
      </c>
      <c r="BT12" s="828">
        <f t="shared" si="4"/>
        <v>1</v>
      </c>
      <c r="BU12" s="323">
        <f t="shared" si="5"/>
        <v>1</v>
      </c>
      <c r="BV12" s="323">
        <f t="shared" si="6"/>
        <v>1</v>
      </c>
      <c r="BW12" s="198">
        <f t="shared" si="7"/>
        <v>1</v>
      </c>
      <c r="BX12" s="967"/>
    </row>
    <row r="13" spans="1:78" s="83" customFormat="1" ht="31.5">
      <c r="A13" s="94"/>
      <c r="B13" s="95" t="s">
        <v>107</v>
      </c>
      <c r="C13" s="962" t="s">
        <v>108</v>
      </c>
      <c r="D13" s="816">
        <v>1</v>
      </c>
      <c r="E13" s="962"/>
      <c r="F13" s="962"/>
      <c r="G13" s="962"/>
      <c r="H13" s="433"/>
      <c r="I13" s="822"/>
      <c r="J13" s="961">
        <v>26.54</v>
      </c>
      <c r="K13" s="962"/>
      <c r="L13" s="962"/>
      <c r="M13" s="962"/>
      <c r="N13" s="962"/>
      <c r="O13" s="822"/>
      <c r="P13" s="103"/>
      <c r="Q13" s="97"/>
      <c r="R13" s="374"/>
      <c r="S13" s="1061"/>
      <c r="T13" s="1061"/>
      <c r="U13" s="460"/>
      <c r="V13" s="103">
        <f>J13</f>
        <v>26.54</v>
      </c>
      <c r="W13" s="97"/>
      <c r="X13" s="374"/>
      <c r="Y13" s="1061"/>
      <c r="Z13" s="1061"/>
      <c r="AA13" s="460"/>
      <c r="AB13" s="103">
        <f>P13</f>
        <v>0</v>
      </c>
      <c r="AC13" s="1120"/>
      <c r="AD13" s="1126"/>
      <c r="AE13" s="1127"/>
      <c r="AF13" s="376"/>
      <c r="AG13" s="1128"/>
      <c r="AH13" s="103">
        <f>V13</f>
        <v>26.54</v>
      </c>
      <c r="AI13" s="97"/>
      <c r="AJ13" s="374"/>
      <c r="AK13" s="441"/>
      <c r="AL13" s="376"/>
      <c r="AM13" s="427"/>
      <c r="AN13" s="103">
        <f>AB13</f>
        <v>0</v>
      </c>
      <c r="AO13" s="97"/>
      <c r="AP13" s="374"/>
      <c r="AQ13" s="441"/>
      <c r="AR13" s="376"/>
      <c r="AS13" s="427"/>
      <c r="AT13" s="103">
        <f>AH13</f>
        <v>26.54</v>
      </c>
      <c r="AU13" s="97"/>
      <c r="AV13" s="374"/>
      <c r="AW13" s="441"/>
      <c r="AX13" s="376"/>
      <c r="AY13" s="427"/>
      <c r="AZ13" s="103">
        <f>AN13</f>
        <v>0</v>
      </c>
      <c r="BA13" s="97"/>
      <c r="BB13" s="374"/>
      <c r="BC13" s="441"/>
      <c r="BD13" s="376"/>
      <c r="BE13" s="427"/>
      <c r="BF13" s="103">
        <f>AT13</f>
        <v>26.54</v>
      </c>
      <c r="BG13" s="97"/>
      <c r="BH13" s="374"/>
      <c r="BI13" s="441"/>
      <c r="BJ13" s="376"/>
      <c r="BK13" s="427"/>
      <c r="BL13" s="103">
        <f>AZ13</f>
        <v>0</v>
      </c>
      <c r="BM13" s="97"/>
      <c r="BN13" s="374"/>
      <c r="BO13" s="441"/>
      <c r="BP13" s="376"/>
      <c r="BQ13" s="460"/>
      <c r="BR13" s="835">
        <f t="shared" si="8"/>
        <v>0</v>
      </c>
      <c r="BS13" s="542">
        <f t="shared" si="9"/>
        <v>0</v>
      </c>
      <c r="BT13" s="828" t="str">
        <f t="shared" si="4"/>
        <v xml:space="preserve"> </v>
      </c>
      <c r="BU13" s="323" t="str">
        <f t="shared" si="5"/>
        <v xml:space="preserve"> </v>
      </c>
      <c r="BV13" s="323" t="str">
        <f t="shared" si="6"/>
        <v xml:space="preserve"> </v>
      </c>
      <c r="BW13" s="198" t="str">
        <f t="shared" si="7"/>
        <v xml:space="preserve"> </v>
      </c>
      <c r="BX13" s="967"/>
    </row>
    <row r="14" spans="1:78" s="83" customFormat="1" ht="19.5" thickBot="1">
      <c r="A14" s="104"/>
      <c r="B14" s="105" t="s">
        <v>109</v>
      </c>
      <c r="C14" s="1001"/>
      <c r="D14" s="817">
        <v>0.75</v>
      </c>
      <c r="E14" s="818"/>
      <c r="F14" s="818"/>
      <c r="G14" s="818"/>
      <c r="H14" s="819"/>
      <c r="I14" s="823"/>
      <c r="J14" s="964">
        <v>0.75</v>
      </c>
      <c r="K14" s="818"/>
      <c r="L14" s="818"/>
      <c r="M14" s="818"/>
      <c r="N14" s="818"/>
      <c r="O14" s="823"/>
      <c r="P14" s="106">
        <v>0.75</v>
      </c>
      <c r="Q14" s="1062"/>
      <c r="R14" s="1062"/>
      <c r="S14" s="1063"/>
      <c r="T14" s="1063"/>
      <c r="U14" s="1064"/>
      <c r="V14" s="106">
        <v>0.75</v>
      </c>
      <c r="W14" s="1062"/>
      <c r="X14" s="1062"/>
      <c r="Y14" s="1063"/>
      <c r="Z14" s="1063"/>
      <c r="AA14" s="1064"/>
      <c r="AB14" s="1129">
        <v>0.75</v>
      </c>
      <c r="AC14" s="1130"/>
      <c r="AD14" s="1130"/>
      <c r="AE14" s="1131"/>
      <c r="AF14" s="1132"/>
      <c r="AG14" s="1133"/>
      <c r="AH14" s="106">
        <v>0.75</v>
      </c>
      <c r="AI14" s="107"/>
      <c r="AJ14" s="107"/>
      <c r="AK14" s="442"/>
      <c r="AL14" s="108"/>
      <c r="AM14" s="428"/>
      <c r="AN14" s="106">
        <v>0.75</v>
      </c>
      <c r="AO14" s="107"/>
      <c r="AP14" s="107"/>
      <c r="AQ14" s="442"/>
      <c r="AR14" s="108"/>
      <c r="AS14" s="428"/>
      <c r="AT14" s="106">
        <v>0.75</v>
      </c>
      <c r="AU14" s="107"/>
      <c r="AV14" s="107"/>
      <c r="AW14" s="442"/>
      <c r="AX14" s="516"/>
      <c r="AY14" s="428"/>
      <c r="AZ14" s="106">
        <v>0.75</v>
      </c>
      <c r="BA14" s="107"/>
      <c r="BB14" s="107"/>
      <c r="BC14" s="442"/>
      <c r="BD14" s="108"/>
      <c r="BE14" s="428"/>
      <c r="BF14" s="106">
        <v>0.75</v>
      </c>
      <c r="BG14" s="107"/>
      <c r="BH14" s="107"/>
      <c r="BI14" s="442"/>
      <c r="BJ14" s="516"/>
      <c r="BK14" s="428"/>
      <c r="BL14" s="106">
        <v>0.75</v>
      </c>
      <c r="BM14" s="107"/>
      <c r="BN14" s="107"/>
      <c r="BO14" s="442"/>
      <c r="BP14" s="108"/>
      <c r="BQ14" s="461"/>
      <c r="BR14" s="834">
        <f t="shared" si="8"/>
        <v>1</v>
      </c>
      <c r="BS14" s="540">
        <f t="shared" si="9"/>
        <v>1</v>
      </c>
      <c r="BT14" s="829">
        <f t="shared" si="4"/>
        <v>1</v>
      </c>
      <c r="BU14" s="331">
        <f t="shared" si="5"/>
        <v>1</v>
      </c>
      <c r="BV14" s="331">
        <f t="shared" si="6"/>
        <v>1</v>
      </c>
      <c r="BW14" s="199">
        <f t="shared" si="7"/>
        <v>1</v>
      </c>
      <c r="BX14" s="967"/>
    </row>
    <row r="15" spans="1:78" s="88" customFormat="1" ht="36.75" customHeight="1" thickBot="1">
      <c r="A15" s="1583" t="s">
        <v>110</v>
      </c>
      <c r="B15" s="1584"/>
      <c r="C15" s="84" t="s">
        <v>1</v>
      </c>
      <c r="D15" s="186">
        <f>E15+F15+G15+H15</f>
        <v>24602.370000000003</v>
      </c>
      <c r="E15" s="184">
        <f t="shared" ref="E15:I15" si="10">SUM(E16:E20)</f>
        <v>22089.420000000002</v>
      </c>
      <c r="F15" s="184">
        <f t="shared" si="10"/>
        <v>0</v>
      </c>
      <c r="G15" s="185">
        <f t="shared" si="10"/>
        <v>0</v>
      </c>
      <c r="H15" s="185">
        <f t="shared" si="10"/>
        <v>2512.9499999999998</v>
      </c>
      <c r="I15" s="462">
        <f t="shared" si="10"/>
        <v>0</v>
      </c>
      <c r="J15" s="186">
        <f>K15+L15+M15+N15</f>
        <v>25959.404999999999</v>
      </c>
      <c r="K15" s="184">
        <f t="shared" ref="K15:O15" si="11">SUM(K16:K20)</f>
        <v>25626.994999999999</v>
      </c>
      <c r="L15" s="184">
        <f t="shared" si="11"/>
        <v>0</v>
      </c>
      <c r="M15" s="185">
        <f t="shared" si="11"/>
        <v>0</v>
      </c>
      <c r="N15" s="185">
        <f t="shared" si="11"/>
        <v>332.41</v>
      </c>
      <c r="O15" s="462">
        <f t="shared" si="11"/>
        <v>0</v>
      </c>
      <c r="P15" s="186">
        <f>Q15+R15+S15+T15</f>
        <v>25674.44</v>
      </c>
      <c r="Q15" s="184">
        <f t="shared" ref="Q15:U15" si="12">SUM(Q16:Q20)</f>
        <v>22981.17</v>
      </c>
      <c r="R15" s="184">
        <f t="shared" si="12"/>
        <v>0</v>
      </c>
      <c r="S15" s="185">
        <f t="shared" si="12"/>
        <v>0</v>
      </c>
      <c r="T15" s="185">
        <f t="shared" si="12"/>
        <v>2693.27</v>
      </c>
      <c r="U15" s="462">
        <f t="shared" si="12"/>
        <v>0</v>
      </c>
      <c r="V15" s="186">
        <f>W15+X15+Y15+Z15</f>
        <v>27097.836000000003</v>
      </c>
      <c r="W15" s="184">
        <f t="shared" ref="W15:Z15" si="13">SUM(W16:W20)</f>
        <v>26725.542000000001</v>
      </c>
      <c r="X15" s="184">
        <f t="shared" si="13"/>
        <v>0</v>
      </c>
      <c r="Y15" s="185">
        <f t="shared" si="13"/>
        <v>0</v>
      </c>
      <c r="Z15" s="185">
        <f t="shared" si="13"/>
        <v>372.29399999999998</v>
      </c>
      <c r="AA15" s="462">
        <f t="shared" ref="AA15" si="14">SUM(AA16:AA20)</f>
        <v>0</v>
      </c>
      <c r="AB15" s="186">
        <f>AC15+AD15+AE15+AF15</f>
        <v>26445.639999999996</v>
      </c>
      <c r="AC15" s="184">
        <f t="shared" ref="AC15:AG15" si="15">SUM(AC16:AC20)</f>
        <v>23525.539999999997</v>
      </c>
      <c r="AD15" s="184">
        <f t="shared" si="15"/>
        <v>0</v>
      </c>
      <c r="AE15" s="184">
        <f t="shared" si="15"/>
        <v>0</v>
      </c>
      <c r="AF15" s="185">
        <f>SUM(AF16:AF20)</f>
        <v>2920.1</v>
      </c>
      <c r="AG15" s="462">
        <f t="shared" si="15"/>
        <v>0</v>
      </c>
      <c r="AH15" s="186">
        <f>AI15+AJ15+AK15+AL15</f>
        <v>28297.803000000004</v>
      </c>
      <c r="AI15" s="184">
        <f t="shared" ref="AI15:AL15" si="16">SUM(AI16:AI20)</f>
        <v>27880.833000000002</v>
      </c>
      <c r="AJ15" s="184">
        <f t="shared" si="16"/>
        <v>0</v>
      </c>
      <c r="AK15" s="185">
        <f t="shared" si="16"/>
        <v>0</v>
      </c>
      <c r="AL15" s="185">
        <f t="shared" si="16"/>
        <v>416.97</v>
      </c>
      <c r="AM15" s="462">
        <f t="shared" ref="AM15" si="17">SUM(AM16:AM20)</f>
        <v>0</v>
      </c>
      <c r="AN15" s="186">
        <f>AO15+AP15+AQ15+AR15</f>
        <v>27368.42</v>
      </c>
      <c r="AO15" s="184">
        <f>SUM(AO16:AO20)</f>
        <v>24279.66</v>
      </c>
      <c r="AP15" s="184">
        <f t="shared" ref="AP15:AS15" si="18">SUM(AP16:AP20)</f>
        <v>0</v>
      </c>
      <c r="AQ15" s="184">
        <f t="shared" si="18"/>
        <v>0</v>
      </c>
      <c r="AR15" s="185">
        <f t="shared" si="18"/>
        <v>3088.76</v>
      </c>
      <c r="AS15" s="462">
        <f t="shared" si="18"/>
        <v>0</v>
      </c>
      <c r="AT15" s="186">
        <f>AU15+AV15+AW15+AX15</f>
        <v>29575.173000000003</v>
      </c>
      <c r="AU15" s="184">
        <f t="shared" ref="AU15:AX15" si="19">SUM(AU16:AU20)</f>
        <v>29108.167000000001</v>
      </c>
      <c r="AV15" s="184">
        <f t="shared" si="19"/>
        <v>0</v>
      </c>
      <c r="AW15" s="185">
        <f t="shared" si="19"/>
        <v>0</v>
      </c>
      <c r="AX15" s="185">
        <f t="shared" si="19"/>
        <v>467.00599999999997</v>
      </c>
      <c r="AY15" s="462">
        <f t="shared" ref="AY15" si="20">SUM(AY16:AY20)</f>
        <v>0</v>
      </c>
      <c r="AZ15" s="186">
        <f>BA15+BB15+BC15+BD15</f>
        <v>28231.54</v>
      </c>
      <c r="BA15" s="184">
        <f>SUM(BA16:BA20)</f>
        <v>25019.32</v>
      </c>
      <c r="BB15" s="184">
        <f t="shared" ref="BB15:BE15" si="21">SUM(BB16:BB20)</f>
        <v>0</v>
      </c>
      <c r="BC15" s="184">
        <f t="shared" si="21"/>
        <v>0</v>
      </c>
      <c r="BD15" s="185">
        <f t="shared" si="21"/>
        <v>3212.2200000000003</v>
      </c>
      <c r="BE15" s="462">
        <f t="shared" si="21"/>
        <v>0</v>
      </c>
      <c r="BF15" s="186">
        <f>BG15+BH15+BI15+BJ15</f>
        <v>30937.040000000001</v>
      </c>
      <c r="BG15" s="184">
        <f t="shared" ref="BG15:BJ15" si="22">SUM(BG16:BG20)</f>
        <v>30413.993000000002</v>
      </c>
      <c r="BH15" s="184">
        <f t="shared" si="22"/>
        <v>0</v>
      </c>
      <c r="BI15" s="185">
        <f t="shared" si="22"/>
        <v>0</v>
      </c>
      <c r="BJ15" s="185">
        <f t="shared" si="22"/>
        <v>523.04700000000003</v>
      </c>
      <c r="BK15" s="462">
        <f t="shared" ref="BK15" si="23">SUM(BK16:BK20)</f>
        <v>0</v>
      </c>
      <c r="BL15" s="186">
        <f>BM15+BN15+BO15+BP15</f>
        <v>29119.839999999997</v>
      </c>
      <c r="BM15" s="184">
        <f t="shared" ref="BM15:BQ15" si="24">SUM(BM16:BM20)</f>
        <v>25779.529999999995</v>
      </c>
      <c r="BN15" s="184">
        <f t="shared" si="24"/>
        <v>0</v>
      </c>
      <c r="BO15" s="184">
        <f t="shared" si="24"/>
        <v>0</v>
      </c>
      <c r="BP15" s="185">
        <f t="shared" si="24"/>
        <v>3340.31</v>
      </c>
      <c r="BQ15" s="462">
        <f t="shared" si="24"/>
        <v>0</v>
      </c>
      <c r="BR15" s="826">
        <f t="shared" si="8"/>
        <v>0.98902266827764351</v>
      </c>
      <c r="BS15" s="330">
        <f t="shared" si="9"/>
        <v>1.0435758831364619</v>
      </c>
      <c r="BT15" s="826">
        <f t="shared" si="4"/>
        <v>1.03003765612804</v>
      </c>
      <c r="BU15" s="330">
        <f t="shared" si="5"/>
        <v>1.0348934644803454</v>
      </c>
      <c r="BV15" s="330">
        <f t="shared" si="6"/>
        <v>1.0315370781360416</v>
      </c>
      <c r="BW15" s="196">
        <f t="shared" si="7"/>
        <v>1.0314648085084979</v>
      </c>
      <c r="BX15" s="967"/>
    </row>
    <row r="16" spans="1:78" s="111" customFormat="1" ht="18.75">
      <c r="A16" s="109"/>
      <c r="B16" s="110" t="s">
        <v>49</v>
      </c>
      <c r="C16" s="1002" t="s">
        <v>1</v>
      </c>
      <c r="D16" s="187">
        <f>E16+F16+G16+H16</f>
        <v>19255.7</v>
      </c>
      <c r="E16" s="188">
        <v>19255.7</v>
      </c>
      <c r="F16" s="188"/>
      <c r="G16" s="188"/>
      <c r="H16" s="415"/>
      <c r="I16" s="463"/>
      <c r="J16" s="187">
        <f>K16+L16+M16+N16</f>
        <v>20142.97</v>
      </c>
      <c r="K16" s="493">
        <v>20142.97</v>
      </c>
      <c r="L16" s="493"/>
      <c r="M16" s="493"/>
      <c r="N16" s="494"/>
      <c r="O16" s="495"/>
      <c r="P16" s="187">
        <f>Q16+R16+S16+T16</f>
        <v>19651.16</v>
      </c>
      <c r="Q16" s="188">
        <f>'переменные на 5 лет'!F12</f>
        <v>19651.16</v>
      </c>
      <c r="R16" s="188"/>
      <c r="S16" s="188"/>
      <c r="T16" s="415"/>
      <c r="U16" s="463"/>
      <c r="V16" s="187">
        <f>W16+X16+Y16+Z16</f>
        <v>20793.918000000001</v>
      </c>
      <c r="W16" s="493">
        <v>20793.918000000001</v>
      </c>
      <c r="X16" s="493"/>
      <c r="Y16" s="493"/>
      <c r="Z16" s="494"/>
      <c r="AA16" s="495"/>
      <c r="AB16" s="187">
        <f>AC16+AD16+AE16+AF16</f>
        <v>20031.28</v>
      </c>
      <c r="AC16" s="188">
        <f>'переменные на 5 лет'!I12</f>
        <v>20031.28</v>
      </c>
      <c r="AD16" s="413"/>
      <c r="AE16" s="415"/>
      <c r="AF16" s="415"/>
      <c r="AG16" s="463"/>
      <c r="AH16" s="187">
        <f>AI16+AJ16+AK16+AL16</f>
        <v>21456.107</v>
      </c>
      <c r="AI16" s="493">
        <v>21456.107</v>
      </c>
      <c r="AJ16" s="493"/>
      <c r="AK16" s="493"/>
      <c r="AL16" s="494"/>
      <c r="AM16" s="495"/>
      <c r="AN16" s="187">
        <f>AO16+AP16+AQ16+AR16</f>
        <v>20607.5</v>
      </c>
      <c r="AO16" s="188">
        <f>'переменные на 5 лет'!L12</f>
        <v>20607.5</v>
      </c>
      <c r="AP16" s="413"/>
      <c r="AQ16" s="415"/>
      <c r="AR16" s="415"/>
      <c r="AS16" s="463"/>
      <c r="AT16" s="187">
        <f>AU16+AV16+AW16+AX16</f>
        <v>22139.697</v>
      </c>
      <c r="AU16" s="493">
        <v>22139.697</v>
      </c>
      <c r="AV16" s="493"/>
      <c r="AW16" s="493"/>
      <c r="AX16" s="494"/>
      <c r="AY16" s="495"/>
      <c r="AZ16" s="187">
        <f>BA16+BB16+BC16+BD16</f>
        <v>21200.27</v>
      </c>
      <c r="BA16" s="188">
        <f>'переменные на 5 лет'!O12</f>
        <v>21200.27</v>
      </c>
      <c r="BB16" s="413"/>
      <c r="BC16" s="415"/>
      <c r="BD16" s="415"/>
      <c r="BE16" s="463"/>
      <c r="BF16" s="187">
        <f>BG16+BH16+BI16+BJ16</f>
        <v>22845.388999999999</v>
      </c>
      <c r="BG16" s="493">
        <v>22845.388999999999</v>
      </c>
      <c r="BH16" s="493"/>
      <c r="BI16" s="493"/>
      <c r="BJ16" s="494"/>
      <c r="BK16" s="495"/>
      <c r="BL16" s="187">
        <f>BM16+BN16+BO16+BP16</f>
        <v>21810.059999999998</v>
      </c>
      <c r="BM16" s="188">
        <f>'переменные на 5 лет'!R12</f>
        <v>21810.059999999998</v>
      </c>
      <c r="BN16" s="413"/>
      <c r="BO16" s="415"/>
      <c r="BP16" s="415"/>
      <c r="BQ16" s="463"/>
      <c r="BR16" s="844">
        <f t="shared" si="8"/>
        <v>0.97558403750787492</v>
      </c>
      <c r="BS16" s="840">
        <f t="shared" si="9"/>
        <v>1.0205372954501784</v>
      </c>
      <c r="BT16" s="830">
        <f t="shared" si="4"/>
        <v>1.0193433873623745</v>
      </c>
      <c r="BU16" s="332">
        <f t="shared" si="5"/>
        <v>1.0287660099604219</v>
      </c>
      <c r="BV16" s="332">
        <f t="shared" si="6"/>
        <v>1.0287647701079705</v>
      </c>
      <c r="BW16" s="200">
        <f t="shared" si="7"/>
        <v>1.0287633129200711</v>
      </c>
      <c r="BX16" s="967"/>
    </row>
    <row r="17" spans="1:77" s="111" customFormat="1" ht="18.75">
      <c r="A17" s="112"/>
      <c r="B17" s="113" t="s">
        <v>111</v>
      </c>
      <c r="C17" s="1003" t="s">
        <v>1</v>
      </c>
      <c r="D17" s="187">
        <f t="shared" ref="D17:D19" si="25">E17+F17+G17+H17</f>
        <v>2051.6999999999998</v>
      </c>
      <c r="E17" s="190">
        <v>2051.6999999999998</v>
      </c>
      <c r="F17" s="190"/>
      <c r="G17" s="190"/>
      <c r="H17" s="1019"/>
      <c r="I17" s="464"/>
      <c r="J17" s="187">
        <f>K17+L17+M17+N17</f>
        <v>2598.5639999999999</v>
      </c>
      <c r="K17" s="232">
        <v>2598.5639999999999</v>
      </c>
      <c r="L17" s="232"/>
      <c r="M17" s="232"/>
      <c r="N17" s="939"/>
      <c r="O17" s="470"/>
      <c r="P17" s="187">
        <f>Q17+R17+S17+T17</f>
        <v>2390.33</v>
      </c>
      <c r="Q17" s="190">
        <f>'переменные на 5 лет'!F94</f>
        <v>2390.33</v>
      </c>
      <c r="R17" s="190"/>
      <c r="S17" s="190"/>
      <c r="T17" s="1019"/>
      <c r="U17" s="464"/>
      <c r="V17" s="187">
        <f t="shared" ref="V17:V19" si="26">W17+X17+Y17+Z17</f>
        <v>2699.9070000000002</v>
      </c>
      <c r="W17" s="232">
        <v>2699.9070000000002</v>
      </c>
      <c r="X17" s="232"/>
      <c r="Y17" s="232"/>
      <c r="Z17" s="939"/>
      <c r="AA17" s="470"/>
      <c r="AB17" s="189">
        <f>AC17+AD17+AE17+AF17</f>
        <v>2490.73</v>
      </c>
      <c r="AC17" s="1134">
        <f>'переменные на 5 лет'!I94</f>
        <v>2490.73</v>
      </c>
      <c r="AD17" s="1134"/>
      <c r="AE17" s="1135"/>
      <c r="AF17" s="1135"/>
      <c r="AG17" s="464"/>
      <c r="AH17" s="187">
        <f t="shared" ref="AH17:AH19" si="27">AI17+AJ17+AK17+AL17</f>
        <v>2805.2020000000002</v>
      </c>
      <c r="AI17" s="232">
        <v>2805.2020000000002</v>
      </c>
      <c r="AJ17" s="232"/>
      <c r="AK17" s="232"/>
      <c r="AL17" s="939"/>
      <c r="AM17" s="470"/>
      <c r="AN17" s="189">
        <f>AO17+AP17+AQ17+AR17</f>
        <v>2590.35</v>
      </c>
      <c r="AO17" s="190">
        <f>'переменные на 5 лет'!L94</f>
        <v>2590.35</v>
      </c>
      <c r="AP17" s="190"/>
      <c r="AQ17" s="416"/>
      <c r="AR17" s="416"/>
      <c r="AS17" s="464"/>
      <c r="AT17" s="187">
        <f t="shared" ref="AT17:AT19" si="28">AU17+AV17+AW17+AX17</f>
        <v>2914.6039999999998</v>
      </c>
      <c r="AU17" s="232">
        <v>2914.6039999999998</v>
      </c>
      <c r="AV17" s="232"/>
      <c r="AW17" s="232"/>
      <c r="AX17" s="939"/>
      <c r="AY17" s="470"/>
      <c r="AZ17" s="189">
        <f>BA17+BB17+BC17+BD17</f>
        <v>2693.98</v>
      </c>
      <c r="BA17" s="190">
        <f>'переменные на 5 лет'!O94</f>
        <v>2693.98</v>
      </c>
      <c r="BB17" s="190"/>
      <c r="BC17" s="416"/>
      <c r="BD17" s="416"/>
      <c r="BE17" s="464"/>
      <c r="BF17" s="187">
        <f t="shared" ref="BF17:BF19" si="29">BG17+BH17+BI17+BJ17</f>
        <v>3028.2739999999999</v>
      </c>
      <c r="BG17" s="232">
        <v>3028.2739999999999</v>
      </c>
      <c r="BH17" s="232"/>
      <c r="BI17" s="232"/>
      <c r="BJ17" s="939"/>
      <c r="BK17" s="470"/>
      <c r="BL17" s="189">
        <f>BM17+BN17+BO17+BP17</f>
        <v>2799.05</v>
      </c>
      <c r="BM17" s="190">
        <f>'переменные на 5 лет'!R94</f>
        <v>2799.05</v>
      </c>
      <c r="BN17" s="190"/>
      <c r="BO17" s="416"/>
      <c r="BP17" s="416"/>
      <c r="BQ17" s="464"/>
      <c r="BR17" s="835">
        <f t="shared" si="8"/>
        <v>0.91986574123246534</v>
      </c>
      <c r="BS17" s="542">
        <f t="shared" si="9"/>
        <v>1.165048496368865</v>
      </c>
      <c r="BT17" s="831">
        <f t="shared" si="4"/>
        <v>1.0420025686829852</v>
      </c>
      <c r="BU17" s="324">
        <f t="shared" si="5"/>
        <v>1.0399963063037743</v>
      </c>
      <c r="BV17" s="324">
        <f t="shared" si="6"/>
        <v>1.0400061767714788</v>
      </c>
      <c r="BW17" s="201">
        <f t="shared" si="7"/>
        <v>1.0390017743264612</v>
      </c>
      <c r="BX17" s="967"/>
    </row>
    <row r="18" spans="1:77" s="111" customFormat="1" ht="18.75">
      <c r="A18" s="112"/>
      <c r="B18" s="113" t="s">
        <v>112</v>
      </c>
      <c r="C18" s="1003" t="s">
        <v>1</v>
      </c>
      <c r="D18" s="187">
        <f t="shared" si="25"/>
        <v>0</v>
      </c>
      <c r="E18" s="190"/>
      <c r="F18" s="190"/>
      <c r="G18" s="190"/>
      <c r="H18" s="1019"/>
      <c r="I18" s="464"/>
      <c r="J18" s="187">
        <f t="shared" ref="J18" si="30">K18+L18+M18+N18</f>
        <v>0</v>
      </c>
      <c r="K18" s="232"/>
      <c r="L18" s="232"/>
      <c r="M18" s="232"/>
      <c r="N18" s="939"/>
      <c r="O18" s="470"/>
      <c r="P18" s="187">
        <f t="shared" ref="P18:P19" si="31">Q18+R18+S18+T18</f>
        <v>0</v>
      </c>
      <c r="Q18" s="190"/>
      <c r="R18" s="190"/>
      <c r="S18" s="190"/>
      <c r="T18" s="1019"/>
      <c r="U18" s="464"/>
      <c r="V18" s="187">
        <f t="shared" si="26"/>
        <v>0</v>
      </c>
      <c r="W18" s="232"/>
      <c r="X18" s="232"/>
      <c r="Y18" s="232"/>
      <c r="Z18" s="939"/>
      <c r="AA18" s="470"/>
      <c r="AB18" s="189">
        <f t="shared" ref="AB18:AB19" si="32">AC18+AD18+AE18+AF18</f>
        <v>0</v>
      </c>
      <c r="AC18" s="1134"/>
      <c r="AD18" s="1134"/>
      <c r="AE18" s="1135"/>
      <c r="AF18" s="1135"/>
      <c r="AG18" s="464"/>
      <c r="AH18" s="187">
        <f t="shared" si="27"/>
        <v>0</v>
      </c>
      <c r="AI18" s="232"/>
      <c r="AJ18" s="232"/>
      <c r="AK18" s="232"/>
      <c r="AL18" s="939"/>
      <c r="AM18" s="470"/>
      <c r="AN18" s="189">
        <f t="shared" ref="AN18:AN19" si="33">AO18+AP18+AQ18+AR18</f>
        <v>0</v>
      </c>
      <c r="AO18" s="190"/>
      <c r="AP18" s="190"/>
      <c r="AQ18" s="416"/>
      <c r="AR18" s="416"/>
      <c r="AS18" s="464"/>
      <c r="AT18" s="187">
        <f t="shared" si="28"/>
        <v>0</v>
      </c>
      <c r="AU18" s="232"/>
      <c r="AV18" s="232"/>
      <c r="AW18" s="232"/>
      <c r="AX18" s="939"/>
      <c r="AY18" s="470"/>
      <c r="AZ18" s="189">
        <f t="shared" ref="AZ18:AZ19" si="34">BA18+BB18+BC18+BD18</f>
        <v>0</v>
      </c>
      <c r="BA18" s="190"/>
      <c r="BB18" s="190"/>
      <c r="BC18" s="416"/>
      <c r="BD18" s="416"/>
      <c r="BE18" s="464"/>
      <c r="BF18" s="187">
        <f t="shared" si="29"/>
        <v>0</v>
      </c>
      <c r="BG18" s="232"/>
      <c r="BH18" s="232"/>
      <c r="BI18" s="232"/>
      <c r="BJ18" s="939"/>
      <c r="BK18" s="470"/>
      <c r="BL18" s="189">
        <f t="shared" ref="BL18" si="35">BM18+BN18+BO18+BP18</f>
        <v>0</v>
      </c>
      <c r="BM18" s="190"/>
      <c r="BN18" s="190"/>
      <c r="BO18" s="416"/>
      <c r="BP18" s="416"/>
      <c r="BQ18" s="464"/>
      <c r="BR18" s="835" t="str">
        <f t="shared" si="8"/>
        <v xml:space="preserve"> </v>
      </c>
      <c r="BS18" s="542" t="str">
        <f t="shared" si="9"/>
        <v xml:space="preserve"> </v>
      </c>
      <c r="BT18" s="831" t="str">
        <f t="shared" si="4"/>
        <v xml:space="preserve"> </v>
      </c>
      <c r="BU18" s="324" t="str">
        <f t="shared" si="5"/>
        <v xml:space="preserve"> </v>
      </c>
      <c r="BV18" s="324" t="str">
        <f t="shared" si="6"/>
        <v xml:space="preserve"> </v>
      </c>
      <c r="BW18" s="201" t="str">
        <f>IF(ISERROR(BL18/AZ18)," ",BL18/AZ18)</f>
        <v xml:space="preserve"> </v>
      </c>
      <c r="BX18" s="967"/>
    </row>
    <row r="19" spans="1:77" s="111" customFormat="1" ht="18.75">
      <c r="A19" s="114"/>
      <c r="B19" s="115" t="s">
        <v>50</v>
      </c>
      <c r="C19" s="1003" t="s">
        <v>1</v>
      </c>
      <c r="D19" s="187">
        <f t="shared" si="25"/>
        <v>3294.97</v>
      </c>
      <c r="E19" s="190">
        <v>782.02</v>
      </c>
      <c r="F19" s="190"/>
      <c r="G19" s="190"/>
      <c r="H19" s="1019">
        <v>2512.9499999999998</v>
      </c>
      <c r="I19" s="464"/>
      <c r="J19" s="187">
        <f>K19+L19+M19+N19</f>
        <v>3217.8709999999996</v>
      </c>
      <c r="K19" s="232">
        <v>2885.4609999999998</v>
      </c>
      <c r="L19" s="232"/>
      <c r="M19" s="232"/>
      <c r="N19" s="939">
        <v>332.41</v>
      </c>
      <c r="O19" s="470"/>
      <c r="P19" s="187">
        <f t="shared" si="31"/>
        <v>3632.95</v>
      </c>
      <c r="Q19" s="190">
        <f>'переменные на 5 лет'!F106+'переменные на 5 лет'!F122</f>
        <v>939.68000000000006</v>
      </c>
      <c r="R19" s="190"/>
      <c r="S19" s="190"/>
      <c r="T19" s="1019">
        <f>'переменные на 5 лет'!F121+'переменные на 5 лет'!F127</f>
        <v>2693.27</v>
      </c>
      <c r="U19" s="464"/>
      <c r="V19" s="187">
        <f t="shared" si="26"/>
        <v>3604.011</v>
      </c>
      <c r="W19" s="232">
        <v>3231.7170000000001</v>
      </c>
      <c r="X19" s="232"/>
      <c r="Y19" s="232"/>
      <c r="Z19" s="939">
        <v>372.29399999999998</v>
      </c>
      <c r="AA19" s="470"/>
      <c r="AB19" s="189">
        <f t="shared" si="32"/>
        <v>3923.63</v>
      </c>
      <c r="AC19" s="190">
        <f>'переменные на 5 лет'!I106+'переменные на 5 лет'!I122</f>
        <v>1003.5300000000001</v>
      </c>
      <c r="AD19" s="1134"/>
      <c r="AE19" s="1135"/>
      <c r="AF19" s="1019">
        <f>'переменные на 5 лет'!I121+'переменные на 5 лет'!I127</f>
        <v>2920.1</v>
      </c>
      <c r="AG19" s="464"/>
      <c r="AH19" s="187">
        <f t="shared" si="27"/>
        <v>4036.4939999999997</v>
      </c>
      <c r="AI19" s="232">
        <v>3619.5239999999999</v>
      </c>
      <c r="AJ19" s="232"/>
      <c r="AK19" s="232"/>
      <c r="AL19" s="939">
        <v>416.97</v>
      </c>
      <c r="AM19" s="470"/>
      <c r="AN19" s="189">
        <f t="shared" si="33"/>
        <v>4170.5700000000006</v>
      </c>
      <c r="AO19" s="190">
        <f>'переменные на 5 лет'!L106+'переменные на 5 лет'!L122</f>
        <v>1081.8100000000002</v>
      </c>
      <c r="AP19" s="190"/>
      <c r="AQ19" s="416"/>
      <c r="AR19" s="416">
        <f>'переменные на 5 лет'!L121+'переменные на 5 лет'!L127</f>
        <v>3088.76</v>
      </c>
      <c r="AS19" s="464"/>
      <c r="AT19" s="187">
        <f t="shared" si="28"/>
        <v>4520.8720000000003</v>
      </c>
      <c r="AU19" s="232">
        <v>4053.866</v>
      </c>
      <c r="AV19" s="232"/>
      <c r="AW19" s="232"/>
      <c r="AX19" s="939">
        <v>467.00599999999997</v>
      </c>
      <c r="AY19" s="470"/>
      <c r="AZ19" s="189">
        <f t="shared" si="34"/>
        <v>4337.29</v>
      </c>
      <c r="BA19" s="190">
        <f>'переменные на 5 лет'!O106+'переменные на 5 лет'!O122</f>
        <v>1125.0699999999995</v>
      </c>
      <c r="BB19" s="190"/>
      <c r="BC19" s="416"/>
      <c r="BD19" s="416">
        <f>'переменные на 5 лет'!O121+'переменные на 5 лет'!O127</f>
        <v>3212.2200000000003</v>
      </c>
      <c r="BE19" s="464"/>
      <c r="BF19" s="187">
        <f t="shared" si="29"/>
        <v>5063.3770000000004</v>
      </c>
      <c r="BG19" s="232">
        <v>4540.33</v>
      </c>
      <c r="BH19" s="232"/>
      <c r="BI19" s="232"/>
      <c r="BJ19" s="939">
        <v>523.04700000000003</v>
      </c>
      <c r="BK19" s="470"/>
      <c r="BL19" s="189">
        <f>BM19+BN19+BO19+BP19</f>
        <v>4510.7299999999996</v>
      </c>
      <c r="BM19" s="190">
        <f>'переменные на 5 лет'!R106+'переменные на 5 лет'!R122</f>
        <v>1170.4199999999996</v>
      </c>
      <c r="BN19" s="190"/>
      <c r="BO19" s="416"/>
      <c r="BP19" s="416">
        <f>'переменные на 5 лет'!R121+'переменные на 5 лет'!R127</f>
        <v>3340.31</v>
      </c>
      <c r="BQ19" s="464"/>
      <c r="BR19" s="835">
        <f t="shared" si="8"/>
        <v>1.1289918085591375</v>
      </c>
      <c r="BS19" s="542">
        <f t="shared" si="9"/>
        <v>1.1025745302688643</v>
      </c>
      <c r="BT19" s="831">
        <f t="shared" si="4"/>
        <v>1.0800121113695482</v>
      </c>
      <c r="BU19" s="324">
        <f t="shared" si="5"/>
        <v>1.0629366173670811</v>
      </c>
      <c r="BV19" s="324">
        <f t="shared" si="6"/>
        <v>1.0399753510910976</v>
      </c>
      <c r="BW19" s="201">
        <f t="shared" si="7"/>
        <v>1.0399881031704128</v>
      </c>
      <c r="BX19" s="967"/>
    </row>
    <row r="20" spans="1:77" s="111" customFormat="1" ht="19.5" thickBot="1">
      <c r="A20" s="116"/>
      <c r="B20" s="117" t="s">
        <v>51</v>
      </c>
      <c r="C20" s="1004" t="s">
        <v>1</v>
      </c>
      <c r="D20" s="187">
        <f>E20+F20+G20+H20</f>
        <v>0</v>
      </c>
      <c r="E20" s="1020"/>
      <c r="F20" s="1020"/>
      <c r="G20" s="1020"/>
      <c r="H20" s="1021"/>
      <c r="I20" s="1022"/>
      <c r="J20" s="187">
        <f>K20+L20+M20+N20</f>
        <v>0</v>
      </c>
      <c r="K20" s="1041"/>
      <c r="L20" s="1041"/>
      <c r="M20" s="1041"/>
      <c r="N20" s="1042"/>
      <c r="O20" s="1043"/>
      <c r="P20" s="187">
        <f>Q20+R20+S20+T20</f>
        <v>0</v>
      </c>
      <c r="Q20" s="1020"/>
      <c r="R20" s="1020"/>
      <c r="S20" s="1020"/>
      <c r="T20" s="1021"/>
      <c r="U20" s="1022"/>
      <c r="V20" s="187">
        <f>W20+X20+Y20+Z20</f>
        <v>0</v>
      </c>
      <c r="W20" s="1041"/>
      <c r="X20" s="1041"/>
      <c r="Y20" s="1041"/>
      <c r="Z20" s="1042"/>
      <c r="AA20" s="1043"/>
      <c r="AB20" s="1136">
        <f>AC20+AD20+AE20+AF20</f>
        <v>0</v>
      </c>
      <c r="AC20" s="1137"/>
      <c r="AD20" s="414"/>
      <c r="AE20" s="1138"/>
      <c r="AF20" s="1138"/>
      <c r="AG20" s="1139"/>
      <c r="AH20" s="187">
        <f>AI20+AJ20+AK20+AL20</f>
        <v>0</v>
      </c>
      <c r="AI20" s="1041"/>
      <c r="AJ20" s="1041"/>
      <c r="AK20" s="1041"/>
      <c r="AL20" s="1042"/>
      <c r="AM20" s="496"/>
      <c r="AN20" s="191">
        <f>AO20+AP20+AQ20+AR20</f>
        <v>0</v>
      </c>
      <c r="AO20" s="192"/>
      <c r="AP20" s="414"/>
      <c r="AQ20" s="417"/>
      <c r="AR20" s="417"/>
      <c r="AS20" s="465"/>
      <c r="AT20" s="187">
        <f>AU20+AV20+AW20+AX20</f>
        <v>0</v>
      </c>
      <c r="AU20" s="1041"/>
      <c r="AV20" s="1041"/>
      <c r="AW20" s="1041"/>
      <c r="AX20" s="1042"/>
      <c r="AY20" s="496"/>
      <c r="AZ20" s="191">
        <f>BA20+BB20+BC20+BD20</f>
        <v>0</v>
      </c>
      <c r="BA20" s="192"/>
      <c r="BB20" s="414"/>
      <c r="BC20" s="417"/>
      <c r="BD20" s="417"/>
      <c r="BE20" s="465"/>
      <c r="BF20" s="187">
        <f>BG20+BH20+BI20+BJ20</f>
        <v>0</v>
      </c>
      <c r="BG20" s="1041"/>
      <c r="BH20" s="1041"/>
      <c r="BI20" s="1041"/>
      <c r="BJ20" s="1042"/>
      <c r="BK20" s="496"/>
      <c r="BL20" s="191">
        <f>BM20+BN20+BO20+BP20</f>
        <v>0</v>
      </c>
      <c r="BM20" s="192"/>
      <c r="BN20" s="414"/>
      <c r="BO20" s="417"/>
      <c r="BP20" s="417"/>
      <c r="BQ20" s="465"/>
      <c r="BR20" s="834" t="str">
        <f t="shared" si="8"/>
        <v xml:space="preserve"> </v>
      </c>
      <c r="BS20" s="540" t="str">
        <f t="shared" si="9"/>
        <v xml:space="preserve"> </v>
      </c>
      <c r="BT20" s="832" t="str">
        <f t="shared" si="4"/>
        <v xml:space="preserve"> </v>
      </c>
      <c r="BU20" s="333" t="str">
        <f t="shared" si="5"/>
        <v xml:space="preserve"> </v>
      </c>
      <c r="BV20" s="333" t="str">
        <f t="shared" si="6"/>
        <v xml:space="preserve"> </v>
      </c>
      <c r="BW20" s="202" t="str">
        <f t="shared" si="7"/>
        <v xml:space="preserve"> </v>
      </c>
      <c r="BX20" s="967"/>
    </row>
    <row r="21" spans="1:77" s="88" customFormat="1" ht="43.5" customHeight="1" thickBot="1">
      <c r="A21" s="1585" t="s">
        <v>292</v>
      </c>
      <c r="B21" s="1586"/>
      <c r="C21" s="84" t="s">
        <v>1</v>
      </c>
      <c r="D21" s="525">
        <f>E21+F21+G21+H21</f>
        <v>5281.12</v>
      </c>
      <c r="E21" s="527">
        <f t="shared" ref="E21:I21" si="36">SUM(E22,E26,E29,E39,E42,E51:E55)</f>
        <v>3220.72</v>
      </c>
      <c r="F21" s="526">
        <f t="shared" si="36"/>
        <v>2060.4</v>
      </c>
      <c r="G21" s="524">
        <f t="shared" si="36"/>
        <v>0</v>
      </c>
      <c r="H21" s="524">
        <f t="shared" si="36"/>
        <v>0</v>
      </c>
      <c r="I21" s="523">
        <f t="shared" si="36"/>
        <v>0</v>
      </c>
      <c r="J21" s="186">
        <f>K21+L21+M21+N21</f>
        <v>6078.2068659985916</v>
      </c>
      <c r="K21" s="184">
        <f t="shared" ref="K21:O21" si="37">SUM(K22,K26,K29,K39,K42,K51:K55)</f>
        <v>3213.9307007839229</v>
      </c>
      <c r="L21" s="184">
        <f t="shared" si="37"/>
        <v>2824.2592372146687</v>
      </c>
      <c r="M21" s="185">
        <f t="shared" si="37"/>
        <v>0</v>
      </c>
      <c r="N21" s="185">
        <f t="shared" si="37"/>
        <v>40.016928000000007</v>
      </c>
      <c r="O21" s="462">
        <f t="shared" si="37"/>
        <v>0</v>
      </c>
      <c r="P21" s="525">
        <f>Q21+R21+S21+T21</f>
        <v>5814.4290000000001</v>
      </c>
      <c r="Q21" s="527">
        <f t="shared" ref="Q21:U21" si="38">SUM(Q22,Q26,Q29,Q39,Q42,Q51:Q55)</f>
        <v>3344.2069999999999</v>
      </c>
      <c r="R21" s="526">
        <f t="shared" si="38"/>
        <v>2470.2220000000002</v>
      </c>
      <c r="S21" s="524">
        <f t="shared" si="38"/>
        <v>0</v>
      </c>
      <c r="T21" s="524">
        <f t="shared" si="38"/>
        <v>0</v>
      </c>
      <c r="U21" s="523">
        <f t="shared" si="38"/>
        <v>0</v>
      </c>
      <c r="V21" s="186">
        <f>W21+X21+Y21+Z21</f>
        <v>6137.4024276199279</v>
      </c>
      <c r="W21" s="184">
        <f t="shared" ref="W21:Z21" si="39">SUM(W22,W26,W29,W39,W42,W51:W55)</f>
        <v>3236.9049420199271</v>
      </c>
      <c r="X21" s="184">
        <f t="shared" si="39"/>
        <v>2861.5055040000007</v>
      </c>
      <c r="Y21" s="185">
        <f t="shared" si="39"/>
        <v>0</v>
      </c>
      <c r="Z21" s="185">
        <f t="shared" si="39"/>
        <v>38.991981600000017</v>
      </c>
      <c r="AA21" s="462">
        <f t="shared" ref="AA21" si="40">SUM(AA22,AA26,AA29,AA39,AA42,AA51:AA55)</f>
        <v>0</v>
      </c>
      <c r="AB21" s="186">
        <f>AC21+AD21+AE21+AF21</f>
        <v>5952</v>
      </c>
      <c r="AC21" s="184">
        <f>ROUND(Q21*AC$8,2)</f>
        <v>3423.33</v>
      </c>
      <c r="AD21" s="184">
        <f>ROUND(R21*AD$8,2)</f>
        <v>2528.67</v>
      </c>
      <c r="AE21" s="184">
        <f t="shared" ref="AE21:AG21" si="41">ROUND(S21*AE$8,2)</f>
        <v>0</v>
      </c>
      <c r="AF21" s="185">
        <f t="shared" si="41"/>
        <v>0</v>
      </c>
      <c r="AG21" s="462">
        <f t="shared" si="41"/>
        <v>0</v>
      </c>
      <c r="AH21" s="186">
        <f>AI21+AJ21+AK21+AL21</f>
        <v>6319.0695394774775</v>
      </c>
      <c r="AI21" s="184">
        <f t="shared" ref="AI21:AL21" si="42">SUM(AI22,AI26,AI29,AI39,AI42,AI51:AI55)</f>
        <v>3332.7173283037168</v>
      </c>
      <c r="AJ21" s="184">
        <f t="shared" si="42"/>
        <v>2946.2060669184007</v>
      </c>
      <c r="AK21" s="185">
        <f t="shared" si="42"/>
        <v>0</v>
      </c>
      <c r="AL21" s="185">
        <f t="shared" si="42"/>
        <v>40.146144255360007</v>
      </c>
      <c r="AM21" s="462">
        <f>SUM(AM22,AM26,AM29,AM39,AM42,AM51:AM55)</f>
        <v>0</v>
      </c>
      <c r="AN21" s="186">
        <f>AO21+AP21+AQ21+AR21</f>
        <v>6128.18</v>
      </c>
      <c r="AO21" s="184">
        <f>ROUND(AC21*AO$8,2)</f>
        <v>3524.66</v>
      </c>
      <c r="AP21" s="184">
        <f t="shared" ref="AP21" si="43">ROUND(AD21*AP$8,2)</f>
        <v>2603.52</v>
      </c>
      <c r="AQ21" s="184">
        <f t="shared" ref="AQ21" si="44">ROUND(AE21*AQ$8,2)</f>
        <v>0</v>
      </c>
      <c r="AR21" s="185">
        <f t="shared" ref="AR21" si="45">ROUND(AF21*AR$8,2)</f>
        <v>0</v>
      </c>
      <c r="AS21" s="462">
        <f>ROUND(AG21*AS$8,2)</f>
        <v>0</v>
      </c>
      <c r="AT21" s="186">
        <f>AU21+AV21+AW21+AX21</f>
        <v>6506.1139978460124</v>
      </c>
      <c r="AU21" s="184">
        <f t="shared" ref="AU21:AX21" si="46">SUM(AU22,AU26,AU29,AU39,AU42,AU51:AU55)</f>
        <v>3431.3657612215075</v>
      </c>
      <c r="AV21" s="184">
        <f t="shared" si="46"/>
        <v>3033.4137664991858</v>
      </c>
      <c r="AW21" s="185">
        <f t="shared" si="46"/>
        <v>0</v>
      </c>
      <c r="AX21" s="185">
        <f t="shared" si="46"/>
        <v>41.334470125318674</v>
      </c>
      <c r="AY21" s="462">
        <f>SUM(AY22,AY26,AY29,AY39,AY42,AY51:AY55)</f>
        <v>0</v>
      </c>
      <c r="AZ21" s="186">
        <f>BA21+BB21+BC21+BD21</f>
        <v>6309.57</v>
      </c>
      <c r="BA21" s="184">
        <f>ROUND(AO21*BA$8,2)</f>
        <v>3628.99</v>
      </c>
      <c r="BB21" s="184">
        <f t="shared" ref="BB21" si="47">ROUND(AP21*BB$8,2)</f>
        <v>2680.58</v>
      </c>
      <c r="BC21" s="184">
        <f t="shared" ref="BC21" si="48">ROUND(AQ21*BC$8,2)</f>
        <v>0</v>
      </c>
      <c r="BD21" s="185">
        <f t="shared" ref="BD21" si="49">ROUND(AR21*BD$8,2)</f>
        <v>0</v>
      </c>
      <c r="BE21" s="462">
        <f t="shared" ref="BE21" si="50">ROUND(AS21*BE$8,2)</f>
        <v>0</v>
      </c>
      <c r="BF21" s="186">
        <f>BG21+BH21+BI21+BJ21</f>
        <v>6698.6830630302184</v>
      </c>
      <c r="BG21" s="184">
        <f t="shared" ref="BG21:BJ21" si="51">SUM(BG22,BG26,BG29,BG39,BG42,BG51:BG55)</f>
        <v>3532.934187753664</v>
      </c>
      <c r="BH21" s="184">
        <f t="shared" si="51"/>
        <v>3123.2028139875615</v>
      </c>
      <c r="BI21" s="185">
        <f t="shared" si="51"/>
        <v>0</v>
      </c>
      <c r="BJ21" s="185">
        <f t="shared" si="51"/>
        <v>42.546061288993037</v>
      </c>
      <c r="BK21" s="462">
        <f>SUM(BK22,BK26,BK29,BK39,BK42,BK51:BK55)</f>
        <v>0</v>
      </c>
      <c r="BL21" s="186">
        <f>BM21+BN21+BO21+BP21</f>
        <v>6496.34</v>
      </c>
      <c r="BM21" s="184">
        <f>ROUND(BA21*BM$8,2)</f>
        <v>3736.41</v>
      </c>
      <c r="BN21" s="184">
        <f t="shared" ref="BN21" si="52">ROUND(BB21*BN$8,2)</f>
        <v>2759.93</v>
      </c>
      <c r="BO21" s="184">
        <f t="shared" ref="BO21" si="53">ROUND(BC21*BO$8,2)</f>
        <v>0</v>
      </c>
      <c r="BP21" s="185">
        <f t="shared" ref="BP21" si="54">ROUND(BD21*BP$8,2)</f>
        <v>0</v>
      </c>
      <c r="BQ21" s="462">
        <f t="shared" ref="BQ21" si="55">ROUND(BE21*BQ$8,2)</f>
        <v>0</v>
      </c>
      <c r="BR21" s="826">
        <f t="shared" si="8"/>
        <v>0.95660268368387369</v>
      </c>
      <c r="BS21" s="330">
        <f t="shared" si="9"/>
        <v>1.1009840715605781</v>
      </c>
      <c r="BT21" s="826">
        <f t="shared" si="4"/>
        <v>1.023660276873275</v>
      </c>
      <c r="BU21" s="330">
        <f>IF(ISERROR(AN21/AB21)," ",AN21/AB21)</f>
        <v>1.0296001344086021</v>
      </c>
      <c r="BV21" s="330">
        <f>IF(ISERROR(AZ21/AN21)," ",AZ21/AN21)</f>
        <v>1.0295993263905432</v>
      </c>
      <c r="BW21" s="196">
        <f>IF(ISERROR(BL21/AZ21)," ",BL21/AZ21)</f>
        <v>1.0296010663167221</v>
      </c>
      <c r="BX21" s="968"/>
      <c r="BY21" s="118"/>
    </row>
    <row r="22" spans="1:77" s="111" customFormat="1" ht="18.75">
      <c r="A22" s="119">
        <v>1</v>
      </c>
      <c r="B22" s="120" t="s">
        <v>283</v>
      </c>
      <c r="C22" s="1005" t="s">
        <v>1</v>
      </c>
      <c r="D22" s="189">
        <f>E22+F22+G22+H22</f>
        <v>9.08</v>
      </c>
      <c r="E22" s="232">
        <f>SUM(E23:E25)</f>
        <v>9.08</v>
      </c>
      <c r="F22" s="232">
        <f t="shared" ref="F22:I22" si="56">SUM(F23:F25)</f>
        <v>0</v>
      </c>
      <c r="G22" s="232">
        <f t="shared" si="56"/>
        <v>0</v>
      </c>
      <c r="H22" s="939">
        <f t="shared" si="56"/>
        <v>0</v>
      </c>
      <c r="I22" s="520">
        <f t="shared" si="56"/>
        <v>0</v>
      </c>
      <c r="J22" s="189">
        <f>K22+L22+M22+N22</f>
        <v>52.27</v>
      </c>
      <c r="K22" s="232">
        <f>SUM(K23:K25)</f>
        <v>52.27</v>
      </c>
      <c r="L22" s="232">
        <f t="shared" ref="L22:O22" si="57">SUM(L23:L25)</f>
        <v>0</v>
      </c>
      <c r="M22" s="232">
        <f t="shared" si="57"/>
        <v>0</v>
      </c>
      <c r="N22" s="939">
        <f t="shared" si="57"/>
        <v>0</v>
      </c>
      <c r="O22" s="520">
        <f t="shared" si="57"/>
        <v>0</v>
      </c>
      <c r="P22" s="189">
        <f>Q22+R22+S22+T22</f>
        <v>9.5</v>
      </c>
      <c r="Q22" s="232">
        <f>SUM(Q23:Q25)</f>
        <v>9.5</v>
      </c>
      <c r="R22" s="232">
        <f t="shared" ref="R22:U22" si="58">SUM(R23:R25)</f>
        <v>0</v>
      </c>
      <c r="S22" s="232">
        <f t="shared" si="58"/>
        <v>0</v>
      </c>
      <c r="T22" s="939">
        <f t="shared" si="58"/>
        <v>0</v>
      </c>
      <c r="U22" s="520">
        <f t="shared" si="58"/>
        <v>0</v>
      </c>
      <c r="V22" s="189">
        <f>W22+X22+Y22+Z22</f>
        <v>53.817192000000006</v>
      </c>
      <c r="W22" s="232">
        <f>SUM(W23:W25)</f>
        <v>53.817192000000006</v>
      </c>
      <c r="X22" s="232">
        <f t="shared" ref="X22:Z22" si="59">SUM(X23:X25)</f>
        <v>0</v>
      </c>
      <c r="Y22" s="232">
        <f t="shared" si="59"/>
        <v>0</v>
      </c>
      <c r="Z22" s="939">
        <f t="shared" si="59"/>
        <v>0</v>
      </c>
      <c r="AA22" s="520">
        <f t="shared" ref="AA22" si="60">SUM(AA23:AA25)</f>
        <v>0</v>
      </c>
      <c r="AB22" s="189">
        <f>AC22+AD22+AE22+AF22</f>
        <v>9.7247673364716949</v>
      </c>
      <c r="AC22" s="1140">
        <f>SUM(AC23:AC25)</f>
        <v>9.7247673364716949</v>
      </c>
      <c r="AD22" s="1140">
        <f>SUM(AD23:AD25)</f>
        <v>0</v>
      </c>
      <c r="AE22" s="1140">
        <f t="shared" ref="AE22" si="61">SUM(AE23:AE25)</f>
        <v>0</v>
      </c>
      <c r="AF22" s="1141">
        <f t="shared" ref="AF22" si="62">SUM(AF23:AF25)</f>
        <v>0</v>
      </c>
      <c r="AG22" s="520">
        <f t="shared" ref="AG22" si="63">SUM(AG23:AG25)</f>
        <v>0</v>
      </c>
      <c r="AH22" s="189">
        <f>AI22+AJ22+AK22+AL22</f>
        <v>55.410180883200013</v>
      </c>
      <c r="AI22" s="232">
        <f>SUM(AI23:AI25)</f>
        <v>55.410180883200013</v>
      </c>
      <c r="AJ22" s="232">
        <f t="shared" ref="AJ22:AL22" si="64">SUM(AJ23:AJ25)</f>
        <v>0</v>
      </c>
      <c r="AK22" s="232">
        <f t="shared" si="64"/>
        <v>0</v>
      </c>
      <c r="AL22" s="939">
        <f t="shared" si="64"/>
        <v>0</v>
      </c>
      <c r="AM22" s="470">
        <f t="shared" ref="AM22" si="65">SUM(AM23:AM25)</f>
        <v>0</v>
      </c>
      <c r="AN22" s="189">
        <f>AO22+AP22+AQ22+AR22</f>
        <v>10.012618836094775</v>
      </c>
      <c r="AO22" s="232">
        <f t="shared" ref="AO22" si="66">SUM(AO23:AO25)</f>
        <v>10.012618836094775</v>
      </c>
      <c r="AP22" s="232">
        <f t="shared" ref="AP22" si="67">SUM(AP23:AP25)</f>
        <v>0</v>
      </c>
      <c r="AQ22" s="232">
        <f t="shared" ref="AQ22" si="68">SUM(AQ23:AQ25)</f>
        <v>0</v>
      </c>
      <c r="AR22" s="444">
        <f t="shared" ref="AR22:AS22" si="69">SUM(AR23:AR25)</f>
        <v>0</v>
      </c>
      <c r="AS22" s="520">
        <f t="shared" si="69"/>
        <v>0</v>
      </c>
      <c r="AT22" s="189">
        <f>AU22+AV22+AW22+AX22</f>
        <v>57.050322237342741</v>
      </c>
      <c r="AU22" s="232">
        <f>SUM(AU23:AU25)</f>
        <v>57.050322237342741</v>
      </c>
      <c r="AV22" s="232">
        <f t="shared" ref="AV22:AX22" si="70">SUM(AV23:AV25)</f>
        <v>0</v>
      </c>
      <c r="AW22" s="232">
        <f t="shared" si="70"/>
        <v>0</v>
      </c>
      <c r="AX22" s="939">
        <f t="shared" si="70"/>
        <v>0</v>
      </c>
      <c r="AY22" s="470">
        <f t="shared" ref="AY22" si="71">SUM(AY23:AY25)</f>
        <v>0</v>
      </c>
      <c r="AZ22" s="189">
        <f>BA22+BB22+BC22+BD22</f>
        <v>10.308992535450107</v>
      </c>
      <c r="BA22" s="232">
        <f>SUM(BA23:BA25)</f>
        <v>10.308992535450107</v>
      </c>
      <c r="BB22" s="232">
        <f>SUM(BB23:BB25)</f>
        <v>0</v>
      </c>
      <c r="BC22" s="232">
        <f t="shared" ref="BC22:BE22" si="72">SUM(BC23:BC25)</f>
        <v>0</v>
      </c>
      <c r="BD22" s="444">
        <f t="shared" si="72"/>
        <v>0</v>
      </c>
      <c r="BE22" s="520">
        <f t="shared" si="72"/>
        <v>0</v>
      </c>
      <c r="BF22" s="189">
        <f>BG22+BH22+BI22+BJ22</f>
        <v>58.739011775568088</v>
      </c>
      <c r="BG22" s="232">
        <f>SUM(BG23:BG25)</f>
        <v>58.739011775568088</v>
      </c>
      <c r="BH22" s="232">
        <f t="shared" ref="BH22:BJ22" si="73">SUM(BH23:BH25)</f>
        <v>0</v>
      </c>
      <c r="BI22" s="232">
        <f t="shared" si="73"/>
        <v>0</v>
      </c>
      <c r="BJ22" s="939">
        <f t="shared" si="73"/>
        <v>0</v>
      </c>
      <c r="BK22" s="470">
        <f t="shared" ref="BK22" si="74">SUM(BK23:BK25)</f>
        <v>0</v>
      </c>
      <c r="BL22" s="189">
        <f>BM22+BN22+BO22+BP22</f>
        <v>10.614144100529662</v>
      </c>
      <c r="BM22" s="232">
        <f>SUM(BM23:BM25)</f>
        <v>10.614144100529662</v>
      </c>
      <c r="BN22" s="232">
        <f>SUM(BN23:BN25)</f>
        <v>0</v>
      </c>
      <c r="BO22" s="232">
        <f t="shared" ref="BO22:BQ22" si="75">SUM(BO23:BO25)</f>
        <v>0</v>
      </c>
      <c r="BP22" s="444">
        <f t="shared" si="75"/>
        <v>0</v>
      </c>
      <c r="BQ22" s="520">
        <f t="shared" si="75"/>
        <v>0</v>
      </c>
      <c r="BR22" s="844">
        <f t="shared" si="8"/>
        <v>0.18174861297111153</v>
      </c>
      <c r="BS22" s="840">
        <f t="shared" si="9"/>
        <v>1.0462555066079295</v>
      </c>
      <c r="BT22" s="830">
        <f t="shared" ref="BT22:BT90" si="76">IF(ISERROR(AB22/P22)," ",AB22/P22)</f>
        <v>1.0236597196285995</v>
      </c>
      <c r="BU22" s="332">
        <f t="shared" ref="BU22:BU90" si="77">IF(ISERROR(AN22/AB22)," ",AN22/AB22)</f>
        <v>1.0295998340796828</v>
      </c>
      <c r="BV22" s="332">
        <f t="shared" ref="BV22:BV90" si="78">IF(ISERROR(AZ22/AN22)," ",AZ22/AN22)</f>
        <v>1.0296000181577796</v>
      </c>
      <c r="BW22" s="200">
        <f t="shared" ref="BW22:BW90" si="79">IF(ISERROR(BL22/AZ22)," ",BL22/AZ22)</f>
        <v>1.0296005224594171</v>
      </c>
      <c r="BX22" s="969"/>
      <c r="BY22" s="121"/>
    </row>
    <row r="23" spans="1:77" s="83" customFormat="1" ht="18.75">
      <c r="A23" s="129"/>
      <c r="B23" s="518" t="s">
        <v>272</v>
      </c>
      <c r="C23" s="1006" t="s">
        <v>1</v>
      </c>
      <c r="D23" s="521">
        <f t="shared" ref="D23:D28" si="80">E23+F23+G23+H23</f>
        <v>0</v>
      </c>
      <c r="E23" s="207"/>
      <c r="F23" s="207"/>
      <c r="G23" s="207"/>
      <c r="H23" s="1023"/>
      <c r="I23" s="469"/>
      <c r="J23" s="521">
        <f t="shared" ref="J23" si="81">K23+L23+M23+N23</f>
        <v>0</v>
      </c>
      <c r="K23" s="383"/>
      <c r="L23" s="383"/>
      <c r="M23" s="383"/>
      <c r="N23" s="1044"/>
      <c r="O23" s="500"/>
      <c r="P23" s="521">
        <f t="shared" ref="P23:P25" si="82">Q23+R23+S23+T23</f>
        <v>0</v>
      </c>
      <c r="Q23" s="207"/>
      <c r="R23" s="207"/>
      <c r="S23" s="207"/>
      <c r="T23" s="1023"/>
      <c r="U23" s="469"/>
      <c r="V23" s="521">
        <f t="shared" ref="V23" si="83">W23+X23+Y23+Z23</f>
        <v>0</v>
      </c>
      <c r="W23" s="383"/>
      <c r="X23" s="383"/>
      <c r="Y23" s="383"/>
      <c r="Z23" s="1044"/>
      <c r="AA23" s="500"/>
      <c r="AB23" s="521">
        <f t="shared" ref="AB23:AB25" si="84">AC23+AD23+AE23+AF23</f>
        <v>0</v>
      </c>
      <c r="AC23" s="1142">
        <f>IF($AC$21&gt;0,Q23/$Q$21*$AC$21,0)</f>
        <v>0</v>
      </c>
      <c r="AD23" s="1142">
        <f>IF($AD$21&gt;0,R23/$R$21*$AD$21,0)</f>
        <v>0</v>
      </c>
      <c r="AE23" s="1142">
        <f>IF($AE$21&gt;0,S23/$S$21*$AE$21,0)</f>
        <v>0</v>
      </c>
      <c r="AF23" s="1143">
        <f>IF($AF$21&gt;0,T23/$T$21*$AF$21,0)</f>
        <v>0</v>
      </c>
      <c r="AG23" s="807">
        <f>IF($AG$21&gt;0,U23/$U$21*$AG$21,0)</f>
        <v>0</v>
      </c>
      <c r="AH23" s="521">
        <f t="shared" ref="AH23" si="85">AI23+AJ23+AK23+AL23</f>
        <v>0</v>
      </c>
      <c r="AI23" s="383"/>
      <c r="AJ23" s="383"/>
      <c r="AK23" s="383"/>
      <c r="AL23" s="1044"/>
      <c r="AM23" s="500"/>
      <c r="AN23" s="521">
        <f t="shared" ref="AN23:AN29" si="86">AO23+AP23+AQ23+AR23</f>
        <v>0</v>
      </c>
      <c r="AO23" s="805">
        <f>IF($AO$21&gt;0,AC23/$AC$21*$AO$21,0)</f>
        <v>0</v>
      </c>
      <c r="AP23" s="805">
        <f>IF($AP$21&gt;0,AD23/$AD$21*$AP$21,0)</f>
        <v>0</v>
      </c>
      <c r="AQ23" s="805">
        <f>IF($AQ$21&gt;0,AE23/$AE$21*$AQ$21,0)</f>
        <v>0</v>
      </c>
      <c r="AR23" s="806">
        <f>IF($AR$21&gt;0,AF23/$AF$21*$AR$21,0)</f>
        <v>0</v>
      </c>
      <c r="AS23" s="807">
        <f>IF($AS$21&gt;0,AG23/$AG$21*$AS$21,0)</f>
        <v>0</v>
      </c>
      <c r="AT23" s="521">
        <f t="shared" ref="AT23" si="87">AU23+AV23+AW23+AX23</f>
        <v>0</v>
      </c>
      <c r="AU23" s="383"/>
      <c r="AV23" s="383"/>
      <c r="AW23" s="383"/>
      <c r="AX23" s="1044"/>
      <c r="AY23" s="500"/>
      <c r="AZ23" s="521">
        <f t="shared" ref="AZ23:AZ29" si="88">BA23+BB23+BC23+BD23</f>
        <v>0</v>
      </c>
      <c r="BA23" s="805">
        <f>IF($BA$21&gt;0,AO23/$AO$21*$BA$21,0)</f>
        <v>0</v>
      </c>
      <c r="BB23" s="805">
        <f>IF($BB$21&gt;0,AP23/$AP$21*$BB$21,0)</f>
        <v>0</v>
      </c>
      <c r="BC23" s="805">
        <f>IF($BC$21&gt;0,AQ23/$AQ$21*$BC$21,0)</f>
        <v>0</v>
      </c>
      <c r="BD23" s="806">
        <f>IF($BD$21&gt;0,AR23/$AR$21*$BD$21,0)</f>
        <v>0</v>
      </c>
      <c r="BE23" s="807">
        <f>IF($BE$21&gt;0,AS23/$AS$21*$BE$21,0)</f>
        <v>0</v>
      </c>
      <c r="BF23" s="521">
        <f t="shared" ref="BF23" si="89">BG23+BH23+BI23+BJ23</f>
        <v>0</v>
      </c>
      <c r="BG23" s="383"/>
      <c r="BH23" s="383"/>
      <c r="BI23" s="383"/>
      <c r="BJ23" s="1044"/>
      <c r="BK23" s="500"/>
      <c r="BL23" s="521">
        <f t="shared" ref="BL23:BL29" si="90">BM23+BN23+BO23+BP23</f>
        <v>0</v>
      </c>
      <c r="BM23" s="805">
        <f>IF($BM$21&gt;0,BA23/$BA$21*$BM$21,0)</f>
        <v>0</v>
      </c>
      <c r="BN23" s="805">
        <f>IF($BN$21&gt;0,BB23/$BB$21*$BN$21,0)</f>
        <v>0</v>
      </c>
      <c r="BO23" s="805">
        <f>IF($BO$21&gt;0,BC23/$BC$21*$BO$21,0)</f>
        <v>0</v>
      </c>
      <c r="BP23" s="806">
        <f>IF($BP$21&gt;0,BD23/$BD$21*$BP$21,0)</f>
        <v>0</v>
      </c>
      <c r="BQ23" s="807">
        <f>IF($BQ$21&gt;0,BE23/$BE$21*$BQ$21,0)</f>
        <v>0</v>
      </c>
      <c r="BR23" s="835" t="str">
        <f t="shared" si="8"/>
        <v xml:space="preserve"> </v>
      </c>
      <c r="BS23" s="542" t="str">
        <f t="shared" si="9"/>
        <v xml:space="preserve"> </v>
      </c>
      <c r="BT23" s="828" t="str">
        <f t="shared" ref="BT23:BT28" si="91">IF(ISERROR(AB23/P23)," ",AB23/P23)</f>
        <v xml:space="preserve"> </v>
      </c>
      <c r="BU23" s="323" t="str">
        <f t="shared" ref="BU23:BU28" si="92">IF(ISERROR(AN23/AB23)," ",AN23/AB23)</f>
        <v xml:space="preserve"> </v>
      </c>
      <c r="BV23" s="323" t="str">
        <f t="shared" ref="BV23:BV28" si="93">IF(ISERROR(AZ23/AN23)," ",AZ23/AN23)</f>
        <v xml:space="preserve"> </v>
      </c>
      <c r="BW23" s="198" t="str">
        <f t="shared" ref="BW23:BW28" si="94">IF(ISERROR(BL23/AZ23)," ",BL23/AZ23)</f>
        <v xml:space="preserve"> </v>
      </c>
      <c r="BX23" s="969"/>
      <c r="BY23" s="131"/>
    </row>
    <row r="24" spans="1:77" s="83" customFormat="1" ht="18.75">
      <c r="A24" s="129"/>
      <c r="B24" s="518" t="s">
        <v>273</v>
      </c>
      <c r="C24" s="1006" t="s">
        <v>1</v>
      </c>
      <c r="D24" s="521">
        <f t="shared" si="80"/>
        <v>0</v>
      </c>
      <c r="E24" s="207"/>
      <c r="F24" s="207"/>
      <c r="G24" s="207"/>
      <c r="H24" s="1023"/>
      <c r="I24" s="469"/>
      <c r="J24" s="521">
        <f>K24+L24+M24+N24</f>
        <v>0</v>
      </c>
      <c r="K24" s="383"/>
      <c r="L24" s="383"/>
      <c r="M24" s="383"/>
      <c r="N24" s="1044"/>
      <c r="O24" s="500"/>
      <c r="P24" s="521">
        <f t="shared" si="82"/>
        <v>0</v>
      </c>
      <c r="Q24" s="207"/>
      <c r="R24" s="207"/>
      <c r="S24" s="207"/>
      <c r="T24" s="1023"/>
      <c r="U24" s="469"/>
      <c r="V24" s="521">
        <f>W24+X24+Y24+Z24</f>
        <v>0</v>
      </c>
      <c r="W24" s="383"/>
      <c r="X24" s="383"/>
      <c r="Y24" s="383"/>
      <c r="Z24" s="1044"/>
      <c r="AA24" s="500"/>
      <c r="AB24" s="521">
        <f t="shared" si="84"/>
        <v>0</v>
      </c>
      <c r="AC24" s="1142">
        <f t="shared" ref="AC24:AC28" si="95">IF($AC$21&gt;0,Q24/$Q$21*$AC$21,0)</f>
        <v>0</v>
      </c>
      <c r="AD24" s="1142">
        <f>IF($AD$21&gt;0,R24/$R$21*$AD$21,0)</f>
        <v>0</v>
      </c>
      <c r="AE24" s="1142">
        <f t="shared" ref="AE24:AE28" si="96">IF($AE$21&gt;0,S24/$S$21*$AE$21,0)</f>
        <v>0</v>
      </c>
      <c r="AF24" s="1143">
        <f t="shared" ref="AF24:AF28" si="97">IF($AF$21&gt;0,T24/$T$21*$AF$21,0)</f>
        <v>0</v>
      </c>
      <c r="AG24" s="807">
        <f t="shared" ref="AG24:AG28" si="98">IF($AG$21&gt;0,U24/$U$21*$AG$21,0)</f>
        <v>0</v>
      </c>
      <c r="AH24" s="521">
        <f>AI24+AJ24+AK24+AL24</f>
        <v>0</v>
      </c>
      <c r="AI24" s="383"/>
      <c r="AJ24" s="383"/>
      <c r="AK24" s="383"/>
      <c r="AL24" s="1044"/>
      <c r="AM24" s="500"/>
      <c r="AN24" s="521">
        <f t="shared" si="86"/>
        <v>0</v>
      </c>
      <c r="AO24" s="805">
        <f t="shared" ref="AO24:AO28" si="99">IF($AO$21&gt;0,AC24/$AC$21*$AO$21,0)</f>
        <v>0</v>
      </c>
      <c r="AP24" s="805">
        <f t="shared" ref="AP24:AP28" si="100">IF($AP$21&gt;0,AD24/$AD$21*$AP$21,0)</f>
        <v>0</v>
      </c>
      <c r="AQ24" s="805">
        <f t="shared" ref="AQ24" si="101">IF($AQ$21&gt;0,AE24/$AE$21*$AQ$21,0)</f>
        <v>0</v>
      </c>
      <c r="AR24" s="806">
        <f t="shared" ref="AR24:AR28" si="102">IF($AR$21&gt;0,AF24/$AF$21*$AR$21,0)</f>
        <v>0</v>
      </c>
      <c r="AS24" s="807">
        <f t="shared" ref="AS24:AS28" si="103">IF($AS$21&gt;0,AG24/$AG$21*$AS$21,0)</f>
        <v>0</v>
      </c>
      <c r="AT24" s="521">
        <f>AU24+AV24+AW24+AX24</f>
        <v>0</v>
      </c>
      <c r="AU24" s="383"/>
      <c r="AV24" s="383"/>
      <c r="AW24" s="383"/>
      <c r="AX24" s="1044"/>
      <c r="AY24" s="500"/>
      <c r="AZ24" s="521">
        <f t="shared" si="88"/>
        <v>0</v>
      </c>
      <c r="BA24" s="805">
        <f t="shared" ref="BA24:BA28" si="104">IF($BA$21&gt;0,AO24/$AO$21*$BA$21,0)</f>
        <v>0</v>
      </c>
      <c r="BB24" s="805">
        <f t="shared" ref="BB24:BB28" si="105">IF($BB$21&gt;0,AP24/$AP$21*$BB$21,0)</f>
        <v>0</v>
      </c>
      <c r="BC24" s="805">
        <f t="shared" ref="BC24:BC28" si="106">IF($BC$21&gt;0,AQ24/$AQ$21*$BC$21,0)</f>
        <v>0</v>
      </c>
      <c r="BD24" s="806">
        <f t="shared" ref="BD24:BD28" si="107">IF($BD$21&gt;0,AR24/$AR$21*$BD$21,0)</f>
        <v>0</v>
      </c>
      <c r="BE24" s="807">
        <f t="shared" ref="BE24:BE28" si="108">IF($BE$21&gt;0,AS24/$AS$21*$BE$21,0)</f>
        <v>0</v>
      </c>
      <c r="BF24" s="521">
        <f>BG24+BH24+BI24+BJ24</f>
        <v>0</v>
      </c>
      <c r="BG24" s="383"/>
      <c r="BH24" s="383"/>
      <c r="BI24" s="383"/>
      <c r="BJ24" s="1044"/>
      <c r="BK24" s="500"/>
      <c r="BL24" s="521">
        <f t="shared" si="90"/>
        <v>0</v>
      </c>
      <c r="BM24" s="805">
        <f t="shared" ref="BM24:BM28" si="109">IF($BM$21&gt;0,BA24/$BA$21*$BM$21,0)</f>
        <v>0</v>
      </c>
      <c r="BN24" s="805">
        <f t="shared" ref="BN24" si="110">IF($BN$21&gt;0,BB24/$BB$21*$BN$21,0)</f>
        <v>0</v>
      </c>
      <c r="BO24" s="805">
        <f t="shared" ref="BO24:BO28" si="111">IF($BO$21&gt;0,BC24/$BC$21*$BO$21,0)</f>
        <v>0</v>
      </c>
      <c r="BP24" s="806">
        <f t="shared" ref="BP24:BP28" si="112">IF($BP$21&gt;0,BD24/$BD$21*$BP$21,0)</f>
        <v>0</v>
      </c>
      <c r="BQ24" s="807">
        <f t="shared" ref="BQ24:BQ28" si="113">IF($BQ$21&gt;0,BE24/$BE$21*$BQ$21,0)</f>
        <v>0</v>
      </c>
      <c r="BR24" s="835" t="str">
        <f t="shared" si="8"/>
        <v xml:space="preserve"> </v>
      </c>
      <c r="BS24" s="542" t="str">
        <f t="shared" si="9"/>
        <v xml:space="preserve"> </v>
      </c>
      <c r="BT24" s="828" t="str">
        <f t="shared" si="91"/>
        <v xml:space="preserve"> </v>
      </c>
      <c r="BU24" s="323" t="str">
        <f t="shared" si="92"/>
        <v xml:space="preserve"> </v>
      </c>
      <c r="BV24" s="323" t="str">
        <f t="shared" si="93"/>
        <v xml:space="preserve"> </v>
      </c>
      <c r="BW24" s="198" t="str">
        <f t="shared" si="94"/>
        <v xml:space="preserve"> </v>
      </c>
      <c r="BX24" s="969"/>
      <c r="BY24" s="131"/>
    </row>
    <row r="25" spans="1:77" s="83" customFormat="1" ht="18.75">
      <c r="A25" s="129"/>
      <c r="B25" s="518" t="s">
        <v>274</v>
      </c>
      <c r="C25" s="1006" t="s">
        <v>1</v>
      </c>
      <c r="D25" s="521">
        <f t="shared" si="80"/>
        <v>9.08</v>
      </c>
      <c r="E25" s="207">
        <v>9.08</v>
      </c>
      <c r="F25" s="207"/>
      <c r="G25" s="207"/>
      <c r="H25" s="1023"/>
      <c r="I25" s="469"/>
      <c r="J25" s="521">
        <f t="shared" ref="J25:J26" si="114">K25+L25+M25+N25</f>
        <v>52.27</v>
      </c>
      <c r="K25" s="983">
        <v>52.27</v>
      </c>
      <c r="L25" s="383"/>
      <c r="M25" s="383"/>
      <c r="N25" s="1044"/>
      <c r="O25" s="500"/>
      <c r="P25" s="521">
        <f t="shared" si="82"/>
        <v>9.5</v>
      </c>
      <c r="Q25" s="207">
        <f>ROUND(E25*индексы!H8,2)</f>
        <v>9.5</v>
      </c>
      <c r="R25" s="207"/>
      <c r="S25" s="207"/>
      <c r="T25" s="1023"/>
      <c r="U25" s="469"/>
      <c r="V25" s="521">
        <f t="shared" ref="V25:V26" si="115">W25+X25+Y25+Z25</f>
        <v>53.817192000000006</v>
      </c>
      <c r="W25" s="383">
        <v>53.817192000000006</v>
      </c>
      <c r="X25" s="383"/>
      <c r="Y25" s="383"/>
      <c r="Z25" s="1044"/>
      <c r="AA25" s="500"/>
      <c r="AB25" s="521">
        <f t="shared" si="84"/>
        <v>9.7247673364716949</v>
      </c>
      <c r="AC25" s="1142">
        <f t="shared" si="95"/>
        <v>9.7247673364716949</v>
      </c>
      <c r="AD25" s="1142">
        <f>IF($AD$21&gt;0,R25/$R$21*$AD$21,0)</f>
        <v>0</v>
      </c>
      <c r="AE25" s="1142">
        <f t="shared" si="96"/>
        <v>0</v>
      </c>
      <c r="AF25" s="1143">
        <f t="shared" si="97"/>
        <v>0</v>
      </c>
      <c r="AG25" s="807">
        <f t="shared" si="98"/>
        <v>0</v>
      </c>
      <c r="AH25" s="521">
        <f t="shared" ref="AH25:AH26" si="116">AI25+AJ25+AK25+AL25</f>
        <v>55.410180883200013</v>
      </c>
      <c r="AI25" s="383">
        <v>55.410180883200013</v>
      </c>
      <c r="AJ25" s="383"/>
      <c r="AK25" s="383"/>
      <c r="AL25" s="1044"/>
      <c r="AM25" s="500"/>
      <c r="AN25" s="521">
        <f t="shared" si="86"/>
        <v>10.012618836094775</v>
      </c>
      <c r="AO25" s="805">
        <f t="shared" si="99"/>
        <v>10.012618836094775</v>
      </c>
      <c r="AP25" s="805">
        <f t="shared" si="100"/>
        <v>0</v>
      </c>
      <c r="AQ25" s="805">
        <f>IF($AQ$21&gt;0,AE25/$AE$21*$AQ$21,0)</f>
        <v>0</v>
      </c>
      <c r="AR25" s="806">
        <f t="shared" si="102"/>
        <v>0</v>
      </c>
      <c r="AS25" s="807">
        <f t="shared" si="103"/>
        <v>0</v>
      </c>
      <c r="AT25" s="521">
        <f t="shared" ref="AT25:AT26" si="117">AU25+AV25+AW25+AX25</f>
        <v>57.050322237342741</v>
      </c>
      <c r="AU25" s="383">
        <v>57.050322237342741</v>
      </c>
      <c r="AV25" s="383"/>
      <c r="AW25" s="383"/>
      <c r="AX25" s="1044"/>
      <c r="AY25" s="500"/>
      <c r="AZ25" s="521">
        <f t="shared" si="88"/>
        <v>10.308992535450107</v>
      </c>
      <c r="BA25" s="805">
        <f t="shared" si="104"/>
        <v>10.308992535450107</v>
      </c>
      <c r="BB25" s="805">
        <f t="shared" si="105"/>
        <v>0</v>
      </c>
      <c r="BC25" s="805">
        <f t="shared" si="106"/>
        <v>0</v>
      </c>
      <c r="BD25" s="806">
        <f t="shared" si="107"/>
        <v>0</v>
      </c>
      <c r="BE25" s="807">
        <f t="shared" si="108"/>
        <v>0</v>
      </c>
      <c r="BF25" s="521">
        <f t="shared" ref="BF25:BF26" si="118">BG25+BH25+BI25+BJ25</f>
        <v>58.739011775568088</v>
      </c>
      <c r="BG25" s="383">
        <v>58.739011775568088</v>
      </c>
      <c r="BH25" s="383"/>
      <c r="BI25" s="383"/>
      <c r="BJ25" s="1044"/>
      <c r="BK25" s="500"/>
      <c r="BL25" s="521">
        <f t="shared" si="90"/>
        <v>10.614144100529662</v>
      </c>
      <c r="BM25" s="805">
        <f t="shared" si="109"/>
        <v>10.614144100529662</v>
      </c>
      <c r="BN25" s="805">
        <f>IF($BN$21&gt;0,BB25/$BB$21*$BN$21,0)</f>
        <v>0</v>
      </c>
      <c r="BO25" s="805">
        <f t="shared" si="111"/>
        <v>0</v>
      </c>
      <c r="BP25" s="806">
        <f t="shared" si="112"/>
        <v>0</v>
      </c>
      <c r="BQ25" s="807">
        <f t="shared" si="113"/>
        <v>0</v>
      </c>
      <c r="BR25" s="835">
        <f t="shared" si="8"/>
        <v>0.18174861297111153</v>
      </c>
      <c r="BS25" s="542">
        <f t="shared" si="9"/>
        <v>1.0462555066079295</v>
      </c>
      <c r="BT25" s="828">
        <f t="shared" si="91"/>
        <v>1.0236597196285995</v>
      </c>
      <c r="BU25" s="323">
        <f t="shared" si="92"/>
        <v>1.0295998340796828</v>
      </c>
      <c r="BV25" s="323">
        <f t="shared" si="93"/>
        <v>1.0296000181577796</v>
      </c>
      <c r="BW25" s="198">
        <f t="shared" si="94"/>
        <v>1.0296005224594171</v>
      </c>
      <c r="BX25" s="969"/>
      <c r="BY25" s="131"/>
    </row>
    <row r="26" spans="1:77" s="111" customFormat="1" ht="18.75">
      <c r="A26" s="119">
        <v>2</v>
      </c>
      <c r="B26" s="120" t="s">
        <v>284</v>
      </c>
      <c r="C26" s="1005" t="s">
        <v>1</v>
      </c>
      <c r="D26" s="189">
        <f t="shared" si="80"/>
        <v>1884.13</v>
      </c>
      <c r="E26" s="232">
        <v>1224.26</v>
      </c>
      <c r="F26" s="232">
        <v>659.87</v>
      </c>
      <c r="G26" s="232">
        <f t="shared" ref="G26:I26" si="119">SUM(G27:G28)</f>
        <v>0</v>
      </c>
      <c r="H26" s="939">
        <f t="shared" si="119"/>
        <v>0</v>
      </c>
      <c r="I26" s="470">
        <f t="shared" si="119"/>
        <v>0</v>
      </c>
      <c r="J26" s="189">
        <f t="shared" si="114"/>
        <v>1939.9</v>
      </c>
      <c r="K26" s="232">
        <f>K27+K28</f>
        <v>1260.5</v>
      </c>
      <c r="L26" s="232">
        <f t="shared" ref="L26:O26" si="120">L27+L28</f>
        <v>679.4</v>
      </c>
      <c r="M26" s="232">
        <f t="shared" si="120"/>
        <v>0</v>
      </c>
      <c r="N26" s="939">
        <f t="shared" si="120"/>
        <v>0</v>
      </c>
      <c r="O26" s="470">
        <f t="shared" si="120"/>
        <v>0</v>
      </c>
      <c r="P26" s="189">
        <f t="shared" ref="P26:P29" si="121">Q26+R26+S26+T26</f>
        <v>1939.9</v>
      </c>
      <c r="Q26" s="232">
        <f>SUM(Q27:Q28)</f>
        <v>1260.5</v>
      </c>
      <c r="R26" s="232">
        <f t="shared" ref="R26:U26" si="122">SUM(R27:R28)</f>
        <v>679.4</v>
      </c>
      <c r="S26" s="232">
        <f t="shared" si="122"/>
        <v>0</v>
      </c>
      <c r="T26" s="939">
        <f t="shared" si="122"/>
        <v>0</v>
      </c>
      <c r="U26" s="470">
        <f t="shared" si="122"/>
        <v>0</v>
      </c>
      <c r="V26" s="189">
        <f t="shared" si="115"/>
        <v>0</v>
      </c>
      <c r="W26" s="232">
        <f>W27+W28</f>
        <v>0</v>
      </c>
      <c r="X26" s="232">
        <f t="shared" ref="X26:Z26" si="123">X27+X28</f>
        <v>0</v>
      </c>
      <c r="Y26" s="232">
        <f t="shared" si="123"/>
        <v>0</v>
      </c>
      <c r="Z26" s="939">
        <f t="shared" si="123"/>
        <v>0</v>
      </c>
      <c r="AA26" s="470">
        <f t="shared" ref="AA26" si="124">AA27+AA28</f>
        <v>0</v>
      </c>
      <c r="AB26" s="189">
        <f t="shared" ref="AB26:AB29" si="125">AC26+AD26+AE26+AF26</f>
        <v>1985.7983812405816</v>
      </c>
      <c r="AC26" s="1140">
        <f>AC27+AC28</f>
        <v>1290.3230765918497</v>
      </c>
      <c r="AD26" s="1140">
        <f>AD27+AD28</f>
        <v>695.47530464873194</v>
      </c>
      <c r="AE26" s="1140">
        <f t="shared" ref="AE26" si="126">AE27+AE28</f>
        <v>0</v>
      </c>
      <c r="AF26" s="1141">
        <f t="shared" ref="AF26" si="127">AF27+AF28</f>
        <v>0</v>
      </c>
      <c r="AG26" s="470">
        <f t="shared" ref="AG26" si="128">AG27+AG28</f>
        <v>0</v>
      </c>
      <c r="AH26" s="189">
        <f t="shared" si="116"/>
        <v>0</v>
      </c>
      <c r="AI26" s="232">
        <f>AI27+AI28</f>
        <v>0</v>
      </c>
      <c r="AJ26" s="232">
        <f t="shared" ref="AJ26:AL26" si="129">AJ27+AJ28</f>
        <v>0</v>
      </c>
      <c r="AK26" s="232">
        <f t="shared" si="129"/>
        <v>0</v>
      </c>
      <c r="AL26" s="939">
        <f t="shared" si="129"/>
        <v>0</v>
      </c>
      <c r="AM26" s="470">
        <f t="shared" ref="AM26" si="130">AM27+AM28</f>
        <v>0</v>
      </c>
      <c r="AN26" s="189">
        <f t="shared" si="86"/>
        <v>2044.5781754837485</v>
      </c>
      <c r="AO26" s="232">
        <f t="shared" ref="AO26" si="131">AO27+AO28</f>
        <v>1328.5164255681541</v>
      </c>
      <c r="AP26" s="232">
        <f t="shared" ref="AP26" si="132">AP27+AP28</f>
        <v>716.06174991559453</v>
      </c>
      <c r="AQ26" s="232">
        <f t="shared" ref="AQ26" si="133">AQ27+AQ28</f>
        <v>0</v>
      </c>
      <c r="AR26" s="444">
        <f t="shared" ref="AR26:AS26" si="134">AR27+AR28</f>
        <v>0</v>
      </c>
      <c r="AS26" s="470">
        <f t="shared" si="134"/>
        <v>0</v>
      </c>
      <c r="AT26" s="189">
        <f t="shared" si="117"/>
        <v>0</v>
      </c>
      <c r="AU26" s="232">
        <f>AU27+AU28</f>
        <v>0</v>
      </c>
      <c r="AV26" s="232">
        <f t="shared" ref="AV26:AX26" si="135">AV27+AV28</f>
        <v>0</v>
      </c>
      <c r="AW26" s="232">
        <f t="shared" si="135"/>
        <v>0</v>
      </c>
      <c r="AX26" s="939">
        <f t="shared" si="135"/>
        <v>0</v>
      </c>
      <c r="AY26" s="470">
        <f t="shared" ref="AY26" si="136">AY27+AY28</f>
        <v>0</v>
      </c>
      <c r="AZ26" s="189">
        <f t="shared" si="88"/>
        <v>2105.0965606500267</v>
      </c>
      <c r="BA26" s="232">
        <f>BA27+BA28</f>
        <v>1367.8405358878802</v>
      </c>
      <c r="BB26" s="232">
        <f>BB27+BB28</f>
        <v>737.25602476214681</v>
      </c>
      <c r="BC26" s="232">
        <f t="shared" ref="BC26:BE26" si="137">BC27+BC28</f>
        <v>0</v>
      </c>
      <c r="BD26" s="444">
        <f t="shared" si="137"/>
        <v>0</v>
      </c>
      <c r="BE26" s="470">
        <f t="shared" si="137"/>
        <v>0</v>
      </c>
      <c r="BF26" s="189">
        <f t="shared" si="118"/>
        <v>0</v>
      </c>
      <c r="BG26" s="232">
        <f>BG27+BG28</f>
        <v>0</v>
      </c>
      <c r="BH26" s="232">
        <f t="shared" ref="BH26:BJ26" si="138">BH27+BH28</f>
        <v>0</v>
      </c>
      <c r="BI26" s="232">
        <f t="shared" si="138"/>
        <v>0</v>
      </c>
      <c r="BJ26" s="939">
        <f t="shared" si="138"/>
        <v>0</v>
      </c>
      <c r="BK26" s="470">
        <f t="shared" ref="BK26" si="139">BK27+BK28</f>
        <v>0</v>
      </c>
      <c r="BL26" s="189">
        <f t="shared" si="90"/>
        <v>2167.4094624604318</v>
      </c>
      <c r="BM26" s="232">
        <f>BM27+BM28</f>
        <v>1408.3293303913304</v>
      </c>
      <c r="BN26" s="232">
        <f>BN27+BN28</f>
        <v>759.08013206910141</v>
      </c>
      <c r="BO26" s="232">
        <f t="shared" ref="BO26:BQ26" si="140">BO27+BO28</f>
        <v>0</v>
      </c>
      <c r="BP26" s="444">
        <f t="shared" si="140"/>
        <v>0</v>
      </c>
      <c r="BQ26" s="470">
        <f t="shared" si="140"/>
        <v>0</v>
      </c>
      <c r="BR26" s="835">
        <f t="shared" si="8"/>
        <v>1</v>
      </c>
      <c r="BS26" s="542">
        <f t="shared" si="9"/>
        <v>1.0295998683742629</v>
      </c>
      <c r="BT26" s="831">
        <f t="shared" si="91"/>
        <v>1.0236601789992172</v>
      </c>
      <c r="BU26" s="324">
        <f t="shared" si="92"/>
        <v>1.0296000816590682</v>
      </c>
      <c r="BV26" s="324">
        <f t="shared" si="93"/>
        <v>1.0295994478919641</v>
      </c>
      <c r="BW26" s="201">
        <f t="shared" si="94"/>
        <v>1.0296009707940255</v>
      </c>
      <c r="BX26" s="970"/>
      <c r="BY26" s="121"/>
    </row>
    <row r="27" spans="1:77" s="83" customFormat="1" ht="18.75">
      <c r="A27" s="129"/>
      <c r="B27" s="518" t="s">
        <v>271</v>
      </c>
      <c r="C27" s="1006" t="s">
        <v>1</v>
      </c>
      <c r="D27" s="521">
        <f t="shared" si="80"/>
        <v>0</v>
      </c>
      <c r="E27" s="207"/>
      <c r="F27" s="207"/>
      <c r="G27" s="207"/>
      <c r="H27" s="1023"/>
      <c r="I27" s="469"/>
      <c r="J27" s="521">
        <f>K27+L27+M27+N27</f>
        <v>0</v>
      </c>
      <c r="K27" s="383"/>
      <c r="L27" s="383"/>
      <c r="M27" s="383"/>
      <c r="N27" s="1044"/>
      <c r="O27" s="500"/>
      <c r="P27" s="521">
        <f t="shared" si="121"/>
        <v>0</v>
      </c>
      <c r="Q27" s="207"/>
      <c r="R27" s="207"/>
      <c r="S27" s="207"/>
      <c r="T27" s="1023"/>
      <c r="U27" s="469"/>
      <c r="V27" s="521">
        <f>W27+X27+Y27+Z27</f>
        <v>0</v>
      </c>
      <c r="W27" s="383"/>
      <c r="X27" s="383"/>
      <c r="Y27" s="383"/>
      <c r="Z27" s="1044"/>
      <c r="AA27" s="500"/>
      <c r="AB27" s="521">
        <f t="shared" si="125"/>
        <v>0</v>
      </c>
      <c r="AC27" s="1144">
        <f t="shared" si="95"/>
        <v>0</v>
      </c>
      <c r="AD27" s="1144">
        <f t="shared" ref="AD27:AD28" si="141">IF($AD$21&gt;0,R27/$R$21*$AD$21,0)</f>
        <v>0</v>
      </c>
      <c r="AE27" s="1144">
        <f t="shared" si="96"/>
        <v>0</v>
      </c>
      <c r="AF27" s="1145">
        <f t="shared" si="97"/>
        <v>0</v>
      </c>
      <c r="AG27" s="469">
        <f t="shared" si="98"/>
        <v>0</v>
      </c>
      <c r="AH27" s="521">
        <f>AI27+AJ27+AK27+AL27</f>
        <v>0</v>
      </c>
      <c r="AI27" s="383"/>
      <c r="AJ27" s="383"/>
      <c r="AK27" s="383"/>
      <c r="AL27" s="1044"/>
      <c r="AM27" s="500"/>
      <c r="AN27" s="521">
        <f t="shared" si="86"/>
        <v>0</v>
      </c>
      <c r="AO27" s="207">
        <f t="shared" si="99"/>
        <v>0</v>
      </c>
      <c r="AP27" s="207">
        <f t="shared" si="100"/>
        <v>0</v>
      </c>
      <c r="AQ27" s="207">
        <f t="shared" ref="AQ27:AQ28" si="142">IF($AQ$21&gt;0,AE27/$AE$21*$AQ$21,0)</f>
        <v>0</v>
      </c>
      <c r="AR27" s="431">
        <f t="shared" si="102"/>
        <v>0</v>
      </c>
      <c r="AS27" s="469">
        <f t="shared" si="103"/>
        <v>0</v>
      </c>
      <c r="AT27" s="521">
        <f>AU27+AV27+AW27+AX27</f>
        <v>0</v>
      </c>
      <c r="AU27" s="383"/>
      <c r="AV27" s="383"/>
      <c r="AW27" s="383"/>
      <c r="AX27" s="1044"/>
      <c r="AY27" s="500"/>
      <c r="AZ27" s="521">
        <f t="shared" si="88"/>
        <v>0</v>
      </c>
      <c r="BA27" s="207">
        <f t="shared" si="104"/>
        <v>0</v>
      </c>
      <c r="BB27" s="207">
        <f t="shared" si="105"/>
        <v>0</v>
      </c>
      <c r="BC27" s="207">
        <f t="shared" si="106"/>
        <v>0</v>
      </c>
      <c r="BD27" s="431">
        <f t="shared" si="107"/>
        <v>0</v>
      </c>
      <c r="BE27" s="807">
        <f t="shared" si="108"/>
        <v>0</v>
      </c>
      <c r="BF27" s="521">
        <f>BG27+BH27+BI27+BJ27</f>
        <v>0</v>
      </c>
      <c r="BG27" s="383"/>
      <c r="BH27" s="383"/>
      <c r="BI27" s="383"/>
      <c r="BJ27" s="1044"/>
      <c r="BK27" s="500"/>
      <c r="BL27" s="521">
        <f t="shared" si="90"/>
        <v>0</v>
      </c>
      <c r="BM27" s="207">
        <f t="shared" si="109"/>
        <v>0</v>
      </c>
      <c r="BN27" s="207">
        <f t="shared" ref="BN27:BN28" si="143">IF($BN$21&gt;0,BB27/$BB$21*$BN$21,0)</f>
        <v>0</v>
      </c>
      <c r="BO27" s="207">
        <f t="shared" si="111"/>
        <v>0</v>
      </c>
      <c r="BP27" s="431">
        <f t="shared" si="112"/>
        <v>0</v>
      </c>
      <c r="BQ27" s="807">
        <f t="shared" si="113"/>
        <v>0</v>
      </c>
      <c r="BR27" s="835" t="str">
        <f t="shared" si="8"/>
        <v xml:space="preserve"> </v>
      </c>
      <c r="BS27" s="542" t="str">
        <f t="shared" si="9"/>
        <v xml:space="preserve"> </v>
      </c>
      <c r="BT27" s="828" t="str">
        <f t="shared" si="91"/>
        <v xml:space="preserve"> </v>
      </c>
      <c r="BU27" s="323" t="str">
        <f t="shared" si="92"/>
        <v xml:space="preserve"> </v>
      </c>
      <c r="BV27" s="323" t="str">
        <f t="shared" si="93"/>
        <v xml:space="preserve"> </v>
      </c>
      <c r="BW27" s="198" t="str">
        <f t="shared" si="94"/>
        <v xml:space="preserve"> </v>
      </c>
      <c r="BX27" s="970"/>
      <c r="BY27" s="131"/>
    </row>
    <row r="28" spans="1:77" s="83" customFormat="1" ht="28.5" customHeight="1">
      <c r="A28" s="129"/>
      <c r="B28" s="518" t="s">
        <v>208</v>
      </c>
      <c r="C28" s="1006" t="s">
        <v>1</v>
      </c>
      <c r="D28" s="521">
        <f t="shared" si="80"/>
        <v>0</v>
      </c>
      <c r="E28" s="207"/>
      <c r="F28" s="207"/>
      <c r="G28" s="207"/>
      <c r="H28" s="1023"/>
      <c r="I28" s="469"/>
      <c r="J28" s="521">
        <f t="shared" ref="J28:J29" si="144">K28+L28+M28+N28</f>
        <v>1939.9</v>
      </c>
      <c r="K28" s="383">
        <v>1260.5</v>
      </c>
      <c r="L28" s="383">
        <v>679.4</v>
      </c>
      <c r="M28" s="383"/>
      <c r="N28" s="1044"/>
      <c r="O28" s="500"/>
      <c r="P28" s="1107">
        <f t="shared" si="121"/>
        <v>1939.9</v>
      </c>
      <c r="Q28" s="1108">
        <f>K28</f>
        <v>1260.5</v>
      </c>
      <c r="R28" s="1108">
        <f>L28</f>
        <v>679.4</v>
      </c>
      <c r="S28" s="207"/>
      <c r="T28" s="1023"/>
      <c r="U28" s="469"/>
      <c r="V28" s="521">
        <f t="shared" ref="V28:V29" si="145">W28+X28+Y28+Z28</f>
        <v>0</v>
      </c>
      <c r="W28" s="383"/>
      <c r="X28" s="383"/>
      <c r="Y28" s="383"/>
      <c r="Z28" s="1044"/>
      <c r="AA28" s="500"/>
      <c r="AB28" s="521">
        <f>AC28+AD28+AE28+AF28</f>
        <v>1985.7983812405816</v>
      </c>
      <c r="AC28" s="1144">
        <f t="shared" si="95"/>
        <v>1290.3230765918497</v>
      </c>
      <c r="AD28" s="1144">
        <f t="shared" si="141"/>
        <v>695.47530464873194</v>
      </c>
      <c r="AE28" s="1144">
        <f t="shared" si="96"/>
        <v>0</v>
      </c>
      <c r="AF28" s="1145">
        <f t="shared" si="97"/>
        <v>0</v>
      </c>
      <c r="AG28" s="469">
        <f t="shared" si="98"/>
        <v>0</v>
      </c>
      <c r="AH28" s="521">
        <f t="shared" ref="AH28:AH29" si="146">AI28+AJ28+AK28+AL28</f>
        <v>0</v>
      </c>
      <c r="AI28" s="383"/>
      <c r="AJ28" s="383"/>
      <c r="AK28" s="383"/>
      <c r="AL28" s="1044"/>
      <c r="AM28" s="500"/>
      <c r="AN28" s="521">
        <f t="shared" si="86"/>
        <v>2044.5781754837485</v>
      </c>
      <c r="AO28" s="207">
        <f t="shared" si="99"/>
        <v>1328.5164255681541</v>
      </c>
      <c r="AP28" s="207">
        <f t="shared" si="100"/>
        <v>716.06174991559453</v>
      </c>
      <c r="AQ28" s="207">
        <f t="shared" si="142"/>
        <v>0</v>
      </c>
      <c r="AR28" s="431">
        <f t="shared" si="102"/>
        <v>0</v>
      </c>
      <c r="AS28" s="469">
        <f t="shared" si="103"/>
        <v>0</v>
      </c>
      <c r="AT28" s="521">
        <f t="shared" ref="AT28:AT29" si="147">AU28+AV28+AW28+AX28</f>
        <v>0</v>
      </c>
      <c r="AU28" s="383"/>
      <c r="AV28" s="383"/>
      <c r="AW28" s="383"/>
      <c r="AX28" s="1044"/>
      <c r="AY28" s="500"/>
      <c r="AZ28" s="521">
        <f t="shared" si="88"/>
        <v>2105.0965606500267</v>
      </c>
      <c r="BA28" s="207">
        <f t="shared" si="104"/>
        <v>1367.8405358878802</v>
      </c>
      <c r="BB28" s="207">
        <f t="shared" si="105"/>
        <v>737.25602476214681</v>
      </c>
      <c r="BC28" s="207">
        <f t="shared" si="106"/>
        <v>0</v>
      </c>
      <c r="BD28" s="431">
        <f t="shared" si="107"/>
        <v>0</v>
      </c>
      <c r="BE28" s="807">
        <f t="shared" si="108"/>
        <v>0</v>
      </c>
      <c r="BF28" s="521">
        <f t="shared" ref="BF28:BF29" si="148">BG28+BH28+BI28+BJ28</f>
        <v>0</v>
      </c>
      <c r="BG28" s="383"/>
      <c r="BH28" s="383"/>
      <c r="BI28" s="383"/>
      <c r="BJ28" s="1044"/>
      <c r="BK28" s="500"/>
      <c r="BL28" s="521">
        <f t="shared" si="90"/>
        <v>2167.4094624604318</v>
      </c>
      <c r="BM28" s="207">
        <f t="shared" si="109"/>
        <v>1408.3293303913304</v>
      </c>
      <c r="BN28" s="207">
        <f t="shared" si="143"/>
        <v>759.08013206910141</v>
      </c>
      <c r="BO28" s="207">
        <f t="shared" si="111"/>
        <v>0</v>
      </c>
      <c r="BP28" s="431">
        <f t="shared" si="112"/>
        <v>0</v>
      </c>
      <c r="BQ28" s="807">
        <f t="shared" si="113"/>
        <v>0</v>
      </c>
      <c r="BR28" s="835">
        <f t="shared" si="8"/>
        <v>1</v>
      </c>
      <c r="BS28" s="542" t="str">
        <f t="shared" si="9"/>
        <v xml:space="preserve"> </v>
      </c>
      <c r="BT28" s="828">
        <f t="shared" si="91"/>
        <v>1.0236601789992172</v>
      </c>
      <c r="BU28" s="323">
        <f t="shared" si="92"/>
        <v>1.0296000816590682</v>
      </c>
      <c r="BV28" s="323">
        <f t="shared" si="93"/>
        <v>1.0295994478919641</v>
      </c>
      <c r="BW28" s="198">
        <f t="shared" si="94"/>
        <v>1.0296009707940255</v>
      </c>
      <c r="BX28" s="967" t="s">
        <v>493</v>
      </c>
      <c r="BY28" s="131"/>
    </row>
    <row r="29" spans="1:77" s="111" customFormat="1" ht="18.75">
      <c r="A29" s="119">
        <v>3</v>
      </c>
      <c r="B29" s="120" t="s">
        <v>285</v>
      </c>
      <c r="C29" s="1005" t="s">
        <v>1</v>
      </c>
      <c r="D29" s="189">
        <f>E29+F29+G29+H29</f>
        <v>1139.74</v>
      </c>
      <c r="E29" s="232">
        <f t="shared" ref="E29:I29" si="149">SUM(E31:E33)</f>
        <v>681.31</v>
      </c>
      <c r="F29" s="232">
        <f t="shared" si="149"/>
        <v>458.43</v>
      </c>
      <c r="G29" s="232">
        <f t="shared" si="149"/>
        <v>0</v>
      </c>
      <c r="H29" s="939">
        <f t="shared" si="149"/>
        <v>0</v>
      </c>
      <c r="I29" s="470">
        <f t="shared" si="149"/>
        <v>0</v>
      </c>
      <c r="J29" s="189">
        <f t="shared" si="144"/>
        <v>1580.02</v>
      </c>
      <c r="K29" s="232">
        <f t="shared" ref="K29:O29" si="150">SUM(K31:K33)</f>
        <v>944.31</v>
      </c>
      <c r="L29" s="232">
        <f t="shared" si="150"/>
        <v>606.79</v>
      </c>
      <c r="M29" s="232">
        <f t="shared" si="150"/>
        <v>0</v>
      </c>
      <c r="N29" s="939">
        <f t="shared" si="150"/>
        <v>28.92</v>
      </c>
      <c r="O29" s="470">
        <f t="shared" si="150"/>
        <v>0</v>
      </c>
      <c r="P29" s="189">
        <f t="shared" si="121"/>
        <v>1577.33</v>
      </c>
      <c r="Q29" s="232">
        <f>SUM(Q31:Q33)</f>
        <v>970.54</v>
      </c>
      <c r="R29" s="232">
        <f t="shared" ref="R29:U29" si="151">SUM(R31:R33)</f>
        <v>606.79</v>
      </c>
      <c r="S29" s="232">
        <f t="shared" si="151"/>
        <v>0</v>
      </c>
      <c r="T29" s="939">
        <f t="shared" si="151"/>
        <v>0</v>
      </c>
      <c r="U29" s="470">
        <f t="shared" si="151"/>
        <v>0</v>
      </c>
      <c r="V29" s="189">
        <f t="shared" si="145"/>
        <v>1626.7885920000001</v>
      </c>
      <c r="W29" s="232">
        <f t="shared" ref="W29:Z29" si="152">SUM(W31:W33)</f>
        <v>972.26157599999999</v>
      </c>
      <c r="X29" s="232">
        <f t="shared" si="152"/>
        <v>624.75098400000002</v>
      </c>
      <c r="Y29" s="232">
        <f t="shared" si="152"/>
        <v>0</v>
      </c>
      <c r="Z29" s="939">
        <f t="shared" si="152"/>
        <v>29.776032000000004</v>
      </c>
      <c r="AA29" s="470">
        <f t="shared" ref="AA29" si="153">SUM(AA31:AA33)</f>
        <v>0</v>
      </c>
      <c r="AB29" s="189">
        <f t="shared" si="125"/>
        <v>1614.6499814561419</v>
      </c>
      <c r="AC29" s="1140">
        <f>SUM(AC31:AC33)</f>
        <v>993.50270428834085</v>
      </c>
      <c r="AD29" s="1140">
        <f t="shared" ref="AD29:AG29" si="154">SUM(AD31:AD33)</f>
        <v>621.14727716780101</v>
      </c>
      <c r="AE29" s="1140">
        <f t="shared" si="154"/>
        <v>0</v>
      </c>
      <c r="AF29" s="1141">
        <f t="shared" si="154"/>
        <v>0</v>
      </c>
      <c r="AG29" s="470">
        <f t="shared" si="154"/>
        <v>0</v>
      </c>
      <c r="AH29" s="189">
        <f t="shared" si="146"/>
        <v>1674.9415343232001</v>
      </c>
      <c r="AI29" s="232">
        <f t="shared" ref="AI29:AL29" si="155">SUM(AI31:AI33)</f>
        <v>1001.0405186496</v>
      </c>
      <c r="AJ29" s="232">
        <f t="shared" si="155"/>
        <v>643.24361312640008</v>
      </c>
      <c r="AK29" s="232">
        <f t="shared" si="155"/>
        <v>0</v>
      </c>
      <c r="AL29" s="939">
        <f t="shared" si="155"/>
        <v>30.657402547200007</v>
      </c>
      <c r="AM29" s="470">
        <f t="shared" ref="AM29" si="156">SUM(AM31:AM33)</f>
        <v>0</v>
      </c>
      <c r="AN29" s="189">
        <f t="shared" si="86"/>
        <v>1662.4437921030649</v>
      </c>
      <c r="AO29" s="232">
        <f t="shared" ref="AO29:AQ29" si="157">SUM(AO31:AO33)</f>
        <v>1022.9102194929918</v>
      </c>
      <c r="AP29" s="232">
        <f t="shared" si="157"/>
        <v>639.53357261007295</v>
      </c>
      <c r="AQ29" s="232">
        <f t="shared" si="157"/>
        <v>0</v>
      </c>
      <c r="AR29" s="444">
        <f t="shared" ref="AR29:AS29" si="158">SUM(AR31:AR33)</f>
        <v>0</v>
      </c>
      <c r="AS29" s="470">
        <f t="shared" si="158"/>
        <v>0</v>
      </c>
      <c r="AT29" s="189">
        <f t="shared" si="147"/>
        <v>1724.5198037391669</v>
      </c>
      <c r="AU29" s="232">
        <f t="shared" ref="AU29:AX29" si="159">SUM(AU31:AU33)</f>
        <v>1030.6713180016282</v>
      </c>
      <c r="AV29" s="232">
        <f t="shared" si="159"/>
        <v>662.2836240749416</v>
      </c>
      <c r="AW29" s="232">
        <f t="shared" si="159"/>
        <v>0</v>
      </c>
      <c r="AX29" s="939">
        <f t="shared" si="159"/>
        <v>31.564861662597131</v>
      </c>
      <c r="AY29" s="470">
        <f t="shared" ref="AY29" si="160">SUM(AY31:AY33)</f>
        <v>0</v>
      </c>
      <c r="AZ29" s="189">
        <f t="shared" si="88"/>
        <v>1711.6511171922925</v>
      </c>
      <c r="BA29" s="232">
        <f>SUM(BA31:BA33)</f>
        <v>1053.1883805637628</v>
      </c>
      <c r="BB29" s="232">
        <f t="shared" ref="BB29:BE29" si="161">SUM(BB31:BB33)</f>
        <v>658.46273662852957</v>
      </c>
      <c r="BC29" s="232">
        <f t="shared" si="161"/>
        <v>0</v>
      </c>
      <c r="BD29" s="444">
        <f t="shared" si="161"/>
        <v>0</v>
      </c>
      <c r="BE29" s="470">
        <f t="shared" si="161"/>
        <v>0</v>
      </c>
      <c r="BF29" s="189">
        <f t="shared" si="148"/>
        <v>1775.5655899298463</v>
      </c>
      <c r="BG29" s="232">
        <f t="shared" ref="BG29:BJ29" si="162">SUM(BG31:BG33)</f>
        <v>1061.1791890144764</v>
      </c>
      <c r="BH29" s="232">
        <f t="shared" si="162"/>
        <v>681.88721934755995</v>
      </c>
      <c r="BI29" s="232">
        <f t="shared" si="162"/>
        <v>0</v>
      </c>
      <c r="BJ29" s="939">
        <f t="shared" si="162"/>
        <v>32.499181567810005</v>
      </c>
      <c r="BK29" s="470">
        <f t="shared" ref="BK29" si="163">SUM(BK31:BK33)</f>
        <v>0</v>
      </c>
      <c r="BL29" s="189">
        <f t="shared" si="90"/>
        <v>1762.3177274509826</v>
      </c>
      <c r="BM29" s="232">
        <f>SUM(BM31:BM33)</f>
        <v>1084.3633068766376</v>
      </c>
      <c r="BN29" s="232">
        <f t="shared" ref="BN29:BQ29" si="164">SUM(BN31:BN33)</f>
        <v>677.95442057434491</v>
      </c>
      <c r="BO29" s="232">
        <f t="shared" si="164"/>
        <v>0</v>
      </c>
      <c r="BP29" s="444">
        <f t="shared" si="164"/>
        <v>0</v>
      </c>
      <c r="BQ29" s="470">
        <f t="shared" si="164"/>
        <v>0</v>
      </c>
      <c r="BR29" s="835">
        <f t="shared" si="8"/>
        <v>0.99829748990519107</v>
      </c>
      <c r="BS29" s="542">
        <f t="shared" si="9"/>
        <v>1.3839384421008298</v>
      </c>
      <c r="BT29" s="831">
        <f t="shared" si="76"/>
        <v>1.0236602242118908</v>
      </c>
      <c r="BU29" s="324">
        <f t="shared" si="77"/>
        <v>1.0296001060265836</v>
      </c>
      <c r="BV29" s="324">
        <f t="shared" si="78"/>
        <v>1.0295993917646853</v>
      </c>
      <c r="BW29" s="201">
        <f t="shared" si="79"/>
        <v>1.0296010149204944</v>
      </c>
      <c r="BX29" s="970"/>
      <c r="BY29" s="121"/>
    </row>
    <row r="30" spans="1:77" s="125" customFormat="1" ht="18.75" outlineLevel="1">
      <c r="A30" s="122"/>
      <c r="B30" s="123" t="s">
        <v>33</v>
      </c>
      <c r="C30" s="1007"/>
      <c r="D30" s="228"/>
      <c r="E30" s="229"/>
      <c r="F30" s="229"/>
      <c r="G30" s="229"/>
      <c r="H30" s="1024"/>
      <c r="I30" s="466"/>
      <c r="J30" s="228"/>
      <c r="K30" s="382"/>
      <c r="L30" s="382"/>
      <c r="M30" s="382"/>
      <c r="N30" s="1045"/>
      <c r="O30" s="497"/>
      <c r="P30" s="228"/>
      <c r="Q30" s="229"/>
      <c r="R30" s="229"/>
      <c r="S30" s="229"/>
      <c r="T30" s="1024"/>
      <c r="U30" s="466"/>
      <c r="V30" s="228"/>
      <c r="W30" s="382"/>
      <c r="X30" s="382"/>
      <c r="Y30" s="382"/>
      <c r="Z30" s="1045"/>
      <c r="AA30" s="497"/>
      <c r="AB30" s="228"/>
      <c r="AC30" s="1146"/>
      <c r="AD30" s="1146"/>
      <c r="AE30" s="1146"/>
      <c r="AF30" s="1147"/>
      <c r="AG30" s="466"/>
      <c r="AH30" s="228"/>
      <c r="AI30" s="382"/>
      <c r="AJ30" s="382"/>
      <c r="AK30" s="382"/>
      <c r="AL30" s="1045"/>
      <c r="AM30" s="497"/>
      <c r="AN30" s="228"/>
      <c r="AO30" s="229"/>
      <c r="AP30" s="229"/>
      <c r="AQ30" s="229"/>
      <c r="AR30" s="230"/>
      <c r="AS30" s="466"/>
      <c r="AT30" s="228"/>
      <c r="AU30" s="382"/>
      <c r="AV30" s="382"/>
      <c r="AW30" s="382"/>
      <c r="AX30" s="1045"/>
      <c r="AY30" s="497"/>
      <c r="AZ30" s="228"/>
      <c r="BA30" s="229"/>
      <c r="BB30" s="229"/>
      <c r="BC30" s="229"/>
      <c r="BD30" s="230"/>
      <c r="BE30" s="466"/>
      <c r="BF30" s="228"/>
      <c r="BG30" s="382"/>
      <c r="BH30" s="382"/>
      <c r="BI30" s="382"/>
      <c r="BJ30" s="1045"/>
      <c r="BK30" s="497"/>
      <c r="BL30" s="228"/>
      <c r="BM30" s="229"/>
      <c r="BN30" s="229"/>
      <c r="BO30" s="229"/>
      <c r="BP30" s="230"/>
      <c r="BQ30" s="466"/>
      <c r="BR30" s="835" t="str">
        <f t="shared" ref="BR30" si="165">IF(ISERROR(P30/J30)," ",P30/J30)</f>
        <v xml:space="preserve"> </v>
      </c>
      <c r="BS30" s="542" t="str">
        <f t="shared" ref="BS30" si="166">IF(ISERROR(P30/D30)," ",P30/D30)</f>
        <v xml:space="preserve"> </v>
      </c>
      <c r="BT30" s="831" t="str">
        <f t="shared" ref="BT30" si="167">IF(ISERROR(AB30/P30)," ",AB30/P30)</f>
        <v xml:space="preserve"> </v>
      </c>
      <c r="BU30" s="324" t="str">
        <f t="shared" ref="BU30" si="168">IF(ISERROR(AN30/AB30)," ",AN30/AB30)</f>
        <v xml:space="preserve"> </v>
      </c>
      <c r="BV30" s="324" t="str">
        <f t="shared" ref="BV30" si="169">IF(ISERROR(AZ30/AN30)," ",AZ30/AN30)</f>
        <v xml:space="preserve"> </v>
      </c>
      <c r="BW30" s="201" t="str">
        <f t="shared" ref="BW30" si="170">IF(ISERROR(BL30/AZ30)," ",BL30/AZ30)</f>
        <v xml:space="preserve"> </v>
      </c>
      <c r="BX30" s="971"/>
      <c r="BY30" s="124"/>
    </row>
    <row r="31" spans="1:77" s="125" customFormat="1" ht="18.75" outlineLevel="1">
      <c r="A31" s="122"/>
      <c r="B31" s="126" t="s">
        <v>116</v>
      </c>
      <c r="C31" s="1007" t="s">
        <v>1</v>
      </c>
      <c r="D31" s="209">
        <f>E31+F31+G31+H31</f>
        <v>0</v>
      </c>
      <c r="E31" s="210"/>
      <c r="F31" s="210"/>
      <c r="G31" s="210"/>
      <c r="H31" s="938"/>
      <c r="I31" s="467"/>
      <c r="J31" s="209">
        <f>K31+L31+M31+N31</f>
        <v>0</v>
      </c>
      <c r="K31" s="498"/>
      <c r="L31" s="498"/>
      <c r="M31" s="498"/>
      <c r="N31" s="1046"/>
      <c r="O31" s="499"/>
      <c r="P31" s="209">
        <f>Q31+R31+S31+T31</f>
        <v>0</v>
      </c>
      <c r="Q31" s="210"/>
      <c r="R31" s="210"/>
      <c r="S31" s="210"/>
      <c r="T31" s="938"/>
      <c r="U31" s="467"/>
      <c r="V31" s="209">
        <f>W31+X31+Y31+Z31</f>
        <v>0</v>
      </c>
      <c r="W31" s="498"/>
      <c r="X31" s="498"/>
      <c r="Y31" s="498"/>
      <c r="Z31" s="1046"/>
      <c r="AA31" s="499"/>
      <c r="AB31" s="209">
        <f>AC31+AD31+AE31+AF31</f>
        <v>0</v>
      </c>
      <c r="AC31" s="1148">
        <f t="shared" ref="AC31:AC33" si="171">IF($AC$21&gt;0,Q31/$Q$21*$AC$21,0)</f>
        <v>0</v>
      </c>
      <c r="AD31" s="1148">
        <f t="shared" ref="AD31:AD33" si="172">IF($AD$21&gt;0,R31/$R$21*$AD$21,0)</f>
        <v>0</v>
      </c>
      <c r="AE31" s="1148">
        <f t="shared" ref="AE31:AE33" si="173">IF($AE$21&gt;0,S31/$S$21*$AE$21,0)</f>
        <v>0</v>
      </c>
      <c r="AF31" s="1149">
        <f t="shared" ref="AF31:AF33" si="174">IF($AF$21&gt;0,T31/$T$21*$AF$21,0)</f>
        <v>0</v>
      </c>
      <c r="AG31" s="467">
        <f t="shared" ref="AG31:AG33" si="175">IF($AG$21&gt;0,U31/$U$21*$AG$21,0)</f>
        <v>0</v>
      </c>
      <c r="AH31" s="209">
        <f>AI31+AJ31+AK31+AL31</f>
        <v>0</v>
      </c>
      <c r="AI31" s="498"/>
      <c r="AJ31" s="498"/>
      <c r="AK31" s="498"/>
      <c r="AL31" s="1046"/>
      <c r="AM31" s="499"/>
      <c r="AN31" s="209">
        <f>AO31+AP31+AQ31+AR31</f>
        <v>0</v>
      </c>
      <c r="AO31" s="210">
        <f t="shared" ref="AO31:AO33" si="176">IF($AO$21&gt;0,AC31/$AC$21*$AO$21,0)</f>
        <v>0</v>
      </c>
      <c r="AP31" s="210">
        <f t="shared" ref="AP31:AP33" si="177">IF($AP$21&gt;0,AD31/$AD$21*$AP$21,0)</f>
        <v>0</v>
      </c>
      <c r="AQ31" s="210">
        <f t="shared" ref="AQ31:AQ33" si="178">IF($AQ$21&gt;0,AE31/$AE$21*$AQ$21,0)</f>
        <v>0</v>
      </c>
      <c r="AR31" s="443">
        <f t="shared" ref="AR31:AR33" si="179">IF($AR$21&gt;0,AF31/$AF$21*$AR$21,0)</f>
        <v>0</v>
      </c>
      <c r="AS31" s="808">
        <f t="shared" ref="AS31:AS33" si="180">IF($AS$21&gt;0,AG31/$AG$21*$AS$21,0)</f>
        <v>0</v>
      </c>
      <c r="AT31" s="209">
        <f>AU31+AV31+AW31+AX31</f>
        <v>1724.5198037391669</v>
      </c>
      <c r="AU31" s="498">
        <v>1030.6713180016282</v>
      </c>
      <c r="AV31" s="498">
        <v>662.2836240749416</v>
      </c>
      <c r="AW31" s="498"/>
      <c r="AX31" s="1046">
        <v>31.564861662597131</v>
      </c>
      <c r="AY31" s="499"/>
      <c r="AZ31" s="209">
        <f>BA31+BB31+BC31+BD31</f>
        <v>0</v>
      </c>
      <c r="BA31" s="210">
        <f t="shared" ref="BA31:BA33" si="181">IF($BA$21&gt;0,AO31/$AO$21*$BA$21,0)</f>
        <v>0</v>
      </c>
      <c r="BB31" s="210">
        <f t="shared" ref="BB31:BB33" si="182">IF($BB$21&gt;0,AP31/$AP$21*$BB$21,0)</f>
        <v>0</v>
      </c>
      <c r="BC31" s="210">
        <f t="shared" ref="BC31:BC33" si="183">IF($BC$21&gt;0,AQ31/$AQ$21*$BC$21,0)</f>
        <v>0</v>
      </c>
      <c r="BD31" s="443">
        <f t="shared" ref="BD31:BD33" si="184">IF($BD$21&gt;0,AR31/$AR$21*$BD$21,0)</f>
        <v>0</v>
      </c>
      <c r="BE31" s="467">
        <f t="shared" ref="BE31:BE33" si="185">IF($BE$21&gt;0,AS31/$AS$21*$BE$21,0)</f>
        <v>0</v>
      </c>
      <c r="BF31" s="209">
        <f>BG31+BH31+BI31+BJ31</f>
        <v>1775.5655899298463</v>
      </c>
      <c r="BG31" s="498">
        <v>1061.1791890144764</v>
      </c>
      <c r="BH31" s="498">
        <v>681.88721934755995</v>
      </c>
      <c r="BI31" s="498"/>
      <c r="BJ31" s="1046">
        <v>32.499181567810005</v>
      </c>
      <c r="BK31" s="499"/>
      <c r="BL31" s="209">
        <f>BM31+BN31+BO31+BP31</f>
        <v>0</v>
      </c>
      <c r="BM31" s="210">
        <f t="shared" ref="BM31:BM33" si="186">IF($BM$21&gt;0,BA31/$BA$21*$BM$21,0)</f>
        <v>0</v>
      </c>
      <c r="BN31" s="210">
        <f t="shared" ref="BN31:BN33" si="187">IF($BN$21&gt;0,BB31/$BB$21*$BN$21,0)</f>
        <v>0</v>
      </c>
      <c r="BO31" s="210">
        <f t="shared" ref="BO31:BO32" si="188">IF($BO$21&gt;0,BC31/$BC$21*$BO$21,0)</f>
        <v>0</v>
      </c>
      <c r="BP31" s="443">
        <f t="shared" ref="BP31:BP33" si="189">IF($BP$21&gt;0,BD31/$BD$21*$BP$21,0)</f>
        <v>0</v>
      </c>
      <c r="BQ31" s="467">
        <f t="shared" ref="BQ31:BQ33" si="190">IF($BQ$21&gt;0,BE31/$BE$21*$BQ$21,0)</f>
        <v>0</v>
      </c>
      <c r="BR31" s="835" t="str">
        <f t="shared" si="8"/>
        <v xml:space="preserve"> </v>
      </c>
      <c r="BS31" s="542" t="str">
        <f t="shared" si="9"/>
        <v xml:space="preserve"> </v>
      </c>
      <c r="BT31" s="833" t="str">
        <f t="shared" si="76"/>
        <v xml:space="preserve"> </v>
      </c>
      <c r="BU31" s="325" t="str">
        <f t="shared" si="77"/>
        <v xml:space="preserve"> </v>
      </c>
      <c r="BV31" s="325" t="str">
        <f t="shared" si="78"/>
        <v xml:space="preserve"> </v>
      </c>
      <c r="BW31" s="203" t="str">
        <f t="shared" si="79"/>
        <v xml:space="preserve"> </v>
      </c>
      <c r="BX31" s="971"/>
      <c r="BY31" s="127"/>
    </row>
    <row r="32" spans="1:77" s="125" customFormat="1" ht="18.75" outlineLevel="1">
      <c r="A32" s="122"/>
      <c r="B32" s="126" t="s">
        <v>117</v>
      </c>
      <c r="C32" s="1007" t="s">
        <v>1</v>
      </c>
      <c r="D32" s="209">
        <f t="shared" ref="D32:D37" si="191">E32+F32+G32+H32</f>
        <v>0</v>
      </c>
      <c r="E32" s="210"/>
      <c r="F32" s="210"/>
      <c r="G32" s="210"/>
      <c r="H32" s="938"/>
      <c r="I32" s="467"/>
      <c r="J32" s="209">
        <f t="shared" ref="J32:J37" si="192">K32+L32+M32+N32</f>
        <v>0</v>
      </c>
      <c r="K32" s="498"/>
      <c r="L32" s="498"/>
      <c r="M32" s="498"/>
      <c r="N32" s="1046"/>
      <c r="O32" s="499"/>
      <c r="P32" s="209">
        <f t="shared" ref="P32:P37" si="193">Q32+R32+S32+T32</f>
        <v>0</v>
      </c>
      <c r="Q32" s="210"/>
      <c r="R32" s="210"/>
      <c r="S32" s="210"/>
      <c r="T32" s="938"/>
      <c r="U32" s="467"/>
      <c r="V32" s="209">
        <f t="shared" ref="V32:V37" si="194">W32+X32+Y32+Z32</f>
        <v>0</v>
      </c>
      <c r="W32" s="498"/>
      <c r="X32" s="498"/>
      <c r="Y32" s="498"/>
      <c r="Z32" s="1046"/>
      <c r="AA32" s="499"/>
      <c r="AB32" s="209">
        <f t="shared" ref="AB32:AB37" si="195">AC32+AD32+AE32+AF32</f>
        <v>0</v>
      </c>
      <c r="AC32" s="1148">
        <f t="shared" si="171"/>
        <v>0</v>
      </c>
      <c r="AD32" s="1148">
        <f t="shared" si="172"/>
        <v>0</v>
      </c>
      <c r="AE32" s="1148">
        <f t="shared" si="173"/>
        <v>0</v>
      </c>
      <c r="AF32" s="1149">
        <f t="shared" si="174"/>
        <v>0</v>
      </c>
      <c r="AG32" s="467">
        <f t="shared" si="175"/>
        <v>0</v>
      </c>
      <c r="AH32" s="209">
        <f t="shared" ref="AH32:AH37" si="196">AI32+AJ32+AK32+AL32</f>
        <v>0</v>
      </c>
      <c r="AI32" s="498"/>
      <c r="AJ32" s="498"/>
      <c r="AK32" s="498"/>
      <c r="AL32" s="1046"/>
      <c r="AM32" s="499"/>
      <c r="AN32" s="209">
        <f t="shared" ref="AN32:AN37" si="197">AO32+AP32+AQ32+AR32</f>
        <v>0</v>
      </c>
      <c r="AO32" s="210">
        <f t="shared" si="176"/>
        <v>0</v>
      </c>
      <c r="AP32" s="210">
        <f t="shared" si="177"/>
        <v>0</v>
      </c>
      <c r="AQ32" s="210">
        <f t="shared" si="178"/>
        <v>0</v>
      </c>
      <c r="AR32" s="443">
        <f t="shared" si="179"/>
        <v>0</v>
      </c>
      <c r="AS32" s="808">
        <f t="shared" si="180"/>
        <v>0</v>
      </c>
      <c r="AT32" s="209">
        <f t="shared" ref="AT32:AT37" si="198">AU32+AV32+AW32+AX32</f>
        <v>0</v>
      </c>
      <c r="AU32" s="498"/>
      <c r="AV32" s="498"/>
      <c r="AW32" s="498"/>
      <c r="AX32" s="1046"/>
      <c r="AY32" s="499"/>
      <c r="AZ32" s="209">
        <f t="shared" ref="AZ32:AZ37" si="199">BA32+BB32+BC32+BD32</f>
        <v>0</v>
      </c>
      <c r="BA32" s="210">
        <f t="shared" si="181"/>
        <v>0</v>
      </c>
      <c r="BB32" s="210">
        <f t="shared" si="182"/>
        <v>0</v>
      </c>
      <c r="BC32" s="210">
        <f t="shared" si="183"/>
        <v>0</v>
      </c>
      <c r="BD32" s="443">
        <f t="shared" si="184"/>
        <v>0</v>
      </c>
      <c r="BE32" s="467">
        <f t="shared" si="185"/>
        <v>0</v>
      </c>
      <c r="BF32" s="209">
        <f t="shared" ref="BF32:BF37" si="200">BG32+BH32+BI32+BJ32</f>
        <v>0</v>
      </c>
      <c r="BG32" s="498"/>
      <c r="BH32" s="498"/>
      <c r="BI32" s="498"/>
      <c r="BJ32" s="1046"/>
      <c r="BK32" s="499"/>
      <c r="BL32" s="209">
        <f t="shared" ref="BL32:BL37" si="201">BM32+BN32+BO32+BP32</f>
        <v>0</v>
      </c>
      <c r="BM32" s="210">
        <f t="shared" si="186"/>
        <v>0</v>
      </c>
      <c r="BN32" s="210">
        <f t="shared" si="187"/>
        <v>0</v>
      </c>
      <c r="BO32" s="210">
        <f t="shared" si="188"/>
        <v>0</v>
      </c>
      <c r="BP32" s="443">
        <f t="shared" si="189"/>
        <v>0</v>
      </c>
      <c r="BQ32" s="467">
        <f t="shared" si="190"/>
        <v>0</v>
      </c>
      <c r="BR32" s="835" t="str">
        <f t="shared" si="8"/>
        <v xml:space="preserve"> </v>
      </c>
      <c r="BS32" s="542" t="str">
        <f t="shared" si="9"/>
        <v xml:space="preserve"> </v>
      </c>
      <c r="BT32" s="833" t="str">
        <f t="shared" si="76"/>
        <v xml:space="preserve"> </v>
      </c>
      <c r="BU32" s="325" t="str">
        <f t="shared" si="77"/>
        <v xml:space="preserve"> </v>
      </c>
      <c r="BV32" s="325" t="str">
        <f t="shared" si="78"/>
        <v xml:space="preserve"> </v>
      </c>
      <c r="BW32" s="203" t="str">
        <f t="shared" si="79"/>
        <v xml:space="preserve"> </v>
      </c>
      <c r="BX32" s="971"/>
      <c r="BY32" s="127"/>
    </row>
    <row r="33" spans="1:78" s="125" customFormat="1" ht="18.75" outlineLevel="1">
      <c r="A33" s="122"/>
      <c r="B33" s="126" t="s">
        <v>293</v>
      </c>
      <c r="C33" s="1007" t="s">
        <v>1</v>
      </c>
      <c r="D33" s="209">
        <f t="shared" si="191"/>
        <v>1139.74</v>
      </c>
      <c r="E33" s="210">
        <v>681.31</v>
      </c>
      <c r="F33" s="210">
        <v>458.43</v>
      </c>
      <c r="G33" s="210"/>
      <c r="H33" s="938"/>
      <c r="I33" s="467"/>
      <c r="J33" s="209">
        <f t="shared" si="192"/>
        <v>1580.02</v>
      </c>
      <c r="K33" s="498">
        <v>944.31</v>
      </c>
      <c r="L33" s="498">
        <v>606.79</v>
      </c>
      <c r="M33" s="498"/>
      <c r="N33" s="1046">
        <v>28.92</v>
      </c>
      <c r="O33" s="499"/>
      <c r="P33" s="209">
        <f t="shared" si="193"/>
        <v>1577.33</v>
      </c>
      <c r="Q33" s="210">
        <f>ROUND(Q37*Q38*12/1000,2)</f>
        <v>970.54</v>
      </c>
      <c r="R33" s="210">
        <f>ROUND(R37*R38*12/1000,2)</f>
        <v>606.79</v>
      </c>
      <c r="S33" s="210"/>
      <c r="T33" s="938"/>
      <c r="U33" s="467"/>
      <c r="V33" s="209">
        <f t="shared" si="194"/>
        <v>1626.7885920000001</v>
      </c>
      <c r="W33" s="498">
        <v>972.26157599999999</v>
      </c>
      <c r="X33" s="498">
        <v>624.75098400000002</v>
      </c>
      <c r="Y33" s="498"/>
      <c r="Z33" s="1046">
        <v>29.776032000000004</v>
      </c>
      <c r="AA33" s="499"/>
      <c r="AB33" s="209">
        <f t="shared" si="195"/>
        <v>1614.6499814561419</v>
      </c>
      <c r="AC33" s="1148">
        <f t="shared" si="171"/>
        <v>993.50270428834085</v>
      </c>
      <c r="AD33" s="1148">
        <f t="shared" si="172"/>
        <v>621.14727716780101</v>
      </c>
      <c r="AE33" s="1148">
        <f t="shared" si="173"/>
        <v>0</v>
      </c>
      <c r="AF33" s="1149">
        <f t="shared" si="174"/>
        <v>0</v>
      </c>
      <c r="AG33" s="467">
        <f t="shared" si="175"/>
        <v>0</v>
      </c>
      <c r="AH33" s="209">
        <f t="shared" si="196"/>
        <v>1674.9415343232001</v>
      </c>
      <c r="AI33" s="498">
        <v>1001.0405186496</v>
      </c>
      <c r="AJ33" s="498">
        <v>643.24361312640008</v>
      </c>
      <c r="AK33" s="498"/>
      <c r="AL33" s="1046">
        <v>30.657402547200007</v>
      </c>
      <c r="AM33" s="499"/>
      <c r="AN33" s="209">
        <f t="shared" si="197"/>
        <v>1662.4437921030649</v>
      </c>
      <c r="AO33" s="210">
        <f t="shared" si="176"/>
        <v>1022.9102194929918</v>
      </c>
      <c r="AP33" s="210">
        <f t="shared" si="177"/>
        <v>639.53357261007295</v>
      </c>
      <c r="AQ33" s="210">
        <f t="shared" si="178"/>
        <v>0</v>
      </c>
      <c r="AR33" s="443">
        <f t="shared" si="179"/>
        <v>0</v>
      </c>
      <c r="AS33" s="808">
        <f t="shared" si="180"/>
        <v>0</v>
      </c>
      <c r="AT33" s="209">
        <f t="shared" si="198"/>
        <v>0</v>
      </c>
      <c r="AU33" s="498"/>
      <c r="AV33" s="498"/>
      <c r="AW33" s="498"/>
      <c r="AX33" s="1046"/>
      <c r="AY33" s="499"/>
      <c r="AZ33" s="209">
        <f t="shared" si="199"/>
        <v>1711.6511171922925</v>
      </c>
      <c r="BA33" s="210">
        <f t="shared" si="181"/>
        <v>1053.1883805637628</v>
      </c>
      <c r="BB33" s="210">
        <f t="shared" si="182"/>
        <v>658.46273662852957</v>
      </c>
      <c r="BC33" s="210">
        <f t="shared" si="183"/>
        <v>0</v>
      </c>
      <c r="BD33" s="443">
        <f t="shared" si="184"/>
        <v>0</v>
      </c>
      <c r="BE33" s="467">
        <f t="shared" si="185"/>
        <v>0</v>
      </c>
      <c r="BF33" s="209">
        <f t="shared" si="200"/>
        <v>0</v>
      </c>
      <c r="BG33" s="498"/>
      <c r="BH33" s="498"/>
      <c r="BI33" s="498"/>
      <c r="BJ33" s="1046"/>
      <c r="BK33" s="499"/>
      <c r="BL33" s="209">
        <f t="shared" si="201"/>
        <v>1762.3177274509826</v>
      </c>
      <c r="BM33" s="210">
        <f t="shared" si="186"/>
        <v>1084.3633068766376</v>
      </c>
      <c r="BN33" s="210">
        <f t="shared" si="187"/>
        <v>677.95442057434491</v>
      </c>
      <c r="BO33" s="210">
        <f>IF($BO$21&gt;0,BC33/$BC$21*$BO$21,0)</f>
        <v>0</v>
      </c>
      <c r="BP33" s="443">
        <f t="shared" si="189"/>
        <v>0</v>
      </c>
      <c r="BQ33" s="467">
        <f t="shared" si="190"/>
        <v>0</v>
      </c>
      <c r="BR33" s="835">
        <f t="shared" si="8"/>
        <v>0.99829748990519107</v>
      </c>
      <c r="BS33" s="542">
        <f t="shared" si="9"/>
        <v>1.3839384421008298</v>
      </c>
      <c r="BT33" s="833">
        <f t="shared" si="76"/>
        <v>1.0236602242118908</v>
      </c>
      <c r="BU33" s="325">
        <f t="shared" si="77"/>
        <v>1.0296001060265836</v>
      </c>
      <c r="BV33" s="325">
        <f t="shared" si="78"/>
        <v>1.0295993917646853</v>
      </c>
      <c r="BW33" s="203">
        <f t="shared" si="79"/>
        <v>1.0296010149204944</v>
      </c>
      <c r="BX33" s="971"/>
      <c r="BY33" s="127"/>
    </row>
    <row r="34" spans="1:78" s="125" customFormat="1" ht="18.75" outlineLevel="1">
      <c r="A34" s="122"/>
      <c r="B34" s="123" t="s">
        <v>118</v>
      </c>
      <c r="C34" s="1007" t="s">
        <v>96</v>
      </c>
      <c r="D34" s="209">
        <f>E34+F34+G34+H34</f>
        <v>4.5</v>
      </c>
      <c r="E34" s="229">
        <f>E35+E36+E37</f>
        <v>2.69</v>
      </c>
      <c r="F34" s="229">
        <f t="shared" ref="F34:I34" si="202">F35+F36+F37</f>
        <v>1.81</v>
      </c>
      <c r="G34" s="229">
        <f t="shared" si="202"/>
        <v>0</v>
      </c>
      <c r="H34" s="1024">
        <f t="shared" si="202"/>
        <v>0</v>
      </c>
      <c r="I34" s="466">
        <f t="shared" si="202"/>
        <v>0</v>
      </c>
      <c r="J34" s="209">
        <f t="shared" si="192"/>
        <v>6</v>
      </c>
      <c r="K34" s="382">
        <f>K35+K36+K37</f>
        <v>3.6</v>
      </c>
      <c r="L34" s="382">
        <f t="shared" ref="L34:O34" si="203">L35+L36+L37</f>
        <v>2.2999999999999998</v>
      </c>
      <c r="M34" s="382">
        <f t="shared" si="203"/>
        <v>0</v>
      </c>
      <c r="N34" s="1045">
        <f t="shared" si="203"/>
        <v>0.1</v>
      </c>
      <c r="O34" s="497">
        <f t="shared" si="203"/>
        <v>0</v>
      </c>
      <c r="P34" s="209">
        <f t="shared" si="193"/>
        <v>6</v>
      </c>
      <c r="Q34" s="229">
        <f>Q35+Q36+Q37</f>
        <v>3.7</v>
      </c>
      <c r="R34" s="229">
        <f t="shared" ref="R34:U34" si="204">R35+R36+R37</f>
        <v>2.2999999999999998</v>
      </c>
      <c r="S34" s="229">
        <f t="shared" si="204"/>
        <v>0</v>
      </c>
      <c r="T34" s="1024">
        <f t="shared" si="204"/>
        <v>0</v>
      </c>
      <c r="U34" s="466">
        <f t="shared" si="204"/>
        <v>0</v>
      </c>
      <c r="V34" s="209">
        <f t="shared" si="194"/>
        <v>0</v>
      </c>
      <c r="W34" s="382">
        <f>W35+W36+W37</f>
        <v>0</v>
      </c>
      <c r="X34" s="382">
        <f t="shared" ref="X34:Z34" si="205">X35+X36+X37</f>
        <v>0</v>
      </c>
      <c r="Y34" s="382">
        <f t="shared" si="205"/>
        <v>0</v>
      </c>
      <c r="Z34" s="1045">
        <f t="shared" si="205"/>
        <v>0</v>
      </c>
      <c r="AA34" s="497">
        <f t="shared" ref="AA34" si="206">AA35+AA36+AA37</f>
        <v>0</v>
      </c>
      <c r="AB34" s="228">
        <f t="shared" si="195"/>
        <v>6</v>
      </c>
      <c r="AC34" s="1146">
        <f>AC35+AC36+AC37</f>
        <v>3.7</v>
      </c>
      <c r="AD34" s="1146">
        <f t="shared" ref="AD34:AG34" si="207">AD35+AD36+AD37</f>
        <v>2.2999999999999998</v>
      </c>
      <c r="AE34" s="1146">
        <f t="shared" si="207"/>
        <v>0</v>
      </c>
      <c r="AF34" s="1147">
        <f t="shared" si="207"/>
        <v>0</v>
      </c>
      <c r="AG34" s="466">
        <f t="shared" si="207"/>
        <v>0</v>
      </c>
      <c r="AH34" s="209">
        <f t="shared" si="196"/>
        <v>0</v>
      </c>
      <c r="AI34" s="382">
        <f>AI35+AI36+AI37</f>
        <v>0</v>
      </c>
      <c r="AJ34" s="382">
        <f t="shared" ref="AJ34:AL34" si="208">AJ35+AJ36+AJ37</f>
        <v>0</v>
      </c>
      <c r="AK34" s="382">
        <f t="shared" si="208"/>
        <v>0</v>
      </c>
      <c r="AL34" s="1045">
        <f t="shared" si="208"/>
        <v>0</v>
      </c>
      <c r="AM34" s="497">
        <f t="shared" ref="AM34" si="209">AM35+AM36+AM37</f>
        <v>0</v>
      </c>
      <c r="AN34" s="228">
        <f t="shared" si="197"/>
        <v>6</v>
      </c>
      <c r="AO34" s="229">
        <f t="shared" ref="AO34" si="210">AO35+AO36+AO37</f>
        <v>3.7</v>
      </c>
      <c r="AP34" s="229">
        <f t="shared" ref="AP34" si="211">AP35+AP36+AP37</f>
        <v>2.2999999999999998</v>
      </c>
      <c r="AQ34" s="229">
        <f t="shared" ref="AQ34" si="212">AQ35+AQ36+AQ37</f>
        <v>0</v>
      </c>
      <c r="AR34" s="230">
        <f t="shared" ref="AR34:AS34" si="213">AR35+AR36+AR37</f>
        <v>0</v>
      </c>
      <c r="AS34" s="466">
        <f t="shared" si="213"/>
        <v>0</v>
      </c>
      <c r="AT34" s="209">
        <f t="shared" si="198"/>
        <v>0</v>
      </c>
      <c r="AU34" s="382">
        <f>AU35+AU36+AU37</f>
        <v>0</v>
      </c>
      <c r="AV34" s="382">
        <f t="shared" ref="AV34:AX34" si="214">AV35+AV36+AV37</f>
        <v>0</v>
      </c>
      <c r="AW34" s="382">
        <f t="shared" si="214"/>
        <v>0</v>
      </c>
      <c r="AX34" s="1045">
        <f t="shared" si="214"/>
        <v>0</v>
      </c>
      <c r="AY34" s="497">
        <f t="shared" ref="AY34" si="215">AY35+AY36+AY37</f>
        <v>0</v>
      </c>
      <c r="AZ34" s="228">
        <f t="shared" si="199"/>
        <v>6</v>
      </c>
      <c r="BA34" s="229">
        <f>BA35+BA36+BA37</f>
        <v>3.7</v>
      </c>
      <c r="BB34" s="229">
        <f t="shared" ref="BB34:BE34" si="216">BB35+BB36+BB37</f>
        <v>2.2999999999999998</v>
      </c>
      <c r="BC34" s="229">
        <f t="shared" si="216"/>
        <v>0</v>
      </c>
      <c r="BD34" s="230">
        <f t="shared" si="216"/>
        <v>0</v>
      </c>
      <c r="BE34" s="466">
        <f t="shared" si="216"/>
        <v>0</v>
      </c>
      <c r="BF34" s="209">
        <f t="shared" si="200"/>
        <v>0</v>
      </c>
      <c r="BG34" s="382">
        <f>BG35+BG36+BG37</f>
        <v>0</v>
      </c>
      <c r="BH34" s="382">
        <f t="shared" ref="BH34:BJ34" si="217">BH35+BH36+BH37</f>
        <v>0</v>
      </c>
      <c r="BI34" s="382">
        <f t="shared" si="217"/>
        <v>0</v>
      </c>
      <c r="BJ34" s="1045">
        <f t="shared" si="217"/>
        <v>0</v>
      </c>
      <c r="BK34" s="497">
        <f t="shared" ref="BK34" si="218">BK35+BK36+BK37</f>
        <v>0</v>
      </c>
      <c r="BL34" s="228">
        <f t="shared" si="201"/>
        <v>6</v>
      </c>
      <c r="BM34" s="229">
        <f>BM35+BM36+BM37</f>
        <v>3.7</v>
      </c>
      <c r="BN34" s="229">
        <f t="shared" ref="BN34:BQ34" si="219">BN35+BN36+BN37</f>
        <v>2.2999999999999998</v>
      </c>
      <c r="BO34" s="229">
        <f t="shared" si="219"/>
        <v>0</v>
      </c>
      <c r="BP34" s="230">
        <f t="shared" si="219"/>
        <v>0</v>
      </c>
      <c r="BQ34" s="466">
        <f t="shared" si="219"/>
        <v>0</v>
      </c>
      <c r="BR34" s="835">
        <f t="shared" si="8"/>
        <v>1</v>
      </c>
      <c r="BS34" s="542">
        <f t="shared" si="9"/>
        <v>1.3333333333333333</v>
      </c>
      <c r="BT34" s="833">
        <f t="shared" ref="BT34" si="220">IF(ISERROR(AB34/P34)," ",AB34/P34)</f>
        <v>1</v>
      </c>
      <c r="BU34" s="325">
        <f t="shared" ref="BU34" si="221">IF(ISERROR(AN34/AB34)," ",AN34/AB34)</f>
        <v>1</v>
      </c>
      <c r="BV34" s="325">
        <f t="shared" ref="BV34" si="222">IF(ISERROR(AZ34/AN34)," ",AZ34/AN34)</f>
        <v>1</v>
      </c>
      <c r="BW34" s="203">
        <f t="shared" ref="BW34" si="223">IF(ISERROR(BL34/AZ34)," ",BL34/AZ34)</f>
        <v>1</v>
      </c>
      <c r="BX34" s="971"/>
      <c r="BY34" s="124"/>
    </row>
    <row r="35" spans="1:78" s="125" customFormat="1" ht="18.75" outlineLevel="1">
      <c r="A35" s="122"/>
      <c r="B35" s="126" t="s">
        <v>119</v>
      </c>
      <c r="C35" s="1007" t="s">
        <v>96</v>
      </c>
      <c r="D35" s="209">
        <f t="shared" si="191"/>
        <v>0</v>
      </c>
      <c r="E35" s="210"/>
      <c r="F35" s="210"/>
      <c r="G35" s="210"/>
      <c r="H35" s="938"/>
      <c r="I35" s="467"/>
      <c r="J35" s="209">
        <f t="shared" si="192"/>
        <v>0</v>
      </c>
      <c r="K35" s="498"/>
      <c r="L35" s="498"/>
      <c r="M35" s="498"/>
      <c r="N35" s="1046"/>
      <c r="O35" s="499"/>
      <c r="P35" s="209">
        <f t="shared" si="193"/>
        <v>0</v>
      </c>
      <c r="Q35" s="210"/>
      <c r="R35" s="210"/>
      <c r="S35" s="210"/>
      <c r="T35" s="938"/>
      <c r="U35" s="467"/>
      <c r="V35" s="209">
        <f t="shared" si="194"/>
        <v>0</v>
      </c>
      <c r="W35" s="498"/>
      <c r="X35" s="498"/>
      <c r="Y35" s="498"/>
      <c r="Z35" s="1046"/>
      <c r="AA35" s="499"/>
      <c r="AB35" s="209">
        <f t="shared" si="195"/>
        <v>0</v>
      </c>
      <c r="AC35" s="1148">
        <f>Q35</f>
        <v>0</v>
      </c>
      <c r="AD35" s="1148">
        <f t="shared" ref="AD35:AG37" si="224">R35</f>
        <v>0</v>
      </c>
      <c r="AE35" s="1148">
        <f t="shared" si="224"/>
        <v>0</v>
      </c>
      <c r="AF35" s="1149">
        <f t="shared" si="224"/>
        <v>0</v>
      </c>
      <c r="AG35" s="467">
        <f t="shared" si="224"/>
        <v>0</v>
      </c>
      <c r="AH35" s="209">
        <f t="shared" si="196"/>
        <v>0</v>
      </c>
      <c r="AI35" s="498"/>
      <c r="AJ35" s="498"/>
      <c r="AK35" s="498"/>
      <c r="AL35" s="1046"/>
      <c r="AM35" s="499"/>
      <c r="AN35" s="209">
        <f t="shared" si="197"/>
        <v>0</v>
      </c>
      <c r="AO35" s="210">
        <f t="shared" ref="AO35:AO37" si="225">AC35</f>
        <v>0</v>
      </c>
      <c r="AP35" s="210">
        <f t="shared" ref="AP35:AP37" si="226">AD35</f>
        <v>0</v>
      </c>
      <c r="AQ35" s="210">
        <f t="shared" ref="AQ35:AQ37" si="227">AE35</f>
        <v>0</v>
      </c>
      <c r="AR35" s="443">
        <f t="shared" ref="AR35:AS37" si="228">AF35</f>
        <v>0</v>
      </c>
      <c r="AS35" s="467">
        <f t="shared" si="228"/>
        <v>0</v>
      </c>
      <c r="AT35" s="209">
        <f t="shared" si="198"/>
        <v>0</v>
      </c>
      <c r="AU35" s="498"/>
      <c r="AV35" s="498"/>
      <c r="AW35" s="498"/>
      <c r="AX35" s="1046"/>
      <c r="AY35" s="499"/>
      <c r="AZ35" s="209">
        <f t="shared" si="199"/>
        <v>0</v>
      </c>
      <c r="BA35" s="210">
        <f>AO35</f>
        <v>0</v>
      </c>
      <c r="BB35" s="210">
        <f t="shared" ref="BB35:BB37" si="229">AP35</f>
        <v>0</v>
      </c>
      <c r="BC35" s="210">
        <f t="shared" ref="BC35:BC37" si="230">AQ35</f>
        <v>0</v>
      </c>
      <c r="BD35" s="443">
        <f t="shared" ref="BD35:BD37" si="231">AR35</f>
        <v>0</v>
      </c>
      <c r="BE35" s="467">
        <f t="shared" ref="BE35:BE37" si="232">AS35</f>
        <v>0</v>
      </c>
      <c r="BF35" s="209">
        <f t="shared" si="200"/>
        <v>0</v>
      </c>
      <c r="BG35" s="498"/>
      <c r="BH35" s="498"/>
      <c r="BI35" s="498"/>
      <c r="BJ35" s="1046"/>
      <c r="BK35" s="499"/>
      <c r="BL35" s="209">
        <f t="shared" si="201"/>
        <v>0</v>
      </c>
      <c r="BM35" s="210">
        <f>BA35</f>
        <v>0</v>
      </c>
      <c r="BN35" s="210">
        <f t="shared" ref="BN35:BN37" si="233">BB35</f>
        <v>0</v>
      </c>
      <c r="BO35" s="210">
        <f t="shared" ref="BO35:BO37" si="234">BC35</f>
        <v>0</v>
      </c>
      <c r="BP35" s="443">
        <f t="shared" ref="BP35:BP37" si="235">BD35</f>
        <v>0</v>
      </c>
      <c r="BQ35" s="467">
        <f t="shared" ref="BQ35:BQ37" si="236">BE35</f>
        <v>0</v>
      </c>
      <c r="BR35" s="835" t="str">
        <f t="shared" si="8"/>
        <v xml:space="preserve"> </v>
      </c>
      <c r="BS35" s="542" t="str">
        <f t="shared" si="9"/>
        <v xml:space="preserve"> </v>
      </c>
      <c r="BT35" s="833" t="str">
        <f t="shared" si="76"/>
        <v xml:space="preserve"> </v>
      </c>
      <c r="BU35" s="325" t="str">
        <f t="shared" si="77"/>
        <v xml:space="preserve"> </v>
      </c>
      <c r="BV35" s="325" t="str">
        <f t="shared" si="78"/>
        <v xml:space="preserve"> </v>
      </c>
      <c r="BW35" s="203" t="str">
        <f t="shared" si="79"/>
        <v xml:space="preserve"> </v>
      </c>
      <c r="BX35" s="971"/>
      <c r="BY35" s="127"/>
    </row>
    <row r="36" spans="1:78" s="125" customFormat="1" ht="18.75" outlineLevel="1">
      <c r="A36" s="122"/>
      <c r="B36" s="126" t="s">
        <v>120</v>
      </c>
      <c r="C36" s="1007" t="s">
        <v>96</v>
      </c>
      <c r="D36" s="209">
        <f t="shared" si="191"/>
        <v>0</v>
      </c>
      <c r="E36" s="210"/>
      <c r="F36" s="210"/>
      <c r="G36" s="210"/>
      <c r="H36" s="938"/>
      <c r="I36" s="467"/>
      <c r="J36" s="209">
        <f t="shared" si="192"/>
        <v>0</v>
      </c>
      <c r="K36" s="498"/>
      <c r="L36" s="498"/>
      <c r="M36" s="498"/>
      <c r="N36" s="1046"/>
      <c r="O36" s="499"/>
      <c r="P36" s="209">
        <f t="shared" si="193"/>
        <v>0</v>
      </c>
      <c r="Q36" s="210"/>
      <c r="R36" s="210"/>
      <c r="S36" s="210"/>
      <c r="T36" s="938"/>
      <c r="U36" s="467"/>
      <c r="V36" s="209">
        <f t="shared" si="194"/>
        <v>0</v>
      </c>
      <c r="W36" s="498"/>
      <c r="X36" s="498"/>
      <c r="Y36" s="498"/>
      <c r="Z36" s="1046"/>
      <c r="AA36" s="499"/>
      <c r="AB36" s="209">
        <f t="shared" si="195"/>
        <v>0</v>
      </c>
      <c r="AC36" s="1148">
        <f t="shared" ref="AC36:AC37" si="237">Q36</f>
        <v>0</v>
      </c>
      <c r="AD36" s="1148">
        <f t="shared" si="224"/>
        <v>0</v>
      </c>
      <c r="AE36" s="1148">
        <f t="shared" si="224"/>
        <v>0</v>
      </c>
      <c r="AF36" s="1149">
        <f t="shared" si="224"/>
        <v>0</v>
      </c>
      <c r="AG36" s="467">
        <f t="shared" si="224"/>
        <v>0</v>
      </c>
      <c r="AH36" s="209">
        <f t="shared" si="196"/>
        <v>0</v>
      </c>
      <c r="AI36" s="498"/>
      <c r="AJ36" s="498"/>
      <c r="AK36" s="498"/>
      <c r="AL36" s="1046"/>
      <c r="AM36" s="499"/>
      <c r="AN36" s="209">
        <f t="shared" si="197"/>
        <v>0</v>
      </c>
      <c r="AO36" s="210">
        <f t="shared" si="225"/>
        <v>0</v>
      </c>
      <c r="AP36" s="210">
        <f t="shared" si="226"/>
        <v>0</v>
      </c>
      <c r="AQ36" s="210">
        <f t="shared" si="227"/>
        <v>0</v>
      </c>
      <c r="AR36" s="443">
        <f t="shared" si="228"/>
        <v>0</v>
      </c>
      <c r="AS36" s="467">
        <f t="shared" si="228"/>
        <v>0</v>
      </c>
      <c r="AT36" s="209">
        <f t="shared" si="198"/>
        <v>0</v>
      </c>
      <c r="AU36" s="498"/>
      <c r="AV36" s="498"/>
      <c r="AW36" s="498"/>
      <c r="AX36" s="1046"/>
      <c r="AY36" s="499"/>
      <c r="AZ36" s="209">
        <f t="shared" si="199"/>
        <v>0</v>
      </c>
      <c r="BA36" s="210">
        <f t="shared" ref="BA36:BA37" si="238">AO36</f>
        <v>0</v>
      </c>
      <c r="BB36" s="210">
        <f t="shared" si="229"/>
        <v>0</v>
      </c>
      <c r="BC36" s="210">
        <f t="shared" si="230"/>
        <v>0</v>
      </c>
      <c r="BD36" s="443">
        <f t="shared" si="231"/>
        <v>0</v>
      </c>
      <c r="BE36" s="467">
        <f t="shared" si="232"/>
        <v>0</v>
      </c>
      <c r="BF36" s="209">
        <f t="shared" si="200"/>
        <v>0</v>
      </c>
      <c r="BG36" s="498"/>
      <c r="BH36" s="498"/>
      <c r="BI36" s="498"/>
      <c r="BJ36" s="1046"/>
      <c r="BK36" s="499"/>
      <c r="BL36" s="209">
        <f t="shared" si="201"/>
        <v>0</v>
      </c>
      <c r="BM36" s="210">
        <f>BA36</f>
        <v>0</v>
      </c>
      <c r="BN36" s="210">
        <f>BB36</f>
        <v>0</v>
      </c>
      <c r="BO36" s="210">
        <f t="shared" si="234"/>
        <v>0</v>
      </c>
      <c r="BP36" s="443">
        <f t="shared" si="235"/>
        <v>0</v>
      </c>
      <c r="BQ36" s="467">
        <f t="shared" si="236"/>
        <v>0</v>
      </c>
      <c r="BR36" s="835" t="str">
        <f t="shared" si="8"/>
        <v xml:space="preserve"> </v>
      </c>
      <c r="BS36" s="542" t="str">
        <f t="shared" si="9"/>
        <v xml:space="preserve"> </v>
      </c>
      <c r="BT36" s="833" t="str">
        <f t="shared" si="76"/>
        <v xml:space="preserve"> </v>
      </c>
      <c r="BU36" s="325" t="str">
        <f t="shared" si="77"/>
        <v xml:space="preserve"> </v>
      </c>
      <c r="BV36" s="325" t="str">
        <f t="shared" si="78"/>
        <v xml:space="preserve"> </v>
      </c>
      <c r="BW36" s="203" t="str">
        <f t="shared" si="79"/>
        <v xml:space="preserve"> </v>
      </c>
      <c r="BX36" s="971"/>
      <c r="BY36" s="127"/>
    </row>
    <row r="37" spans="1:78" s="125" customFormat="1" ht="18.75" outlineLevel="1">
      <c r="A37" s="122"/>
      <c r="B37" s="126" t="s">
        <v>121</v>
      </c>
      <c r="C37" s="1007" t="s">
        <v>96</v>
      </c>
      <c r="D37" s="209">
        <f t="shared" si="191"/>
        <v>4.5</v>
      </c>
      <c r="E37" s="210">
        <v>2.69</v>
      </c>
      <c r="F37" s="210">
        <v>1.81</v>
      </c>
      <c r="G37" s="210"/>
      <c r="H37" s="938"/>
      <c r="I37" s="467"/>
      <c r="J37" s="209">
        <f t="shared" si="192"/>
        <v>6</v>
      </c>
      <c r="K37" s="498">
        <v>3.6</v>
      </c>
      <c r="L37" s="498">
        <v>2.2999999999999998</v>
      </c>
      <c r="M37" s="498"/>
      <c r="N37" s="1046">
        <v>0.1</v>
      </c>
      <c r="O37" s="499"/>
      <c r="P37" s="209">
        <f t="shared" si="193"/>
        <v>6</v>
      </c>
      <c r="Q37" s="210">
        <f>K37+N37</f>
        <v>3.7</v>
      </c>
      <c r="R37" s="210">
        <f>L37</f>
        <v>2.2999999999999998</v>
      </c>
      <c r="S37" s="210"/>
      <c r="T37" s="938"/>
      <c r="U37" s="467"/>
      <c r="V37" s="209">
        <f t="shared" si="194"/>
        <v>0</v>
      </c>
      <c r="W37" s="498"/>
      <c r="X37" s="498"/>
      <c r="Y37" s="498"/>
      <c r="Z37" s="1046"/>
      <c r="AA37" s="499"/>
      <c r="AB37" s="209">
        <f t="shared" si="195"/>
        <v>6</v>
      </c>
      <c r="AC37" s="1148">
        <f t="shared" si="237"/>
        <v>3.7</v>
      </c>
      <c r="AD37" s="1148">
        <f t="shared" si="224"/>
        <v>2.2999999999999998</v>
      </c>
      <c r="AE37" s="1148">
        <f t="shared" si="224"/>
        <v>0</v>
      </c>
      <c r="AF37" s="1149">
        <f t="shared" si="224"/>
        <v>0</v>
      </c>
      <c r="AG37" s="467">
        <f t="shared" si="224"/>
        <v>0</v>
      </c>
      <c r="AH37" s="209">
        <f t="shared" si="196"/>
        <v>0</v>
      </c>
      <c r="AI37" s="498"/>
      <c r="AJ37" s="498"/>
      <c r="AK37" s="498"/>
      <c r="AL37" s="1046"/>
      <c r="AM37" s="499"/>
      <c r="AN37" s="209">
        <f t="shared" si="197"/>
        <v>6</v>
      </c>
      <c r="AO37" s="210">
        <f t="shared" si="225"/>
        <v>3.7</v>
      </c>
      <c r="AP37" s="210">
        <f t="shared" si="226"/>
        <v>2.2999999999999998</v>
      </c>
      <c r="AQ37" s="210">
        <f t="shared" si="227"/>
        <v>0</v>
      </c>
      <c r="AR37" s="443">
        <f t="shared" si="228"/>
        <v>0</v>
      </c>
      <c r="AS37" s="467">
        <f t="shared" si="228"/>
        <v>0</v>
      </c>
      <c r="AT37" s="209">
        <f t="shared" si="198"/>
        <v>0</v>
      </c>
      <c r="AU37" s="498"/>
      <c r="AV37" s="498"/>
      <c r="AW37" s="498"/>
      <c r="AX37" s="1046"/>
      <c r="AY37" s="499"/>
      <c r="AZ37" s="209">
        <f t="shared" si="199"/>
        <v>6</v>
      </c>
      <c r="BA37" s="210">
        <f t="shared" si="238"/>
        <v>3.7</v>
      </c>
      <c r="BB37" s="210">
        <f t="shared" si="229"/>
        <v>2.2999999999999998</v>
      </c>
      <c r="BC37" s="210">
        <f t="shared" si="230"/>
        <v>0</v>
      </c>
      <c r="BD37" s="443">
        <f t="shared" si="231"/>
        <v>0</v>
      </c>
      <c r="BE37" s="467">
        <f t="shared" si="232"/>
        <v>0</v>
      </c>
      <c r="BF37" s="209">
        <f t="shared" si="200"/>
        <v>0</v>
      </c>
      <c r="BG37" s="498"/>
      <c r="BH37" s="498"/>
      <c r="BI37" s="498"/>
      <c r="BJ37" s="1046"/>
      <c r="BK37" s="499"/>
      <c r="BL37" s="209">
        <f t="shared" si="201"/>
        <v>6</v>
      </c>
      <c r="BM37" s="210">
        <f t="shared" ref="BM37" si="239">BA37</f>
        <v>3.7</v>
      </c>
      <c r="BN37" s="210">
        <f t="shared" si="233"/>
        <v>2.2999999999999998</v>
      </c>
      <c r="BO37" s="210">
        <f t="shared" si="234"/>
        <v>0</v>
      </c>
      <c r="BP37" s="443">
        <f t="shared" si="235"/>
        <v>0</v>
      </c>
      <c r="BQ37" s="467">
        <f t="shared" si="236"/>
        <v>0</v>
      </c>
      <c r="BR37" s="835">
        <f t="shared" si="8"/>
        <v>1</v>
      </c>
      <c r="BS37" s="542">
        <f t="shared" si="9"/>
        <v>1.3333333333333333</v>
      </c>
      <c r="BT37" s="833">
        <f t="shared" si="76"/>
        <v>1</v>
      </c>
      <c r="BU37" s="325">
        <f t="shared" si="77"/>
        <v>1</v>
      </c>
      <c r="BV37" s="325">
        <f t="shared" si="78"/>
        <v>1</v>
      </c>
      <c r="BW37" s="203">
        <f t="shared" si="79"/>
        <v>1</v>
      </c>
      <c r="BX37" s="971"/>
      <c r="BY37" s="127"/>
    </row>
    <row r="38" spans="1:78" s="125" customFormat="1" ht="30" outlineLevel="1">
      <c r="A38" s="122"/>
      <c r="B38" s="123" t="s">
        <v>8</v>
      </c>
      <c r="C38" s="1007" t="s">
        <v>9</v>
      </c>
      <c r="D38" s="231">
        <f>IF(D34&gt;0,D29*1000/12/D34,0)</f>
        <v>21106.296296296296</v>
      </c>
      <c r="E38" s="229">
        <f>IF(E34&gt;0,E29*1000/12/E34,0)</f>
        <v>21106.257744733583</v>
      </c>
      <c r="F38" s="229">
        <f t="shared" ref="F38:I38" si="240">IF(F34&gt;0,F29*1000/12/F34,0)</f>
        <v>21106.353591160219</v>
      </c>
      <c r="G38" s="229">
        <f t="shared" si="240"/>
        <v>0</v>
      </c>
      <c r="H38" s="1024">
        <f t="shared" si="240"/>
        <v>0</v>
      </c>
      <c r="I38" s="466">
        <f t="shared" si="240"/>
        <v>0</v>
      </c>
      <c r="J38" s="231">
        <f>IF(J34&gt;0,J29*1000/12/J34,0)</f>
        <v>21944.722222222223</v>
      </c>
      <c r="K38" s="382">
        <f>IF(K34&gt;0,K29*1000/12/K34,0)</f>
        <v>21859.027777777777</v>
      </c>
      <c r="L38" s="382">
        <f t="shared" ref="L38:O38" si="241">IF(L34&gt;0,L29*1000/12/L34,0)</f>
        <v>21985.144927536236</v>
      </c>
      <c r="M38" s="382">
        <f t="shared" si="241"/>
        <v>0</v>
      </c>
      <c r="N38" s="1045">
        <f t="shared" si="241"/>
        <v>24100</v>
      </c>
      <c r="O38" s="497">
        <f t="shared" si="241"/>
        <v>0</v>
      </c>
      <c r="P38" s="231">
        <f>IF(P34&gt;0,P29*1000/12/P34,0)</f>
        <v>21907.361111111109</v>
      </c>
      <c r="Q38" s="229">
        <f>K38</f>
        <v>21859.027777777777</v>
      </c>
      <c r="R38" s="229">
        <f>L38</f>
        <v>21985.144927536236</v>
      </c>
      <c r="S38" s="229">
        <f t="shared" ref="S38:U38" si="242">IF(S34&gt;0,S29*1000/12/S34,0)</f>
        <v>0</v>
      </c>
      <c r="T38" s="1024">
        <f t="shared" si="242"/>
        <v>0</v>
      </c>
      <c r="U38" s="466">
        <f t="shared" si="242"/>
        <v>0</v>
      </c>
      <c r="V38" s="231">
        <f>IF(V34&gt;0,V29*1000/12/V34,0)</f>
        <v>0</v>
      </c>
      <c r="W38" s="382">
        <f>IF(W34&gt;0,W29*1000/12/W34,0)</f>
        <v>0</v>
      </c>
      <c r="X38" s="382">
        <f t="shared" ref="X38:Z38" si="243">IF(X34&gt;0,X29*1000/12/X34,0)</f>
        <v>0</v>
      </c>
      <c r="Y38" s="382">
        <f t="shared" si="243"/>
        <v>0</v>
      </c>
      <c r="Z38" s="1045">
        <f t="shared" si="243"/>
        <v>0</v>
      </c>
      <c r="AA38" s="497">
        <f t="shared" ref="AA38" si="244">IF(AA34&gt;0,AA29*1000/12/AA34,0)</f>
        <v>0</v>
      </c>
      <c r="AB38" s="231">
        <f>IF(AB34&gt;0,AB29*1000/12/AB34,0)</f>
        <v>22425.694186890862</v>
      </c>
      <c r="AC38" s="1146">
        <f t="shared" ref="AC38" si="245">IF(AC34&gt;0,AC29*1000/12/AC34,0)</f>
        <v>22376.18703352119</v>
      </c>
      <c r="AD38" s="1146">
        <f t="shared" ref="AD38:AG38" si="246">IF(AD34&gt;0,AD29*1000/12/AD34,0)</f>
        <v>22505.336129268158</v>
      </c>
      <c r="AE38" s="1146">
        <f t="shared" si="246"/>
        <v>0</v>
      </c>
      <c r="AF38" s="1147">
        <f t="shared" si="246"/>
        <v>0</v>
      </c>
      <c r="AG38" s="466">
        <f t="shared" si="246"/>
        <v>0</v>
      </c>
      <c r="AH38" s="231">
        <f>IF(AH34&gt;0,AH29*1000/12/AH34,0)</f>
        <v>0</v>
      </c>
      <c r="AI38" s="382">
        <f>IF(AI34&gt;0,AI29*1000/12/AI34,0)</f>
        <v>0</v>
      </c>
      <c r="AJ38" s="382">
        <f t="shared" ref="AJ38:AL38" si="247">IF(AJ34&gt;0,AJ29*1000/12/AJ34,0)</f>
        <v>0</v>
      </c>
      <c r="AK38" s="382">
        <f t="shared" si="247"/>
        <v>0</v>
      </c>
      <c r="AL38" s="1045">
        <f t="shared" si="247"/>
        <v>0</v>
      </c>
      <c r="AM38" s="497">
        <f t="shared" ref="AM38" si="248">IF(AM34&gt;0,AM29*1000/12/AM34,0)</f>
        <v>0</v>
      </c>
      <c r="AN38" s="231">
        <f>IF(AN34&gt;0,AN29*1000/12/AN34,0)</f>
        <v>23089.497112542569</v>
      </c>
      <c r="AO38" s="229">
        <f>IF(AO34&gt;0,AO29*1000/12/AO34,0)</f>
        <v>23038.518457049366</v>
      </c>
      <c r="AP38" s="229">
        <f t="shared" ref="AP38:AQ38" si="249">IF(AP34&gt;0,AP29*1000/12/AP34,0)</f>
        <v>23171.506253988151</v>
      </c>
      <c r="AQ38" s="229">
        <f t="shared" si="249"/>
        <v>0</v>
      </c>
      <c r="AR38" s="230">
        <f t="shared" ref="AR38:AS38" si="250">IF(AR34&gt;0,AR29*1000/12/AR34,0)</f>
        <v>0</v>
      </c>
      <c r="AS38" s="466">
        <f t="shared" si="250"/>
        <v>0</v>
      </c>
      <c r="AT38" s="231">
        <f>IF(AT34&gt;0,AT29*1000/12/AT34,0)</f>
        <v>0</v>
      </c>
      <c r="AU38" s="382">
        <f>IF(AU34&gt;0,AU29*1000/12/AU34,0)</f>
        <v>0</v>
      </c>
      <c r="AV38" s="382">
        <f t="shared" ref="AV38:AX38" si="251">IF(AV34&gt;0,AV29*1000/12/AV34,0)</f>
        <v>0</v>
      </c>
      <c r="AW38" s="382">
        <f t="shared" si="251"/>
        <v>0</v>
      </c>
      <c r="AX38" s="1045">
        <f t="shared" si="251"/>
        <v>0</v>
      </c>
      <c r="AY38" s="497">
        <f t="shared" ref="AY38" si="252">IF(AY34&gt;0,AY29*1000/12/AY34,0)</f>
        <v>0</v>
      </c>
      <c r="AZ38" s="231">
        <f>IF(AZ34&gt;0,AZ29*1000/12/AZ34,0)</f>
        <v>23772.932183226283</v>
      </c>
      <c r="BA38" s="229">
        <f t="shared" ref="BA38:BE38" si="253">IF(BA34&gt;0,BA29*1000/12/BA34,0)</f>
        <v>23720.459021706367</v>
      </c>
      <c r="BB38" s="229">
        <f t="shared" si="253"/>
        <v>23857.345530019189</v>
      </c>
      <c r="BC38" s="229">
        <f t="shared" si="253"/>
        <v>0</v>
      </c>
      <c r="BD38" s="230">
        <f t="shared" si="253"/>
        <v>0</v>
      </c>
      <c r="BE38" s="466">
        <f t="shared" si="253"/>
        <v>0</v>
      </c>
      <c r="BF38" s="231">
        <f>IF(BF34&gt;0,BF29*1000/12/BF34,0)</f>
        <v>0</v>
      </c>
      <c r="BG38" s="382">
        <f>IF(BG34&gt;0,BG29*1000/12/BG34,0)</f>
        <v>0</v>
      </c>
      <c r="BH38" s="382">
        <f t="shared" ref="BH38:BJ38" si="254">IF(BH34&gt;0,BH29*1000/12/BH34,0)</f>
        <v>0</v>
      </c>
      <c r="BI38" s="382">
        <f t="shared" si="254"/>
        <v>0</v>
      </c>
      <c r="BJ38" s="1045">
        <f t="shared" si="254"/>
        <v>0</v>
      </c>
      <c r="BK38" s="497">
        <f t="shared" ref="BK38" si="255">IF(BK34&gt;0,BK29*1000/12/BK34,0)</f>
        <v>0</v>
      </c>
      <c r="BL38" s="231">
        <f>IF(BL34&gt;0,BL29*1000/12/BL34,0)</f>
        <v>24476.635103485871</v>
      </c>
      <c r="BM38" s="229">
        <f t="shared" ref="BM38:BQ38" si="256">IF(BM34&gt;0,BM29*1000/12/BM34,0)</f>
        <v>24422.59700172607</v>
      </c>
      <c r="BN38" s="229">
        <f t="shared" si="256"/>
        <v>24563.565962838587</v>
      </c>
      <c r="BO38" s="229">
        <f t="shared" si="256"/>
        <v>0</v>
      </c>
      <c r="BP38" s="230">
        <f t="shared" si="256"/>
        <v>0</v>
      </c>
      <c r="BQ38" s="466">
        <f t="shared" si="256"/>
        <v>0</v>
      </c>
      <c r="BR38" s="835">
        <f t="shared" si="8"/>
        <v>0.99829748990519096</v>
      </c>
      <c r="BS38" s="542">
        <f t="shared" si="9"/>
        <v>1.0379538315756225</v>
      </c>
      <c r="BT38" s="833">
        <f t="shared" si="76"/>
        <v>1.0236602242118911</v>
      </c>
      <c r="BU38" s="325">
        <f t="shared" si="77"/>
        <v>1.0296001060265836</v>
      </c>
      <c r="BV38" s="325">
        <f t="shared" si="78"/>
        <v>1.0295993917646851</v>
      </c>
      <c r="BW38" s="203">
        <f t="shared" si="79"/>
        <v>1.0296010149204946</v>
      </c>
      <c r="BX38" s="971"/>
      <c r="BY38" s="124"/>
    </row>
    <row r="39" spans="1:78" s="111" customFormat="1" ht="31.5">
      <c r="A39" s="119">
        <v>4</v>
      </c>
      <c r="B39" s="120" t="s">
        <v>286</v>
      </c>
      <c r="C39" s="1005" t="s">
        <v>1</v>
      </c>
      <c r="D39" s="189">
        <f>E39+F39+G39+H39</f>
        <v>1802.2199999999998</v>
      </c>
      <c r="E39" s="208">
        <f>E40+E41</f>
        <v>892.94999999999993</v>
      </c>
      <c r="F39" s="208">
        <f t="shared" ref="F39:H39" si="257">F40+F41</f>
        <v>909.27</v>
      </c>
      <c r="G39" s="208">
        <f t="shared" si="257"/>
        <v>0</v>
      </c>
      <c r="H39" s="1025">
        <f t="shared" si="257"/>
        <v>0</v>
      </c>
      <c r="I39" s="468">
        <f>I40+I41</f>
        <v>0</v>
      </c>
      <c r="J39" s="189">
        <f>K39+L39+M39+N39</f>
        <v>1899.7858659985918</v>
      </c>
      <c r="K39" s="232">
        <f>K40+K41</f>
        <v>594.52406878392333</v>
      </c>
      <c r="L39" s="232">
        <f t="shared" ref="L39:N39" si="258">L40+L41</f>
        <v>1305.2617972146686</v>
      </c>
      <c r="M39" s="232">
        <f t="shared" si="258"/>
        <v>0</v>
      </c>
      <c r="N39" s="939">
        <f t="shared" si="258"/>
        <v>0</v>
      </c>
      <c r="O39" s="470">
        <f>O40+O41</f>
        <v>0</v>
      </c>
      <c r="P39" s="189">
        <f>Q39+R39+S39+T39</f>
        <v>1796.15</v>
      </c>
      <c r="Q39" s="208">
        <f>Q40+Q41</f>
        <v>675.49</v>
      </c>
      <c r="R39" s="208">
        <f t="shared" ref="R39:T39" si="259">R40+R41</f>
        <v>1120.6600000000001</v>
      </c>
      <c r="S39" s="208">
        <f t="shared" si="259"/>
        <v>0</v>
      </c>
      <c r="T39" s="1025">
        <f t="shared" si="259"/>
        <v>0</v>
      </c>
      <c r="U39" s="468">
        <f>U40+U41</f>
        <v>0</v>
      </c>
      <c r="V39" s="189">
        <f>W39+X39+Y39+Z39</f>
        <v>3953.3407764199274</v>
      </c>
      <c r="W39" s="232">
        <f>W40+W41</f>
        <v>1909.9327812199274</v>
      </c>
      <c r="X39" s="232">
        <f t="shared" ref="X39:Z39" si="260">X40+X41</f>
        <v>2043.4079952</v>
      </c>
      <c r="Y39" s="232">
        <f t="shared" si="260"/>
        <v>0</v>
      </c>
      <c r="Z39" s="939">
        <f t="shared" si="260"/>
        <v>0</v>
      </c>
      <c r="AA39" s="470">
        <f>AA40+AA41</f>
        <v>0</v>
      </c>
      <c r="AB39" s="189">
        <f>AC39+AD39+AE39+AF39</f>
        <v>1838.6478753213842</v>
      </c>
      <c r="AC39" s="1150">
        <f>AC40+AC41</f>
        <v>691.47190401192267</v>
      </c>
      <c r="AD39" s="1150">
        <f t="shared" ref="AD39" si="261">AD40+AD41</f>
        <v>1147.1759713094614</v>
      </c>
      <c r="AE39" s="1150">
        <f t="shared" ref="AE39" si="262">AE40+AE41</f>
        <v>0</v>
      </c>
      <c r="AF39" s="1151">
        <f t="shared" ref="AF39" si="263">AF40+AF41</f>
        <v>0</v>
      </c>
      <c r="AG39" s="468">
        <f>AG40+AG41</f>
        <v>0</v>
      </c>
      <c r="AH39" s="189">
        <f>AI39+AJ39+AK39+AL39</f>
        <v>4070.3596634019573</v>
      </c>
      <c r="AI39" s="232">
        <f>AI40+AI41</f>
        <v>1966.4667915440373</v>
      </c>
      <c r="AJ39" s="232">
        <f t="shared" ref="AJ39:AL39" si="264">AJ40+AJ41</f>
        <v>2103.89287185792</v>
      </c>
      <c r="AK39" s="232">
        <f t="shared" si="264"/>
        <v>0</v>
      </c>
      <c r="AL39" s="939">
        <f t="shared" si="264"/>
        <v>0</v>
      </c>
      <c r="AM39" s="470">
        <f>AM40+AM41</f>
        <v>0</v>
      </c>
      <c r="AN39" s="189">
        <f>AO39+AP39+AQ39+AR39</f>
        <v>1893.0723583191098</v>
      </c>
      <c r="AO39" s="208">
        <f t="shared" ref="AO39" si="265">AO40+AO41</f>
        <v>711.93935764143782</v>
      </c>
      <c r="AP39" s="208">
        <f t="shared" ref="AP39" si="266">AP40+AP41</f>
        <v>1181.133000677672</v>
      </c>
      <c r="AQ39" s="208">
        <f t="shared" ref="AQ39" si="267">AQ40+AQ41</f>
        <v>0</v>
      </c>
      <c r="AR39" s="429">
        <f t="shared" ref="AR39:AS39" si="268">AR40+AR41</f>
        <v>0</v>
      </c>
      <c r="AS39" s="468">
        <f t="shared" si="268"/>
        <v>0</v>
      </c>
      <c r="AT39" s="189">
        <f>AU39+AV39+AW39+AX39</f>
        <v>4190.8423094386562</v>
      </c>
      <c r="AU39" s="232">
        <f>AU40+AU41</f>
        <v>2024.674208573741</v>
      </c>
      <c r="AV39" s="232">
        <f t="shared" ref="AV39:AX39" si="269">AV40+AV41</f>
        <v>2166.1681008649148</v>
      </c>
      <c r="AW39" s="232">
        <f t="shared" si="269"/>
        <v>0</v>
      </c>
      <c r="AX39" s="939">
        <f t="shared" si="269"/>
        <v>0</v>
      </c>
      <c r="AY39" s="470">
        <f>AY40+AY41</f>
        <v>0</v>
      </c>
      <c r="AZ39" s="189">
        <f>BA39+BB39+BC39+BD39</f>
        <v>1949.1054112774818</v>
      </c>
      <c r="BA39" s="208">
        <f>BA40+BA41</f>
        <v>733.0127755548624</v>
      </c>
      <c r="BB39" s="208">
        <f t="shared" ref="BB39:BD39" si="270">BB40+BB41</f>
        <v>1216.0926357226194</v>
      </c>
      <c r="BC39" s="208">
        <f t="shared" si="270"/>
        <v>0</v>
      </c>
      <c r="BD39" s="429">
        <f t="shared" si="270"/>
        <v>0</v>
      </c>
      <c r="BE39" s="468">
        <f>BE40+BE41</f>
        <v>0</v>
      </c>
      <c r="BF39" s="189">
        <f>BG39+BH39+BI39+BJ39</f>
        <v>4314.89124179804</v>
      </c>
      <c r="BG39" s="232">
        <f>BG40+BG41</f>
        <v>2084.6045651475238</v>
      </c>
      <c r="BH39" s="232">
        <f t="shared" ref="BH39:BJ39" si="271">BH40+BH41</f>
        <v>2230.2866766505163</v>
      </c>
      <c r="BI39" s="232">
        <f t="shared" si="271"/>
        <v>0</v>
      </c>
      <c r="BJ39" s="939">
        <f t="shared" si="271"/>
        <v>0</v>
      </c>
      <c r="BK39" s="470">
        <f>BK40+BK41</f>
        <v>0</v>
      </c>
      <c r="BL39" s="189">
        <f>BM39+BN39+BO39+BP39</f>
        <v>2006.8015065431796</v>
      </c>
      <c r="BM39" s="208">
        <f>BM40+BM41</f>
        <v>754.71033668071379</v>
      </c>
      <c r="BN39" s="208">
        <f t="shared" ref="BN39:BP39" si="272">BN40+BN41</f>
        <v>1252.0911698624659</v>
      </c>
      <c r="BO39" s="208">
        <f t="shared" si="272"/>
        <v>0</v>
      </c>
      <c r="BP39" s="429">
        <f t="shared" si="272"/>
        <v>0</v>
      </c>
      <c r="BQ39" s="468">
        <f>BQ40+BQ41</f>
        <v>0</v>
      </c>
      <c r="BR39" s="835">
        <f t="shared" si="8"/>
        <v>0.94544865931818201</v>
      </c>
      <c r="BS39" s="542">
        <f t="shared" si="9"/>
        <v>0.99663193172864595</v>
      </c>
      <c r="BT39" s="831">
        <f t="shared" si="76"/>
        <v>1.0236605379959269</v>
      </c>
      <c r="BU39" s="324">
        <f t="shared" si="77"/>
        <v>1.0296002751414337</v>
      </c>
      <c r="BV39" s="324">
        <f t="shared" si="78"/>
        <v>1.0295990022315495</v>
      </c>
      <c r="BW39" s="201">
        <f t="shared" si="79"/>
        <v>1.0296013211660433</v>
      </c>
      <c r="BX39" s="967"/>
      <c r="BY39" s="121"/>
      <c r="BZ39" s="128"/>
    </row>
    <row r="40" spans="1:78" s="83" customFormat="1" ht="33" customHeight="1" outlineLevel="1">
      <c r="A40" s="129"/>
      <c r="B40" s="130" t="s">
        <v>206</v>
      </c>
      <c r="C40" s="1006" t="s">
        <v>1</v>
      </c>
      <c r="D40" s="189">
        <f t="shared" ref="D40:D58" si="273">E40+F40+G40+H40</f>
        <v>1802.2199999999998</v>
      </c>
      <c r="E40" s="207">
        <v>892.94999999999993</v>
      </c>
      <c r="F40" s="207">
        <v>909.27</v>
      </c>
      <c r="G40" s="207"/>
      <c r="H40" s="1023"/>
      <c r="I40" s="469"/>
      <c r="J40" s="189">
        <f t="shared" ref="J40:J42" si="274">K40+L40+M40+N40</f>
        <v>1899.7858659985918</v>
      </c>
      <c r="K40" s="383">
        <v>594.52406878392333</v>
      </c>
      <c r="L40" s="383">
        <v>1305.2617972146686</v>
      </c>
      <c r="M40" s="383"/>
      <c r="N40" s="1044"/>
      <c r="O40" s="500"/>
      <c r="P40" s="189">
        <f t="shared" ref="P40:P58" si="275">Q40+R40+S40+T40</f>
        <v>1796.15</v>
      </c>
      <c r="Q40" s="984">
        <f>ROUND((528.81+100)*индексы!G8*индексы!H8,2)</f>
        <v>675.49</v>
      </c>
      <c r="R40" s="207">
        <f>ROUND(1043.21*индексы!G8*индексы!H8,2)</f>
        <v>1120.6600000000001</v>
      </c>
      <c r="S40" s="207"/>
      <c r="T40" s="1023"/>
      <c r="U40" s="469"/>
      <c r="V40" s="189">
        <f t="shared" ref="V40:V42" si="276">W40+X40+Y40+Z40</f>
        <v>3953.3407764199274</v>
      </c>
      <c r="W40" s="383">
        <v>1909.9327812199274</v>
      </c>
      <c r="X40" s="383">
        <v>2043.4079952</v>
      </c>
      <c r="Y40" s="383"/>
      <c r="Z40" s="1044"/>
      <c r="AA40" s="500"/>
      <c r="AB40" s="189">
        <f t="shared" ref="AB40:AB58" si="277">AC40+AD40+AE40+AF40</f>
        <v>1838.6478753213842</v>
      </c>
      <c r="AC40" s="1144">
        <f t="shared" ref="AC40:AC41" si="278">IF($AC$21&gt;0,Q40/$Q$21*$AC$21,0)</f>
        <v>691.47190401192267</v>
      </c>
      <c r="AD40" s="1144">
        <f t="shared" ref="AD40:AD41" si="279">IF($AD$21&gt;0,R40/$R$21*$AD$21,0)</f>
        <v>1147.1759713094614</v>
      </c>
      <c r="AE40" s="1144">
        <f t="shared" ref="AE40:AE41" si="280">IF($AE$21&gt;0,S40/$S$21*$AE$21,0)</f>
        <v>0</v>
      </c>
      <c r="AF40" s="1145">
        <f t="shared" ref="AF40:AF41" si="281">IF($AF$21&gt;0,T40/$T$21*$AF$21,0)</f>
        <v>0</v>
      </c>
      <c r="AG40" s="469">
        <f t="shared" ref="AG40:AG41" si="282">IF($AG$21&gt;0,U40/$U$21*$AG$21,0)</f>
        <v>0</v>
      </c>
      <c r="AH40" s="189">
        <f t="shared" ref="AH40:AH42" si="283">AI40+AJ40+AK40+AL40</f>
        <v>4070.3596634019573</v>
      </c>
      <c r="AI40" s="383">
        <v>1966.4667915440373</v>
      </c>
      <c r="AJ40" s="383">
        <v>2103.89287185792</v>
      </c>
      <c r="AK40" s="383"/>
      <c r="AL40" s="1044"/>
      <c r="AM40" s="500"/>
      <c r="AN40" s="189">
        <f t="shared" ref="AN40:AN58" si="284">AO40+AP40+AQ40+AR40</f>
        <v>1893.0723583191098</v>
      </c>
      <c r="AO40" s="207">
        <f t="shared" ref="AO40:AO41" si="285">IF($AO$21&gt;0,AC40/$AC$21*$AO$21,0)</f>
        <v>711.93935764143782</v>
      </c>
      <c r="AP40" s="207">
        <f t="shared" ref="AP40:AP41" si="286">IF($AP$21&gt;0,AD40/$AD$21*$AP$21,0)</f>
        <v>1181.133000677672</v>
      </c>
      <c r="AQ40" s="207">
        <f>IF($AQ$21&gt;0,AE40/$AE$21*$AQ$21,0)</f>
        <v>0</v>
      </c>
      <c r="AR40" s="431">
        <f t="shared" ref="AR40:AR41" si="287">IF($AR$21&gt;0,AF40/$AF$21*$AR$21,0)</f>
        <v>0</v>
      </c>
      <c r="AS40" s="469">
        <f t="shared" ref="AS40:AS41" si="288">IF($AS$21&gt;0,AG40/$AG$21*$AS$21,0)</f>
        <v>0</v>
      </c>
      <c r="AT40" s="189">
        <f t="shared" ref="AT40:AT42" si="289">AU40+AV40+AW40+AX40</f>
        <v>4190.8423094386562</v>
      </c>
      <c r="AU40" s="383">
        <v>2024.674208573741</v>
      </c>
      <c r="AV40" s="383">
        <v>2166.1681008649148</v>
      </c>
      <c r="AW40" s="383"/>
      <c r="AX40" s="1044"/>
      <c r="AY40" s="500"/>
      <c r="AZ40" s="189">
        <f t="shared" ref="AZ40:AZ58" si="290">BA40+BB40+BC40+BD40</f>
        <v>1949.1054112774818</v>
      </c>
      <c r="BA40" s="207">
        <f t="shared" ref="BA40:BA41" si="291">IF($BA$21&gt;0,AO40/$AO$21*$BA$21,0)</f>
        <v>733.0127755548624</v>
      </c>
      <c r="BB40" s="207">
        <f>IF($BB$21&gt;0,AP40/$AP$21*$BB$21,0)</f>
        <v>1216.0926357226194</v>
      </c>
      <c r="BC40" s="207">
        <f t="shared" ref="BC40:BC41" si="292">IF($BC$21&gt;0,AQ40/$AQ$21*$BC$21,0)</f>
        <v>0</v>
      </c>
      <c r="BD40" s="431">
        <f t="shared" ref="BD40:BD41" si="293">IF($BD$21&gt;0,AR40/$AR$21*$BD$21,0)</f>
        <v>0</v>
      </c>
      <c r="BE40" s="469">
        <f t="shared" ref="BE40:BE41" si="294">IF($BE$21&gt;0,AS40/$AS$21*$BE$21,0)</f>
        <v>0</v>
      </c>
      <c r="BF40" s="189">
        <f t="shared" ref="BF40:BF42" si="295">BG40+BH40+BI40+BJ40</f>
        <v>4314.89124179804</v>
      </c>
      <c r="BG40" s="383">
        <v>2084.6045651475238</v>
      </c>
      <c r="BH40" s="383">
        <v>2230.2866766505163</v>
      </c>
      <c r="BI40" s="383"/>
      <c r="BJ40" s="1044"/>
      <c r="BK40" s="500"/>
      <c r="BL40" s="189">
        <f>BM40+BN40+BO40+BP40</f>
        <v>2006.8015065431796</v>
      </c>
      <c r="BM40" s="207">
        <f t="shared" ref="BM40:BM41" si="296">IF($BM$21&gt;0,BA40/$BA$21*$BM$21,0)</f>
        <v>754.71033668071379</v>
      </c>
      <c r="BN40" s="207">
        <f t="shared" ref="BN40:BN41" si="297">IF($BN$21&gt;0,BB40/$BB$21*$BN$21,0)</f>
        <v>1252.0911698624659</v>
      </c>
      <c r="BO40" s="207">
        <f t="shared" ref="BO40:BO41" si="298">IF($BO$21&gt;0,BC40/$BC$21*$BO$21,0)</f>
        <v>0</v>
      </c>
      <c r="BP40" s="431">
        <f t="shared" ref="BP40:BP41" si="299">IF($BP$21&gt;0,BD40/$BD$21*$BP$21,0)</f>
        <v>0</v>
      </c>
      <c r="BQ40" s="469">
        <f t="shared" ref="BQ40:BQ41" si="300">IF($BQ$21&gt;0,BE40/$BE$21*$BQ$21,0)</f>
        <v>0</v>
      </c>
      <c r="BR40" s="835">
        <f t="shared" si="8"/>
        <v>0.94544865931818201</v>
      </c>
      <c r="BS40" s="542">
        <f t="shared" si="9"/>
        <v>0.99663193172864595</v>
      </c>
      <c r="BT40" s="831">
        <f t="shared" ref="BT40:BT41" si="301">IF(ISERROR(AB40/P40)," ",AB40/P40)</f>
        <v>1.0236605379959269</v>
      </c>
      <c r="BU40" s="324">
        <f t="shared" ref="BU40:BU41" si="302">IF(ISERROR(AN40/AB40)," ",AN40/AB40)</f>
        <v>1.0296002751414337</v>
      </c>
      <c r="BV40" s="324">
        <f t="shared" ref="BV40:BV41" si="303">IF(ISERROR(AZ40/AN40)," ",AZ40/AN40)</f>
        <v>1.0295990022315495</v>
      </c>
      <c r="BW40" s="201">
        <f t="shared" ref="BW40:BW41" si="304">IF(ISERROR(BL40/AZ40)," ",BL40/AZ40)</f>
        <v>1.0296013211660433</v>
      </c>
      <c r="BX40" s="967" t="s">
        <v>493</v>
      </c>
      <c r="BY40" s="131"/>
      <c r="BZ40" s="132"/>
    </row>
    <row r="41" spans="1:78" s="83" customFormat="1" ht="32.25" customHeight="1" outlineLevel="1">
      <c r="A41" s="129"/>
      <c r="B41" s="130" t="s">
        <v>69</v>
      </c>
      <c r="C41" s="1006" t="s">
        <v>1</v>
      </c>
      <c r="D41" s="189">
        <f t="shared" si="273"/>
        <v>0</v>
      </c>
      <c r="E41" s="207"/>
      <c r="F41" s="207"/>
      <c r="G41" s="207"/>
      <c r="H41" s="1023"/>
      <c r="I41" s="469"/>
      <c r="J41" s="189">
        <f t="shared" si="274"/>
        <v>0</v>
      </c>
      <c r="K41" s="383"/>
      <c r="L41" s="383"/>
      <c r="M41" s="383"/>
      <c r="N41" s="1044"/>
      <c r="O41" s="500"/>
      <c r="P41" s="189">
        <f t="shared" si="275"/>
        <v>0</v>
      </c>
      <c r="Q41" s="984"/>
      <c r="R41" s="207"/>
      <c r="S41" s="207"/>
      <c r="T41" s="1023"/>
      <c r="U41" s="469"/>
      <c r="V41" s="189">
        <f t="shared" si="276"/>
        <v>0</v>
      </c>
      <c r="W41" s="383"/>
      <c r="X41" s="383"/>
      <c r="Y41" s="383"/>
      <c r="Z41" s="1044"/>
      <c r="AA41" s="500"/>
      <c r="AB41" s="189">
        <f t="shared" si="277"/>
        <v>0</v>
      </c>
      <c r="AC41" s="1144">
        <f t="shared" si="278"/>
        <v>0</v>
      </c>
      <c r="AD41" s="1144">
        <f t="shared" si="279"/>
        <v>0</v>
      </c>
      <c r="AE41" s="1144">
        <f t="shared" si="280"/>
        <v>0</v>
      </c>
      <c r="AF41" s="1145">
        <f t="shared" si="281"/>
        <v>0</v>
      </c>
      <c r="AG41" s="469">
        <f t="shared" si="282"/>
        <v>0</v>
      </c>
      <c r="AH41" s="189">
        <f t="shared" si="283"/>
        <v>0</v>
      </c>
      <c r="AI41" s="383"/>
      <c r="AJ41" s="383"/>
      <c r="AK41" s="383"/>
      <c r="AL41" s="1044"/>
      <c r="AM41" s="500"/>
      <c r="AN41" s="189">
        <f t="shared" si="284"/>
        <v>0</v>
      </c>
      <c r="AO41" s="207">
        <f t="shared" si="285"/>
        <v>0</v>
      </c>
      <c r="AP41" s="207">
        <f t="shared" si="286"/>
        <v>0</v>
      </c>
      <c r="AQ41" s="207">
        <f t="shared" ref="AQ41" si="305">IF($AQ$21&gt;0,AE41/$AE$21*$AQ$21,0)</f>
        <v>0</v>
      </c>
      <c r="AR41" s="431">
        <f t="shared" si="287"/>
        <v>0</v>
      </c>
      <c r="AS41" s="469">
        <f t="shared" si="288"/>
        <v>0</v>
      </c>
      <c r="AT41" s="189">
        <f t="shared" si="289"/>
        <v>0</v>
      </c>
      <c r="AU41" s="383"/>
      <c r="AV41" s="383"/>
      <c r="AW41" s="383"/>
      <c r="AX41" s="1044"/>
      <c r="AY41" s="500"/>
      <c r="AZ41" s="189">
        <f t="shared" si="290"/>
        <v>0</v>
      </c>
      <c r="BA41" s="207">
        <f t="shared" si="291"/>
        <v>0</v>
      </c>
      <c r="BB41" s="207">
        <f>IF($BB$21&gt;0,AP41/$AP$21*$BB$21,0)</f>
        <v>0</v>
      </c>
      <c r="BC41" s="207">
        <f t="shared" si="292"/>
        <v>0</v>
      </c>
      <c r="BD41" s="431">
        <f t="shared" si="293"/>
        <v>0</v>
      </c>
      <c r="BE41" s="469">
        <f t="shared" si="294"/>
        <v>0</v>
      </c>
      <c r="BF41" s="189">
        <f t="shared" si="295"/>
        <v>0</v>
      </c>
      <c r="BG41" s="383"/>
      <c r="BH41" s="383"/>
      <c r="BI41" s="383"/>
      <c r="BJ41" s="1044"/>
      <c r="BK41" s="500"/>
      <c r="BL41" s="189">
        <f t="shared" ref="BL41:BL58" si="306">BM41+BN41+BO41+BP41</f>
        <v>0</v>
      </c>
      <c r="BM41" s="207">
        <f t="shared" si="296"/>
        <v>0</v>
      </c>
      <c r="BN41" s="207">
        <f t="shared" si="297"/>
        <v>0</v>
      </c>
      <c r="BO41" s="207">
        <f t="shared" si="298"/>
        <v>0</v>
      </c>
      <c r="BP41" s="431">
        <f t="shared" si="299"/>
        <v>0</v>
      </c>
      <c r="BQ41" s="469">
        <f t="shared" si="300"/>
        <v>0</v>
      </c>
      <c r="BR41" s="835" t="str">
        <f t="shared" si="8"/>
        <v xml:space="preserve"> </v>
      </c>
      <c r="BS41" s="542" t="str">
        <f t="shared" si="9"/>
        <v xml:space="preserve"> </v>
      </c>
      <c r="BT41" s="831" t="str">
        <f t="shared" si="301"/>
        <v xml:space="preserve"> </v>
      </c>
      <c r="BU41" s="324" t="str">
        <f t="shared" si="302"/>
        <v xml:space="preserve"> </v>
      </c>
      <c r="BV41" s="324" t="str">
        <f t="shared" si="303"/>
        <v xml:space="preserve"> </v>
      </c>
      <c r="BW41" s="201" t="str">
        <f t="shared" si="304"/>
        <v xml:space="preserve"> </v>
      </c>
      <c r="BX41" s="967"/>
      <c r="BY41" s="131"/>
      <c r="BZ41" s="132"/>
    </row>
    <row r="42" spans="1:78" s="111" customFormat="1" ht="31.5">
      <c r="A42" s="119">
        <v>5</v>
      </c>
      <c r="B42" s="120" t="s">
        <v>287</v>
      </c>
      <c r="C42" s="1005" t="s">
        <v>1</v>
      </c>
      <c r="D42" s="189">
        <f t="shared" si="273"/>
        <v>240.96</v>
      </c>
      <c r="E42" s="232">
        <f>SUM(E43:E50)</f>
        <v>223.25</v>
      </c>
      <c r="F42" s="232">
        <f t="shared" ref="F42:H42" si="307">SUM(F43:F50)</f>
        <v>17.71</v>
      </c>
      <c r="G42" s="232">
        <f t="shared" si="307"/>
        <v>0</v>
      </c>
      <c r="H42" s="939">
        <f t="shared" si="307"/>
        <v>0</v>
      </c>
      <c r="I42" s="470">
        <f>SUM(I43:I50)</f>
        <v>0</v>
      </c>
      <c r="J42" s="189">
        <f t="shared" si="274"/>
        <v>287.90999999999997</v>
      </c>
      <c r="K42" s="232">
        <f>SUM(K43:K50)</f>
        <v>172.07900000000001</v>
      </c>
      <c r="L42" s="232">
        <f t="shared" ref="L42:N42" si="308">SUM(L43:L50)</f>
        <v>110.56099999999999</v>
      </c>
      <c r="M42" s="232">
        <f t="shared" si="308"/>
        <v>0</v>
      </c>
      <c r="N42" s="939">
        <f t="shared" si="308"/>
        <v>5.2700000000000005</v>
      </c>
      <c r="O42" s="470">
        <f>SUM(O43:O50)</f>
        <v>0</v>
      </c>
      <c r="P42" s="189">
        <f t="shared" si="275"/>
        <v>195.96799999999999</v>
      </c>
      <c r="Q42" s="232">
        <f>SUM(Q43:Q50)</f>
        <v>146.05699999999999</v>
      </c>
      <c r="R42" s="232">
        <f t="shared" ref="R42:T42" si="309">SUM(R43:R50)</f>
        <v>49.911000000000001</v>
      </c>
      <c r="S42" s="232">
        <f t="shared" si="309"/>
        <v>0</v>
      </c>
      <c r="T42" s="939">
        <f t="shared" si="309"/>
        <v>0</v>
      </c>
      <c r="U42" s="470">
        <f>SUM(U43:U50)</f>
        <v>0</v>
      </c>
      <c r="V42" s="189">
        <f t="shared" si="276"/>
        <v>338.56439760000023</v>
      </c>
      <c r="W42" s="232">
        <f>SUM(W43:W50)</f>
        <v>202.34522879999969</v>
      </c>
      <c r="X42" s="232">
        <f t="shared" ref="X42:Z42" si="310">SUM(X43:X50)</f>
        <v>130.02200640000052</v>
      </c>
      <c r="Y42" s="232">
        <f t="shared" si="310"/>
        <v>0</v>
      </c>
      <c r="Z42" s="939">
        <f t="shared" si="310"/>
        <v>6.1971624000000034</v>
      </c>
      <c r="AA42" s="470">
        <f>SUM(AA43:AA50)</f>
        <v>0</v>
      </c>
      <c r="AB42" s="189">
        <f t="shared" si="277"/>
        <v>200.60461340179742</v>
      </c>
      <c r="AC42" s="1140">
        <f>SUM(AC43:AC50)</f>
        <v>149.51266766979438</v>
      </c>
      <c r="AD42" s="1140">
        <f t="shared" ref="AD42:AG42" si="311">SUM(AD43:AD50)</f>
        <v>51.09194573200304</v>
      </c>
      <c r="AE42" s="1140">
        <f t="shared" si="311"/>
        <v>0</v>
      </c>
      <c r="AF42" s="1141">
        <f t="shared" si="311"/>
        <v>0</v>
      </c>
      <c r="AG42" s="470">
        <f t="shared" si="311"/>
        <v>0</v>
      </c>
      <c r="AH42" s="189">
        <f t="shared" si="283"/>
        <v>348.58590376896024</v>
      </c>
      <c r="AI42" s="232">
        <f>SUM(AI43:AI50)</f>
        <v>208.3346475724797</v>
      </c>
      <c r="AJ42" s="232">
        <f t="shared" ref="AJ42:AL42" si="312">SUM(AJ43:AJ50)</f>
        <v>133.87065778944054</v>
      </c>
      <c r="AK42" s="232">
        <f t="shared" si="312"/>
        <v>0</v>
      </c>
      <c r="AL42" s="939">
        <f t="shared" si="312"/>
        <v>6.3805984070400044</v>
      </c>
      <c r="AM42" s="470">
        <f>SUM(AM43:AM50)</f>
        <v>0</v>
      </c>
      <c r="AN42" s="189">
        <f t="shared" si="284"/>
        <v>206.54251279183242</v>
      </c>
      <c r="AO42" s="232">
        <f t="shared" ref="AO42" si="313">SUM(AO43:AO50)</f>
        <v>153.938217825631</v>
      </c>
      <c r="AP42" s="232">
        <f t="shared" ref="AP42" si="314">SUM(AP43:AP50)</f>
        <v>52.604294966201415</v>
      </c>
      <c r="AQ42" s="232">
        <f t="shared" ref="AQ42" si="315">SUM(AQ43:AQ50)</f>
        <v>0</v>
      </c>
      <c r="AR42" s="444">
        <f t="shared" ref="AR42:AS42" si="316">SUM(AR43:AR50)</f>
        <v>0</v>
      </c>
      <c r="AS42" s="470">
        <f t="shared" si="316"/>
        <v>0</v>
      </c>
      <c r="AT42" s="189">
        <f t="shared" si="289"/>
        <v>358.90404652052143</v>
      </c>
      <c r="AU42" s="232">
        <f>SUM(AU43:AU50)</f>
        <v>214.5013531406251</v>
      </c>
      <c r="AV42" s="232">
        <f t="shared" ref="AV42:AX42" si="317">SUM(AV43:AV50)</f>
        <v>137.83322926000798</v>
      </c>
      <c r="AW42" s="232">
        <f t="shared" si="317"/>
        <v>0</v>
      </c>
      <c r="AX42" s="939">
        <f t="shared" si="317"/>
        <v>6.569464119888389</v>
      </c>
      <c r="AY42" s="470">
        <f>SUM(AY43:AY50)</f>
        <v>0</v>
      </c>
      <c r="AZ42" s="189">
        <f t="shared" si="290"/>
        <v>212.65608926600777</v>
      </c>
      <c r="BA42" s="232">
        <f>SUM(BA43:BA50)</f>
        <v>158.49479186844593</v>
      </c>
      <c r="BB42" s="232">
        <f t="shared" ref="BB42:BE42" si="318">SUM(BB43:BB50)</f>
        <v>54.161297397561839</v>
      </c>
      <c r="BC42" s="232">
        <f t="shared" si="318"/>
        <v>0</v>
      </c>
      <c r="BD42" s="444">
        <f t="shared" si="318"/>
        <v>0</v>
      </c>
      <c r="BE42" s="470">
        <f t="shared" si="318"/>
        <v>0</v>
      </c>
      <c r="BF42" s="189">
        <f t="shared" si="295"/>
        <v>369.51569714549385</v>
      </c>
      <c r="BG42" s="232">
        <f>SUM(BG43:BG50)</f>
        <v>220.85059319358763</v>
      </c>
      <c r="BH42" s="232">
        <f t="shared" ref="BH42:BJ42" si="319">SUM(BH43:BH50)</f>
        <v>141.91309284610423</v>
      </c>
      <c r="BI42" s="232">
        <f t="shared" si="319"/>
        <v>0</v>
      </c>
      <c r="BJ42" s="939">
        <f t="shared" si="319"/>
        <v>6.7520111058020209</v>
      </c>
      <c r="BK42" s="470">
        <f>SUM(BK43:BK50)</f>
        <v>0</v>
      </c>
      <c r="BL42" s="189">
        <f t="shared" si="306"/>
        <v>218.95088994625991</v>
      </c>
      <c r="BM42" s="232">
        <f>SUM(BM43:BM50)</f>
        <v>163.18632051484849</v>
      </c>
      <c r="BN42" s="232">
        <f t="shared" ref="BN42:BQ42" si="320">SUM(BN43:BN50)</f>
        <v>55.764569431411424</v>
      </c>
      <c r="BO42" s="232">
        <f t="shared" si="320"/>
        <v>0</v>
      </c>
      <c r="BP42" s="444">
        <f t="shared" si="320"/>
        <v>0</v>
      </c>
      <c r="BQ42" s="470">
        <f t="shared" si="320"/>
        <v>0</v>
      </c>
      <c r="BR42" s="835">
        <f t="shared" si="8"/>
        <v>0.68065714980375813</v>
      </c>
      <c r="BS42" s="542">
        <f t="shared" si="9"/>
        <v>0.81328021248339966</v>
      </c>
      <c r="BT42" s="831">
        <f t="shared" si="76"/>
        <v>1.023660053691406</v>
      </c>
      <c r="BU42" s="324">
        <f t="shared" si="77"/>
        <v>1.0296000141240111</v>
      </c>
      <c r="BV42" s="324">
        <f t="shared" si="78"/>
        <v>1.0295996034498573</v>
      </c>
      <c r="BW42" s="201">
        <f t="shared" si="79"/>
        <v>1.029600848496645</v>
      </c>
      <c r="BX42" s="970"/>
    </row>
    <row r="43" spans="1:78" s="83" customFormat="1" ht="18.75">
      <c r="A43" s="133"/>
      <c r="B43" s="130" t="s">
        <v>275</v>
      </c>
      <c r="C43" s="1008" t="s">
        <v>1</v>
      </c>
      <c r="D43" s="189">
        <f t="shared" si="273"/>
        <v>0</v>
      </c>
      <c r="E43" s="207"/>
      <c r="F43" s="207"/>
      <c r="G43" s="207"/>
      <c r="H43" s="1023"/>
      <c r="I43" s="469"/>
      <c r="J43" s="189">
        <f>K43+L43+M43+N43</f>
        <v>10.19</v>
      </c>
      <c r="K43" s="383">
        <v>6.09</v>
      </c>
      <c r="L43" s="383">
        <v>3.9129999999999998</v>
      </c>
      <c r="M43" s="383"/>
      <c r="N43" s="1044">
        <v>0.187</v>
      </c>
      <c r="O43" s="500"/>
      <c r="P43" s="189">
        <f t="shared" si="275"/>
        <v>10.187000000000001</v>
      </c>
      <c r="Q43" s="1108">
        <f>6.09+N43</f>
        <v>6.2770000000000001</v>
      </c>
      <c r="R43" s="1108">
        <v>3.91</v>
      </c>
      <c r="S43" s="207"/>
      <c r="T43" s="1023"/>
      <c r="U43" s="469"/>
      <c r="V43" s="189">
        <f>W43+X43+Y43+Z43</f>
        <v>10.491624</v>
      </c>
      <c r="W43" s="383">
        <v>6.2702640000000001</v>
      </c>
      <c r="X43" s="383">
        <v>4.0288247999999998</v>
      </c>
      <c r="Y43" s="383"/>
      <c r="Z43" s="1044">
        <v>0.19253520000000002</v>
      </c>
      <c r="AA43" s="500"/>
      <c r="AB43" s="189">
        <f t="shared" si="277"/>
        <v>10.428026692396831</v>
      </c>
      <c r="AC43" s="1144">
        <f t="shared" ref="AC43:AC54" si="321">IF($AC$21&gt;0,Q43/$Q$21*$AC$21,0)</f>
        <v>6.4255120601087201</v>
      </c>
      <c r="AD43" s="1144">
        <f t="shared" ref="AD43:AD54" si="322">IF($AD$21&gt;0,R43/$R$21*$AD$21,0)</f>
        <v>4.0025146322881104</v>
      </c>
      <c r="AE43" s="1144">
        <f t="shared" ref="AE43:AE54" si="323">IF($AE$21&gt;0,S43/$S$21*$AE$21,0)</f>
        <v>0</v>
      </c>
      <c r="AF43" s="1145">
        <f t="shared" ref="AF43:AF54" si="324">IF($AF$21&gt;0,T43/$T$21*$AF$21,0)</f>
        <v>0</v>
      </c>
      <c r="AG43" s="469">
        <f t="shared" ref="AG43:AG54" si="325">IF($AG$21&gt;0,U43/$U$21*$AG$21,0)</f>
        <v>0</v>
      </c>
      <c r="AH43" s="189">
        <f>AI43+AJ43+AK43+AL43</f>
        <v>10.8021760704</v>
      </c>
      <c r="AI43" s="383">
        <v>6.4558638144000007</v>
      </c>
      <c r="AJ43" s="383">
        <v>4.1480780140800002</v>
      </c>
      <c r="AK43" s="383"/>
      <c r="AL43" s="1044">
        <v>0.19823424192000003</v>
      </c>
      <c r="AM43" s="500"/>
      <c r="AN43" s="189">
        <f t="shared" si="284"/>
        <v>10.73669738171262</v>
      </c>
      <c r="AO43" s="207">
        <f t="shared" ref="AO43:AO54" si="326">IF($AO$21&gt;0,AC43/$AC$21*$AO$21,0)</f>
        <v>6.6157061509649377</v>
      </c>
      <c r="AP43" s="207">
        <f t="shared" ref="AP43:AP54" si="327">IF($AP$21&gt;0,AD43/$AD$21*$AP$21,0)</f>
        <v>4.1209912307476824</v>
      </c>
      <c r="AQ43" s="207">
        <f t="shared" ref="AQ43:AQ54" si="328">IF($AQ$21&gt;0,AE43/$AE$21*$AQ$21,0)</f>
        <v>0</v>
      </c>
      <c r="AR43" s="431">
        <f t="shared" ref="AR43:AR54" si="329">IF($AR$21&gt;0,AF43/$AF$21*$AR$21,0)</f>
        <v>0</v>
      </c>
      <c r="AS43" s="469">
        <f t="shared" ref="AS43:AS54" si="330">IF($AS$21&gt;0,AG43/$AG$21*$AS$21,0)</f>
        <v>0</v>
      </c>
      <c r="AT43" s="189">
        <f>AU43+AV43+AW43+AX43</f>
        <v>11.121920482083841</v>
      </c>
      <c r="AU43" s="383">
        <v>6.6469573833062414</v>
      </c>
      <c r="AV43" s="383">
        <v>4.2708611232967684</v>
      </c>
      <c r="AW43" s="383"/>
      <c r="AX43" s="1044">
        <v>0.20410197548083203</v>
      </c>
      <c r="AY43" s="500"/>
      <c r="AZ43" s="189">
        <f t="shared" si="290"/>
        <v>11.054497109015195</v>
      </c>
      <c r="BA43" s="207">
        <f t="shared" ref="BA43:BA54" si="331">IF($BA$21&gt;0,AO43/$AO$21*$BA$21,0)</f>
        <v>6.8115311731600352</v>
      </c>
      <c r="BB43" s="207">
        <f t="shared" ref="BB43:BB54" si="332">IF($BB$21&gt;0,AP43/$AP$21*$BB$21,0)</f>
        <v>4.2429659358551586</v>
      </c>
      <c r="BC43" s="207">
        <f t="shared" ref="BC43:BC54" si="333">IF($BC$21&gt;0,AQ43/$AQ$21*$BC$21,0)</f>
        <v>0</v>
      </c>
      <c r="BD43" s="431">
        <f t="shared" ref="BD43:BD54" si="334">IF($BD$21&gt;0,AR43/$AR$21*$BD$21,0)</f>
        <v>0</v>
      </c>
      <c r="BE43" s="469">
        <f t="shared" ref="BE43:BE54" si="335">IF($BE$21&gt;0,AS43/$AS$21*$BE$21,0)</f>
        <v>0</v>
      </c>
      <c r="BF43" s="189">
        <f>BG43+BH43+BI43+BJ43</f>
        <v>11.439220176318459</v>
      </c>
      <c r="BG43" s="383">
        <v>6.843707321852107</v>
      </c>
      <c r="BH43" s="383">
        <v>4.3972786125463532</v>
      </c>
      <c r="BI43" s="383"/>
      <c r="BJ43" s="1044">
        <v>0.19823424192000003</v>
      </c>
      <c r="BK43" s="500"/>
      <c r="BL43" s="189">
        <f t="shared" si="306"/>
        <v>11.381721430539665</v>
      </c>
      <c r="BM43" s="207">
        <f t="shared" ref="BM43:BM54" si="336">IF($BM$21&gt;0,BA43/$BA$21*$BM$21,0)</f>
        <v>7.0131560546341785</v>
      </c>
      <c r="BN43" s="207">
        <f t="shared" ref="BN43:BN54" si="337">IF($BN$21&gt;0,BB43/$BB$21*$BN$21,0)</f>
        <v>4.3685653759054865</v>
      </c>
      <c r="BO43" s="207">
        <f t="shared" ref="BO43:BO54" si="338">IF($BO$21&gt;0,BC43/$BC$21*$BO$21,0)</f>
        <v>0</v>
      </c>
      <c r="BP43" s="431">
        <f t="shared" ref="BP43:BP54" si="339">IF($BP$21&gt;0,BD43/$BD$21*$BP$21,0)</f>
        <v>0</v>
      </c>
      <c r="BQ43" s="469">
        <f t="shared" ref="BQ43:BQ54" si="340">IF($BQ$21&gt;0,BE43/$BE$21*$BQ$21,0)</f>
        <v>0</v>
      </c>
      <c r="BR43" s="835">
        <f t="shared" si="8"/>
        <v>0.99970559371933287</v>
      </c>
      <c r="BS43" s="542" t="str">
        <f t="shared" si="9"/>
        <v xml:space="preserve"> </v>
      </c>
      <c r="BT43" s="831">
        <f t="shared" ref="BT43:BT50" si="341">IF(ISERROR(AB43/P43)," ",AB43/P43)</f>
        <v>1.0236602230683056</v>
      </c>
      <c r="BU43" s="324">
        <f t="shared" ref="BU43:BU50" si="342">IF(ISERROR(AN43/AB43)," ",AN43/AB43)</f>
        <v>1.0296001054102446</v>
      </c>
      <c r="BV43" s="324">
        <f t="shared" ref="BV43:BV50" si="343">IF(ISERROR(AZ43/AN43)," ",AZ43/AN43)</f>
        <v>1.029599393184339</v>
      </c>
      <c r="BW43" s="201">
        <f t="shared" ref="BW43:BW50" si="344">IF(ISERROR(BL43/AZ43)," ",BL43/AZ43)</f>
        <v>1.029601013804383</v>
      </c>
      <c r="BX43" s="970"/>
      <c r="BY43" s="131"/>
    </row>
    <row r="44" spans="1:78" s="83" customFormat="1" ht="18.75">
      <c r="A44" s="133"/>
      <c r="B44" s="130" t="s">
        <v>276</v>
      </c>
      <c r="C44" s="1008" t="s">
        <v>1</v>
      </c>
      <c r="D44" s="189">
        <f t="shared" si="273"/>
        <v>0</v>
      </c>
      <c r="E44" s="207"/>
      <c r="F44" s="207"/>
      <c r="G44" s="207"/>
      <c r="H44" s="1023"/>
      <c r="I44" s="469"/>
      <c r="J44" s="189">
        <f>K44+L44+M44+N44</f>
        <v>0</v>
      </c>
      <c r="K44" s="383"/>
      <c r="L44" s="383"/>
      <c r="M44" s="383"/>
      <c r="N44" s="1044"/>
      <c r="O44" s="500"/>
      <c r="P44" s="189">
        <f t="shared" si="275"/>
        <v>0</v>
      </c>
      <c r="Q44" s="207"/>
      <c r="R44" s="207"/>
      <c r="S44" s="207"/>
      <c r="T44" s="1023"/>
      <c r="U44" s="469"/>
      <c r="V44" s="189">
        <f>W44+X44+Y44+Z44</f>
        <v>0</v>
      </c>
      <c r="W44" s="383"/>
      <c r="X44" s="383"/>
      <c r="Y44" s="383"/>
      <c r="Z44" s="1044"/>
      <c r="AA44" s="500"/>
      <c r="AB44" s="189">
        <f t="shared" si="277"/>
        <v>0</v>
      </c>
      <c r="AC44" s="1144">
        <f t="shared" si="321"/>
        <v>0</v>
      </c>
      <c r="AD44" s="1144">
        <f t="shared" si="322"/>
        <v>0</v>
      </c>
      <c r="AE44" s="1144">
        <f t="shared" si="323"/>
        <v>0</v>
      </c>
      <c r="AF44" s="1145">
        <f t="shared" si="324"/>
        <v>0</v>
      </c>
      <c r="AG44" s="469">
        <f t="shared" si="325"/>
        <v>0</v>
      </c>
      <c r="AH44" s="189">
        <f>AI44+AJ44+AK44+AL44</f>
        <v>0</v>
      </c>
      <c r="AI44" s="383"/>
      <c r="AJ44" s="383"/>
      <c r="AK44" s="383"/>
      <c r="AL44" s="1044"/>
      <c r="AM44" s="500"/>
      <c r="AN44" s="189">
        <f t="shared" si="284"/>
        <v>0</v>
      </c>
      <c r="AO44" s="207">
        <f t="shared" si="326"/>
        <v>0</v>
      </c>
      <c r="AP44" s="207">
        <f t="shared" si="327"/>
        <v>0</v>
      </c>
      <c r="AQ44" s="207">
        <f t="shared" si="328"/>
        <v>0</v>
      </c>
      <c r="AR44" s="431">
        <f t="shared" si="329"/>
        <v>0</v>
      </c>
      <c r="AS44" s="469">
        <f t="shared" si="330"/>
        <v>0</v>
      </c>
      <c r="AT44" s="189">
        <f>AU44+AV44+AW44+AX44</f>
        <v>0</v>
      </c>
      <c r="AU44" s="383"/>
      <c r="AV44" s="383"/>
      <c r="AW44" s="383"/>
      <c r="AX44" s="1044"/>
      <c r="AY44" s="500"/>
      <c r="AZ44" s="189">
        <f t="shared" si="290"/>
        <v>0</v>
      </c>
      <c r="BA44" s="207">
        <f t="shared" si="331"/>
        <v>0</v>
      </c>
      <c r="BB44" s="207">
        <f t="shared" si="332"/>
        <v>0</v>
      </c>
      <c r="BC44" s="207">
        <f t="shared" si="333"/>
        <v>0</v>
      </c>
      <c r="BD44" s="431">
        <f t="shared" si="334"/>
        <v>0</v>
      </c>
      <c r="BE44" s="469">
        <f t="shared" si="335"/>
        <v>0</v>
      </c>
      <c r="BF44" s="189">
        <f>BG44+BH44+BI44+BJ44</f>
        <v>0</v>
      </c>
      <c r="BG44" s="383"/>
      <c r="BH44" s="383"/>
      <c r="BI44" s="383"/>
      <c r="BJ44" s="1044"/>
      <c r="BK44" s="500"/>
      <c r="BL44" s="189">
        <f t="shared" si="306"/>
        <v>0</v>
      </c>
      <c r="BM44" s="207">
        <f t="shared" si="336"/>
        <v>0</v>
      </c>
      <c r="BN44" s="207">
        <f t="shared" si="337"/>
        <v>0</v>
      </c>
      <c r="BO44" s="207">
        <f t="shared" si="338"/>
        <v>0</v>
      </c>
      <c r="BP44" s="431">
        <f t="shared" si="339"/>
        <v>0</v>
      </c>
      <c r="BQ44" s="469">
        <f t="shared" si="340"/>
        <v>0</v>
      </c>
      <c r="BR44" s="835" t="str">
        <f t="shared" si="8"/>
        <v xml:space="preserve"> </v>
      </c>
      <c r="BS44" s="542" t="str">
        <f t="shared" si="9"/>
        <v xml:space="preserve"> </v>
      </c>
      <c r="BT44" s="831" t="str">
        <f t="shared" si="341"/>
        <v xml:space="preserve"> </v>
      </c>
      <c r="BU44" s="324" t="str">
        <f t="shared" si="342"/>
        <v xml:space="preserve"> </v>
      </c>
      <c r="BV44" s="324" t="str">
        <f t="shared" si="343"/>
        <v xml:space="preserve"> </v>
      </c>
      <c r="BW44" s="201" t="str">
        <f t="shared" si="344"/>
        <v xml:space="preserve"> </v>
      </c>
      <c r="BX44" s="970"/>
    </row>
    <row r="45" spans="1:78" s="83" customFormat="1" ht="18.75">
      <c r="A45" s="133"/>
      <c r="B45" s="130" t="s">
        <v>277</v>
      </c>
      <c r="C45" s="1008" t="s">
        <v>1</v>
      </c>
      <c r="D45" s="189">
        <f t="shared" si="273"/>
        <v>0</v>
      </c>
      <c r="E45" s="207"/>
      <c r="F45" s="207"/>
      <c r="G45" s="207"/>
      <c r="H45" s="1023"/>
      <c r="I45" s="469"/>
      <c r="J45" s="189">
        <f t="shared" ref="J45:J51" si="345">K45+L45+M45+N45</f>
        <v>0</v>
      </c>
      <c r="K45" s="383"/>
      <c r="L45" s="383"/>
      <c r="M45" s="383"/>
      <c r="N45" s="1044"/>
      <c r="O45" s="500"/>
      <c r="P45" s="189">
        <f t="shared" si="275"/>
        <v>0</v>
      </c>
      <c r="Q45" s="207">
        <f>K45</f>
        <v>0</v>
      </c>
      <c r="R45" s="207"/>
      <c r="S45" s="207"/>
      <c r="T45" s="1023"/>
      <c r="U45" s="469"/>
      <c r="V45" s="189">
        <f t="shared" ref="V45:V51" si="346">W45+X45+Y45+Z45</f>
        <v>0</v>
      </c>
      <c r="W45" s="383"/>
      <c r="X45" s="383"/>
      <c r="Y45" s="383"/>
      <c r="Z45" s="1044"/>
      <c r="AA45" s="500"/>
      <c r="AB45" s="189">
        <f t="shared" si="277"/>
        <v>0</v>
      </c>
      <c r="AC45" s="1144">
        <f t="shared" si="321"/>
        <v>0</v>
      </c>
      <c r="AD45" s="1144">
        <f t="shared" si="322"/>
        <v>0</v>
      </c>
      <c r="AE45" s="1144">
        <f t="shared" si="323"/>
        <v>0</v>
      </c>
      <c r="AF45" s="1145">
        <f t="shared" si="324"/>
        <v>0</v>
      </c>
      <c r="AG45" s="469">
        <f t="shared" si="325"/>
        <v>0</v>
      </c>
      <c r="AH45" s="189">
        <f t="shared" ref="AH45:AH51" si="347">AI45+AJ45+AK45+AL45</f>
        <v>0</v>
      </c>
      <c r="AI45" s="383"/>
      <c r="AJ45" s="383"/>
      <c r="AK45" s="383"/>
      <c r="AL45" s="1044"/>
      <c r="AM45" s="500"/>
      <c r="AN45" s="189">
        <f t="shared" si="284"/>
        <v>0</v>
      </c>
      <c r="AO45" s="207">
        <f t="shared" si="326"/>
        <v>0</v>
      </c>
      <c r="AP45" s="207">
        <f t="shared" si="327"/>
        <v>0</v>
      </c>
      <c r="AQ45" s="207">
        <f t="shared" si="328"/>
        <v>0</v>
      </c>
      <c r="AR45" s="431">
        <f t="shared" si="329"/>
        <v>0</v>
      </c>
      <c r="AS45" s="469">
        <f t="shared" si="330"/>
        <v>0</v>
      </c>
      <c r="AT45" s="189">
        <f t="shared" ref="AT45:AT51" si="348">AU45+AV45+AW45+AX45</f>
        <v>0</v>
      </c>
      <c r="AU45" s="383"/>
      <c r="AV45" s="383"/>
      <c r="AW45" s="383"/>
      <c r="AX45" s="1044"/>
      <c r="AY45" s="500"/>
      <c r="AZ45" s="189">
        <f t="shared" si="290"/>
        <v>0</v>
      </c>
      <c r="BA45" s="207">
        <f t="shared" si="331"/>
        <v>0</v>
      </c>
      <c r="BB45" s="207">
        <f t="shared" si="332"/>
        <v>0</v>
      </c>
      <c r="BC45" s="207">
        <f t="shared" si="333"/>
        <v>0</v>
      </c>
      <c r="BD45" s="431">
        <f t="shared" si="334"/>
        <v>0</v>
      </c>
      <c r="BE45" s="469">
        <f t="shared" si="335"/>
        <v>0</v>
      </c>
      <c r="BF45" s="189">
        <f t="shared" ref="BF45:BF51" si="349">BG45+BH45+BI45+BJ45</f>
        <v>0</v>
      </c>
      <c r="BG45" s="383"/>
      <c r="BH45" s="383"/>
      <c r="BI45" s="383"/>
      <c r="BJ45" s="1044"/>
      <c r="BK45" s="500"/>
      <c r="BL45" s="189">
        <f t="shared" si="306"/>
        <v>0</v>
      </c>
      <c r="BM45" s="207">
        <f t="shared" si="336"/>
        <v>0</v>
      </c>
      <c r="BN45" s="207">
        <f t="shared" si="337"/>
        <v>0</v>
      </c>
      <c r="BO45" s="207">
        <f t="shared" si="338"/>
        <v>0</v>
      </c>
      <c r="BP45" s="431">
        <f t="shared" si="339"/>
        <v>0</v>
      </c>
      <c r="BQ45" s="469">
        <f t="shared" si="340"/>
        <v>0</v>
      </c>
      <c r="BR45" s="835" t="str">
        <f t="shared" si="8"/>
        <v xml:space="preserve"> </v>
      </c>
      <c r="BS45" s="542" t="str">
        <f t="shared" si="9"/>
        <v xml:space="preserve"> </v>
      </c>
      <c r="BT45" s="831" t="str">
        <f t="shared" si="341"/>
        <v xml:space="preserve"> </v>
      </c>
      <c r="BU45" s="324" t="str">
        <f t="shared" si="342"/>
        <v xml:space="preserve"> </v>
      </c>
      <c r="BV45" s="324" t="str">
        <f t="shared" si="343"/>
        <v xml:space="preserve"> </v>
      </c>
      <c r="BW45" s="201" t="str">
        <f t="shared" si="344"/>
        <v xml:space="preserve"> </v>
      </c>
      <c r="BX45" s="969" t="s">
        <v>489</v>
      </c>
    </row>
    <row r="46" spans="1:78" s="83" customFormat="1" ht="31.5">
      <c r="A46" s="133"/>
      <c r="B46" s="130" t="s">
        <v>278</v>
      </c>
      <c r="C46" s="1008" t="s">
        <v>1</v>
      </c>
      <c r="D46" s="189">
        <f t="shared" si="273"/>
        <v>40.86</v>
      </c>
      <c r="E46" s="207">
        <v>37.85</v>
      </c>
      <c r="F46" s="207">
        <v>3.01</v>
      </c>
      <c r="G46" s="207"/>
      <c r="H46" s="1023"/>
      <c r="I46" s="469"/>
      <c r="J46" s="189">
        <f t="shared" si="345"/>
        <v>91.86</v>
      </c>
      <c r="K46" s="383">
        <f>35.961+18.94</f>
        <v>54.900999999999996</v>
      </c>
      <c r="L46" s="383">
        <f>23.108+12.17</f>
        <v>35.277999999999999</v>
      </c>
      <c r="M46" s="383"/>
      <c r="N46" s="1044">
        <f>1.101+0.58</f>
        <v>1.681</v>
      </c>
      <c r="O46" s="500"/>
      <c r="P46" s="189">
        <f t="shared" si="275"/>
        <v>43.889999999999993</v>
      </c>
      <c r="Q46" s="207">
        <f>ROUND(E46*индексы!G8*индексы!H8,2)</f>
        <v>40.659999999999997</v>
      </c>
      <c r="R46" s="207">
        <f>ROUND(F46*индексы!G8*индексы!H8,2)</f>
        <v>3.23</v>
      </c>
      <c r="S46" s="207"/>
      <c r="T46" s="1023"/>
      <c r="U46" s="469"/>
      <c r="V46" s="189">
        <f t="shared" si="346"/>
        <v>61.951032000000005</v>
      </c>
      <c r="W46" s="383">
        <v>37.025445599999998</v>
      </c>
      <c r="X46" s="383">
        <v>23.791996800000003</v>
      </c>
      <c r="Y46" s="383"/>
      <c r="Z46" s="1044">
        <v>1.1335896000000001</v>
      </c>
      <c r="AA46" s="500"/>
      <c r="AB46" s="189">
        <f t="shared" si="277"/>
        <v>44.928429331119467</v>
      </c>
      <c r="AC46" s="1144">
        <f t="shared" si="321"/>
        <v>41.622004200098857</v>
      </c>
      <c r="AD46" s="1144">
        <f t="shared" si="322"/>
        <v>3.3064251310206125</v>
      </c>
      <c r="AE46" s="1144">
        <f t="shared" si="323"/>
        <v>0</v>
      </c>
      <c r="AF46" s="1145">
        <f t="shared" si="324"/>
        <v>0</v>
      </c>
      <c r="AG46" s="469">
        <f t="shared" si="325"/>
        <v>0</v>
      </c>
      <c r="AH46" s="189">
        <f t="shared" si="347"/>
        <v>63.78478254720001</v>
      </c>
      <c r="AI46" s="383">
        <v>38.121398789760001</v>
      </c>
      <c r="AJ46" s="383">
        <v>24.496239905280007</v>
      </c>
      <c r="AK46" s="383"/>
      <c r="AL46" s="1044">
        <v>1.1671438521600002</v>
      </c>
      <c r="AM46" s="500"/>
      <c r="AN46" s="189">
        <f t="shared" si="284"/>
        <v>46.258305722146766</v>
      </c>
      <c r="AO46" s="207">
        <f t="shared" si="326"/>
        <v>42.854008618485636</v>
      </c>
      <c r="AP46" s="207">
        <f t="shared" si="327"/>
        <v>3.4042971036611283</v>
      </c>
      <c r="AQ46" s="207">
        <f t="shared" si="328"/>
        <v>0</v>
      </c>
      <c r="AR46" s="431">
        <f t="shared" si="329"/>
        <v>0</v>
      </c>
      <c r="AS46" s="469">
        <f t="shared" si="330"/>
        <v>0</v>
      </c>
      <c r="AT46" s="189">
        <f t="shared" si="348"/>
        <v>65.672812110597121</v>
      </c>
      <c r="AU46" s="383">
        <v>39.249792193936898</v>
      </c>
      <c r="AV46" s="383">
        <v>25.221328606476298</v>
      </c>
      <c r="AW46" s="383"/>
      <c r="AX46" s="1044">
        <v>1.2016913101839362</v>
      </c>
      <c r="AY46" s="500"/>
      <c r="AZ46" s="189">
        <f t="shared" si="290"/>
        <v>47.62754686830246</v>
      </c>
      <c r="BA46" s="207">
        <f t="shared" si="331"/>
        <v>44.122488051726457</v>
      </c>
      <c r="BB46" s="207">
        <f t="shared" si="332"/>
        <v>3.5050588165759997</v>
      </c>
      <c r="BC46" s="207">
        <f t="shared" si="333"/>
        <v>0</v>
      </c>
      <c r="BD46" s="431">
        <f t="shared" si="334"/>
        <v>0</v>
      </c>
      <c r="BE46" s="469">
        <f t="shared" si="335"/>
        <v>0</v>
      </c>
      <c r="BF46" s="189">
        <f t="shared" si="349"/>
        <v>67.6167273490708</v>
      </c>
      <c r="BG46" s="383">
        <v>40.411586042877431</v>
      </c>
      <c r="BH46" s="383">
        <v>25.967879933227998</v>
      </c>
      <c r="BI46" s="383"/>
      <c r="BJ46" s="1044">
        <v>1.2372613729653807</v>
      </c>
      <c r="BK46" s="500"/>
      <c r="BL46" s="189">
        <f t="shared" si="306"/>
        <v>49.03735162601496</v>
      </c>
      <c r="BM46" s="207">
        <f t="shared" si="336"/>
        <v>45.42853675026695</v>
      </c>
      <c r="BN46" s="207">
        <f t="shared" si="337"/>
        <v>3.608814875748009</v>
      </c>
      <c r="BO46" s="207">
        <f t="shared" si="338"/>
        <v>0</v>
      </c>
      <c r="BP46" s="431">
        <f t="shared" si="339"/>
        <v>0</v>
      </c>
      <c r="BQ46" s="469">
        <f t="shared" si="340"/>
        <v>0</v>
      </c>
      <c r="BR46" s="835">
        <f t="shared" si="8"/>
        <v>0.47779229261920309</v>
      </c>
      <c r="BS46" s="542">
        <f t="shared" si="9"/>
        <v>1.0741556534508074</v>
      </c>
      <c r="BT46" s="831">
        <f t="shared" si="341"/>
        <v>1.0236598161567436</v>
      </c>
      <c r="BU46" s="324">
        <f t="shared" si="342"/>
        <v>1.0295998861038786</v>
      </c>
      <c r="BV46" s="324">
        <f t="shared" si="343"/>
        <v>1.0295998983270187</v>
      </c>
      <c r="BW46" s="201">
        <f t="shared" si="344"/>
        <v>1.0296006166685601</v>
      </c>
      <c r="BX46" s="969" t="s">
        <v>489</v>
      </c>
    </row>
    <row r="47" spans="1:78" s="83" customFormat="1" ht="18.75" outlineLevel="1">
      <c r="A47" s="133"/>
      <c r="B47" s="130" t="s">
        <v>280</v>
      </c>
      <c r="C47" s="1008" t="s">
        <v>1</v>
      </c>
      <c r="D47" s="189">
        <f t="shared" si="273"/>
        <v>11.020000000000001</v>
      </c>
      <c r="E47" s="207">
        <v>10.220000000000001</v>
      </c>
      <c r="F47" s="207">
        <v>0.8</v>
      </c>
      <c r="G47" s="207"/>
      <c r="H47" s="1023"/>
      <c r="I47" s="469"/>
      <c r="J47" s="189">
        <f t="shared" si="345"/>
        <v>11.46</v>
      </c>
      <c r="K47" s="383">
        <v>6.8490000000000002</v>
      </c>
      <c r="L47" s="383">
        <v>4.4009999999999998</v>
      </c>
      <c r="M47" s="383"/>
      <c r="N47" s="1044">
        <v>0.21</v>
      </c>
      <c r="O47" s="500"/>
      <c r="P47" s="189">
        <f t="shared" si="275"/>
        <v>2.66</v>
      </c>
      <c r="Q47" s="207">
        <v>2.66</v>
      </c>
      <c r="R47" s="207"/>
      <c r="S47" s="207"/>
      <c r="T47" s="1023"/>
      <c r="U47" s="469"/>
      <c r="V47" s="189">
        <f t="shared" si="346"/>
        <v>0</v>
      </c>
      <c r="W47" s="383"/>
      <c r="X47" s="383"/>
      <c r="Y47" s="383"/>
      <c r="Z47" s="1044"/>
      <c r="AA47" s="500"/>
      <c r="AB47" s="189">
        <f t="shared" si="277"/>
        <v>2.7229348542120753</v>
      </c>
      <c r="AC47" s="1144">
        <f t="shared" si="321"/>
        <v>2.7229348542120753</v>
      </c>
      <c r="AD47" s="1144">
        <f t="shared" si="322"/>
        <v>0</v>
      </c>
      <c r="AE47" s="1144">
        <f t="shared" si="323"/>
        <v>0</v>
      </c>
      <c r="AF47" s="1145">
        <f t="shared" si="324"/>
        <v>0</v>
      </c>
      <c r="AG47" s="469">
        <f t="shared" si="325"/>
        <v>0</v>
      </c>
      <c r="AH47" s="189">
        <f t="shared" si="347"/>
        <v>0</v>
      </c>
      <c r="AI47" s="383"/>
      <c r="AJ47" s="383"/>
      <c r="AK47" s="383"/>
      <c r="AL47" s="1044"/>
      <c r="AM47" s="500"/>
      <c r="AN47" s="189">
        <f t="shared" si="284"/>
        <v>2.8035332741065377</v>
      </c>
      <c r="AO47" s="207">
        <f t="shared" si="326"/>
        <v>2.8035332741065377</v>
      </c>
      <c r="AP47" s="207">
        <f t="shared" si="327"/>
        <v>0</v>
      </c>
      <c r="AQ47" s="207">
        <f t="shared" si="328"/>
        <v>0</v>
      </c>
      <c r="AR47" s="431">
        <f t="shared" si="329"/>
        <v>0</v>
      </c>
      <c r="AS47" s="469">
        <f t="shared" si="330"/>
        <v>0</v>
      </c>
      <c r="AT47" s="189">
        <f t="shared" si="348"/>
        <v>0</v>
      </c>
      <c r="AU47" s="383"/>
      <c r="AV47" s="383"/>
      <c r="AW47" s="383"/>
      <c r="AX47" s="1044"/>
      <c r="AY47" s="500"/>
      <c r="AZ47" s="189">
        <f t="shared" si="290"/>
        <v>2.886517909926031</v>
      </c>
      <c r="BA47" s="207">
        <f t="shared" si="331"/>
        <v>2.886517909926031</v>
      </c>
      <c r="BB47" s="207">
        <f t="shared" si="332"/>
        <v>0</v>
      </c>
      <c r="BC47" s="207">
        <f t="shared" si="333"/>
        <v>0</v>
      </c>
      <c r="BD47" s="431">
        <f t="shared" si="334"/>
        <v>0</v>
      </c>
      <c r="BE47" s="469">
        <f t="shared" si="335"/>
        <v>0</v>
      </c>
      <c r="BF47" s="189">
        <f t="shared" si="349"/>
        <v>0</v>
      </c>
      <c r="BG47" s="383"/>
      <c r="BH47" s="383"/>
      <c r="BI47" s="383"/>
      <c r="BJ47" s="1044"/>
      <c r="BK47" s="500"/>
      <c r="BL47" s="189">
        <f t="shared" si="306"/>
        <v>2.9719603481483059</v>
      </c>
      <c r="BM47" s="207">
        <f t="shared" si="336"/>
        <v>2.9719603481483059</v>
      </c>
      <c r="BN47" s="207">
        <f t="shared" si="337"/>
        <v>0</v>
      </c>
      <c r="BO47" s="207">
        <f t="shared" si="338"/>
        <v>0</v>
      </c>
      <c r="BP47" s="431">
        <f t="shared" si="339"/>
        <v>0</v>
      </c>
      <c r="BQ47" s="469">
        <f t="shared" si="340"/>
        <v>0</v>
      </c>
      <c r="BR47" s="835">
        <f t="shared" si="8"/>
        <v>0.23211169284467714</v>
      </c>
      <c r="BS47" s="542">
        <f t="shared" si="9"/>
        <v>0.24137931034482757</v>
      </c>
      <c r="BT47" s="831">
        <f t="shared" si="341"/>
        <v>1.0236597196285997</v>
      </c>
      <c r="BU47" s="324">
        <f t="shared" si="342"/>
        <v>1.0295998340796828</v>
      </c>
      <c r="BV47" s="324">
        <f t="shared" si="343"/>
        <v>1.0296000181577798</v>
      </c>
      <c r="BW47" s="201">
        <f t="shared" si="344"/>
        <v>1.0296005224594169</v>
      </c>
      <c r="BX47" s="969" t="s">
        <v>489</v>
      </c>
    </row>
    <row r="48" spans="1:78" s="83" customFormat="1" ht="47.25" outlineLevel="1">
      <c r="A48" s="133"/>
      <c r="B48" s="130" t="s">
        <v>70</v>
      </c>
      <c r="C48" s="1008" t="s">
        <v>1</v>
      </c>
      <c r="D48" s="189">
        <f t="shared" si="273"/>
        <v>12.120000000000001</v>
      </c>
      <c r="E48" s="207">
        <v>11.22</v>
      </c>
      <c r="F48" s="207">
        <v>0.9</v>
      </c>
      <c r="G48" s="207"/>
      <c r="H48" s="1023"/>
      <c r="I48" s="469"/>
      <c r="J48" s="189">
        <f t="shared" si="345"/>
        <v>12.6</v>
      </c>
      <c r="K48" s="383">
        <v>7.53</v>
      </c>
      <c r="L48" s="383">
        <v>4.8390000000000004</v>
      </c>
      <c r="M48" s="383"/>
      <c r="N48" s="1044">
        <v>0.23100000000000001</v>
      </c>
      <c r="O48" s="500"/>
      <c r="P48" s="189">
        <f t="shared" si="275"/>
        <v>12.600000000000001</v>
      </c>
      <c r="Q48" s="207">
        <f>K48+N48</f>
        <v>7.7610000000000001</v>
      </c>
      <c r="R48" s="207">
        <f>L48</f>
        <v>4.8390000000000004</v>
      </c>
      <c r="S48" s="207"/>
      <c r="T48" s="1023"/>
      <c r="U48" s="469"/>
      <c r="V48" s="189">
        <f t="shared" si="346"/>
        <v>0</v>
      </c>
      <c r="W48" s="383"/>
      <c r="X48" s="383"/>
      <c r="Y48" s="383"/>
      <c r="Z48" s="1044"/>
      <c r="AA48" s="500"/>
      <c r="AB48" s="189">
        <f t="shared" si="277"/>
        <v>12.898118814380826</v>
      </c>
      <c r="AC48" s="1144">
        <f t="shared" si="321"/>
        <v>7.9446230840375609</v>
      </c>
      <c r="AD48" s="1144">
        <f t="shared" si="322"/>
        <v>4.9534957303432652</v>
      </c>
      <c r="AE48" s="1144">
        <f t="shared" si="323"/>
        <v>0</v>
      </c>
      <c r="AF48" s="1145">
        <f t="shared" si="324"/>
        <v>0</v>
      </c>
      <c r="AG48" s="469">
        <f t="shared" si="325"/>
        <v>0</v>
      </c>
      <c r="AH48" s="189">
        <f t="shared" si="347"/>
        <v>0</v>
      </c>
      <c r="AI48" s="383"/>
      <c r="AJ48" s="383"/>
      <c r="AK48" s="383"/>
      <c r="AL48" s="1044"/>
      <c r="AM48" s="500"/>
      <c r="AN48" s="189">
        <f t="shared" si="284"/>
        <v>13.279904492932797</v>
      </c>
      <c r="AO48" s="207">
        <f t="shared" si="326"/>
        <v>8.1797826091506902</v>
      </c>
      <c r="AP48" s="207">
        <f t="shared" si="327"/>
        <v>5.1001218837821058</v>
      </c>
      <c r="AQ48" s="207">
        <f t="shared" si="328"/>
        <v>0</v>
      </c>
      <c r="AR48" s="431">
        <f t="shared" si="329"/>
        <v>0</v>
      </c>
      <c r="AS48" s="469">
        <f t="shared" si="330"/>
        <v>0</v>
      </c>
      <c r="AT48" s="189">
        <f t="shared" si="348"/>
        <v>0</v>
      </c>
      <c r="AU48" s="383"/>
      <c r="AV48" s="383"/>
      <c r="AW48" s="383"/>
      <c r="AX48" s="1044"/>
      <c r="AY48" s="500"/>
      <c r="AZ48" s="189">
        <f t="shared" si="290"/>
        <v>13.672981602602132</v>
      </c>
      <c r="BA48" s="207">
        <f t="shared" si="331"/>
        <v>8.421904322908242</v>
      </c>
      <c r="BB48" s="207">
        <f t="shared" si="332"/>
        <v>5.2510772796938907</v>
      </c>
      <c r="BC48" s="207">
        <f t="shared" si="333"/>
        <v>0</v>
      </c>
      <c r="BD48" s="431">
        <f t="shared" si="334"/>
        <v>0</v>
      </c>
      <c r="BE48" s="469">
        <f t="shared" si="335"/>
        <v>0</v>
      </c>
      <c r="BF48" s="189">
        <f t="shared" si="349"/>
        <v>0</v>
      </c>
      <c r="BG48" s="383"/>
      <c r="BH48" s="383"/>
      <c r="BI48" s="383"/>
      <c r="BJ48" s="1044"/>
      <c r="BK48" s="500"/>
      <c r="BL48" s="189">
        <f t="shared" si="306"/>
        <v>14.077715723707822</v>
      </c>
      <c r="BM48" s="207">
        <f t="shared" si="336"/>
        <v>8.6711970909695495</v>
      </c>
      <c r="BN48" s="207">
        <f t="shared" si="337"/>
        <v>5.4065186327382726</v>
      </c>
      <c r="BO48" s="207">
        <f t="shared" si="338"/>
        <v>0</v>
      </c>
      <c r="BP48" s="431">
        <f t="shared" si="339"/>
        <v>0</v>
      </c>
      <c r="BQ48" s="469">
        <f t="shared" si="340"/>
        <v>0</v>
      </c>
      <c r="BR48" s="835">
        <f t="shared" si="8"/>
        <v>1.0000000000000002</v>
      </c>
      <c r="BS48" s="542">
        <f t="shared" si="9"/>
        <v>1.0396039603960396</v>
      </c>
      <c r="BT48" s="831">
        <f t="shared" si="341"/>
        <v>1.0236602233635574</v>
      </c>
      <c r="BU48" s="324">
        <f t="shared" si="342"/>
        <v>1.0296001055693715</v>
      </c>
      <c r="BV48" s="324">
        <f t="shared" si="343"/>
        <v>1.0295993928178113</v>
      </c>
      <c r="BW48" s="201">
        <f t="shared" si="344"/>
        <v>1.0296010140925418</v>
      </c>
      <c r="BX48" s="970"/>
    </row>
    <row r="49" spans="1:77" s="83" customFormat="1" ht="47.25" outlineLevel="1">
      <c r="A49" s="133"/>
      <c r="B49" s="130" t="s">
        <v>71</v>
      </c>
      <c r="C49" s="1008" t="s">
        <v>1</v>
      </c>
      <c r="D49" s="189">
        <f t="shared" si="273"/>
        <v>60.589999999999996</v>
      </c>
      <c r="E49" s="207">
        <v>56.12</v>
      </c>
      <c r="F49" s="207">
        <v>4.47</v>
      </c>
      <c r="G49" s="207"/>
      <c r="H49" s="1023"/>
      <c r="I49" s="469"/>
      <c r="J49" s="189">
        <f t="shared" si="345"/>
        <v>63.009</v>
      </c>
      <c r="K49" s="383">
        <v>37.658000000000001</v>
      </c>
      <c r="L49" s="383">
        <v>24.198</v>
      </c>
      <c r="M49" s="383"/>
      <c r="N49" s="1044">
        <v>1.153</v>
      </c>
      <c r="O49" s="500"/>
      <c r="P49" s="189">
        <f t="shared" si="275"/>
        <v>27.84</v>
      </c>
      <c r="Q49" s="207">
        <f>ROUND(25.92*индексы!G8*индексы!H8,2)</f>
        <v>27.84</v>
      </c>
      <c r="R49" s="207"/>
      <c r="S49" s="207"/>
      <c r="T49" s="1023"/>
      <c r="U49" s="469"/>
      <c r="V49" s="189">
        <f t="shared" si="346"/>
        <v>0</v>
      </c>
      <c r="W49" s="383"/>
      <c r="X49" s="383"/>
      <c r="Y49" s="383"/>
      <c r="Z49" s="1044"/>
      <c r="AA49" s="500"/>
      <c r="AB49" s="189">
        <f t="shared" si="277"/>
        <v>28.49868659446021</v>
      </c>
      <c r="AC49" s="1144">
        <f t="shared" si="321"/>
        <v>28.49868659446021</v>
      </c>
      <c r="AD49" s="1144">
        <f t="shared" si="322"/>
        <v>0</v>
      </c>
      <c r="AE49" s="1144">
        <f t="shared" si="323"/>
        <v>0</v>
      </c>
      <c r="AF49" s="1145">
        <f t="shared" si="324"/>
        <v>0</v>
      </c>
      <c r="AG49" s="469">
        <f t="shared" si="325"/>
        <v>0</v>
      </c>
      <c r="AH49" s="189">
        <f t="shared" si="347"/>
        <v>0</v>
      </c>
      <c r="AI49" s="383"/>
      <c r="AJ49" s="383"/>
      <c r="AK49" s="383"/>
      <c r="AL49" s="1044"/>
      <c r="AM49" s="500"/>
      <c r="AN49" s="189">
        <f t="shared" si="284"/>
        <v>29.34224298914511</v>
      </c>
      <c r="AO49" s="207">
        <f t="shared" si="326"/>
        <v>29.34224298914511</v>
      </c>
      <c r="AP49" s="207">
        <f t="shared" si="327"/>
        <v>0</v>
      </c>
      <c r="AQ49" s="207">
        <f t="shared" si="328"/>
        <v>0</v>
      </c>
      <c r="AR49" s="431">
        <f t="shared" si="329"/>
        <v>0</v>
      </c>
      <c r="AS49" s="469">
        <f t="shared" si="330"/>
        <v>0</v>
      </c>
      <c r="AT49" s="189">
        <f t="shared" si="348"/>
        <v>0</v>
      </c>
      <c r="AU49" s="383"/>
      <c r="AV49" s="383"/>
      <c r="AW49" s="383"/>
      <c r="AX49" s="1044"/>
      <c r="AY49" s="500"/>
      <c r="AZ49" s="189">
        <f t="shared" si="290"/>
        <v>30.210773914413789</v>
      </c>
      <c r="BA49" s="207">
        <f t="shared" si="331"/>
        <v>30.210773914413789</v>
      </c>
      <c r="BB49" s="207">
        <f t="shared" si="332"/>
        <v>0</v>
      </c>
      <c r="BC49" s="207">
        <f t="shared" si="333"/>
        <v>0</v>
      </c>
      <c r="BD49" s="431">
        <f t="shared" si="334"/>
        <v>0</v>
      </c>
      <c r="BE49" s="469">
        <f t="shared" si="335"/>
        <v>0</v>
      </c>
      <c r="BF49" s="189">
        <f t="shared" si="349"/>
        <v>0</v>
      </c>
      <c r="BG49" s="383"/>
      <c r="BH49" s="383"/>
      <c r="BI49" s="383"/>
      <c r="BJ49" s="1044"/>
      <c r="BK49" s="500"/>
      <c r="BL49" s="189">
        <f t="shared" si="306"/>
        <v>31.105028606183765</v>
      </c>
      <c r="BM49" s="207">
        <f t="shared" si="336"/>
        <v>31.105028606183765</v>
      </c>
      <c r="BN49" s="207">
        <f t="shared" si="337"/>
        <v>0</v>
      </c>
      <c r="BO49" s="207">
        <f t="shared" si="338"/>
        <v>0</v>
      </c>
      <c r="BP49" s="431">
        <f t="shared" si="339"/>
        <v>0</v>
      </c>
      <c r="BQ49" s="469">
        <f t="shared" si="340"/>
        <v>0</v>
      </c>
      <c r="BR49" s="835">
        <f t="shared" si="8"/>
        <v>0.44184164167023759</v>
      </c>
      <c r="BS49" s="542">
        <f t="shared" si="9"/>
        <v>0.45948176266710683</v>
      </c>
      <c r="BT49" s="831">
        <f t="shared" si="341"/>
        <v>1.0236597196285995</v>
      </c>
      <c r="BU49" s="324">
        <f t="shared" si="342"/>
        <v>1.0295998340796826</v>
      </c>
      <c r="BV49" s="324">
        <f t="shared" si="343"/>
        <v>1.0296000181577798</v>
      </c>
      <c r="BW49" s="201">
        <f t="shared" si="344"/>
        <v>1.0296005224594171</v>
      </c>
      <c r="BX49" s="969" t="s">
        <v>495</v>
      </c>
    </row>
    <row r="50" spans="1:77" s="83" customFormat="1" ht="18.75" outlineLevel="1">
      <c r="A50" s="133"/>
      <c r="B50" s="130" t="s">
        <v>279</v>
      </c>
      <c r="C50" s="1008" t="s">
        <v>1</v>
      </c>
      <c r="D50" s="189">
        <f t="shared" si="273"/>
        <v>116.37</v>
      </c>
      <c r="E50" s="207">
        <v>107.84</v>
      </c>
      <c r="F50" s="207">
        <v>8.5299999999999994</v>
      </c>
      <c r="G50" s="207"/>
      <c r="H50" s="1023"/>
      <c r="I50" s="469"/>
      <c r="J50" s="189">
        <f t="shared" si="345"/>
        <v>98.791000000000011</v>
      </c>
      <c r="K50" s="383">
        <f>52.666+6.365+0.02</f>
        <v>59.051000000000002</v>
      </c>
      <c r="L50" s="383">
        <f>33.842+4.09</f>
        <v>37.932000000000002</v>
      </c>
      <c r="M50" s="383"/>
      <c r="N50" s="1044">
        <f>1.613+0.195</f>
        <v>1.8080000000000001</v>
      </c>
      <c r="O50" s="500"/>
      <c r="P50" s="189">
        <f t="shared" si="275"/>
        <v>98.790999999999997</v>
      </c>
      <c r="Q50" s="1108">
        <f>K50+N50</f>
        <v>60.859000000000002</v>
      </c>
      <c r="R50" s="1108">
        <f>L50</f>
        <v>37.932000000000002</v>
      </c>
      <c r="S50" s="207"/>
      <c r="T50" s="1023"/>
      <c r="U50" s="469"/>
      <c r="V50" s="189">
        <f t="shared" si="346"/>
        <v>266.12174160000023</v>
      </c>
      <c r="W50" s="383">
        <v>159.04951919999968</v>
      </c>
      <c r="X50" s="383">
        <v>102.20118480000052</v>
      </c>
      <c r="Y50" s="383"/>
      <c r="Z50" s="1044">
        <v>4.8710376000000037</v>
      </c>
      <c r="AA50" s="500"/>
      <c r="AB50" s="189">
        <f t="shared" si="277"/>
        <v>101.12841711522799</v>
      </c>
      <c r="AC50" s="1144">
        <f t="shared" si="321"/>
        <v>62.298906876876941</v>
      </c>
      <c r="AD50" s="1144">
        <f t="shared" si="322"/>
        <v>38.829510238351048</v>
      </c>
      <c r="AE50" s="1144">
        <f t="shared" si="323"/>
        <v>0</v>
      </c>
      <c r="AF50" s="1145">
        <f t="shared" si="324"/>
        <v>0</v>
      </c>
      <c r="AG50" s="469">
        <f t="shared" si="325"/>
        <v>0</v>
      </c>
      <c r="AH50" s="189">
        <f t="shared" si="347"/>
        <v>273.99894515136026</v>
      </c>
      <c r="AI50" s="383">
        <v>163.75738496831968</v>
      </c>
      <c r="AJ50" s="383">
        <v>105.22633987008054</v>
      </c>
      <c r="AK50" s="383"/>
      <c r="AL50" s="1044">
        <v>5.0152203129600039</v>
      </c>
      <c r="AM50" s="500"/>
      <c r="AN50" s="189">
        <f t="shared" si="284"/>
        <v>104.1218289317886</v>
      </c>
      <c r="AO50" s="207">
        <f t="shared" si="326"/>
        <v>64.142944183778098</v>
      </c>
      <c r="AP50" s="207">
        <f t="shared" si="327"/>
        <v>39.978884748010501</v>
      </c>
      <c r="AQ50" s="207">
        <f t="shared" si="328"/>
        <v>0</v>
      </c>
      <c r="AR50" s="431">
        <f t="shared" si="329"/>
        <v>0</v>
      </c>
      <c r="AS50" s="469">
        <f t="shared" si="330"/>
        <v>0</v>
      </c>
      <c r="AT50" s="189">
        <f t="shared" si="348"/>
        <v>282.10931392784056</v>
      </c>
      <c r="AU50" s="383">
        <v>168.60460356338197</v>
      </c>
      <c r="AV50" s="383">
        <v>108.34103953023492</v>
      </c>
      <c r="AW50" s="383"/>
      <c r="AX50" s="1044">
        <v>5.1636708342236206</v>
      </c>
      <c r="AY50" s="500"/>
      <c r="AZ50" s="189">
        <f t="shared" si="290"/>
        <v>107.20377186174817</v>
      </c>
      <c r="BA50" s="207">
        <f t="shared" si="331"/>
        <v>66.041576496311379</v>
      </c>
      <c r="BB50" s="207">
        <f t="shared" si="332"/>
        <v>41.162195365436787</v>
      </c>
      <c r="BC50" s="207">
        <f t="shared" si="333"/>
        <v>0</v>
      </c>
      <c r="BD50" s="431">
        <f t="shared" si="334"/>
        <v>0</v>
      </c>
      <c r="BE50" s="469">
        <f t="shared" si="335"/>
        <v>0</v>
      </c>
      <c r="BF50" s="189">
        <f t="shared" si="349"/>
        <v>290.45974962010462</v>
      </c>
      <c r="BG50" s="383">
        <v>173.59529982885809</v>
      </c>
      <c r="BH50" s="383">
        <v>111.54793430032989</v>
      </c>
      <c r="BI50" s="383"/>
      <c r="BJ50" s="1044">
        <v>5.3165154909166406</v>
      </c>
      <c r="BK50" s="500"/>
      <c r="BL50" s="189">
        <f t="shared" si="306"/>
        <v>110.37711221166541</v>
      </c>
      <c r="BM50" s="207">
        <f t="shared" si="336"/>
        <v>67.996441664645744</v>
      </c>
      <c r="BN50" s="207">
        <f t="shared" si="337"/>
        <v>42.380670547019655</v>
      </c>
      <c r="BO50" s="207">
        <f t="shared" si="338"/>
        <v>0</v>
      </c>
      <c r="BP50" s="431">
        <f t="shared" si="339"/>
        <v>0</v>
      </c>
      <c r="BQ50" s="469">
        <f t="shared" si="340"/>
        <v>0</v>
      </c>
      <c r="BR50" s="835">
        <f t="shared" si="8"/>
        <v>0.99999999999999989</v>
      </c>
      <c r="BS50" s="542">
        <f t="shared" si="9"/>
        <v>0.84893872991320785</v>
      </c>
      <c r="BT50" s="831">
        <f t="shared" si="341"/>
        <v>1.0236602232513892</v>
      </c>
      <c r="BU50" s="324">
        <f t="shared" si="342"/>
        <v>1.0296001055089179</v>
      </c>
      <c r="BV50" s="324">
        <f t="shared" si="343"/>
        <v>1.0295993929570579</v>
      </c>
      <c r="BW50" s="201">
        <f t="shared" si="344"/>
        <v>1.029601013983068</v>
      </c>
      <c r="BX50" s="967" t="s">
        <v>493</v>
      </c>
    </row>
    <row r="51" spans="1:77" s="111" customFormat="1" ht="18.75">
      <c r="A51" s="114">
        <v>6</v>
      </c>
      <c r="B51" s="115" t="s">
        <v>78</v>
      </c>
      <c r="C51" s="1003" t="s">
        <v>1</v>
      </c>
      <c r="D51" s="189">
        <f t="shared" si="273"/>
        <v>0</v>
      </c>
      <c r="E51" s="190"/>
      <c r="F51" s="190"/>
      <c r="G51" s="190"/>
      <c r="H51" s="1019"/>
      <c r="I51" s="464"/>
      <c r="J51" s="189">
        <f t="shared" si="345"/>
        <v>0</v>
      </c>
      <c r="K51" s="232"/>
      <c r="L51" s="232"/>
      <c r="M51" s="232"/>
      <c r="N51" s="939"/>
      <c r="O51" s="470"/>
      <c r="P51" s="189">
        <f t="shared" si="275"/>
        <v>0</v>
      </c>
      <c r="Q51" s="190">
        <f>ROUND(E51*индексы!H8,2)</f>
        <v>0</v>
      </c>
      <c r="R51" s="190"/>
      <c r="S51" s="190"/>
      <c r="T51" s="1019"/>
      <c r="U51" s="464"/>
      <c r="V51" s="189">
        <f t="shared" si="346"/>
        <v>0</v>
      </c>
      <c r="W51" s="232"/>
      <c r="X51" s="232"/>
      <c r="Y51" s="232"/>
      <c r="Z51" s="939"/>
      <c r="AA51" s="470"/>
      <c r="AB51" s="189">
        <f t="shared" si="277"/>
        <v>0</v>
      </c>
      <c r="AC51" s="1134">
        <f t="shared" si="321"/>
        <v>0</v>
      </c>
      <c r="AD51" s="1134">
        <f t="shared" si="322"/>
        <v>0</v>
      </c>
      <c r="AE51" s="1134">
        <f t="shared" si="323"/>
        <v>0</v>
      </c>
      <c r="AF51" s="1135">
        <f t="shared" si="324"/>
        <v>0</v>
      </c>
      <c r="AG51" s="464">
        <f t="shared" si="325"/>
        <v>0</v>
      </c>
      <c r="AH51" s="189">
        <f t="shared" si="347"/>
        <v>0</v>
      </c>
      <c r="AI51" s="232"/>
      <c r="AJ51" s="232"/>
      <c r="AK51" s="232"/>
      <c r="AL51" s="939"/>
      <c r="AM51" s="470"/>
      <c r="AN51" s="189">
        <f t="shared" si="284"/>
        <v>0</v>
      </c>
      <c r="AO51" s="190">
        <f t="shared" si="326"/>
        <v>0</v>
      </c>
      <c r="AP51" s="190">
        <f t="shared" si="327"/>
        <v>0</v>
      </c>
      <c r="AQ51" s="190">
        <f t="shared" si="328"/>
        <v>0</v>
      </c>
      <c r="AR51" s="416">
        <f t="shared" si="329"/>
        <v>0</v>
      </c>
      <c r="AS51" s="464">
        <f t="shared" si="330"/>
        <v>0</v>
      </c>
      <c r="AT51" s="189">
        <f t="shared" si="348"/>
        <v>0</v>
      </c>
      <c r="AU51" s="232"/>
      <c r="AV51" s="232"/>
      <c r="AW51" s="232"/>
      <c r="AX51" s="939"/>
      <c r="AY51" s="470"/>
      <c r="AZ51" s="189">
        <f t="shared" si="290"/>
        <v>0</v>
      </c>
      <c r="BA51" s="190">
        <f t="shared" si="331"/>
        <v>0</v>
      </c>
      <c r="BB51" s="190">
        <f t="shared" si="332"/>
        <v>0</v>
      </c>
      <c r="BC51" s="190">
        <f t="shared" si="333"/>
        <v>0</v>
      </c>
      <c r="BD51" s="416">
        <f t="shared" si="334"/>
        <v>0</v>
      </c>
      <c r="BE51" s="464">
        <f t="shared" si="335"/>
        <v>0</v>
      </c>
      <c r="BF51" s="189">
        <f t="shared" si="349"/>
        <v>0</v>
      </c>
      <c r="BG51" s="232"/>
      <c r="BH51" s="232"/>
      <c r="BI51" s="232"/>
      <c r="BJ51" s="939"/>
      <c r="BK51" s="470"/>
      <c r="BL51" s="189">
        <f t="shared" si="306"/>
        <v>0</v>
      </c>
      <c r="BM51" s="190">
        <f t="shared" si="336"/>
        <v>0</v>
      </c>
      <c r="BN51" s="190">
        <f t="shared" si="337"/>
        <v>0</v>
      </c>
      <c r="BO51" s="190">
        <f t="shared" si="338"/>
        <v>0</v>
      </c>
      <c r="BP51" s="416">
        <f t="shared" si="339"/>
        <v>0</v>
      </c>
      <c r="BQ51" s="464">
        <f t="shared" si="340"/>
        <v>0</v>
      </c>
      <c r="BR51" s="835" t="str">
        <f t="shared" si="8"/>
        <v xml:space="preserve"> </v>
      </c>
      <c r="BS51" s="542" t="str">
        <f t="shared" si="9"/>
        <v xml:space="preserve"> </v>
      </c>
      <c r="BT51" s="831" t="str">
        <f t="shared" si="76"/>
        <v xml:space="preserve"> </v>
      </c>
      <c r="BU51" s="324" t="str">
        <f t="shared" si="77"/>
        <v xml:space="preserve"> </v>
      </c>
      <c r="BV51" s="324" t="str">
        <f t="shared" si="78"/>
        <v xml:space="preserve"> </v>
      </c>
      <c r="BW51" s="201" t="str">
        <f t="shared" si="79"/>
        <v xml:space="preserve"> </v>
      </c>
      <c r="BX51" s="970" t="s">
        <v>488</v>
      </c>
    </row>
    <row r="52" spans="1:77" s="111" customFormat="1" ht="18.75">
      <c r="A52" s="114" t="s">
        <v>37</v>
      </c>
      <c r="B52" s="115" t="s">
        <v>79</v>
      </c>
      <c r="C52" s="1003" t="s">
        <v>1</v>
      </c>
      <c r="D52" s="189">
        <f t="shared" si="273"/>
        <v>34.04</v>
      </c>
      <c r="E52" s="190">
        <v>31.54</v>
      </c>
      <c r="F52" s="190">
        <v>2.5</v>
      </c>
      <c r="G52" s="190"/>
      <c r="H52" s="1019"/>
      <c r="I52" s="464"/>
      <c r="J52" s="189">
        <f>K52+L52+M52+N52</f>
        <v>35.051000000000002</v>
      </c>
      <c r="K52" s="232">
        <v>20.948</v>
      </c>
      <c r="L52" s="232">
        <v>13.461</v>
      </c>
      <c r="M52" s="232"/>
      <c r="N52" s="939">
        <v>0.64200000000000002</v>
      </c>
      <c r="O52" s="470"/>
      <c r="P52" s="189">
        <f t="shared" si="275"/>
        <v>35.051000000000002</v>
      </c>
      <c r="Q52" s="190">
        <f>K52+N52</f>
        <v>21.59</v>
      </c>
      <c r="R52" s="190">
        <f>L52</f>
        <v>13.461</v>
      </c>
      <c r="S52" s="190"/>
      <c r="T52" s="1019"/>
      <c r="U52" s="464"/>
      <c r="V52" s="189">
        <f>W52+X52+Y52+Z52</f>
        <v>36.088509600000002</v>
      </c>
      <c r="W52" s="232">
        <v>21.568060800000001</v>
      </c>
      <c r="X52" s="232">
        <v>13.859445600000001</v>
      </c>
      <c r="Y52" s="232"/>
      <c r="Z52" s="939">
        <v>0.66100320000000001</v>
      </c>
      <c r="AA52" s="470"/>
      <c r="AB52" s="189">
        <f t="shared" si="277"/>
        <v>35.880314488784087</v>
      </c>
      <c r="AC52" s="1134">
        <f t="shared" si="321"/>
        <v>22.100813346781464</v>
      </c>
      <c r="AD52" s="1134">
        <f t="shared" si="322"/>
        <v>13.779501142002621</v>
      </c>
      <c r="AE52" s="1134">
        <f t="shared" si="323"/>
        <v>0</v>
      </c>
      <c r="AF52" s="1135">
        <f t="shared" si="324"/>
        <v>0</v>
      </c>
      <c r="AG52" s="464">
        <f t="shared" si="325"/>
        <v>0</v>
      </c>
      <c r="AH52" s="189">
        <f>AI52+AJ52+AK52+AL52</f>
        <v>37.156729484160003</v>
      </c>
      <c r="AI52" s="232">
        <v>22.206475399680002</v>
      </c>
      <c r="AJ52" s="232">
        <v>14.269685189760002</v>
      </c>
      <c r="AK52" s="232"/>
      <c r="AL52" s="939">
        <v>0.68056889472000004</v>
      </c>
      <c r="AM52" s="470"/>
      <c r="AN52" s="189">
        <f t="shared" si="284"/>
        <v>36.942375585331192</v>
      </c>
      <c r="AO52" s="190">
        <f t="shared" si="326"/>
        <v>22.754993754872231</v>
      </c>
      <c r="AP52" s="190">
        <f t="shared" si="327"/>
        <v>14.187381830458962</v>
      </c>
      <c r="AQ52" s="190">
        <f t="shared" si="328"/>
        <v>0</v>
      </c>
      <c r="AR52" s="416">
        <f t="shared" si="329"/>
        <v>0</v>
      </c>
      <c r="AS52" s="464">
        <f t="shared" si="330"/>
        <v>0</v>
      </c>
      <c r="AT52" s="189">
        <f>AU52+AV52+AW52+AX52</f>
        <v>38.256568676891149</v>
      </c>
      <c r="AU52" s="232">
        <v>22.863787071510533</v>
      </c>
      <c r="AV52" s="232">
        <v>14.692067871376899</v>
      </c>
      <c r="AW52" s="232"/>
      <c r="AX52" s="939">
        <v>0.70071373400371206</v>
      </c>
      <c r="AY52" s="470"/>
      <c r="AZ52" s="189">
        <f t="shared" si="290"/>
        <v>38.035847472338887</v>
      </c>
      <c r="BA52" s="190">
        <f t="shared" si="331"/>
        <v>23.428541983196613</v>
      </c>
      <c r="BB52" s="190">
        <f t="shared" si="332"/>
        <v>14.60730548914227</v>
      </c>
      <c r="BC52" s="190">
        <f t="shared" si="333"/>
        <v>0</v>
      </c>
      <c r="BD52" s="416">
        <f t="shared" si="334"/>
        <v>0</v>
      </c>
      <c r="BE52" s="464">
        <f t="shared" si="335"/>
        <v>0</v>
      </c>
      <c r="BF52" s="189">
        <f>BG52+BH52+BI52+BJ52</f>
        <v>39.388963109727122</v>
      </c>
      <c r="BG52" s="232">
        <v>23.540555168827247</v>
      </c>
      <c r="BH52" s="232">
        <v>15.126953080369656</v>
      </c>
      <c r="BI52" s="232"/>
      <c r="BJ52" s="939">
        <v>0.72145486053022201</v>
      </c>
      <c r="BK52" s="470"/>
      <c r="BL52" s="189">
        <f t="shared" si="306"/>
        <v>39.161747129037771</v>
      </c>
      <c r="BM52" s="190">
        <f t="shared" si="336"/>
        <v>24.122039066361623</v>
      </c>
      <c r="BN52" s="190">
        <f t="shared" si="337"/>
        <v>15.039708062676146</v>
      </c>
      <c r="BO52" s="190">
        <f t="shared" si="338"/>
        <v>0</v>
      </c>
      <c r="BP52" s="416">
        <f t="shared" si="339"/>
        <v>0</v>
      </c>
      <c r="BQ52" s="464">
        <f t="shared" si="340"/>
        <v>0</v>
      </c>
      <c r="BR52" s="835">
        <f t="shared" si="8"/>
        <v>1</v>
      </c>
      <c r="BS52" s="542">
        <f t="shared" si="9"/>
        <v>1.0297003525264397</v>
      </c>
      <c r="BT52" s="831">
        <f t="shared" si="76"/>
        <v>1.0236602233540866</v>
      </c>
      <c r="BU52" s="324">
        <f t="shared" si="77"/>
        <v>1.029600105564267</v>
      </c>
      <c r="BV52" s="324">
        <f t="shared" si="78"/>
        <v>1.029599392829569</v>
      </c>
      <c r="BW52" s="201">
        <f t="shared" si="79"/>
        <v>1.0296010140832981</v>
      </c>
      <c r="BX52" s="969" t="s">
        <v>489</v>
      </c>
    </row>
    <row r="53" spans="1:77" s="111" customFormat="1" ht="18.75">
      <c r="A53" s="114" t="s">
        <v>60</v>
      </c>
      <c r="B53" s="115" t="s">
        <v>288</v>
      </c>
      <c r="C53" s="1003" t="s">
        <v>1</v>
      </c>
      <c r="D53" s="189">
        <f t="shared" si="273"/>
        <v>0</v>
      </c>
      <c r="E53" s="190"/>
      <c r="F53" s="190"/>
      <c r="G53" s="190"/>
      <c r="H53" s="1019"/>
      <c r="I53" s="464"/>
      <c r="J53" s="189">
        <f t="shared" ref="J53:J54" si="350">K53+L53+M53+N53</f>
        <v>0</v>
      </c>
      <c r="K53" s="232"/>
      <c r="L53" s="232"/>
      <c r="M53" s="232"/>
      <c r="N53" s="939"/>
      <c r="O53" s="470"/>
      <c r="P53" s="189">
        <f t="shared" si="275"/>
        <v>0</v>
      </c>
      <c r="Q53" s="190"/>
      <c r="R53" s="190"/>
      <c r="S53" s="190"/>
      <c r="T53" s="1019"/>
      <c r="U53" s="464"/>
      <c r="V53" s="189">
        <f t="shared" ref="V53:V54" si="351">W53+X53+Y53+Z53</f>
        <v>0</v>
      </c>
      <c r="W53" s="232"/>
      <c r="X53" s="232"/>
      <c r="Y53" s="232"/>
      <c r="Z53" s="939"/>
      <c r="AA53" s="470"/>
      <c r="AB53" s="189">
        <f t="shared" si="277"/>
        <v>0</v>
      </c>
      <c r="AC53" s="1134">
        <f t="shared" si="321"/>
        <v>0</v>
      </c>
      <c r="AD53" s="1134">
        <f t="shared" si="322"/>
        <v>0</v>
      </c>
      <c r="AE53" s="1134">
        <f t="shared" si="323"/>
        <v>0</v>
      </c>
      <c r="AF53" s="1135">
        <f t="shared" si="324"/>
        <v>0</v>
      </c>
      <c r="AG53" s="464">
        <f t="shared" si="325"/>
        <v>0</v>
      </c>
      <c r="AH53" s="189">
        <f t="shared" ref="AH53:AH54" si="352">AI53+AJ53+AK53+AL53</f>
        <v>0</v>
      </c>
      <c r="AI53" s="232"/>
      <c r="AJ53" s="232"/>
      <c r="AK53" s="232"/>
      <c r="AL53" s="939"/>
      <c r="AM53" s="470"/>
      <c r="AN53" s="189">
        <f t="shared" si="284"/>
        <v>0</v>
      </c>
      <c r="AO53" s="190">
        <f t="shared" si="326"/>
        <v>0</v>
      </c>
      <c r="AP53" s="190">
        <f t="shared" si="327"/>
        <v>0</v>
      </c>
      <c r="AQ53" s="190">
        <f t="shared" si="328"/>
        <v>0</v>
      </c>
      <c r="AR53" s="416">
        <f t="shared" si="329"/>
        <v>0</v>
      </c>
      <c r="AS53" s="464">
        <f t="shared" si="330"/>
        <v>0</v>
      </c>
      <c r="AT53" s="189">
        <f t="shared" ref="AT53:AT54" si="353">AU53+AV53+AW53+AX53</f>
        <v>0</v>
      </c>
      <c r="AU53" s="232"/>
      <c r="AV53" s="232"/>
      <c r="AW53" s="232"/>
      <c r="AX53" s="939"/>
      <c r="AY53" s="470"/>
      <c r="AZ53" s="189">
        <f t="shared" si="290"/>
        <v>0</v>
      </c>
      <c r="BA53" s="190">
        <f t="shared" si="331"/>
        <v>0</v>
      </c>
      <c r="BB53" s="190">
        <f t="shared" si="332"/>
        <v>0</v>
      </c>
      <c r="BC53" s="190">
        <f t="shared" si="333"/>
        <v>0</v>
      </c>
      <c r="BD53" s="416">
        <f t="shared" si="334"/>
        <v>0</v>
      </c>
      <c r="BE53" s="464">
        <f t="shared" si="335"/>
        <v>0</v>
      </c>
      <c r="BF53" s="189">
        <f t="shared" ref="BF53:BF54" si="354">BG53+BH53+BI53+BJ53</f>
        <v>0</v>
      </c>
      <c r="BG53" s="232"/>
      <c r="BH53" s="232"/>
      <c r="BI53" s="232"/>
      <c r="BJ53" s="939"/>
      <c r="BK53" s="470"/>
      <c r="BL53" s="189">
        <f t="shared" si="306"/>
        <v>0</v>
      </c>
      <c r="BM53" s="190">
        <f t="shared" si="336"/>
        <v>0</v>
      </c>
      <c r="BN53" s="190">
        <f t="shared" si="337"/>
        <v>0</v>
      </c>
      <c r="BO53" s="190">
        <f t="shared" si="338"/>
        <v>0</v>
      </c>
      <c r="BP53" s="416">
        <f t="shared" si="339"/>
        <v>0</v>
      </c>
      <c r="BQ53" s="464">
        <f t="shared" si="340"/>
        <v>0</v>
      </c>
      <c r="BR53" s="835" t="str">
        <f t="shared" si="8"/>
        <v xml:space="preserve"> </v>
      </c>
      <c r="BS53" s="542" t="str">
        <f t="shared" si="9"/>
        <v xml:space="preserve"> </v>
      </c>
      <c r="BT53" s="831" t="str">
        <f t="shared" si="76"/>
        <v xml:space="preserve"> </v>
      </c>
      <c r="BU53" s="324" t="str">
        <f t="shared" si="77"/>
        <v xml:space="preserve"> </v>
      </c>
      <c r="BV53" s="324" t="str">
        <f t="shared" si="78"/>
        <v xml:space="preserve"> </v>
      </c>
      <c r="BW53" s="201" t="str">
        <f t="shared" si="79"/>
        <v xml:space="preserve"> </v>
      </c>
      <c r="BX53" s="970"/>
    </row>
    <row r="54" spans="1:77" s="111" customFormat="1" ht="18.75">
      <c r="A54" s="114" t="s">
        <v>73</v>
      </c>
      <c r="B54" s="115" t="s">
        <v>127</v>
      </c>
      <c r="C54" s="1003" t="s">
        <v>1</v>
      </c>
      <c r="D54" s="189">
        <f t="shared" si="273"/>
        <v>38.31</v>
      </c>
      <c r="E54" s="190">
        <v>35.5</v>
      </c>
      <c r="F54" s="190">
        <v>2.81</v>
      </c>
      <c r="G54" s="190"/>
      <c r="H54" s="1019"/>
      <c r="I54" s="464"/>
      <c r="J54" s="189">
        <f t="shared" si="350"/>
        <v>125.10000000000001</v>
      </c>
      <c r="K54" s="232">
        <v>74.766999999999996</v>
      </c>
      <c r="L54" s="232">
        <v>48.042999999999999</v>
      </c>
      <c r="M54" s="232"/>
      <c r="N54" s="939">
        <v>2.29</v>
      </c>
      <c r="O54" s="470"/>
      <c r="P54" s="189">
        <f t="shared" si="275"/>
        <v>121.5</v>
      </c>
      <c r="Q54" s="1118">
        <f>ROUND(10.125*12,2)</f>
        <v>121.5</v>
      </c>
      <c r="R54" s="190"/>
      <c r="S54" s="190"/>
      <c r="T54" s="1019"/>
      <c r="U54" s="464"/>
      <c r="V54" s="189">
        <f t="shared" si="351"/>
        <v>128.80296000000001</v>
      </c>
      <c r="W54" s="232">
        <v>76.980103200000002</v>
      </c>
      <c r="X54" s="232">
        <v>49.465072800000002</v>
      </c>
      <c r="Y54" s="232"/>
      <c r="Z54" s="939">
        <v>2.3577840000000001</v>
      </c>
      <c r="AA54" s="470"/>
      <c r="AB54" s="189">
        <f t="shared" si="277"/>
        <v>124.37465593487485</v>
      </c>
      <c r="AC54" s="1134">
        <f t="shared" si="321"/>
        <v>124.37465593487485</v>
      </c>
      <c r="AD54" s="1134">
        <f t="shared" si="322"/>
        <v>0</v>
      </c>
      <c r="AE54" s="1134">
        <f t="shared" si="323"/>
        <v>0</v>
      </c>
      <c r="AF54" s="1135">
        <f t="shared" si="324"/>
        <v>0</v>
      </c>
      <c r="AG54" s="464">
        <f t="shared" si="325"/>
        <v>0</v>
      </c>
      <c r="AH54" s="189">
        <f t="shared" si="352"/>
        <v>132.61552761600001</v>
      </c>
      <c r="AI54" s="232">
        <v>79.258714254720005</v>
      </c>
      <c r="AJ54" s="232">
        <v>50.929238954880006</v>
      </c>
      <c r="AK54" s="232"/>
      <c r="AL54" s="939">
        <v>2.4275744064000002</v>
      </c>
      <c r="AM54" s="470"/>
      <c r="AN54" s="189">
        <f t="shared" si="284"/>
        <v>128.05612511426477</v>
      </c>
      <c r="AO54" s="190">
        <f t="shared" si="326"/>
        <v>128.05612511426477</v>
      </c>
      <c r="AP54" s="190">
        <f t="shared" si="327"/>
        <v>0</v>
      </c>
      <c r="AQ54" s="190">
        <f t="shared" si="328"/>
        <v>0</v>
      </c>
      <c r="AR54" s="416">
        <f t="shared" si="329"/>
        <v>0</v>
      </c>
      <c r="AS54" s="809">
        <f t="shared" si="330"/>
        <v>0</v>
      </c>
      <c r="AT54" s="189">
        <f t="shared" si="353"/>
        <v>136.54094723343363</v>
      </c>
      <c r="AU54" s="232">
        <v>81.604772196659724</v>
      </c>
      <c r="AV54" s="232">
        <v>52.436744427944461</v>
      </c>
      <c r="AW54" s="232"/>
      <c r="AX54" s="939">
        <v>2.4994306088294405</v>
      </c>
      <c r="AY54" s="470"/>
      <c r="AZ54" s="189">
        <f t="shared" si="290"/>
        <v>131.84658874286191</v>
      </c>
      <c r="BA54" s="190">
        <f t="shared" si="331"/>
        <v>131.84658874286191</v>
      </c>
      <c r="BB54" s="190">
        <f t="shared" si="332"/>
        <v>0</v>
      </c>
      <c r="BC54" s="190">
        <f t="shared" si="333"/>
        <v>0</v>
      </c>
      <c r="BD54" s="416">
        <f t="shared" si="334"/>
        <v>0</v>
      </c>
      <c r="BE54" s="464">
        <f t="shared" si="335"/>
        <v>0</v>
      </c>
      <c r="BF54" s="189">
        <f t="shared" si="354"/>
        <v>140.58255927154329</v>
      </c>
      <c r="BG54" s="232">
        <v>84.020273453680858</v>
      </c>
      <c r="BH54" s="232">
        <v>53.98887206301162</v>
      </c>
      <c r="BI54" s="232"/>
      <c r="BJ54" s="939">
        <v>2.573413754850792</v>
      </c>
      <c r="BK54" s="470"/>
      <c r="BL54" s="189">
        <f t="shared" si="306"/>
        <v>135.74931665414252</v>
      </c>
      <c r="BM54" s="190">
        <f t="shared" si="336"/>
        <v>135.74931665414252</v>
      </c>
      <c r="BN54" s="190">
        <f t="shared" si="337"/>
        <v>0</v>
      </c>
      <c r="BO54" s="190">
        <f t="shared" si="338"/>
        <v>0</v>
      </c>
      <c r="BP54" s="416">
        <f t="shared" si="339"/>
        <v>0</v>
      </c>
      <c r="BQ54" s="464">
        <f t="shared" si="340"/>
        <v>0</v>
      </c>
      <c r="BR54" s="835">
        <f t="shared" si="8"/>
        <v>0.97122302158273377</v>
      </c>
      <c r="BS54" s="542">
        <f t="shared" si="9"/>
        <v>3.1714956930305402</v>
      </c>
      <c r="BT54" s="831">
        <f t="shared" si="76"/>
        <v>1.0236597196285997</v>
      </c>
      <c r="BU54" s="324">
        <f t="shared" si="77"/>
        <v>1.0295998340796828</v>
      </c>
      <c r="BV54" s="324">
        <f t="shared" si="78"/>
        <v>1.0296000181577796</v>
      </c>
      <c r="BW54" s="201">
        <f t="shared" si="79"/>
        <v>1.0296005224594171</v>
      </c>
      <c r="BX54" s="970" t="s">
        <v>496</v>
      </c>
      <c r="BY54" s="121"/>
    </row>
    <row r="55" spans="1:77" s="111" customFormat="1" ht="31.5">
      <c r="A55" s="114" t="s">
        <v>74</v>
      </c>
      <c r="B55" s="115" t="s">
        <v>165</v>
      </c>
      <c r="C55" s="1003" t="s">
        <v>1</v>
      </c>
      <c r="D55" s="189">
        <f t="shared" si="273"/>
        <v>132.64000000000001</v>
      </c>
      <c r="E55" s="208">
        <f>SUM(E56:E58)</f>
        <v>122.83000000000001</v>
      </c>
      <c r="F55" s="208">
        <f>SUM(F56:F58)</f>
        <v>9.81</v>
      </c>
      <c r="G55" s="208">
        <f>SUM(G56:G58)</f>
        <v>0</v>
      </c>
      <c r="H55" s="1025">
        <f t="shared" ref="H55" si="355">SUM(H56:H58)</f>
        <v>0</v>
      </c>
      <c r="I55" s="468">
        <f>SUM(I56:I58)</f>
        <v>0</v>
      </c>
      <c r="J55" s="189">
        <f>K55+L55+M55+N55</f>
        <v>158.17000000000002</v>
      </c>
      <c r="K55" s="208">
        <f>SUM(K56:K58)</f>
        <v>94.532632000000007</v>
      </c>
      <c r="L55" s="208">
        <f t="shared" ref="L55:O55" si="356">SUM(L56:L58)</f>
        <v>60.742440000000002</v>
      </c>
      <c r="M55" s="208">
        <f t="shared" si="356"/>
        <v>0</v>
      </c>
      <c r="N55" s="1025">
        <f t="shared" si="356"/>
        <v>2.8949280000000002</v>
      </c>
      <c r="O55" s="1047">
        <f t="shared" si="356"/>
        <v>0</v>
      </c>
      <c r="P55" s="189">
        <f t="shared" si="275"/>
        <v>139.03</v>
      </c>
      <c r="Q55" s="208">
        <f>SUM(Q56:Q58)</f>
        <v>139.03</v>
      </c>
      <c r="R55" s="208">
        <f>SUM(R56:R58)</f>
        <v>0</v>
      </c>
      <c r="S55" s="208">
        <f>SUM(S56:S58)</f>
        <v>0</v>
      </c>
      <c r="T55" s="1025">
        <f t="shared" ref="T55" si="357">SUM(T56:T58)</f>
        <v>0</v>
      </c>
      <c r="U55" s="468">
        <f>SUM(U56:U58)</f>
        <v>0</v>
      </c>
      <c r="V55" s="189">
        <f>W55+X55+Y55+Z55</f>
        <v>0</v>
      </c>
      <c r="W55" s="208">
        <f>SUM(W56:W58)</f>
        <v>0</v>
      </c>
      <c r="X55" s="208">
        <f t="shared" ref="X55:Z55" si="358">SUM(X56:X58)</f>
        <v>0</v>
      </c>
      <c r="Y55" s="208">
        <f t="shared" si="358"/>
        <v>0</v>
      </c>
      <c r="Z55" s="1025">
        <f t="shared" si="358"/>
        <v>0</v>
      </c>
      <c r="AA55" s="1047">
        <f t="shared" ref="AA55" si="359">SUM(AA56:AA58)</f>
        <v>0</v>
      </c>
      <c r="AB55" s="189">
        <f t="shared" si="277"/>
        <v>142.31941081996419</v>
      </c>
      <c r="AC55" s="1150">
        <f>SUM(AC56:AC58)</f>
        <v>142.31941081996419</v>
      </c>
      <c r="AD55" s="1150">
        <f t="shared" ref="AD55" si="360">SUM(AD56:AD58)</f>
        <v>0</v>
      </c>
      <c r="AE55" s="1150">
        <f t="shared" ref="AE55" si="361">SUM(AE56:AE58)</f>
        <v>0</v>
      </c>
      <c r="AF55" s="1151">
        <f t="shared" ref="AF55" si="362">SUM(AF56:AF58)</f>
        <v>0</v>
      </c>
      <c r="AG55" s="1152">
        <f t="shared" ref="AG55" si="363">SUM(AG56:AG58)</f>
        <v>0</v>
      </c>
      <c r="AH55" s="189">
        <f>AI55+AJ55+AK55+AL55</f>
        <v>0</v>
      </c>
      <c r="AI55" s="208">
        <f>SUM(AI56:AI58)</f>
        <v>0</v>
      </c>
      <c r="AJ55" s="208">
        <f t="shared" ref="AJ55:AL55" si="364">SUM(AJ56:AJ58)</f>
        <v>0</v>
      </c>
      <c r="AK55" s="208">
        <f t="shared" si="364"/>
        <v>0</v>
      </c>
      <c r="AL55" s="1025">
        <f t="shared" si="364"/>
        <v>0</v>
      </c>
      <c r="AM55" s="468">
        <f t="shared" ref="AM55" si="365">SUM(AM56:AM58)</f>
        <v>0</v>
      </c>
      <c r="AN55" s="189">
        <f t="shared" si="284"/>
        <v>146.53204176655333</v>
      </c>
      <c r="AO55" s="208">
        <f t="shared" ref="AO55" si="366">SUM(AO56:AO58)</f>
        <v>146.53204176655333</v>
      </c>
      <c r="AP55" s="208">
        <f t="shared" ref="AP55" si="367">SUM(AP56:AP58)</f>
        <v>0</v>
      </c>
      <c r="AQ55" s="208">
        <f t="shared" ref="AQ55" si="368">SUM(AQ56:AQ58)</f>
        <v>0</v>
      </c>
      <c r="AR55" s="429">
        <f t="shared" ref="AR55:AS55" si="369">SUM(AR56:AR58)</f>
        <v>0</v>
      </c>
      <c r="AS55" s="468">
        <f t="shared" si="369"/>
        <v>0</v>
      </c>
      <c r="AT55" s="189">
        <f>AU55+AV55+AW55+AX55</f>
        <v>0</v>
      </c>
      <c r="AU55" s="208">
        <f>SUM(AU56:AU58)</f>
        <v>0</v>
      </c>
      <c r="AV55" s="208">
        <f t="shared" ref="AV55:AX55" si="370">SUM(AV56:AV58)</f>
        <v>0</v>
      </c>
      <c r="AW55" s="208">
        <f t="shared" si="370"/>
        <v>0</v>
      </c>
      <c r="AX55" s="1025">
        <f t="shared" si="370"/>
        <v>0</v>
      </c>
      <c r="AY55" s="468">
        <f t="shared" ref="AY55" si="371">SUM(AY56:AY58)</f>
        <v>0</v>
      </c>
      <c r="AZ55" s="189">
        <f t="shared" si="290"/>
        <v>150.86939286353984</v>
      </c>
      <c r="BA55" s="208">
        <f>SUM(BA56:BA58)</f>
        <v>150.86939286353984</v>
      </c>
      <c r="BB55" s="208">
        <f t="shared" ref="BB55:BE55" si="372">SUM(BB56:BB58)</f>
        <v>0</v>
      </c>
      <c r="BC55" s="208">
        <f t="shared" si="372"/>
        <v>0</v>
      </c>
      <c r="BD55" s="429">
        <f t="shared" si="372"/>
        <v>0</v>
      </c>
      <c r="BE55" s="531">
        <f t="shared" si="372"/>
        <v>0</v>
      </c>
      <c r="BF55" s="189">
        <f>BG55+BH55+BI55+BJ55</f>
        <v>0</v>
      </c>
      <c r="BG55" s="208">
        <f>SUM(BG56:BG58)</f>
        <v>0</v>
      </c>
      <c r="BH55" s="208">
        <f t="shared" ref="BH55:BJ55" si="373">SUM(BH56:BH58)</f>
        <v>0</v>
      </c>
      <c r="BI55" s="208">
        <f t="shared" si="373"/>
        <v>0</v>
      </c>
      <c r="BJ55" s="1025">
        <f t="shared" si="373"/>
        <v>0</v>
      </c>
      <c r="BK55" s="468">
        <f t="shared" ref="BK55" si="374">SUM(BK56:BK58)</f>
        <v>0</v>
      </c>
      <c r="BL55" s="189">
        <f t="shared" si="306"/>
        <v>155.33520571543565</v>
      </c>
      <c r="BM55" s="208">
        <f>SUM(BM56:BM58)</f>
        <v>155.33520571543565</v>
      </c>
      <c r="BN55" s="208">
        <f t="shared" ref="BN55:BQ55" si="375">SUM(BN56:BN58)</f>
        <v>0</v>
      </c>
      <c r="BO55" s="208">
        <f t="shared" si="375"/>
        <v>0</v>
      </c>
      <c r="BP55" s="429">
        <f t="shared" si="375"/>
        <v>0</v>
      </c>
      <c r="BQ55" s="531">
        <f t="shared" si="375"/>
        <v>0</v>
      </c>
      <c r="BR55" s="835">
        <f t="shared" si="8"/>
        <v>0.87899095909464497</v>
      </c>
      <c r="BS55" s="542">
        <f t="shared" si="9"/>
        <v>1.0481755126658623</v>
      </c>
      <c r="BT55" s="831">
        <f t="shared" si="76"/>
        <v>1.0236597196285995</v>
      </c>
      <c r="BU55" s="324">
        <f t="shared" si="77"/>
        <v>1.0295998340796828</v>
      </c>
      <c r="BV55" s="324">
        <f t="shared" si="78"/>
        <v>1.0296000181577796</v>
      </c>
      <c r="BW55" s="201">
        <f t="shared" si="79"/>
        <v>1.0296005224594169</v>
      </c>
      <c r="BX55" s="970"/>
    </row>
    <row r="56" spans="1:77" s="83" customFormat="1" ht="18.75" outlineLevel="1">
      <c r="A56" s="133"/>
      <c r="B56" s="130" t="s">
        <v>281</v>
      </c>
      <c r="C56" s="1008" t="s">
        <v>1</v>
      </c>
      <c r="D56" s="189">
        <f t="shared" si="273"/>
        <v>97.62</v>
      </c>
      <c r="E56" s="207">
        <v>90.42</v>
      </c>
      <c r="F56" s="207">
        <v>7.2</v>
      </c>
      <c r="G56" s="207"/>
      <c r="H56" s="1023"/>
      <c r="I56" s="469"/>
      <c r="J56" s="189">
        <f t="shared" ref="J56" si="376">K56+L56+M56+N56</f>
        <v>116.22999999999999</v>
      </c>
      <c r="K56" s="383">
        <v>69.465999999999994</v>
      </c>
      <c r="L56" s="383">
        <v>44.637</v>
      </c>
      <c r="M56" s="1044"/>
      <c r="N56" s="1044">
        <v>2.1269999999999998</v>
      </c>
      <c r="O56" s="500"/>
      <c r="P56" s="189">
        <f t="shared" si="275"/>
        <v>98.8</v>
      </c>
      <c r="Q56" s="207">
        <f>96+2.8</f>
        <v>98.8</v>
      </c>
      <c r="R56" s="207"/>
      <c r="S56" s="207"/>
      <c r="T56" s="1023"/>
      <c r="U56" s="469"/>
      <c r="V56" s="189">
        <f t="shared" ref="V56" si="377">W56+X56+Y56+Z56</f>
        <v>0</v>
      </c>
      <c r="W56" s="383"/>
      <c r="X56" s="383"/>
      <c r="Y56" s="1044"/>
      <c r="Z56" s="1044"/>
      <c r="AA56" s="500"/>
      <c r="AB56" s="189">
        <f t="shared" si="277"/>
        <v>101.13758029930563</v>
      </c>
      <c r="AC56" s="1144">
        <f t="shared" ref="AC56:AC58" si="378">IF($AC$21&gt;0,Q56/$Q$21*$AC$21,0)</f>
        <v>101.13758029930563</v>
      </c>
      <c r="AD56" s="1144">
        <f t="shared" ref="AD56:AD58" si="379">IF($AD$21&gt;0,R56/$R$21*$AD$21,0)</f>
        <v>0</v>
      </c>
      <c r="AE56" s="1144">
        <f t="shared" ref="AE56:AE58" si="380">IF($AE$21&gt;0,S56/$S$21*$AE$21,0)</f>
        <v>0</v>
      </c>
      <c r="AF56" s="1145">
        <f t="shared" ref="AF56:AF58" si="381">IF($AF$21&gt;0,T56/$T$21*$AF$21,0)</f>
        <v>0</v>
      </c>
      <c r="AG56" s="469">
        <f t="shared" ref="AG56:AG58" si="382">IF($AG$21&gt;0,U56/$U$21*$AG$21,0)</f>
        <v>0</v>
      </c>
      <c r="AH56" s="189">
        <f t="shared" ref="AH56" si="383">AI56+AJ56+AK56+AL56</f>
        <v>0</v>
      </c>
      <c r="AI56" s="383"/>
      <c r="AJ56" s="383"/>
      <c r="AK56" s="1044"/>
      <c r="AL56" s="1044"/>
      <c r="AM56" s="500"/>
      <c r="AN56" s="189">
        <f t="shared" si="284"/>
        <v>104.13123589538566</v>
      </c>
      <c r="AO56" s="207">
        <f t="shared" ref="AO56:AO58" si="384">IF($AO$21&gt;0,AC56/$AC$21*$AO$21,0)</f>
        <v>104.13123589538566</v>
      </c>
      <c r="AP56" s="207">
        <f t="shared" ref="AP56:AP58" si="385">IF($AP$21&gt;0,AD56/$AD$21*$AP$21,0)</f>
        <v>0</v>
      </c>
      <c r="AQ56" s="207">
        <f t="shared" ref="AQ56:AQ58" si="386">IF($AQ$21&gt;0,AE56/$AE$21*$AQ$21,0)</f>
        <v>0</v>
      </c>
      <c r="AR56" s="431">
        <f t="shared" ref="AR56:AR58" si="387">IF($AR$21&gt;0,AF56/$AF$21*$AR$21,0)</f>
        <v>0</v>
      </c>
      <c r="AS56" s="469">
        <f t="shared" ref="AS56:AS58" si="388">IF($AS$21&gt;0,AG56/$AG$21*$AS$21,0)</f>
        <v>0</v>
      </c>
      <c r="AT56" s="189">
        <f t="shared" ref="AT56" si="389">AU56+AV56+AW56+AX56</f>
        <v>0</v>
      </c>
      <c r="AU56" s="383"/>
      <c r="AV56" s="383"/>
      <c r="AW56" s="1044"/>
      <c r="AX56" s="1044"/>
      <c r="AY56" s="500"/>
      <c r="AZ56" s="189">
        <f t="shared" si="290"/>
        <v>107.21352236868111</v>
      </c>
      <c r="BA56" s="207">
        <f t="shared" ref="BA56:BA58" si="390">IF($BA$21&gt;0,AO56/$AO$21*$BA$21,0)</f>
        <v>107.21352236868111</v>
      </c>
      <c r="BB56" s="207">
        <f t="shared" ref="BB56:BB57" si="391">IF($BB$21&gt;0,AP56/$AP$21*$BB$21,0)</f>
        <v>0</v>
      </c>
      <c r="BC56" s="207">
        <f t="shared" ref="BC56:BC58" si="392">IF($BC$21&gt;0,AQ56/$AQ$21*$BC$21,0)</f>
        <v>0</v>
      </c>
      <c r="BD56" s="431">
        <f t="shared" ref="BD56:BD58" si="393">IF($BD$21&gt;0,AR56/$AR$21*$BD$21,0)</f>
        <v>0</v>
      </c>
      <c r="BE56" s="469">
        <f t="shared" ref="BE56:BE58" si="394">IF($BE$21&gt;0,AS56/$AS$21*$BE$21,0)</f>
        <v>0</v>
      </c>
      <c r="BF56" s="189">
        <f t="shared" ref="BF56" si="395">BG56+BH56+BI56+BJ56</f>
        <v>0</v>
      </c>
      <c r="BG56" s="383"/>
      <c r="BH56" s="383"/>
      <c r="BI56" s="1044"/>
      <c r="BJ56" s="1044"/>
      <c r="BK56" s="500"/>
      <c r="BL56" s="189">
        <f t="shared" si="306"/>
        <v>110.38709864550847</v>
      </c>
      <c r="BM56" s="207">
        <f t="shared" ref="BM56:BM58" si="396">IF($BM$21&gt;0,BA56/$BA$21*$BM$21,0)</f>
        <v>110.38709864550847</v>
      </c>
      <c r="BN56" s="207">
        <f t="shared" ref="BN56:BN58" si="397">IF($BN$21&gt;0,BB56/$BB$21*$BN$21,0)</f>
        <v>0</v>
      </c>
      <c r="BO56" s="207">
        <f t="shared" ref="BO56:BO58" si="398">IF($BO$21&gt;0,BC56/$BC$21*$BO$21,0)</f>
        <v>0</v>
      </c>
      <c r="BP56" s="431">
        <f t="shared" ref="BP56:BP58" si="399">IF($BP$21&gt;0,BD56/$BD$21*$BP$21,0)</f>
        <v>0</v>
      </c>
      <c r="BQ56" s="811">
        <f t="shared" ref="BQ56:BQ58" si="400">IF($BQ$21&gt;0,BE56/$BE$21*$BQ$21,0)</f>
        <v>0</v>
      </c>
      <c r="BR56" s="835">
        <f t="shared" si="8"/>
        <v>0.85003871633829486</v>
      </c>
      <c r="BS56" s="542">
        <f t="shared" si="9"/>
        <v>1.0120876869493955</v>
      </c>
      <c r="BT56" s="831">
        <f t="shared" ref="BT56:BT58" si="401">IF(ISERROR(AB56/P56)," ",AB56/P56)</f>
        <v>1.0236597196285995</v>
      </c>
      <c r="BU56" s="324">
        <f t="shared" ref="BU56:BU58" si="402">IF(ISERROR(AN56/AB56)," ",AN56/AB56)</f>
        <v>1.0295998340796828</v>
      </c>
      <c r="BV56" s="324">
        <f t="shared" ref="BV56:BV58" si="403">IF(ISERROR(AZ56/AN56)," ",AZ56/AN56)</f>
        <v>1.0296000181577796</v>
      </c>
      <c r="BW56" s="201">
        <f t="shared" ref="BW56:BW58" si="404">IF(ISERROR(BL56/AZ56)," ",BL56/AZ56)</f>
        <v>1.0296005224594171</v>
      </c>
      <c r="BX56" s="970"/>
    </row>
    <row r="57" spans="1:77" s="83" customFormat="1" ht="18.75" outlineLevel="1">
      <c r="A57" s="134"/>
      <c r="B57" s="135" t="s">
        <v>282</v>
      </c>
      <c r="C57" s="1009" t="s">
        <v>1</v>
      </c>
      <c r="D57" s="189">
        <f t="shared" si="273"/>
        <v>11.44</v>
      </c>
      <c r="E57" s="1026">
        <v>10.57</v>
      </c>
      <c r="F57" s="1026">
        <v>0.87</v>
      </c>
      <c r="G57" s="1026"/>
      <c r="H57" s="1027"/>
      <c r="I57" s="1028"/>
      <c r="J57" s="191">
        <f>K57+L57+M57+N57</f>
        <v>11.78</v>
      </c>
      <c r="K57" s="1048">
        <v>7.04</v>
      </c>
      <c r="L57" s="1048">
        <v>4.524</v>
      </c>
      <c r="M57" s="1049"/>
      <c r="N57" s="1049">
        <v>0.216</v>
      </c>
      <c r="O57" s="1050"/>
      <c r="P57" s="189">
        <f t="shared" si="275"/>
        <v>11.78</v>
      </c>
      <c r="Q57" s="1026">
        <f>J57</f>
        <v>11.78</v>
      </c>
      <c r="R57" s="1026"/>
      <c r="S57" s="1026"/>
      <c r="T57" s="1027"/>
      <c r="U57" s="1028"/>
      <c r="V57" s="191">
        <f>W57+X57+Y57+Z57</f>
        <v>0</v>
      </c>
      <c r="W57" s="1048"/>
      <c r="X57" s="1048"/>
      <c r="Y57" s="1049"/>
      <c r="Z57" s="1049"/>
      <c r="AA57" s="1050"/>
      <c r="AB57" s="189">
        <f t="shared" si="277"/>
        <v>12.058711497224902</v>
      </c>
      <c r="AC57" s="1144">
        <f t="shared" si="378"/>
        <v>12.058711497224902</v>
      </c>
      <c r="AD57" s="1144">
        <f t="shared" si="379"/>
        <v>0</v>
      </c>
      <c r="AE57" s="1144">
        <f t="shared" si="380"/>
        <v>0</v>
      </c>
      <c r="AF57" s="1145">
        <f t="shared" si="381"/>
        <v>0</v>
      </c>
      <c r="AG57" s="469">
        <f t="shared" si="382"/>
        <v>0</v>
      </c>
      <c r="AH57" s="191">
        <f>AI57+AJ57+AK57+AL57</f>
        <v>0</v>
      </c>
      <c r="AI57" s="1048"/>
      <c r="AJ57" s="1048"/>
      <c r="AK57" s="1049"/>
      <c r="AL57" s="1049"/>
      <c r="AM57" s="529"/>
      <c r="AN57" s="189">
        <f t="shared" si="284"/>
        <v>12.415647356757521</v>
      </c>
      <c r="AO57" s="207">
        <f t="shared" si="384"/>
        <v>12.415647356757521</v>
      </c>
      <c r="AP57" s="207">
        <f t="shared" si="385"/>
        <v>0</v>
      </c>
      <c r="AQ57" s="207">
        <f t="shared" si="386"/>
        <v>0</v>
      </c>
      <c r="AR57" s="431">
        <f t="shared" si="387"/>
        <v>0</v>
      </c>
      <c r="AS57" s="469">
        <f t="shared" si="388"/>
        <v>0</v>
      </c>
      <c r="AT57" s="191">
        <f>AU57+AV57+AW57+AX57</f>
        <v>0</v>
      </c>
      <c r="AU57" s="1048"/>
      <c r="AV57" s="1048"/>
      <c r="AW57" s="1049"/>
      <c r="AX57" s="1049"/>
      <c r="AY57" s="529"/>
      <c r="AZ57" s="189">
        <f t="shared" si="290"/>
        <v>12.783150743958135</v>
      </c>
      <c r="BA57" s="207">
        <f t="shared" si="390"/>
        <v>12.783150743958135</v>
      </c>
      <c r="BB57" s="207">
        <f t="shared" si="391"/>
        <v>0</v>
      </c>
      <c r="BC57" s="207">
        <f t="shared" si="392"/>
        <v>0</v>
      </c>
      <c r="BD57" s="431">
        <f t="shared" si="393"/>
        <v>0</v>
      </c>
      <c r="BE57" s="469">
        <f t="shared" si="394"/>
        <v>0</v>
      </c>
      <c r="BF57" s="191">
        <f>BG57+BH57+BI57+BJ57</f>
        <v>0</v>
      </c>
      <c r="BG57" s="1048"/>
      <c r="BH57" s="1048"/>
      <c r="BI57" s="1049"/>
      <c r="BJ57" s="1049"/>
      <c r="BK57" s="529"/>
      <c r="BL57" s="189">
        <f t="shared" si="306"/>
        <v>13.161538684656781</v>
      </c>
      <c r="BM57" s="207">
        <f t="shared" si="396"/>
        <v>13.161538684656781</v>
      </c>
      <c r="BN57" s="207">
        <f t="shared" si="397"/>
        <v>0</v>
      </c>
      <c r="BO57" s="207">
        <f t="shared" si="398"/>
        <v>0</v>
      </c>
      <c r="BP57" s="431">
        <f t="shared" si="399"/>
        <v>0</v>
      </c>
      <c r="BQ57" s="811">
        <f t="shared" si="400"/>
        <v>0</v>
      </c>
      <c r="BR57" s="835">
        <f t="shared" si="8"/>
        <v>1</v>
      </c>
      <c r="BS57" s="542">
        <f t="shared" si="9"/>
        <v>1.0297202797202798</v>
      </c>
      <c r="BT57" s="831">
        <f t="shared" si="401"/>
        <v>1.0236597196285995</v>
      </c>
      <c r="BU57" s="324">
        <f t="shared" si="402"/>
        <v>1.0295998340796828</v>
      </c>
      <c r="BV57" s="324">
        <f t="shared" si="403"/>
        <v>1.0296000181577798</v>
      </c>
      <c r="BW57" s="201">
        <f t="shared" si="404"/>
        <v>1.0296005224594169</v>
      </c>
      <c r="BX57" s="970"/>
    </row>
    <row r="58" spans="1:77" s="575" customFormat="1" ht="19.5" outlineLevel="1" thickBot="1">
      <c r="A58" s="576"/>
      <c r="B58" s="574" t="s">
        <v>296</v>
      </c>
      <c r="C58" s="1009" t="s">
        <v>1</v>
      </c>
      <c r="D58" s="189">
        <f t="shared" si="273"/>
        <v>23.58</v>
      </c>
      <c r="E58" s="1026">
        <v>21.84</v>
      </c>
      <c r="F58" s="1026">
        <v>1.74</v>
      </c>
      <c r="G58" s="1026"/>
      <c r="H58" s="1027"/>
      <c r="I58" s="528"/>
      <c r="J58" s="191">
        <f>K58+L58+M58+N58</f>
        <v>30.16</v>
      </c>
      <c r="K58" s="1048">
        <v>18.026631999999999</v>
      </c>
      <c r="L58" s="1048">
        <v>11.581440000000001</v>
      </c>
      <c r="M58" s="1049"/>
      <c r="N58" s="1049">
        <v>0.55192799999999997</v>
      </c>
      <c r="O58" s="1050"/>
      <c r="P58" s="189">
        <f t="shared" si="275"/>
        <v>28.45</v>
      </c>
      <c r="Q58" s="1026">
        <v>28.45</v>
      </c>
      <c r="R58" s="1026"/>
      <c r="S58" s="1026"/>
      <c r="T58" s="1027"/>
      <c r="U58" s="528"/>
      <c r="V58" s="191">
        <f>W58+X58+Y58+Z58</f>
        <v>0</v>
      </c>
      <c r="W58" s="1048"/>
      <c r="X58" s="1048"/>
      <c r="Y58" s="1049"/>
      <c r="Z58" s="1049"/>
      <c r="AA58" s="1050"/>
      <c r="AB58" s="189">
        <f t="shared" si="277"/>
        <v>29.123119023433659</v>
      </c>
      <c r="AC58" s="1144">
        <f t="shared" si="378"/>
        <v>29.123119023433659</v>
      </c>
      <c r="AD58" s="1144">
        <f t="shared" si="379"/>
        <v>0</v>
      </c>
      <c r="AE58" s="1144">
        <f t="shared" si="380"/>
        <v>0</v>
      </c>
      <c r="AF58" s="1145">
        <f t="shared" si="381"/>
        <v>0</v>
      </c>
      <c r="AG58" s="528">
        <f t="shared" si="382"/>
        <v>0</v>
      </c>
      <c r="AH58" s="191">
        <f>AI58+AJ58+AK58+AL58</f>
        <v>0</v>
      </c>
      <c r="AI58" s="1048"/>
      <c r="AJ58" s="1048"/>
      <c r="AK58" s="1049"/>
      <c r="AL58" s="1049"/>
      <c r="AM58" s="529"/>
      <c r="AN58" s="189">
        <f t="shared" si="284"/>
        <v>29.985158514410145</v>
      </c>
      <c r="AO58" s="207">
        <f t="shared" si="384"/>
        <v>29.985158514410145</v>
      </c>
      <c r="AP58" s="207">
        <f t="shared" si="385"/>
        <v>0</v>
      </c>
      <c r="AQ58" s="207">
        <f t="shared" si="386"/>
        <v>0</v>
      </c>
      <c r="AR58" s="431">
        <f t="shared" si="387"/>
        <v>0</v>
      </c>
      <c r="AS58" s="810">
        <f t="shared" si="388"/>
        <v>0</v>
      </c>
      <c r="AT58" s="191">
        <f>AU58+AV58+AW58+AX58</f>
        <v>0</v>
      </c>
      <c r="AU58" s="1048"/>
      <c r="AV58" s="1048"/>
      <c r="AW58" s="1049"/>
      <c r="AX58" s="1049"/>
      <c r="AY58" s="529"/>
      <c r="AZ58" s="189">
        <f t="shared" si="290"/>
        <v>30.87271975090059</v>
      </c>
      <c r="BA58" s="207">
        <f t="shared" si="390"/>
        <v>30.87271975090059</v>
      </c>
      <c r="BB58" s="207">
        <f>IF($BB$21&gt;0,AP58/$AP$21*$BB$21,0)</f>
        <v>0</v>
      </c>
      <c r="BC58" s="207">
        <f t="shared" si="392"/>
        <v>0</v>
      </c>
      <c r="BD58" s="431">
        <f t="shared" si="393"/>
        <v>0</v>
      </c>
      <c r="BE58" s="528">
        <f t="shared" si="394"/>
        <v>0</v>
      </c>
      <c r="BF58" s="191">
        <f>BG58+BH58+BI58+BJ58</f>
        <v>0</v>
      </c>
      <c r="BG58" s="1048"/>
      <c r="BH58" s="1048"/>
      <c r="BI58" s="1049"/>
      <c r="BJ58" s="1049"/>
      <c r="BK58" s="529"/>
      <c r="BL58" s="189">
        <f t="shared" si="306"/>
        <v>31.78656838527041</v>
      </c>
      <c r="BM58" s="207">
        <f t="shared" si="396"/>
        <v>31.78656838527041</v>
      </c>
      <c r="BN58" s="207">
        <f t="shared" si="397"/>
        <v>0</v>
      </c>
      <c r="BO58" s="207">
        <f t="shared" si="398"/>
        <v>0</v>
      </c>
      <c r="BP58" s="431">
        <f t="shared" si="399"/>
        <v>0</v>
      </c>
      <c r="BQ58" s="812">
        <f t="shared" si="400"/>
        <v>0</v>
      </c>
      <c r="BR58" s="834">
        <f t="shared" si="8"/>
        <v>0.9433023872679045</v>
      </c>
      <c r="BS58" s="540">
        <f t="shared" si="9"/>
        <v>1.2065309584393555</v>
      </c>
      <c r="BT58" s="832">
        <f t="shared" si="401"/>
        <v>1.0236597196285997</v>
      </c>
      <c r="BU58" s="333">
        <f t="shared" si="402"/>
        <v>1.0295998340796826</v>
      </c>
      <c r="BV58" s="333">
        <f t="shared" si="403"/>
        <v>1.0296000181577798</v>
      </c>
      <c r="BW58" s="202">
        <f t="shared" si="404"/>
        <v>1.0296005224594171</v>
      </c>
      <c r="BX58" s="972"/>
    </row>
    <row r="59" spans="1:77" s="88" customFormat="1" ht="19.5" thickBot="1">
      <c r="A59" s="1587" t="s">
        <v>128</v>
      </c>
      <c r="B59" s="1584"/>
      <c r="C59" s="84" t="s">
        <v>1</v>
      </c>
      <c r="D59" s="186">
        <f>E59+F59+G59+H59</f>
        <v>495.01645129999997</v>
      </c>
      <c r="E59" s="184">
        <f>SUM(E60,E63,E72:E75,E79,E82:E84,E80,E81)</f>
        <v>354.17200000000003</v>
      </c>
      <c r="F59" s="184">
        <f t="shared" ref="F59:I59" si="405">SUM(F60,F63,F72:F75,F79,F82:F84)</f>
        <v>140.84445129999997</v>
      </c>
      <c r="G59" s="184">
        <f t="shared" si="405"/>
        <v>0</v>
      </c>
      <c r="H59" s="185">
        <f t="shared" si="405"/>
        <v>0</v>
      </c>
      <c r="I59" s="462">
        <f t="shared" si="405"/>
        <v>0</v>
      </c>
      <c r="J59" s="186">
        <f>K59+L59+M59+N59</f>
        <v>985.96500000000003</v>
      </c>
      <c r="K59" s="184">
        <f>SUM(K60,K63,K72:K75,K79,K80:K84)</f>
        <v>761.58799999999997</v>
      </c>
      <c r="L59" s="184">
        <f t="shared" ref="L59:N59" si="406">SUM(L60,L63,L72:L75,L79,L80:L84)</f>
        <v>214.17000000000002</v>
      </c>
      <c r="M59" s="184">
        <f t="shared" si="406"/>
        <v>0</v>
      </c>
      <c r="N59" s="184">
        <f t="shared" si="406"/>
        <v>10.207000000000001</v>
      </c>
      <c r="O59" s="462">
        <f t="shared" ref="O59" si="407">SUM(O60,O63,O72:O75,O79,O82:O84)</f>
        <v>0</v>
      </c>
      <c r="P59" s="186">
        <f>Q59+R59+S59+T59</f>
        <v>617.3900000000001</v>
      </c>
      <c r="Q59" s="184">
        <f>SUM(Q60,Q63,Q72:Q75,Q79,Q82:Q84)</f>
        <v>434.14000000000004</v>
      </c>
      <c r="R59" s="184">
        <f t="shared" ref="R59:U59" si="408">SUM(R60,R63,R72:R75,R79,R82:R84)</f>
        <v>183.25</v>
      </c>
      <c r="S59" s="184">
        <f t="shared" si="408"/>
        <v>0</v>
      </c>
      <c r="T59" s="185">
        <f t="shared" si="408"/>
        <v>0</v>
      </c>
      <c r="U59" s="462">
        <f t="shared" si="408"/>
        <v>0</v>
      </c>
      <c r="V59" s="186">
        <f>W59+X59+Y59+Z59</f>
        <v>1141.1401547839998</v>
      </c>
      <c r="W59" s="184">
        <f>SUM(W60,W63,W72:W75,W79,W82:W84)</f>
        <v>1128.1207931199999</v>
      </c>
      <c r="X59" s="184">
        <f t="shared" ref="X59:Z59" si="409">SUM(X60,X63,X72:X75,X79,X82:X84)</f>
        <v>0</v>
      </c>
      <c r="Y59" s="184">
        <f t="shared" si="409"/>
        <v>0</v>
      </c>
      <c r="Z59" s="185">
        <f t="shared" si="409"/>
        <v>13.019361664000002</v>
      </c>
      <c r="AA59" s="462">
        <f t="shared" ref="AA59" si="410">SUM(AA60,AA63,AA72:AA75,AA79,AA82:AA84)</f>
        <v>0</v>
      </c>
      <c r="AB59" s="186">
        <f>AC59+AD59+AE59+AF59</f>
        <v>627.65000000000009</v>
      </c>
      <c r="AC59" s="184">
        <f>SUM(AC60,AC63,AC72:AC75,AC79,AC82:AC84)</f>
        <v>440.06000000000006</v>
      </c>
      <c r="AD59" s="184">
        <f t="shared" ref="AD59" si="411">SUM(AD60,AD63,AD72:AD75,AD79,AD82:AD84)</f>
        <v>187.59</v>
      </c>
      <c r="AE59" s="184">
        <f t="shared" ref="AE59" si="412">SUM(AE60,AE63,AE72:AE75,AE79,AE82:AE84)</f>
        <v>0</v>
      </c>
      <c r="AF59" s="185">
        <f t="shared" ref="AF59" si="413">SUM(AF60,AF63,AF72:AF75,AF79,AF82:AF84)</f>
        <v>0</v>
      </c>
      <c r="AG59" s="462">
        <f t="shared" ref="AG59" si="414">SUM(AG60,AG63,AG72:AG75,AG79,AG82:AG84)</f>
        <v>0</v>
      </c>
      <c r="AH59" s="186">
        <f>AI59+AJ59+AK59+AL59</f>
        <v>1143.4223099576066</v>
      </c>
      <c r="AI59" s="184">
        <f>SUM(AI60,AI63,AI72:AI75,AI79,AI82:AI84)</f>
        <v>1128.6048459564304</v>
      </c>
      <c r="AJ59" s="184">
        <f t="shared" ref="AJ59:AL59" si="415">SUM(AJ60,AJ63,AJ72:AJ75,AJ79,AJ82:AJ84)</f>
        <v>0</v>
      </c>
      <c r="AK59" s="184">
        <f t="shared" si="415"/>
        <v>0</v>
      </c>
      <c r="AL59" s="185">
        <f t="shared" si="415"/>
        <v>14.81746400117617</v>
      </c>
      <c r="AM59" s="462">
        <f t="shared" ref="AM59" si="416">SUM(AM60,AM63,AM72:AM75,AM79,AM82:AM84)</f>
        <v>0</v>
      </c>
      <c r="AN59" s="186">
        <f>AO59+AP59+AQ59+AR59</f>
        <v>544.29999999999995</v>
      </c>
      <c r="AO59" s="184">
        <f>SUM(AO60,AO63,AO72:AO75,AO79,AO82:AO84)</f>
        <v>351.16</v>
      </c>
      <c r="AP59" s="184">
        <f>SUM(AP60,AP63,AP72:AP75,AP79,AP82:AP84)</f>
        <v>193.14</v>
      </c>
      <c r="AQ59" s="184">
        <f t="shared" ref="AQ59:AS59" si="417">SUM(AQ60,AQ63,AQ72:AQ75,AQ79,AQ82:AQ84)</f>
        <v>0</v>
      </c>
      <c r="AR59" s="185">
        <f t="shared" si="417"/>
        <v>0</v>
      </c>
      <c r="AS59" s="462">
        <f t="shared" si="417"/>
        <v>0</v>
      </c>
      <c r="AT59" s="186">
        <f>AU59+AV59+AW59+AX59</f>
        <v>1085.272185984908</v>
      </c>
      <c r="AU59" s="184">
        <f>SUM(AU60,AU63,AU72:AU75,AU79,AU82:AU84)</f>
        <v>1071.5543906793293</v>
      </c>
      <c r="AV59" s="184">
        <f t="shared" ref="AV59:AX59" si="418">SUM(AV60,AV63,AV72:AV75,AV79,AV82:AV84)</f>
        <v>0</v>
      </c>
      <c r="AW59" s="184">
        <f t="shared" si="418"/>
        <v>0</v>
      </c>
      <c r="AX59" s="185">
        <f t="shared" si="418"/>
        <v>13.717795305578729</v>
      </c>
      <c r="AY59" s="462">
        <f t="shared" ref="AY59" si="419">SUM(AY60,AY63,AY72:AY75,AY79,AY82:AY84)</f>
        <v>0</v>
      </c>
      <c r="AZ59" s="186">
        <f>BA59+BB59+BC59+BD59</f>
        <v>559.80999999999995</v>
      </c>
      <c r="BA59" s="184">
        <f>SUM(BA60,BA63,BA72:BA75,BA79,BA82:BA84)</f>
        <v>360.95</v>
      </c>
      <c r="BB59" s="184">
        <f t="shared" ref="BB59:BE59" si="420">SUM(BB60,BB63,BB72:BB75,BB79,BB82:BB84)</f>
        <v>198.86</v>
      </c>
      <c r="BC59" s="184">
        <f t="shared" si="420"/>
        <v>0</v>
      </c>
      <c r="BD59" s="185">
        <f t="shared" si="420"/>
        <v>0</v>
      </c>
      <c r="BE59" s="462">
        <f t="shared" si="420"/>
        <v>0</v>
      </c>
      <c r="BF59" s="186">
        <f>BG59+BH59+BI59+BJ59</f>
        <v>1107.9941816247206</v>
      </c>
      <c r="BG59" s="184">
        <f>SUM(BG60,BG63,BG72:BG75,BG79,BG82:BG84)</f>
        <v>1093.9000280338655</v>
      </c>
      <c r="BH59" s="184">
        <f t="shared" ref="BH59:BJ59" si="421">SUM(BH60,BH63,BH72:BH75,BH79,BH82:BH84)</f>
        <v>0</v>
      </c>
      <c r="BI59" s="184">
        <f t="shared" si="421"/>
        <v>0</v>
      </c>
      <c r="BJ59" s="185">
        <f t="shared" si="421"/>
        <v>14.094153590855102</v>
      </c>
      <c r="BK59" s="462">
        <f t="shared" ref="BK59" si="422">SUM(BK60,BK63,BK72:BK75,BK79,BK82:BK84)</f>
        <v>0</v>
      </c>
      <c r="BL59" s="186">
        <f>BM59+BN59+BO59+BP59</f>
        <v>575.79</v>
      </c>
      <c r="BM59" s="184">
        <f>SUM(BM60,BM63,BM72:BM75,BM79,BM82:BM84)</f>
        <v>371.05</v>
      </c>
      <c r="BN59" s="184">
        <f>SUM(BN60,BN63,BN72:BN75,BN79,BN82:BN84)</f>
        <v>204.74</v>
      </c>
      <c r="BO59" s="184">
        <f t="shared" ref="BO59:BQ59" si="423">SUM(BO60,BO63,BO72:BO75,BO79,BO82:BO84)</f>
        <v>0</v>
      </c>
      <c r="BP59" s="185">
        <f t="shared" si="423"/>
        <v>0</v>
      </c>
      <c r="BQ59" s="462">
        <f t="shared" si="423"/>
        <v>0</v>
      </c>
      <c r="BR59" s="826">
        <f t="shared" si="8"/>
        <v>0.62617841404106644</v>
      </c>
      <c r="BS59" s="330">
        <f t="shared" si="9"/>
        <v>1.2472110742554632</v>
      </c>
      <c r="BT59" s="826">
        <f t="shared" si="76"/>
        <v>1.0166183449683344</v>
      </c>
      <c r="BU59" s="330">
        <f t="shared" si="77"/>
        <v>0.86720305902971384</v>
      </c>
      <c r="BV59" s="330">
        <f t="shared" si="78"/>
        <v>1.0284953150835936</v>
      </c>
      <c r="BW59" s="196">
        <f t="shared" si="79"/>
        <v>1.0285453993319162</v>
      </c>
      <c r="BX59" s="967"/>
    </row>
    <row r="60" spans="1:77" s="111" customFormat="1" ht="31.5">
      <c r="A60" s="136" t="s">
        <v>42</v>
      </c>
      <c r="B60" s="137" t="s">
        <v>129</v>
      </c>
      <c r="C60" s="1010" t="s">
        <v>1</v>
      </c>
      <c r="D60" s="187">
        <f>E60+F60+G60+H60</f>
        <v>12.82</v>
      </c>
      <c r="E60" s="206">
        <f>SUM(E61:E62)</f>
        <v>12.82</v>
      </c>
      <c r="F60" s="206">
        <f>SUM(F61:F62)</f>
        <v>0</v>
      </c>
      <c r="G60" s="445">
        <f t="shared" ref="G60:H60" si="424">SUM(G61:G62)</f>
        <v>0</v>
      </c>
      <c r="H60" s="445">
        <f t="shared" si="424"/>
        <v>0</v>
      </c>
      <c r="I60" s="509">
        <f>SUM(I61:I62)</f>
        <v>0</v>
      </c>
      <c r="J60" s="187">
        <f>K60+L60+M60+N60</f>
        <v>12.81</v>
      </c>
      <c r="K60" s="206">
        <f>SUM(K61:K62)</f>
        <v>12.81</v>
      </c>
      <c r="L60" s="206">
        <f>SUM(L61:L62)</f>
        <v>0</v>
      </c>
      <c r="M60" s="445">
        <f t="shared" ref="M60" si="425">SUM(M61:M62)</f>
        <v>0</v>
      </c>
      <c r="N60" s="445"/>
      <c r="O60" s="471"/>
      <c r="P60" s="187">
        <f>Q60+R60+S60+T60</f>
        <v>14.139999999999999</v>
      </c>
      <c r="Q60" s="206">
        <f>SUM(Q61:Q62)</f>
        <v>14.139999999999999</v>
      </c>
      <c r="R60" s="206">
        <f>SUM(R61:R62)</f>
        <v>0</v>
      </c>
      <c r="S60" s="445">
        <f t="shared" ref="S60:T60" si="426">SUM(S61:S62)</f>
        <v>0</v>
      </c>
      <c r="T60" s="445">
        <f t="shared" si="426"/>
        <v>0</v>
      </c>
      <c r="U60" s="509">
        <f>SUM(U61:U62)</f>
        <v>0</v>
      </c>
      <c r="V60" s="187">
        <f>W60+X60+Y60+Z60</f>
        <v>14.352</v>
      </c>
      <c r="W60" s="206">
        <f>SUM(W61:W62)</f>
        <v>14.352</v>
      </c>
      <c r="X60" s="206">
        <f>SUM(X61:X62)</f>
        <v>0</v>
      </c>
      <c r="Y60" s="445">
        <f t="shared" ref="Y60" si="427">SUM(Y61:Y62)</f>
        <v>0</v>
      </c>
      <c r="Z60" s="445"/>
      <c r="AA60" s="471"/>
      <c r="AB60" s="187">
        <f>AC60+AD60+AE60+AF60</f>
        <v>15.27</v>
      </c>
      <c r="AC60" s="206">
        <f>SUM(AC61:AC62)</f>
        <v>15.27</v>
      </c>
      <c r="AD60" s="206">
        <f t="shared" ref="AD60:AG60" si="428">SUM(AD61:AD62)</f>
        <v>0</v>
      </c>
      <c r="AE60" s="206">
        <f t="shared" si="428"/>
        <v>0</v>
      </c>
      <c r="AF60" s="445">
        <f t="shared" si="428"/>
        <v>0</v>
      </c>
      <c r="AG60" s="471">
        <f t="shared" si="428"/>
        <v>0</v>
      </c>
      <c r="AH60" s="187">
        <f>AI60+AJ60+AK60+AL60</f>
        <v>16.074000000000002</v>
      </c>
      <c r="AI60" s="206">
        <f>SUM(AI61:AI62)</f>
        <v>16.074000000000002</v>
      </c>
      <c r="AJ60" s="206">
        <f>SUM(AJ61:AJ62)</f>
        <v>0</v>
      </c>
      <c r="AK60" s="445">
        <f t="shared" ref="AK60" si="429">SUM(AK61:AK62)</f>
        <v>0</v>
      </c>
      <c r="AL60" s="445"/>
      <c r="AM60" s="471"/>
      <c r="AN60" s="187">
        <f>AO60+AP60+AQ60+AR60</f>
        <v>16.23</v>
      </c>
      <c r="AO60" s="206">
        <f>SUM(AO61:AO62)</f>
        <v>16.23</v>
      </c>
      <c r="AP60" s="206">
        <f t="shared" ref="AP60:AS60" si="430">SUM(AP61:AP62)</f>
        <v>0</v>
      </c>
      <c r="AQ60" s="206">
        <f t="shared" si="430"/>
        <v>0</v>
      </c>
      <c r="AR60" s="445">
        <f t="shared" si="430"/>
        <v>0</v>
      </c>
      <c r="AS60" s="471">
        <f t="shared" si="430"/>
        <v>0</v>
      </c>
      <c r="AT60" s="187">
        <f>AU60+AV60+AW60+AX60</f>
        <v>18.003</v>
      </c>
      <c r="AU60" s="206">
        <f>SUM(AU61:AU62)</f>
        <v>18.003</v>
      </c>
      <c r="AV60" s="206">
        <f>SUM(AV61:AV62)</f>
        <v>0</v>
      </c>
      <c r="AW60" s="445">
        <f t="shared" ref="AW60" si="431">SUM(AW61:AW62)</f>
        <v>0</v>
      </c>
      <c r="AX60" s="445"/>
      <c r="AY60" s="471"/>
      <c r="AZ60" s="187">
        <f>BA60+BB60+BC60+BD60</f>
        <v>16.88</v>
      </c>
      <c r="BA60" s="206">
        <f>SUM(BA61:BA62)</f>
        <v>16.88</v>
      </c>
      <c r="BB60" s="206">
        <f t="shared" ref="BB60:BE60" si="432">SUM(BB61:BB62)</f>
        <v>0</v>
      </c>
      <c r="BC60" s="206">
        <f t="shared" si="432"/>
        <v>0</v>
      </c>
      <c r="BD60" s="445">
        <f t="shared" si="432"/>
        <v>0</v>
      </c>
      <c r="BE60" s="471">
        <f t="shared" si="432"/>
        <v>0</v>
      </c>
      <c r="BF60" s="187">
        <f>BG60+BH60+BI60+BJ60</f>
        <v>20.163</v>
      </c>
      <c r="BG60" s="206">
        <f>SUM(BG61:BG62)</f>
        <v>20.163</v>
      </c>
      <c r="BH60" s="206">
        <f>SUM(BH61:BH62)</f>
        <v>0</v>
      </c>
      <c r="BI60" s="445">
        <f t="shared" ref="BI60" si="433">SUM(BI61:BI62)</f>
        <v>0</v>
      </c>
      <c r="BJ60" s="445"/>
      <c r="BK60" s="471"/>
      <c r="BL60" s="187">
        <f>BM60+BN60+BO60+BP60</f>
        <v>17.559999999999999</v>
      </c>
      <c r="BM60" s="206">
        <f>SUM(BM61:BM62)</f>
        <v>17.559999999999999</v>
      </c>
      <c r="BN60" s="206">
        <f t="shared" ref="BN60:BQ60" si="434">SUM(BN61:BN62)</f>
        <v>0</v>
      </c>
      <c r="BO60" s="206">
        <f t="shared" si="434"/>
        <v>0</v>
      </c>
      <c r="BP60" s="445">
        <f t="shared" si="434"/>
        <v>0</v>
      </c>
      <c r="BQ60" s="471">
        <f t="shared" si="434"/>
        <v>0</v>
      </c>
      <c r="BR60" s="844">
        <f t="shared" si="8"/>
        <v>1.1038251366120218</v>
      </c>
      <c r="BS60" s="840">
        <f t="shared" si="9"/>
        <v>1.1029641185647425</v>
      </c>
      <c r="BT60" s="830">
        <f t="shared" si="76"/>
        <v>1.07991513437058</v>
      </c>
      <c r="BU60" s="332">
        <f t="shared" si="77"/>
        <v>1.0628683693516701</v>
      </c>
      <c r="BV60" s="332">
        <f t="shared" si="78"/>
        <v>1.040049291435613</v>
      </c>
      <c r="BW60" s="200">
        <f t="shared" si="79"/>
        <v>1.0402843601895735</v>
      </c>
      <c r="BX60" s="967"/>
    </row>
    <row r="61" spans="1:77" s="83" customFormat="1" ht="18.75">
      <c r="A61" s="133" t="s">
        <v>43</v>
      </c>
      <c r="B61" s="138" t="s">
        <v>130</v>
      </c>
      <c r="C61" s="1011" t="s">
        <v>1</v>
      </c>
      <c r="D61" s="187">
        <f>E61+F61+G61+H61</f>
        <v>12.82</v>
      </c>
      <c r="E61" s="207">
        <v>12.82</v>
      </c>
      <c r="F61" s="207"/>
      <c r="G61" s="207"/>
      <c r="H61" s="1023"/>
      <c r="I61" s="469"/>
      <c r="J61" s="187">
        <f t="shared" ref="J61:J84" si="435">K61+L61+M61+N61</f>
        <v>12.81</v>
      </c>
      <c r="K61" s="383">
        <v>12.81</v>
      </c>
      <c r="L61" s="383"/>
      <c r="M61" s="383"/>
      <c r="N61" s="1044"/>
      <c r="O61" s="500"/>
      <c r="P61" s="187">
        <f t="shared" ref="P61:P84" si="436">Q61+R61+S61+T61</f>
        <v>14.139999999999999</v>
      </c>
      <c r="Q61" s="207">
        <f>'переменные на 5 лет'!F110</f>
        <v>14.139999999999999</v>
      </c>
      <c r="R61" s="207"/>
      <c r="S61" s="207"/>
      <c r="T61" s="1023"/>
      <c r="U61" s="469"/>
      <c r="V61" s="187">
        <f t="shared" ref="V61:V79" si="437">W61+X61+Y61+Z61</f>
        <v>14.352</v>
      </c>
      <c r="W61" s="383">
        <v>14.352</v>
      </c>
      <c r="X61" s="383"/>
      <c r="Y61" s="383"/>
      <c r="Z61" s="1044"/>
      <c r="AA61" s="500"/>
      <c r="AB61" s="189">
        <f t="shared" ref="AB61:AB84" si="438">AC61+AD61+AE61+AF61</f>
        <v>15.27</v>
      </c>
      <c r="AC61" s="1144">
        <f>'переменные на 5 лет'!I110</f>
        <v>15.27</v>
      </c>
      <c r="AD61" s="1144"/>
      <c r="AE61" s="1145"/>
      <c r="AF61" s="1145"/>
      <c r="AG61" s="469"/>
      <c r="AH61" s="187">
        <f t="shared" ref="AH61:AH79" si="439">AI61+AJ61+AK61+AL61</f>
        <v>16.074000000000002</v>
      </c>
      <c r="AI61" s="383">
        <v>16.074000000000002</v>
      </c>
      <c r="AJ61" s="383"/>
      <c r="AK61" s="383"/>
      <c r="AL61" s="1044"/>
      <c r="AM61" s="500"/>
      <c r="AN61" s="189">
        <f t="shared" ref="AN61:AN84" si="440">AO61+AP61+AQ61+AR61</f>
        <v>16.23</v>
      </c>
      <c r="AO61" s="207">
        <f>'переменные на 5 лет'!L110</f>
        <v>16.23</v>
      </c>
      <c r="AP61" s="207"/>
      <c r="AQ61" s="431"/>
      <c r="AR61" s="431"/>
      <c r="AS61" s="469"/>
      <c r="AT61" s="187">
        <f t="shared" ref="AT61:AT79" si="441">AU61+AV61+AW61+AX61</f>
        <v>18.003</v>
      </c>
      <c r="AU61" s="383">
        <v>18.003</v>
      </c>
      <c r="AV61" s="383"/>
      <c r="AW61" s="383"/>
      <c r="AX61" s="1044"/>
      <c r="AY61" s="500"/>
      <c r="AZ61" s="189">
        <f t="shared" ref="AZ61:AZ84" si="442">BA61+BB61+BC61+BD61</f>
        <v>16.88</v>
      </c>
      <c r="BA61" s="207">
        <f>'переменные на 5 лет'!O110</f>
        <v>16.88</v>
      </c>
      <c r="BB61" s="207"/>
      <c r="BC61" s="431"/>
      <c r="BD61" s="431"/>
      <c r="BE61" s="469"/>
      <c r="BF61" s="187">
        <f t="shared" ref="BF61:BF79" si="443">BG61+BH61+BI61+BJ61</f>
        <v>20.163</v>
      </c>
      <c r="BG61" s="383">
        <v>20.163</v>
      </c>
      <c r="BH61" s="383"/>
      <c r="BI61" s="383"/>
      <c r="BJ61" s="1044"/>
      <c r="BK61" s="500"/>
      <c r="BL61" s="189">
        <f t="shared" ref="BL61:BL84" si="444">BM61+BN61+BO61+BP61</f>
        <v>17.559999999999999</v>
      </c>
      <c r="BM61" s="207">
        <f>'переменные на 5 лет'!R110</f>
        <v>17.559999999999999</v>
      </c>
      <c r="BN61" s="207"/>
      <c r="BO61" s="431"/>
      <c r="BP61" s="431"/>
      <c r="BQ61" s="469"/>
      <c r="BR61" s="835">
        <f t="shared" si="8"/>
        <v>1.1038251366120218</v>
      </c>
      <c r="BS61" s="542">
        <f t="shared" si="9"/>
        <v>1.1029641185647425</v>
      </c>
      <c r="BT61" s="828">
        <f t="shared" si="76"/>
        <v>1.07991513437058</v>
      </c>
      <c r="BU61" s="323">
        <f t="shared" si="77"/>
        <v>1.0628683693516701</v>
      </c>
      <c r="BV61" s="323">
        <f t="shared" si="78"/>
        <v>1.040049291435613</v>
      </c>
      <c r="BW61" s="198">
        <f t="shared" si="79"/>
        <v>1.0402843601895735</v>
      </c>
      <c r="BX61" s="967"/>
    </row>
    <row r="62" spans="1:77" s="83" customFormat="1" ht="18.75">
      <c r="A62" s="133" t="s">
        <v>44</v>
      </c>
      <c r="B62" s="138" t="s">
        <v>67</v>
      </c>
      <c r="C62" s="1011" t="s">
        <v>1</v>
      </c>
      <c r="D62" s="187">
        <f t="shared" ref="D62:D84" si="445">E62+F62+G62+H62</f>
        <v>0</v>
      </c>
      <c r="E62" s="207"/>
      <c r="F62" s="207"/>
      <c r="G62" s="207"/>
      <c r="H62" s="1023"/>
      <c r="I62" s="469"/>
      <c r="J62" s="187">
        <f t="shared" si="435"/>
        <v>0</v>
      </c>
      <c r="K62" s="383"/>
      <c r="L62" s="383"/>
      <c r="M62" s="383"/>
      <c r="N62" s="1044"/>
      <c r="O62" s="500"/>
      <c r="P62" s="187">
        <f t="shared" si="436"/>
        <v>0</v>
      </c>
      <c r="Q62" s="207"/>
      <c r="R62" s="207"/>
      <c r="S62" s="207"/>
      <c r="T62" s="1023"/>
      <c r="U62" s="469"/>
      <c r="V62" s="187">
        <f t="shared" si="437"/>
        <v>0</v>
      </c>
      <c r="W62" s="383"/>
      <c r="X62" s="383"/>
      <c r="Y62" s="383"/>
      <c r="Z62" s="1044"/>
      <c r="AA62" s="500"/>
      <c r="AB62" s="189">
        <f t="shared" si="438"/>
        <v>0</v>
      </c>
      <c r="AC62" s="1144"/>
      <c r="AD62" s="1144"/>
      <c r="AE62" s="1145"/>
      <c r="AF62" s="1145"/>
      <c r="AG62" s="469"/>
      <c r="AH62" s="187">
        <f t="shared" si="439"/>
        <v>0</v>
      </c>
      <c r="AI62" s="383"/>
      <c r="AJ62" s="383"/>
      <c r="AK62" s="383"/>
      <c r="AL62" s="1044"/>
      <c r="AM62" s="500"/>
      <c r="AN62" s="189">
        <f t="shared" si="440"/>
        <v>0</v>
      </c>
      <c r="AO62" s="207"/>
      <c r="AP62" s="207"/>
      <c r="AQ62" s="431"/>
      <c r="AR62" s="431"/>
      <c r="AS62" s="469"/>
      <c r="AT62" s="187">
        <f t="shared" si="441"/>
        <v>0</v>
      </c>
      <c r="AU62" s="383"/>
      <c r="AV62" s="383"/>
      <c r="AW62" s="383"/>
      <c r="AX62" s="1044"/>
      <c r="AY62" s="500"/>
      <c r="AZ62" s="189">
        <f t="shared" si="442"/>
        <v>0</v>
      </c>
      <c r="BA62" s="207"/>
      <c r="BB62" s="207"/>
      <c r="BC62" s="431"/>
      <c r="BD62" s="431"/>
      <c r="BE62" s="469"/>
      <c r="BF62" s="187">
        <f t="shared" si="443"/>
        <v>0</v>
      </c>
      <c r="BG62" s="383"/>
      <c r="BH62" s="383"/>
      <c r="BI62" s="383"/>
      <c r="BJ62" s="1044"/>
      <c r="BK62" s="500"/>
      <c r="BL62" s="189">
        <f t="shared" si="444"/>
        <v>0</v>
      </c>
      <c r="BM62" s="207"/>
      <c r="BN62" s="207"/>
      <c r="BO62" s="431"/>
      <c r="BP62" s="431"/>
      <c r="BQ62" s="469"/>
      <c r="BR62" s="835" t="str">
        <f t="shared" si="8"/>
        <v xml:space="preserve"> </v>
      </c>
      <c r="BS62" s="542" t="str">
        <f t="shared" si="9"/>
        <v xml:space="preserve"> </v>
      </c>
      <c r="BT62" s="828" t="str">
        <f t="shared" si="76"/>
        <v xml:space="preserve"> </v>
      </c>
      <c r="BU62" s="323" t="str">
        <f t="shared" si="77"/>
        <v xml:space="preserve"> </v>
      </c>
      <c r="BV62" s="323" t="str">
        <f t="shared" si="78"/>
        <v xml:space="preserve"> </v>
      </c>
      <c r="BW62" s="198" t="str">
        <f t="shared" si="79"/>
        <v xml:space="preserve"> </v>
      </c>
      <c r="BX62" s="967"/>
    </row>
    <row r="63" spans="1:77" s="111" customFormat="1" ht="31.5">
      <c r="A63" s="114" t="s">
        <v>45</v>
      </c>
      <c r="B63" s="139" t="s">
        <v>131</v>
      </c>
      <c r="C63" s="1012" t="s">
        <v>1</v>
      </c>
      <c r="D63" s="187">
        <f t="shared" si="445"/>
        <v>13.6964513</v>
      </c>
      <c r="E63" s="208">
        <f>SUM(E64:E71)</f>
        <v>13.042000000000002</v>
      </c>
      <c r="F63" s="208">
        <f t="shared" ref="F63:I63" si="446">SUM(F64:F71)</f>
        <v>0.65445129999999885</v>
      </c>
      <c r="G63" s="208">
        <f t="shared" si="446"/>
        <v>0</v>
      </c>
      <c r="H63" s="1025">
        <f t="shared" si="446"/>
        <v>0</v>
      </c>
      <c r="I63" s="468">
        <f t="shared" si="446"/>
        <v>0</v>
      </c>
      <c r="J63" s="187">
        <f t="shared" si="435"/>
        <v>65.058999999999997</v>
      </c>
      <c r="K63" s="232">
        <f>SUM(K64:K71)</f>
        <v>38.882999999999996</v>
      </c>
      <c r="L63" s="232">
        <f t="shared" ref="L63:O63" si="447">SUM(L64:L71)</f>
        <v>24.986000000000004</v>
      </c>
      <c r="M63" s="232">
        <f t="shared" si="447"/>
        <v>0</v>
      </c>
      <c r="N63" s="939">
        <f t="shared" si="447"/>
        <v>1.19</v>
      </c>
      <c r="O63" s="470">
        <f t="shared" si="447"/>
        <v>0</v>
      </c>
      <c r="P63" s="187">
        <f>Q63+R63+S63+T63</f>
        <v>13.88</v>
      </c>
      <c r="Q63" s="208">
        <f>SUM(Q64:Q71)</f>
        <v>13.88</v>
      </c>
      <c r="R63" s="208">
        <f t="shared" ref="R63:U63" si="448">SUM(R64:R71)</f>
        <v>0</v>
      </c>
      <c r="S63" s="208">
        <f t="shared" si="448"/>
        <v>0</v>
      </c>
      <c r="T63" s="1025">
        <f t="shared" si="448"/>
        <v>0</v>
      </c>
      <c r="U63" s="468">
        <f t="shared" si="448"/>
        <v>0</v>
      </c>
      <c r="V63" s="187">
        <f t="shared" si="437"/>
        <v>203.94800000000001</v>
      </c>
      <c r="W63" s="232">
        <f>SUM(W64:W71)</f>
        <v>200.20400000000001</v>
      </c>
      <c r="X63" s="232">
        <f t="shared" ref="X63:Z63" si="449">SUM(X64:X71)</f>
        <v>0</v>
      </c>
      <c r="Y63" s="232">
        <f t="shared" si="449"/>
        <v>0</v>
      </c>
      <c r="Z63" s="939">
        <f t="shared" si="449"/>
        <v>3.7440000000000002</v>
      </c>
      <c r="AA63" s="470">
        <f t="shared" ref="AA63" si="450">SUM(AA64:AA71)</f>
        <v>0</v>
      </c>
      <c r="AB63" s="189">
        <f t="shared" si="438"/>
        <v>11.73</v>
      </c>
      <c r="AC63" s="1150">
        <f>SUM(AC64:AC71)</f>
        <v>11.73</v>
      </c>
      <c r="AD63" s="1150">
        <f t="shared" ref="AD63" si="451">SUM(AD64:AD71)</f>
        <v>0</v>
      </c>
      <c r="AE63" s="1150">
        <f t="shared" ref="AE63" si="452">SUM(AE64:AE71)</f>
        <v>0</v>
      </c>
      <c r="AF63" s="1151">
        <f t="shared" ref="AF63" si="453">SUM(AF64:AF71)</f>
        <v>0</v>
      </c>
      <c r="AG63" s="468">
        <f t="shared" ref="AG63" si="454">SUM(AG64:AG71)</f>
        <v>0</v>
      </c>
      <c r="AH63" s="187">
        <f t="shared" si="439"/>
        <v>286.99596659200012</v>
      </c>
      <c r="AI63" s="232">
        <f>SUM(AI64:AI71)</f>
        <v>281.72003816007833</v>
      </c>
      <c r="AJ63" s="232">
        <f t="shared" ref="AJ63:AL63" si="455">SUM(AJ64:AJ71)</f>
        <v>0</v>
      </c>
      <c r="AK63" s="232">
        <f t="shared" si="455"/>
        <v>0</v>
      </c>
      <c r="AL63" s="939">
        <f t="shared" si="455"/>
        <v>5.2759284319217681</v>
      </c>
      <c r="AM63" s="470">
        <f t="shared" ref="AM63" si="456">SUM(AM64:AM71)</f>
        <v>0</v>
      </c>
      <c r="AN63" s="189">
        <f t="shared" si="440"/>
        <v>10.66</v>
      </c>
      <c r="AO63" s="208">
        <f>SUM(AO64:AO71)</f>
        <v>10.66</v>
      </c>
      <c r="AP63" s="208">
        <f t="shared" ref="AP63:AS63" si="457">SUM(AP64:AP71)</f>
        <v>0</v>
      </c>
      <c r="AQ63" s="208">
        <f t="shared" si="457"/>
        <v>0</v>
      </c>
      <c r="AR63" s="429">
        <f t="shared" si="457"/>
        <v>0</v>
      </c>
      <c r="AS63" s="468">
        <f t="shared" si="457"/>
        <v>0</v>
      </c>
      <c r="AT63" s="187">
        <f t="shared" si="441"/>
        <v>211.2742052556797</v>
      </c>
      <c r="AU63" s="232">
        <f>SUM(AU64:AU71)</f>
        <v>207.08899817220529</v>
      </c>
      <c r="AV63" s="232">
        <f t="shared" ref="AV63:AX63" si="458">SUM(AV64:AV71)</f>
        <v>0</v>
      </c>
      <c r="AW63" s="232">
        <f t="shared" si="458"/>
        <v>0</v>
      </c>
      <c r="AX63" s="939">
        <f t="shared" si="458"/>
        <v>4.1852070834743955</v>
      </c>
      <c r="AY63" s="470">
        <f t="shared" ref="AY63" si="459">SUM(AY64:AY71)</f>
        <v>0</v>
      </c>
      <c r="AZ63" s="189">
        <f t="shared" si="442"/>
        <v>10.66</v>
      </c>
      <c r="BA63" s="208">
        <f>SUM(BA64:BA71)</f>
        <v>10.66</v>
      </c>
      <c r="BB63" s="208">
        <f t="shared" ref="BB63:BE63" si="460">SUM(BB64:BB71)</f>
        <v>0</v>
      </c>
      <c r="BC63" s="208">
        <f t="shared" si="460"/>
        <v>0</v>
      </c>
      <c r="BD63" s="429">
        <f t="shared" si="460"/>
        <v>0</v>
      </c>
      <c r="BE63" s="468">
        <f t="shared" si="460"/>
        <v>0</v>
      </c>
      <c r="BF63" s="187">
        <f t="shared" si="443"/>
        <v>215.72037346590704</v>
      </c>
      <c r="BG63" s="232">
        <f>SUM(BG64:BG71)</f>
        <v>211.44097270853055</v>
      </c>
      <c r="BH63" s="232">
        <f t="shared" ref="BH63:BJ63" si="461">SUM(BH64:BH71)</f>
        <v>0</v>
      </c>
      <c r="BI63" s="232">
        <f t="shared" si="461"/>
        <v>0</v>
      </c>
      <c r="BJ63" s="939">
        <f t="shared" si="461"/>
        <v>4.2794007573764805</v>
      </c>
      <c r="BK63" s="470">
        <f t="shared" ref="BK63" si="462">SUM(BK64:BK71)</f>
        <v>0</v>
      </c>
      <c r="BL63" s="189">
        <f>BM63+BN63+BO63+BP63</f>
        <v>10.66</v>
      </c>
      <c r="BM63" s="208">
        <f>SUM(BM64:BM71)</f>
        <v>10.66</v>
      </c>
      <c r="BN63" s="208">
        <f t="shared" ref="BN63:BQ63" si="463">SUM(BN64:BN71)</f>
        <v>0</v>
      </c>
      <c r="BO63" s="208">
        <f t="shared" si="463"/>
        <v>0</v>
      </c>
      <c r="BP63" s="429">
        <f t="shared" si="463"/>
        <v>0</v>
      </c>
      <c r="BQ63" s="468">
        <f t="shared" si="463"/>
        <v>0</v>
      </c>
      <c r="BR63" s="835">
        <f t="shared" si="8"/>
        <v>0.21334481009545184</v>
      </c>
      <c r="BS63" s="542">
        <f t="shared" si="9"/>
        <v>1.0134011866270791</v>
      </c>
      <c r="BT63" s="831">
        <f t="shared" si="76"/>
        <v>0.84510086455331412</v>
      </c>
      <c r="BU63" s="324">
        <f t="shared" si="77"/>
        <v>0.9087809036658141</v>
      </c>
      <c r="BV63" s="324">
        <f t="shared" si="78"/>
        <v>1</v>
      </c>
      <c r="BW63" s="201">
        <f t="shared" si="79"/>
        <v>1</v>
      </c>
      <c r="BX63" s="967"/>
    </row>
    <row r="64" spans="1:77" s="83" customFormat="1" ht="47.25" outlineLevel="1">
      <c r="A64" s="133"/>
      <c r="B64" s="140" t="s">
        <v>294</v>
      </c>
      <c r="C64" s="1008" t="s">
        <v>1</v>
      </c>
      <c r="D64" s="187">
        <f t="shared" si="445"/>
        <v>1.03</v>
      </c>
      <c r="E64" s="984">
        <v>0.91</v>
      </c>
      <c r="F64" s="984">
        <v>0.12</v>
      </c>
      <c r="G64" s="984"/>
      <c r="H64" s="1029"/>
      <c r="I64" s="986"/>
      <c r="J64" s="187">
        <f t="shared" si="435"/>
        <v>4.28</v>
      </c>
      <c r="K64" s="983">
        <v>2.5579999999999998</v>
      </c>
      <c r="L64" s="983">
        <v>1.6440000000000003</v>
      </c>
      <c r="M64" s="983"/>
      <c r="N64" s="1051">
        <v>7.8E-2</v>
      </c>
      <c r="O64" s="987"/>
      <c r="P64" s="187">
        <f>Q64+R64+S64+T64</f>
        <v>3.96</v>
      </c>
      <c r="Q64" s="984">
        <v>3.96</v>
      </c>
      <c r="R64" s="984"/>
      <c r="S64" s="984"/>
      <c r="T64" s="1029"/>
      <c r="U64" s="986"/>
      <c r="V64" s="187">
        <f t="shared" si="437"/>
        <v>4.4510000000000005</v>
      </c>
      <c r="W64" s="983">
        <v>4.37</v>
      </c>
      <c r="X64" s="983"/>
      <c r="Y64" s="983"/>
      <c r="Z64" s="1051">
        <v>8.1000000000000003E-2</v>
      </c>
      <c r="AA64" s="987"/>
      <c r="AB64" s="189">
        <f>AC64+AD64+AE64+AF64</f>
        <v>3.96</v>
      </c>
      <c r="AC64" s="1153">
        <f>Q64</f>
        <v>3.96</v>
      </c>
      <c r="AD64" s="1153"/>
      <c r="AE64" s="1154"/>
      <c r="AF64" s="1154"/>
      <c r="AG64" s="986"/>
      <c r="AH64" s="187">
        <f t="shared" si="439"/>
        <v>4.6292480000000005</v>
      </c>
      <c r="AI64" s="983">
        <v>4.5445158539233717</v>
      </c>
      <c r="AJ64" s="983"/>
      <c r="AK64" s="983"/>
      <c r="AL64" s="1051">
        <v>8.4732146076628531E-2</v>
      </c>
      <c r="AM64" s="987"/>
      <c r="AN64" s="189">
        <f t="shared" si="440"/>
        <v>3.96</v>
      </c>
      <c r="AO64" s="984">
        <f>Q64</f>
        <v>3.96</v>
      </c>
      <c r="AP64" s="984"/>
      <c r="AQ64" s="985"/>
      <c r="AR64" s="985"/>
      <c r="AS64" s="986"/>
      <c r="AT64" s="187">
        <f t="shared" si="441"/>
        <v>4.8144179200000004</v>
      </c>
      <c r="AU64" s="983">
        <v>4.7262964880803064</v>
      </c>
      <c r="AV64" s="983"/>
      <c r="AW64" s="983"/>
      <c r="AX64" s="1051">
        <v>8.8121431919693669E-2</v>
      </c>
      <c r="AY64" s="987"/>
      <c r="AZ64" s="189">
        <f t="shared" si="442"/>
        <v>3.96</v>
      </c>
      <c r="BA64" s="984">
        <f>AO64</f>
        <v>3.96</v>
      </c>
      <c r="BB64" s="984"/>
      <c r="BC64" s="985"/>
      <c r="BD64" s="985"/>
      <c r="BE64" s="986"/>
      <c r="BF64" s="187">
        <f t="shared" si="443"/>
        <v>5.0069946368000009</v>
      </c>
      <c r="BG64" s="983">
        <v>4.9153483476035191</v>
      </c>
      <c r="BH64" s="983"/>
      <c r="BI64" s="983"/>
      <c r="BJ64" s="1051">
        <v>9.1646289196481434E-2</v>
      </c>
      <c r="BK64" s="987"/>
      <c r="BL64" s="189">
        <f t="shared" si="444"/>
        <v>3.96</v>
      </c>
      <c r="BM64" s="984">
        <f>BA64</f>
        <v>3.96</v>
      </c>
      <c r="BN64" s="984"/>
      <c r="BO64" s="985"/>
      <c r="BP64" s="985"/>
      <c r="BQ64" s="986"/>
      <c r="BR64" s="835">
        <f t="shared" si="8"/>
        <v>0.92523364485981308</v>
      </c>
      <c r="BS64" s="542">
        <f t="shared" si="9"/>
        <v>3.8446601941747574</v>
      </c>
      <c r="BT64" s="828">
        <f t="shared" si="76"/>
        <v>1</v>
      </c>
      <c r="BU64" s="323">
        <f t="shared" si="77"/>
        <v>1</v>
      </c>
      <c r="BV64" s="323">
        <f t="shared" si="78"/>
        <v>1</v>
      </c>
      <c r="BW64" s="198">
        <f t="shared" si="79"/>
        <v>1</v>
      </c>
      <c r="BX64" s="969" t="s">
        <v>489</v>
      </c>
    </row>
    <row r="65" spans="1:77" s="83" customFormat="1" ht="18.75">
      <c r="A65" s="133"/>
      <c r="B65" s="140" t="s">
        <v>132</v>
      </c>
      <c r="C65" s="1008" t="s">
        <v>1</v>
      </c>
      <c r="D65" s="187">
        <f t="shared" si="445"/>
        <v>7.2744512999999991</v>
      </c>
      <c r="E65" s="207">
        <v>6.74</v>
      </c>
      <c r="F65" s="207">
        <v>0.53445129999999885</v>
      </c>
      <c r="G65" s="207"/>
      <c r="H65" s="1023"/>
      <c r="I65" s="469"/>
      <c r="J65" s="187">
        <f t="shared" si="435"/>
        <v>7.5589999999999993</v>
      </c>
      <c r="K65" s="383">
        <v>4.5179999999999998</v>
      </c>
      <c r="L65" s="383">
        <v>2.903</v>
      </c>
      <c r="M65" s="383"/>
      <c r="N65" s="1044">
        <v>0.13800000000000001</v>
      </c>
      <c r="O65" s="500"/>
      <c r="P65" s="187">
        <f t="shared" si="436"/>
        <v>6.7</v>
      </c>
      <c r="Q65" s="207">
        <v>6.7</v>
      </c>
      <c r="R65" s="207"/>
      <c r="S65" s="207"/>
      <c r="T65" s="1023"/>
      <c r="U65" s="469"/>
      <c r="V65" s="187">
        <f t="shared" si="437"/>
        <v>7.86</v>
      </c>
      <c r="W65" s="383">
        <v>7.86</v>
      </c>
      <c r="X65" s="383"/>
      <c r="Y65" s="383"/>
      <c r="Z65" s="1044"/>
      <c r="AA65" s="500"/>
      <c r="AB65" s="189">
        <f t="shared" si="438"/>
        <v>6.7</v>
      </c>
      <c r="AC65" s="1144">
        <f>Q65</f>
        <v>6.7</v>
      </c>
      <c r="AD65" s="1144"/>
      <c r="AE65" s="1145"/>
      <c r="AF65" s="1145"/>
      <c r="AG65" s="469"/>
      <c r="AH65" s="187">
        <f t="shared" si="439"/>
        <v>8.18</v>
      </c>
      <c r="AI65" s="383">
        <v>8.18</v>
      </c>
      <c r="AJ65" s="383"/>
      <c r="AK65" s="383"/>
      <c r="AL65" s="1044"/>
      <c r="AM65" s="500"/>
      <c r="AN65" s="189">
        <f t="shared" si="440"/>
        <v>6.7</v>
      </c>
      <c r="AO65" s="207">
        <f>AC65</f>
        <v>6.7</v>
      </c>
      <c r="AP65" s="207"/>
      <c r="AQ65" s="431"/>
      <c r="AR65" s="431"/>
      <c r="AS65" s="469"/>
      <c r="AT65" s="187">
        <f t="shared" si="441"/>
        <v>8.5</v>
      </c>
      <c r="AU65" s="383">
        <v>8.5</v>
      </c>
      <c r="AV65" s="383"/>
      <c r="AW65" s="383"/>
      <c r="AX65" s="1044"/>
      <c r="AY65" s="500"/>
      <c r="AZ65" s="189">
        <f t="shared" si="442"/>
        <v>6.7</v>
      </c>
      <c r="BA65" s="207">
        <f>AO65</f>
        <v>6.7</v>
      </c>
      <c r="BB65" s="207"/>
      <c r="BC65" s="431"/>
      <c r="BD65" s="431"/>
      <c r="BE65" s="469"/>
      <c r="BF65" s="187">
        <f t="shared" si="443"/>
        <v>8.85</v>
      </c>
      <c r="BG65" s="383">
        <v>8.85</v>
      </c>
      <c r="BH65" s="383"/>
      <c r="BI65" s="383"/>
      <c r="BJ65" s="1044"/>
      <c r="BK65" s="500"/>
      <c r="BL65" s="189">
        <f t="shared" si="444"/>
        <v>6.7</v>
      </c>
      <c r="BM65" s="207">
        <f>BA65</f>
        <v>6.7</v>
      </c>
      <c r="BN65" s="207"/>
      <c r="BO65" s="431"/>
      <c r="BP65" s="431"/>
      <c r="BQ65" s="469"/>
      <c r="BR65" s="835">
        <f t="shared" si="8"/>
        <v>0.88636062971292506</v>
      </c>
      <c r="BS65" s="542">
        <f t="shared" si="9"/>
        <v>0.92103166598970854</v>
      </c>
      <c r="BT65" s="828">
        <f t="shared" si="76"/>
        <v>1</v>
      </c>
      <c r="BU65" s="323">
        <f t="shared" si="77"/>
        <v>1</v>
      </c>
      <c r="BV65" s="323">
        <f t="shared" si="78"/>
        <v>1</v>
      </c>
      <c r="BW65" s="198">
        <f t="shared" si="79"/>
        <v>1</v>
      </c>
      <c r="BX65" s="967" t="s">
        <v>494</v>
      </c>
    </row>
    <row r="66" spans="1:77" s="83" customFormat="1" ht="26.25">
      <c r="A66" s="133"/>
      <c r="B66" s="140" t="s">
        <v>133</v>
      </c>
      <c r="C66" s="1008" t="s">
        <v>1</v>
      </c>
      <c r="D66" s="187">
        <f t="shared" si="445"/>
        <v>5.3920000000000003</v>
      </c>
      <c r="E66" s="207">
        <v>5.3920000000000003</v>
      </c>
      <c r="F66" s="207"/>
      <c r="G66" s="207"/>
      <c r="H66" s="1023"/>
      <c r="I66" s="469"/>
      <c r="J66" s="187">
        <f t="shared" si="435"/>
        <v>3.22</v>
      </c>
      <c r="K66" s="383">
        <v>1.9239999999999999</v>
      </c>
      <c r="L66" s="383">
        <v>1.2370000000000001</v>
      </c>
      <c r="M66" s="383"/>
      <c r="N66" s="1044">
        <v>5.8999999999999997E-2</v>
      </c>
      <c r="O66" s="500"/>
      <c r="P66" s="187">
        <f t="shared" si="436"/>
        <v>3.22</v>
      </c>
      <c r="Q66" s="207">
        <f>J66</f>
        <v>3.22</v>
      </c>
      <c r="R66" s="207"/>
      <c r="S66" s="207"/>
      <c r="T66" s="1023"/>
      <c r="U66" s="469"/>
      <c r="V66" s="187">
        <f t="shared" si="437"/>
        <v>1.07</v>
      </c>
      <c r="W66" s="383">
        <v>1.07</v>
      </c>
      <c r="X66" s="383"/>
      <c r="Y66" s="383"/>
      <c r="Z66" s="1044"/>
      <c r="AA66" s="500"/>
      <c r="AB66" s="189">
        <f t="shared" si="438"/>
        <v>1.07</v>
      </c>
      <c r="AC66" s="1144">
        <f>W66</f>
        <v>1.07</v>
      </c>
      <c r="AD66" s="1144"/>
      <c r="AE66" s="1145"/>
      <c r="AF66" s="1145"/>
      <c r="AG66" s="469"/>
      <c r="AH66" s="187">
        <f t="shared" si="439"/>
        <v>0</v>
      </c>
      <c r="AI66" s="383"/>
      <c r="AJ66" s="383"/>
      <c r="AK66" s="383"/>
      <c r="AL66" s="1044"/>
      <c r="AM66" s="500"/>
      <c r="AN66" s="189">
        <f t="shared" si="440"/>
        <v>0</v>
      </c>
      <c r="AO66" s="207"/>
      <c r="AP66" s="207"/>
      <c r="AQ66" s="431"/>
      <c r="AR66" s="431"/>
      <c r="AS66" s="469"/>
      <c r="AT66" s="187">
        <f t="shared" si="441"/>
        <v>0</v>
      </c>
      <c r="AU66" s="383"/>
      <c r="AV66" s="383"/>
      <c r="AW66" s="383"/>
      <c r="AX66" s="1044"/>
      <c r="AY66" s="500"/>
      <c r="AZ66" s="189">
        <f t="shared" si="442"/>
        <v>0</v>
      </c>
      <c r="BA66" s="207"/>
      <c r="BB66" s="207"/>
      <c r="BC66" s="431"/>
      <c r="BD66" s="431"/>
      <c r="BE66" s="469"/>
      <c r="BF66" s="187">
        <f t="shared" si="443"/>
        <v>0</v>
      </c>
      <c r="BG66" s="383"/>
      <c r="BH66" s="383"/>
      <c r="BI66" s="383"/>
      <c r="BJ66" s="1044"/>
      <c r="BK66" s="500"/>
      <c r="BL66" s="189">
        <f t="shared" si="444"/>
        <v>0</v>
      </c>
      <c r="BM66" s="207">
        <f>BA66</f>
        <v>0</v>
      </c>
      <c r="BN66" s="207"/>
      <c r="BO66" s="431"/>
      <c r="BP66" s="431"/>
      <c r="BQ66" s="469"/>
      <c r="BR66" s="835">
        <f t="shared" si="8"/>
        <v>1</v>
      </c>
      <c r="BS66" s="542">
        <f t="shared" si="9"/>
        <v>0.59718100890207715</v>
      </c>
      <c r="BT66" s="828">
        <f t="shared" si="76"/>
        <v>0.33229813664596275</v>
      </c>
      <c r="BU66" s="323">
        <f t="shared" si="77"/>
        <v>0</v>
      </c>
      <c r="BV66" s="323" t="str">
        <f t="shared" si="78"/>
        <v xml:space="preserve"> </v>
      </c>
      <c r="BW66" s="198" t="str">
        <f t="shared" si="79"/>
        <v xml:space="preserve"> </v>
      </c>
      <c r="BX66" s="967" t="s">
        <v>487</v>
      </c>
    </row>
    <row r="67" spans="1:77" s="83" customFormat="1" ht="18.75">
      <c r="A67" s="133"/>
      <c r="B67" s="140" t="s">
        <v>137</v>
      </c>
      <c r="C67" s="1008" t="s">
        <v>1</v>
      </c>
      <c r="D67" s="187">
        <f t="shared" si="445"/>
        <v>0</v>
      </c>
      <c r="E67" s="207"/>
      <c r="F67" s="207"/>
      <c r="G67" s="207"/>
      <c r="H67" s="1023"/>
      <c r="I67" s="469"/>
      <c r="J67" s="187">
        <f t="shared" si="435"/>
        <v>0</v>
      </c>
      <c r="K67" s="383"/>
      <c r="L67" s="383"/>
      <c r="M67" s="383"/>
      <c r="N67" s="1044"/>
      <c r="O67" s="500"/>
      <c r="P67" s="187">
        <f t="shared" si="436"/>
        <v>0</v>
      </c>
      <c r="Q67" s="207"/>
      <c r="R67" s="207"/>
      <c r="S67" s="207"/>
      <c r="T67" s="1023"/>
      <c r="U67" s="469"/>
      <c r="V67" s="187">
        <f t="shared" si="437"/>
        <v>0</v>
      </c>
      <c r="W67" s="383"/>
      <c r="X67" s="383"/>
      <c r="Y67" s="383"/>
      <c r="Z67" s="1044"/>
      <c r="AA67" s="500"/>
      <c r="AB67" s="189">
        <f t="shared" si="438"/>
        <v>0</v>
      </c>
      <c r="AC67" s="1144"/>
      <c r="AD67" s="1144"/>
      <c r="AE67" s="1145"/>
      <c r="AF67" s="1145"/>
      <c r="AG67" s="469"/>
      <c r="AH67" s="187">
        <f t="shared" si="439"/>
        <v>0</v>
      </c>
      <c r="AI67" s="383"/>
      <c r="AJ67" s="383"/>
      <c r="AK67" s="383"/>
      <c r="AL67" s="1044"/>
      <c r="AM67" s="500"/>
      <c r="AN67" s="189">
        <f t="shared" si="440"/>
        <v>0</v>
      </c>
      <c r="AO67" s="207"/>
      <c r="AP67" s="207"/>
      <c r="AQ67" s="431"/>
      <c r="AR67" s="431"/>
      <c r="AS67" s="469"/>
      <c r="AT67" s="187">
        <f t="shared" si="441"/>
        <v>0</v>
      </c>
      <c r="AU67" s="383"/>
      <c r="AV67" s="383"/>
      <c r="AW67" s="383"/>
      <c r="AX67" s="1044"/>
      <c r="AY67" s="500"/>
      <c r="AZ67" s="189">
        <f t="shared" si="442"/>
        <v>0</v>
      </c>
      <c r="BA67" s="207"/>
      <c r="BB67" s="207"/>
      <c r="BC67" s="431"/>
      <c r="BD67" s="431"/>
      <c r="BE67" s="469"/>
      <c r="BF67" s="187">
        <f t="shared" si="443"/>
        <v>0</v>
      </c>
      <c r="BG67" s="383"/>
      <c r="BH67" s="383"/>
      <c r="BI67" s="383"/>
      <c r="BJ67" s="1044"/>
      <c r="BK67" s="500"/>
      <c r="BL67" s="189">
        <f t="shared" si="444"/>
        <v>0</v>
      </c>
      <c r="BM67" s="207"/>
      <c r="BN67" s="207"/>
      <c r="BO67" s="431"/>
      <c r="BP67" s="431"/>
      <c r="BQ67" s="469"/>
      <c r="BR67" s="835" t="str">
        <f t="shared" si="8"/>
        <v xml:space="preserve"> </v>
      </c>
      <c r="BS67" s="542" t="str">
        <f t="shared" si="9"/>
        <v xml:space="preserve"> </v>
      </c>
      <c r="BT67" s="828" t="str">
        <f t="shared" ref="BT67:BT70" si="464">IF(ISERROR(AB67/P67)," ",AB67/P67)</f>
        <v xml:space="preserve"> </v>
      </c>
      <c r="BU67" s="323" t="str">
        <f t="shared" ref="BU67:BU70" si="465">IF(ISERROR(AN67/AB67)," ",AN67/AB67)</f>
        <v xml:space="preserve"> </v>
      </c>
      <c r="BV67" s="323" t="str">
        <f t="shared" ref="BV67:BV70" si="466">IF(ISERROR(AZ67/AN67)," ",AZ67/AN67)</f>
        <v xml:space="preserve"> </v>
      </c>
      <c r="BW67" s="198" t="str">
        <f t="shared" ref="BW67:BW70" si="467">IF(ISERROR(BL67/AZ67)," ",BL67/AZ67)</f>
        <v xml:space="preserve"> </v>
      </c>
      <c r="BX67" s="967"/>
    </row>
    <row r="68" spans="1:77" s="83" customFormat="1" ht="18.75">
      <c r="A68" s="133"/>
      <c r="B68" s="140" t="s">
        <v>136</v>
      </c>
      <c r="C68" s="1008" t="s">
        <v>1</v>
      </c>
      <c r="D68" s="187">
        <f t="shared" si="445"/>
        <v>0</v>
      </c>
      <c r="E68" s="207"/>
      <c r="F68" s="207"/>
      <c r="G68" s="207"/>
      <c r="H68" s="1023"/>
      <c r="I68" s="469"/>
      <c r="J68" s="187">
        <f t="shared" si="435"/>
        <v>0</v>
      </c>
      <c r="K68" s="383"/>
      <c r="L68" s="383"/>
      <c r="M68" s="383"/>
      <c r="N68" s="1044"/>
      <c r="O68" s="500"/>
      <c r="P68" s="187">
        <f t="shared" si="436"/>
        <v>0</v>
      </c>
      <c r="Q68" s="207"/>
      <c r="R68" s="207"/>
      <c r="S68" s="207"/>
      <c r="T68" s="1023"/>
      <c r="U68" s="469"/>
      <c r="V68" s="187">
        <f t="shared" si="437"/>
        <v>0</v>
      </c>
      <c r="W68" s="383"/>
      <c r="X68" s="383"/>
      <c r="Y68" s="383"/>
      <c r="Z68" s="1044"/>
      <c r="AA68" s="500"/>
      <c r="AB68" s="189">
        <f t="shared" si="438"/>
        <v>0</v>
      </c>
      <c r="AC68" s="1144"/>
      <c r="AD68" s="1144"/>
      <c r="AE68" s="1145"/>
      <c r="AF68" s="1145"/>
      <c r="AG68" s="469"/>
      <c r="AH68" s="187">
        <f t="shared" si="439"/>
        <v>0</v>
      </c>
      <c r="AI68" s="383"/>
      <c r="AJ68" s="383"/>
      <c r="AK68" s="383"/>
      <c r="AL68" s="1044"/>
      <c r="AM68" s="500"/>
      <c r="AN68" s="189">
        <f t="shared" si="440"/>
        <v>0</v>
      </c>
      <c r="AO68" s="207"/>
      <c r="AP68" s="207"/>
      <c r="AQ68" s="431"/>
      <c r="AR68" s="431"/>
      <c r="AS68" s="469"/>
      <c r="AT68" s="187">
        <f t="shared" si="441"/>
        <v>0</v>
      </c>
      <c r="AU68" s="383"/>
      <c r="AV68" s="383"/>
      <c r="AW68" s="383"/>
      <c r="AX68" s="1044"/>
      <c r="AY68" s="500"/>
      <c r="AZ68" s="189">
        <f t="shared" si="442"/>
        <v>0</v>
      </c>
      <c r="BA68" s="207"/>
      <c r="BB68" s="207"/>
      <c r="BC68" s="431"/>
      <c r="BD68" s="431"/>
      <c r="BE68" s="469"/>
      <c r="BF68" s="187">
        <f t="shared" si="443"/>
        <v>0</v>
      </c>
      <c r="BG68" s="383"/>
      <c r="BH68" s="383"/>
      <c r="BI68" s="383"/>
      <c r="BJ68" s="1044"/>
      <c r="BK68" s="500"/>
      <c r="BL68" s="189">
        <f t="shared" si="444"/>
        <v>0</v>
      </c>
      <c r="BM68" s="207"/>
      <c r="BN68" s="207"/>
      <c r="BO68" s="431"/>
      <c r="BP68" s="431"/>
      <c r="BQ68" s="469"/>
      <c r="BR68" s="835" t="str">
        <f t="shared" si="8"/>
        <v xml:space="preserve"> </v>
      </c>
      <c r="BS68" s="542" t="str">
        <f t="shared" si="9"/>
        <v xml:space="preserve"> </v>
      </c>
      <c r="BT68" s="828" t="str">
        <f t="shared" si="464"/>
        <v xml:space="preserve"> </v>
      </c>
      <c r="BU68" s="323" t="str">
        <f t="shared" si="465"/>
        <v xml:space="preserve"> </v>
      </c>
      <c r="BV68" s="323" t="str">
        <f t="shared" si="466"/>
        <v xml:space="preserve"> </v>
      </c>
      <c r="BW68" s="198" t="str">
        <f t="shared" si="467"/>
        <v xml:space="preserve"> </v>
      </c>
      <c r="BX68" s="967"/>
    </row>
    <row r="69" spans="1:77" s="83" customFormat="1" ht="15.75" customHeight="1" outlineLevel="1">
      <c r="A69" s="133"/>
      <c r="B69" s="140" t="s">
        <v>134</v>
      </c>
      <c r="C69" s="1008" t="s">
        <v>1</v>
      </c>
      <c r="D69" s="187">
        <f t="shared" si="445"/>
        <v>0</v>
      </c>
      <c r="E69" s="207"/>
      <c r="F69" s="207"/>
      <c r="G69" s="207"/>
      <c r="H69" s="1023"/>
      <c r="I69" s="469"/>
      <c r="J69" s="187">
        <f t="shared" si="435"/>
        <v>0</v>
      </c>
      <c r="K69" s="383"/>
      <c r="L69" s="383"/>
      <c r="M69" s="383"/>
      <c r="N69" s="1044"/>
      <c r="O69" s="500"/>
      <c r="P69" s="187">
        <f t="shared" si="436"/>
        <v>0</v>
      </c>
      <c r="Q69" s="207"/>
      <c r="R69" s="207"/>
      <c r="S69" s="207"/>
      <c r="T69" s="1023"/>
      <c r="U69" s="469"/>
      <c r="V69" s="187">
        <f t="shared" si="437"/>
        <v>0</v>
      </c>
      <c r="W69" s="383"/>
      <c r="X69" s="383"/>
      <c r="Y69" s="383"/>
      <c r="Z69" s="1044"/>
      <c r="AA69" s="500"/>
      <c r="AB69" s="189">
        <f t="shared" si="438"/>
        <v>0</v>
      </c>
      <c r="AC69" s="1144"/>
      <c r="AD69" s="1144"/>
      <c r="AE69" s="1145"/>
      <c r="AF69" s="1145"/>
      <c r="AG69" s="469"/>
      <c r="AH69" s="187">
        <f t="shared" si="439"/>
        <v>0</v>
      </c>
      <c r="AI69" s="383"/>
      <c r="AJ69" s="383"/>
      <c r="AK69" s="383"/>
      <c r="AL69" s="1044"/>
      <c r="AM69" s="500"/>
      <c r="AN69" s="189">
        <f t="shared" si="440"/>
        <v>0</v>
      </c>
      <c r="AO69" s="207"/>
      <c r="AP69" s="207"/>
      <c r="AQ69" s="431"/>
      <c r="AR69" s="431"/>
      <c r="AS69" s="469"/>
      <c r="AT69" s="187">
        <f t="shared" si="441"/>
        <v>0</v>
      </c>
      <c r="AU69" s="383"/>
      <c r="AV69" s="383"/>
      <c r="AW69" s="383"/>
      <c r="AX69" s="1044"/>
      <c r="AY69" s="500"/>
      <c r="AZ69" s="189">
        <f t="shared" si="442"/>
        <v>0</v>
      </c>
      <c r="BA69" s="207"/>
      <c r="BB69" s="207"/>
      <c r="BC69" s="431"/>
      <c r="BD69" s="431"/>
      <c r="BE69" s="469"/>
      <c r="BF69" s="187">
        <f t="shared" si="443"/>
        <v>0</v>
      </c>
      <c r="BG69" s="383"/>
      <c r="BH69" s="383"/>
      <c r="BI69" s="383"/>
      <c r="BJ69" s="1044"/>
      <c r="BK69" s="500"/>
      <c r="BL69" s="189">
        <f t="shared" si="444"/>
        <v>0</v>
      </c>
      <c r="BM69" s="207"/>
      <c r="BN69" s="207"/>
      <c r="BO69" s="431"/>
      <c r="BP69" s="431"/>
      <c r="BQ69" s="469"/>
      <c r="BR69" s="835" t="str">
        <f t="shared" si="8"/>
        <v xml:space="preserve"> </v>
      </c>
      <c r="BS69" s="542" t="str">
        <f t="shared" si="9"/>
        <v xml:space="preserve"> </v>
      </c>
      <c r="BT69" s="828" t="str">
        <f t="shared" si="464"/>
        <v xml:space="preserve"> </v>
      </c>
      <c r="BU69" s="323" t="str">
        <f t="shared" si="465"/>
        <v xml:space="preserve"> </v>
      </c>
      <c r="BV69" s="323" t="str">
        <f t="shared" si="466"/>
        <v xml:space="preserve"> </v>
      </c>
      <c r="BW69" s="198" t="str">
        <f t="shared" si="467"/>
        <v xml:space="preserve"> </v>
      </c>
      <c r="BX69" s="967"/>
    </row>
    <row r="70" spans="1:77" s="83" customFormat="1" ht="18.75">
      <c r="A70" s="133"/>
      <c r="B70" s="140" t="s">
        <v>135</v>
      </c>
      <c r="C70" s="1008" t="s">
        <v>1</v>
      </c>
      <c r="D70" s="187">
        <f t="shared" si="445"/>
        <v>0</v>
      </c>
      <c r="E70" s="207"/>
      <c r="F70" s="207"/>
      <c r="G70" s="207"/>
      <c r="H70" s="1023"/>
      <c r="I70" s="469"/>
      <c r="J70" s="187">
        <f t="shared" si="435"/>
        <v>0</v>
      </c>
      <c r="K70" s="383"/>
      <c r="L70" s="383"/>
      <c r="M70" s="383"/>
      <c r="N70" s="1044"/>
      <c r="O70" s="500"/>
      <c r="P70" s="187">
        <f t="shared" si="436"/>
        <v>0</v>
      </c>
      <c r="Q70" s="984"/>
      <c r="R70" s="207"/>
      <c r="S70" s="207"/>
      <c r="T70" s="1023"/>
      <c r="U70" s="469"/>
      <c r="V70" s="187">
        <f t="shared" si="437"/>
        <v>0</v>
      </c>
      <c r="W70" s="383"/>
      <c r="X70" s="383"/>
      <c r="Y70" s="383"/>
      <c r="Z70" s="1044"/>
      <c r="AA70" s="500"/>
      <c r="AB70" s="189">
        <f t="shared" si="438"/>
        <v>0</v>
      </c>
      <c r="AC70" s="1153">
        <f>ROUND(AC90*20/80,2)</f>
        <v>0</v>
      </c>
      <c r="AD70" s="1144"/>
      <c r="AE70" s="1145"/>
      <c r="AF70" s="1145"/>
      <c r="AG70" s="469"/>
      <c r="AH70" s="187">
        <f t="shared" si="439"/>
        <v>0</v>
      </c>
      <c r="AI70" s="383"/>
      <c r="AJ70" s="383"/>
      <c r="AK70" s="383"/>
      <c r="AL70" s="1044"/>
      <c r="AM70" s="500"/>
      <c r="AN70" s="189">
        <f t="shared" si="440"/>
        <v>0</v>
      </c>
      <c r="AO70" s="984">
        <f>ROUND(AO90*20/80,2)</f>
        <v>0</v>
      </c>
      <c r="AP70" s="207"/>
      <c r="AQ70" s="431"/>
      <c r="AR70" s="431"/>
      <c r="AS70" s="469"/>
      <c r="AT70" s="187">
        <f t="shared" si="441"/>
        <v>0</v>
      </c>
      <c r="AU70" s="383"/>
      <c r="AV70" s="383"/>
      <c r="AW70" s="383"/>
      <c r="AX70" s="1044"/>
      <c r="AY70" s="500"/>
      <c r="AZ70" s="189">
        <f t="shared" si="442"/>
        <v>0</v>
      </c>
      <c r="BA70" s="984">
        <f>ROUND(BA90*20/80,2)</f>
        <v>0</v>
      </c>
      <c r="BB70" s="207"/>
      <c r="BC70" s="431"/>
      <c r="BD70" s="431"/>
      <c r="BE70" s="469"/>
      <c r="BF70" s="187">
        <f t="shared" si="443"/>
        <v>0</v>
      </c>
      <c r="BG70" s="383"/>
      <c r="BH70" s="383"/>
      <c r="BI70" s="383"/>
      <c r="BJ70" s="1044"/>
      <c r="BK70" s="500"/>
      <c r="BL70" s="189">
        <f t="shared" si="444"/>
        <v>0</v>
      </c>
      <c r="BM70" s="984">
        <f>ROUND(BM90*20/80,2)</f>
        <v>0</v>
      </c>
      <c r="BN70" s="207"/>
      <c r="BO70" s="431"/>
      <c r="BP70" s="431"/>
      <c r="BQ70" s="469"/>
      <c r="BR70" s="835" t="str">
        <f t="shared" si="8"/>
        <v xml:space="preserve"> </v>
      </c>
      <c r="BS70" s="542" t="str">
        <f t="shared" si="9"/>
        <v xml:space="preserve"> </v>
      </c>
      <c r="BT70" s="828" t="str">
        <f t="shared" si="464"/>
        <v xml:space="preserve"> </v>
      </c>
      <c r="BU70" s="323" t="str">
        <f t="shared" si="465"/>
        <v xml:space="preserve"> </v>
      </c>
      <c r="BV70" s="323" t="str">
        <f t="shared" si="466"/>
        <v xml:space="preserve"> </v>
      </c>
      <c r="BW70" s="198" t="str">
        <f t="shared" si="467"/>
        <v xml:space="preserve"> </v>
      </c>
      <c r="BX70" s="967"/>
    </row>
    <row r="71" spans="1:77" s="83" customFormat="1" ht="18.75">
      <c r="A71" s="133"/>
      <c r="B71" s="140" t="s">
        <v>138</v>
      </c>
      <c r="C71" s="1008" t="s">
        <v>1</v>
      </c>
      <c r="D71" s="187">
        <f t="shared" si="445"/>
        <v>0</v>
      </c>
      <c r="E71" s="207"/>
      <c r="F71" s="207"/>
      <c r="G71" s="207"/>
      <c r="H71" s="1023"/>
      <c r="I71" s="469"/>
      <c r="J71" s="1250">
        <f t="shared" si="435"/>
        <v>50</v>
      </c>
      <c r="K71" s="383">
        <v>29.882999999999999</v>
      </c>
      <c r="L71" s="383">
        <v>19.202000000000002</v>
      </c>
      <c r="M71" s="1044"/>
      <c r="N71" s="1044">
        <v>0.91500000000000004</v>
      </c>
      <c r="O71" s="500"/>
      <c r="P71" s="187">
        <f t="shared" si="436"/>
        <v>0</v>
      </c>
      <c r="Q71" s="207"/>
      <c r="R71" s="207"/>
      <c r="S71" s="207"/>
      <c r="T71" s="1023"/>
      <c r="U71" s="469"/>
      <c r="V71" s="187">
        <f t="shared" si="437"/>
        <v>190.56700000000001</v>
      </c>
      <c r="W71" s="383">
        <f>1.05+210.571-W73-W65-W66</f>
        <v>186.904</v>
      </c>
      <c r="X71" s="383"/>
      <c r="Y71" s="1044"/>
      <c r="Z71" s="1044">
        <f>0.02+3.926-Z73</f>
        <v>3.6630000000000003</v>
      </c>
      <c r="AA71" s="500"/>
      <c r="AB71" s="189">
        <f t="shared" si="438"/>
        <v>0</v>
      </c>
      <c r="AC71" s="1144"/>
      <c r="AD71" s="1144"/>
      <c r="AE71" s="1145"/>
      <c r="AF71" s="1145"/>
      <c r="AG71" s="469"/>
      <c r="AH71" s="187">
        <f t="shared" si="439"/>
        <v>274.18671859200009</v>
      </c>
      <c r="AI71" s="383">
        <f>293.602522306155-AI73-AI65</f>
        <v>268.99552230615495</v>
      </c>
      <c r="AJ71" s="383"/>
      <c r="AK71" s="1044"/>
      <c r="AL71" s="1044">
        <f>5.47419628584514-AL73</f>
        <v>5.1911962858451393</v>
      </c>
      <c r="AM71" s="500"/>
      <c r="AN71" s="189">
        <f t="shared" si="440"/>
        <v>0</v>
      </c>
      <c r="AO71" s="207"/>
      <c r="AP71" s="207"/>
      <c r="AQ71" s="431"/>
      <c r="AR71" s="431"/>
      <c r="AS71" s="469"/>
      <c r="AT71" s="187">
        <f t="shared" si="441"/>
        <v>197.95978733567969</v>
      </c>
      <c r="AU71" s="383">
        <f>219.742701684125-AU65-AU73</f>
        <v>193.862701684125</v>
      </c>
      <c r="AV71" s="383"/>
      <c r="AW71" s="1044"/>
      <c r="AX71" s="1044">
        <v>4.0970856515547016</v>
      </c>
      <c r="AY71" s="500"/>
      <c r="AZ71" s="189">
        <f t="shared" si="442"/>
        <v>0</v>
      </c>
      <c r="BA71" s="207"/>
      <c r="BB71" s="207"/>
      <c r="BC71" s="431"/>
      <c r="BD71" s="431"/>
      <c r="BE71" s="469"/>
      <c r="BF71" s="187">
        <f t="shared" si="443"/>
        <v>201.86337882910703</v>
      </c>
      <c r="BG71" s="383">
        <f>224.605624360927-BG65-BG73</f>
        <v>197.67562436092703</v>
      </c>
      <c r="BH71" s="383"/>
      <c r="BI71" s="1044"/>
      <c r="BJ71" s="1044">
        <v>4.1877544681799987</v>
      </c>
      <c r="BK71" s="500"/>
      <c r="BL71" s="189">
        <f t="shared" si="444"/>
        <v>0</v>
      </c>
      <c r="BM71" s="207"/>
      <c r="BN71" s="207"/>
      <c r="BO71" s="431"/>
      <c r="BP71" s="431"/>
      <c r="BQ71" s="469"/>
      <c r="BR71" s="835">
        <f t="shared" si="8"/>
        <v>0</v>
      </c>
      <c r="BS71" s="542" t="str">
        <f t="shared" si="9"/>
        <v xml:space="preserve"> </v>
      </c>
      <c r="BT71" s="828" t="str">
        <f t="shared" si="76"/>
        <v xml:space="preserve"> </v>
      </c>
      <c r="BU71" s="323" t="str">
        <f t="shared" si="77"/>
        <v xml:space="preserve"> </v>
      </c>
      <c r="BV71" s="323" t="str">
        <f t="shared" si="78"/>
        <v xml:space="preserve"> </v>
      </c>
      <c r="BW71" s="198" t="str">
        <f t="shared" si="79"/>
        <v xml:space="preserve"> </v>
      </c>
      <c r="BX71" s="967"/>
    </row>
    <row r="72" spans="1:77" s="111" customFormat="1" ht="18.75">
      <c r="A72" s="114" t="s">
        <v>46</v>
      </c>
      <c r="B72" s="139" t="s">
        <v>139</v>
      </c>
      <c r="C72" s="1003" t="s">
        <v>1</v>
      </c>
      <c r="D72" s="187">
        <f t="shared" si="445"/>
        <v>0</v>
      </c>
      <c r="E72" s="190"/>
      <c r="F72" s="190"/>
      <c r="G72" s="190"/>
      <c r="H72" s="1019"/>
      <c r="I72" s="464"/>
      <c r="J72" s="187">
        <f t="shared" si="435"/>
        <v>0</v>
      </c>
      <c r="K72" s="232"/>
      <c r="L72" s="232"/>
      <c r="M72" s="939"/>
      <c r="N72" s="939"/>
      <c r="O72" s="470"/>
      <c r="P72" s="187">
        <f t="shared" si="436"/>
        <v>0</v>
      </c>
      <c r="Q72" s="190"/>
      <c r="R72" s="190"/>
      <c r="S72" s="190"/>
      <c r="T72" s="1019"/>
      <c r="U72" s="464"/>
      <c r="V72" s="187">
        <f t="shared" si="437"/>
        <v>0</v>
      </c>
      <c r="W72" s="232"/>
      <c r="X72" s="232"/>
      <c r="Y72" s="939"/>
      <c r="Z72" s="939"/>
      <c r="AA72" s="470"/>
      <c r="AB72" s="189">
        <f t="shared" si="438"/>
        <v>0</v>
      </c>
      <c r="AC72" s="1134"/>
      <c r="AD72" s="1134"/>
      <c r="AE72" s="1135"/>
      <c r="AF72" s="1135"/>
      <c r="AG72" s="464"/>
      <c r="AH72" s="187">
        <f t="shared" si="439"/>
        <v>0</v>
      </c>
      <c r="AI72" s="232"/>
      <c r="AJ72" s="232"/>
      <c r="AK72" s="939"/>
      <c r="AL72" s="939"/>
      <c r="AM72" s="470"/>
      <c r="AN72" s="189">
        <f t="shared" si="440"/>
        <v>0</v>
      </c>
      <c r="AO72" s="190"/>
      <c r="AP72" s="190"/>
      <c r="AQ72" s="416"/>
      <c r="AR72" s="416"/>
      <c r="AS72" s="464"/>
      <c r="AT72" s="187">
        <f t="shared" si="441"/>
        <v>0</v>
      </c>
      <c r="AU72" s="232"/>
      <c r="AV72" s="232"/>
      <c r="AW72" s="939"/>
      <c r="AX72" s="939"/>
      <c r="AY72" s="470"/>
      <c r="AZ72" s="189">
        <f t="shared" si="442"/>
        <v>0</v>
      </c>
      <c r="BA72" s="190"/>
      <c r="BB72" s="190"/>
      <c r="BC72" s="416"/>
      <c r="BD72" s="416"/>
      <c r="BE72" s="464"/>
      <c r="BF72" s="187">
        <f t="shared" si="443"/>
        <v>0</v>
      </c>
      <c r="BG72" s="232"/>
      <c r="BH72" s="232"/>
      <c r="BI72" s="939"/>
      <c r="BJ72" s="939"/>
      <c r="BK72" s="470"/>
      <c r="BL72" s="189">
        <f t="shared" si="444"/>
        <v>0</v>
      </c>
      <c r="BM72" s="190"/>
      <c r="BN72" s="190"/>
      <c r="BO72" s="416"/>
      <c r="BP72" s="416"/>
      <c r="BQ72" s="464"/>
      <c r="BR72" s="835" t="str">
        <f t="shared" si="8"/>
        <v xml:space="preserve"> </v>
      </c>
      <c r="BS72" s="542" t="str">
        <f t="shared" si="9"/>
        <v xml:space="preserve"> </v>
      </c>
      <c r="BT72" s="831" t="str">
        <f t="shared" si="76"/>
        <v xml:space="preserve"> </v>
      </c>
      <c r="BU72" s="324" t="str">
        <f t="shared" si="77"/>
        <v xml:space="preserve"> </v>
      </c>
      <c r="BV72" s="324" t="str">
        <f t="shared" si="78"/>
        <v xml:space="preserve"> </v>
      </c>
      <c r="BW72" s="201" t="str">
        <f t="shared" si="79"/>
        <v xml:space="preserve"> </v>
      </c>
      <c r="BX72" s="967"/>
    </row>
    <row r="73" spans="1:77" s="111" customFormat="1" ht="36.75" customHeight="1">
      <c r="A73" s="114" t="s">
        <v>48</v>
      </c>
      <c r="B73" s="139" t="s">
        <v>295</v>
      </c>
      <c r="C73" s="1003" t="s">
        <v>1</v>
      </c>
      <c r="D73" s="187">
        <f t="shared" si="445"/>
        <v>14.5</v>
      </c>
      <c r="E73" s="1184">
        <v>12.76</v>
      </c>
      <c r="F73" s="1184">
        <v>1.74</v>
      </c>
      <c r="G73" s="1184"/>
      <c r="H73" s="1185"/>
      <c r="I73" s="1186"/>
      <c r="J73" s="187">
        <f t="shared" si="435"/>
        <v>15.45</v>
      </c>
      <c r="K73" s="1187">
        <v>9.234</v>
      </c>
      <c r="L73" s="1187">
        <v>5.9329999999999998</v>
      </c>
      <c r="M73" s="1188"/>
      <c r="N73" s="1188">
        <v>0.28299999999999997</v>
      </c>
      <c r="O73" s="1189"/>
      <c r="P73" s="187">
        <f t="shared" si="436"/>
        <v>15.35</v>
      </c>
      <c r="Q73" s="1184">
        <f>ROUND(14.29*индексы!G8*индексы!H8,2)</f>
        <v>15.35</v>
      </c>
      <c r="R73" s="1184"/>
      <c r="S73" s="1184"/>
      <c r="T73" s="1185"/>
      <c r="U73" s="1186"/>
      <c r="V73" s="187">
        <f t="shared" si="437"/>
        <v>16.07</v>
      </c>
      <c r="W73" s="1187">
        <f>16.07-Z73</f>
        <v>15.787000000000001</v>
      </c>
      <c r="X73" s="1187"/>
      <c r="Y73" s="1188"/>
      <c r="Z73" s="1188">
        <v>0.28299999999999997</v>
      </c>
      <c r="AA73" s="1189"/>
      <c r="AB73" s="189">
        <f t="shared" si="438"/>
        <v>15.35</v>
      </c>
      <c r="AC73" s="1190">
        <f>Q73</f>
        <v>15.35</v>
      </c>
      <c r="AD73" s="1190"/>
      <c r="AE73" s="1191"/>
      <c r="AF73" s="1191"/>
      <c r="AG73" s="1186"/>
      <c r="AH73" s="187">
        <f t="shared" si="439"/>
        <v>16.71</v>
      </c>
      <c r="AI73" s="1187">
        <f>16.71-AL73</f>
        <v>16.427</v>
      </c>
      <c r="AJ73" s="1187"/>
      <c r="AK73" s="1188"/>
      <c r="AL73" s="1188">
        <v>0.28299999999999997</v>
      </c>
      <c r="AM73" s="1189"/>
      <c r="AN73" s="189">
        <f t="shared" si="440"/>
        <v>15.35</v>
      </c>
      <c r="AO73" s="1184">
        <f>AC73</f>
        <v>15.35</v>
      </c>
      <c r="AP73" s="1184"/>
      <c r="AQ73" s="1192"/>
      <c r="AR73" s="1192"/>
      <c r="AS73" s="1186"/>
      <c r="AT73" s="187">
        <f t="shared" si="441"/>
        <v>17.38</v>
      </c>
      <c r="AU73" s="1187">
        <v>17.38</v>
      </c>
      <c r="AV73" s="1187"/>
      <c r="AW73" s="1188"/>
      <c r="AX73" s="1188"/>
      <c r="AY73" s="1189"/>
      <c r="AZ73" s="189">
        <f t="shared" si="442"/>
        <v>15.35</v>
      </c>
      <c r="BA73" s="1184">
        <f>AO73</f>
        <v>15.35</v>
      </c>
      <c r="BB73" s="1184"/>
      <c r="BC73" s="1192"/>
      <c r="BD73" s="1192"/>
      <c r="BE73" s="1186"/>
      <c r="BF73" s="187">
        <f t="shared" si="443"/>
        <v>18.079999999999998</v>
      </c>
      <c r="BG73" s="1187">
        <v>18.079999999999998</v>
      </c>
      <c r="BH73" s="1187"/>
      <c r="BI73" s="1188"/>
      <c r="BJ73" s="1188"/>
      <c r="BK73" s="1189"/>
      <c r="BL73" s="189">
        <f t="shared" si="444"/>
        <v>15.35</v>
      </c>
      <c r="BM73" s="1184">
        <f>BA73</f>
        <v>15.35</v>
      </c>
      <c r="BN73" s="1184"/>
      <c r="BO73" s="1192"/>
      <c r="BP73" s="1192"/>
      <c r="BQ73" s="1186"/>
      <c r="BR73" s="835">
        <f t="shared" ref="BR73:BR126" si="468">IF(ISERROR(P73/J73)," ",P73/J73)</f>
        <v>0.99352750809061496</v>
      </c>
      <c r="BS73" s="542">
        <f t="shared" ref="BS73:BS126" si="469">IF(ISERROR(P73/D73)," ",P73/D73)</f>
        <v>1.0586206896551724</v>
      </c>
      <c r="BT73" s="831">
        <f t="shared" si="76"/>
        <v>1</v>
      </c>
      <c r="BU73" s="324">
        <f t="shared" si="77"/>
        <v>1</v>
      </c>
      <c r="BV73" s="324">
        <f t="shared" si="78"/>
        <v>1</v>
      </c>
      <c r="BW73" s="201">
        <f t="shared" si="79"/>
        <v>1</v>
      </c>
      <c r="BX73" s="967" t="s">
        <v>496</v>
      </c>
    </row>
    <row r="74" spans="1:77" s="111" customFormat="1" ht="18.75">
      <c r="A74" s="114" t="s">
        <v>47</v>
      </c>
      <c r="B74" s="139" t="s">
        <v>140</v>
      </c>
      <c r="C74" s="1003" t="s">
        <v>1</v>
      </c>
      <c r="D74" s="187">
        <f t="shared" si="445"/>
        <v>0</v>
      </c>
      <c r="E74" s="190"/>
      <c r="F74" s="190"/>
      <c r="G74" s="190"/>
      <c r="H74" s="1019"/>
      <c r="I74" s="464"/>
      <c r="J74" s="187">
        <f t="shared" si="435"/>
        <v>0</v>
      </c>
      <c r="K74" s="232"/>
      <c r="L74" s="232"/>
      <c r="M74" s="939"/>
      <c r="N74" s="939"/>
      <c r="O74" s="470"/>
      <c r="P74" s="187">
        <f t="shared" si="436"/>
        <v>0</v>
      </c>
      <c r="Q74" s="190"/>
      <c r="R74" s="190"/>
      <c r="S74" s="190"/>
      <c r="T74" s="1019"/>
      <c r="U74" s="464"/>
      <c r="V74" s="187">
        <f t="shared" si="437"/>
        <v>0</v>
      </c>
      <c r="W74" s="232"/>
      <c r="X74" s="232"/>
      <c r="Y74" s="939"/>
      <c r="Z74" s="939"/>
      <c r="AA74" s="470"/>
      <c r="AB74" s="189">
        <f t="shared" si="438"/>
        <v>0</v>
      </c>
      <c r="AC74" s="1134"/>
      <c r="AD74" s="1134"/>
      <c r="AE74" s="1135"/>
      <c r="AF74" s="1135"/>
      <c r="AG74" s="464"/>
      <c r="AH74" s="187">
        <f t="shared" si="439"/>
        <v>0</v>
      </c>
      <c r="AI74" s="232"/>
      <c r="AJ74" s="232"/>
      <c r="AK74" s="939"/>
      <c r="AL74" s="939"/>
      <c r="AM74" s="470"/>
      <c r="AN74" s="189">
        <f t="shared" si="440"/>
        <v>0</v>
      </c>
      <c r="AO74" s="190"/>
      <c r="AP74" s="190"/>
      <c r="AQ74" s="416"/>
      <c r="AR74" s="416"/>
      <c r="AS74" s="464"/>
      <c r="AT74" s="187">
        <f t="shared" si="441"/>
        <v>0</v>
      </c>
      <c r="AU74" s="232"/>
      <c r="AV74" s="232"/>
      <c r="AW74" s="939"/>
      <c r="AX74" s="939"/>
      <c r="AY74" s="470"/>
      <c r="AZ74" s="189">
        <f t="shared" si="442"/>
        <v>0</v>
      </c>
      <c r="BA74" s="190"/>
      <c r="BB74" s="190"/>
      <c r="BC74" s="416"/>
      <c r="BD74" s="416"/>
      <c r="BE74" s="464"/>
      <c r="BF74" s="187">
        <f t="shared" si="443"/>
        <v>0</v>
      </c>
      <c r="BG74" s="232"/>
      <c r="BH74" s="232"/>
      <c r="BI74" s="939"/>
      <c r="BJ74" s="939"/>
      <c r="BK74" s="470"/>
      <c r="BL74" s="189">
        <f>BM74+BN74+BO74+BP74</f>
        <v>0</v>
      </c>
      <c r="BM74" s="190"/>
      <c r="BN74" s="190"/>
      <c r="BO74" s="416"/>
      <c r="BP74" s="416"/>
      <c r="BQ74" s="464"/>
      <c r="BR74" s="835" t="str">
        <f t="shared" si="468"/>
        <v xml:space="preserve"> </v>
      </c>
      <c r="BS74" s="542" t="str">
        <f t="shared" si="469"/>
        <v xml:space="preserve"> </v>
      </c>
      <c r="BT74" s="831" t="str">
        <f t="shared" si="76"/>
        <v xml:space="preserve"> </v>
      </c>
      <c r="BU74" s="324" t="str">
        <f t="shared" si="77"/>
        <v xml:space="preserve"> </v>
      </c>
      <c r="BV74" s="324" t="str">
        <f t="shared" si="78"/>
        <v xml:space="preserve"> </v>
      </c>
      <c r="BW74" s="201" t="str">
        <f t="shared" si="79"/>
        <v xml:space="preserve"> </v>
      </c>
      <c r="BX74" s="973"/>
    </row>
    <row r="75" spans="1:77" s="111" customFormat="1" ht="18.75">
      <c r="A75" s="114" t="s">
        <v>39</v>
      </c>
      <c r="B75" s="139" t="s">
        <v>141</v>
      </c>
      <c r="C75" s="1003" t="s">
        <v>1</v>
      </c>
      <c r="D75" s="187">
        <f>E75+F75+G75+H75</f>
        <v>344.21</v>
      </c>
      <c r="E75" s="232">
        <f>SUM(E76:E78)</f>
        <v>205.76</v>
      </c>
      <c r="F75" s="232">
        <f t="shared" ref="F75:I75" si="470">SUM(F76:F78)</f>
        <v>138.44999999999999</v>
      </c>
      <c r="G75" s="232">
        <f t="shared" si="470"/>
        <v>0</v>
      </c>
      <c r="H75" s="939">
        <f t="shared" si="470"/>
        <v>0</v>
      </c>
      <c r="I75" s="470">
        <f t="shared" si="470"/>
        <v>0</v>
      </c>
      <c r="J75" s="187">
        <f>K75+L75+M75+N75</f>
        <v>477.166</v>
      </c>
      <c r="K75" s="232">
        <f>SUM(K76:K78)</f>
        <v>285.18099999999998</v>
      </c>
      <c r="L75" s="232">
        <f t="shared" ref="L75:O75" si="471">SUM(L76:L78)</f>
        <v>183.251</v>
      </c>
      <c r="M75" s="232">
        <f t="shared" si="471"/>
        <v>0</v>
      </c>
      <c r="N75" s="939">
        <f t="shared" si="471"/>
        <v>8.734</v>
      </c>
      <c r="O75" s="470">
        <f t="shared" si="471"/>
        <v>0</v>
      </c>
      <c r="P75" s="187">
        <f t="shared" si="436"/>
        <v>476.35</v>
      </c>
      <c r="Q75" s="232">
        <f>SUM(Q76:Q78)</f>
        <v>293.10000000000002</v>
      </c>
      <c r="R75" s="232">
        <f t="shared" ref="R75:U75" si="472">SUM(R76:R78)</f>
        <v>183.25</v>
      </c>
      <c r="S75" s="232">
        <f t="shared" si="472"/>
        <v>0</v>
      </c>
      <c r="T75" s="939">
        <f t="shared" si="472"/>
        <v>0</v>
      </c>
      <c r="U75" s="470">
        <f t="shared" si="472"/>
        <v>0</v>
      </c>
      <c r="V75" s="187">
        <f t="shared" si="437"/>
        <v>491.29015478399998</v>
      </c>
      <c r="W75" s="232">
        <f>SUM(W76:W78)</f>
        <v>482.29779311999999</v>
      </c>
      <c r="X75" s="232">
        <f t="shared" ref="X75:Z75" si="473">SUM(X76:X78)</f>
        <v>0</v>
      </c>
      <c r="Y75" s="232">
        <f t="shared" si="473"/>
        <v>0</v>
      </c>
      <c r="Z75" s="939">
        <f t="shared" si="473"/>
        <v>8.9923616640000006</v>
      </c>
      <c r="AA75" s="470">
        <f t="shared" ref="AA75" si="474">SUM(AA76:AA78)</f>
        <v>0</v>
      </c>
      <c r="AB75" s="189">
        <f t="shared" si="438"/>
        <v>487.63</v>
      </c>
      <c r="AC75" s="1140">
        <f>SUM(AC76:AC78)</f>
        <v>300.04000000000002</v>
      </c>
      <c r="AD75" s="1140">
        <f t="shared" ref="AD75:AG75" si="475">SUM(AD76:AD78)</f>
        <v>187.59</v>
      </c>
      <c r="AE75" s="1140">
        <f t="shared" si="475"/>
        <v>0</v>
      </c>
      <c r="AF75" s="1141">
        <f t="shared" si="475"/>
        <v>0</v>
      </c>
      <c r="AG75" s="470">
        <f t="shared" si="475"/>
        <v>0</v>
      </c>
      <c r="AH75" s="187">
        <f t="shared" si="439"/>
        <v>505.83234336560639</v>
      </c>
      <c r="AI75" s="232">
        <f>SUM(AI76:AI78)</f>
        <v>496.57380779635201</v>
      </c>
      <c r="AJ75" s="232">
        <f t="shared" ref="AJ75:AL75" si="476">SUM(AJ76:AJ78)</f>
        <v>0</v>
      </c>
      <c r="AK75" s="232">
        <f t="shared" si="476"/>
        <v>0</v>
      </c>
      <c r="AL75" s="939">
        <f t="shared" si="476"/>
        <v>9.258535569254402</v>
      </c>
      <c r="AM75" s="470">
        <f t="shared" ref="AM75" si="477">SUM(AM76:AM78)</f>
        <v>0</v>
      </c>
      <c r="AN75" s="189">
        <f t="shared" si="440"/>
        <v>502.06</v>
      </c>
      <c r="AO75" s="232">
        <f>SUM(AO76:AO78)</f>
        <v>308.92</v>
      </c>
      <c r="AP75" s="232">
        <f t="shared" ref="AP75:AS75" si="478">SUM(AP76:AP78)</f>
        <v>193.14</v>
      </c>
      <c r="AQ75" s="232">
        <f t="shared" si="478"/>
        <v>0</v>
      </c>
      <c r="AR75" s="444">
        <f t="shared" si="478"/>
        <v>0</v>
      </c>
      <c r="AS75" s="470">
        <f t="shared" si="478"/>
        <v>0</v>
      </c>
      <c r="AT75" s="187">
        <f t="shared" si="441"/>
        <v>520.80498072922842</v>
      </c>
      <c r="AU75" s="232">
        <f>SUM(AU76:AU78)</f>
        <v>511.27239250712404</v>
      </c>
      <c r="AV75" s="232">
        <f t="shared" ref="AV75:AX75" si="479">SUM(AV76:AV78)</f>
        <v>0</v>
      </c>
      <c r="AW75" s="232">
        <f t="shared" si="479"/>
        <v>0</v>
      </c>
      <c r="AX75" s="939">
        <f t="shared" si="479"/>
        <v>9.5325882221043337</v>
      </c>
      <c r="AY75" s="470">
        <f t="shared" ref="AY75" si="480">SUM(AY76:AY78)</f>
        <v>0</v>
      </c>
      <c r="AZ75" s="189">
        <f t="shared" si="442"/>
        <v>516.92000000000007</v>
      </c>
      <c r="BA75" s="232">
        <f>SUM(BA76:BA78)</f>
        <v>318.06</v>
      </c>
      <c r="BB75" s="232">
        <f t="shared" ref="BB75:BE75" si="481">SUM(BB76:BB78)</f>
        <v>198.86</v>
      </c>
      <c r="BC75" s="232">
        <f t="shared" si="481"/>
        <v>0</v>
      </c>
      <c r="BD75" s="444">
        <f t="shared" si="481"/>
        <v>0</v>
      </c>
      <c r="BE75" s="470">
        <f t="shared" si="481"/>
        <v>0</v>
      </c>
      <c r="BF75" s="187">
        <f t="shared" si="443"/>
        <v>536.2208081588135</v>
      </c>
      <c r="BG75" s="232">
        <f>SUM(BG76:BG78)</f>
        <v>526.40605532533493</v>
      </c>
      <c r="BH75" s="232">
        <f t="shared" ref="BH75:BJ75" si="482">SUM(BH76:BH78)</f>
        <v>0</v>
      </c>
      <c r="BI75" s="232">
        <f t="shared" si="482"/>
        <v>0</v>
      </c>
      <c r="BJ75" s="939">
        <f t="shared" si="482"/>
        <v>9.8147528334786216</v>
      </c>
      <c r="BK75" s="470">
        <f t="shared" ref="BK75" si="483">SUM(BK76:BK78)</f>
        <v>0</v>
      </c>
      <c r="BL75" s="189">
        <f>BM75+BN75+BO75+BP75</f>
        <v>532.22</v>
      </c>
      <c r="BM75" s="232">
        <f>SUM(BM76:BM78)</f>
        <v>327.48</v>
      </c>
      <c r="BN75" s="232">
        <f t="shared" ref="BN75:BQ75" si="484">SUM(BN76:BN78)</f>
        <v>204.74</v>
      </c>
      <c r="BO75" s="232">
        <f t="shared" si="484"/>
        <v>0</v>
      </c>
      <c r="BP75" s="444">
        <f t="shared" si="484"/>
        <v>0</v>
      </c>
      <c r="BQ75" s="470">
        <f t="shared" si="484"/>
        <v>0</v>
      </c>
      <c r="BR75" s="835">
        <f t="shared" si="468"/>
        <v>0.99828990330409129</v>
      </c>
      <c r="BS75" s="542">
        <f t="shared" si="469"/>
        <v>1.3838935533540573</v>
      </c>
      <c r="BT75" s="831">
        <f t="shared" si="76"/>
        <v>1.0236800671774955</v>
      </c>
      <c r="BU75" s="324">
        <f t="shared" si="77"/>
        <v>1.0295921087709945</v>
      </c>
      <c r="BV75" s="324">
        <f t="shared" si="78"/>
        <v>1.0295980560092421</v>
      </c>
      <c r="BW75" s="201">
        <f t="shared" si="79"/>
        <v>1.0295983904666097</v>
      </c>
      <c r="BX75" s="973"/>
      <c r="BY75" s="141"/>
    </row>
    <row r="76" spans="1:77" s="125" customFormat="1" ht="18.75" outlineLevel="1">
      <c r="A76" s="142"/>
      <c r="B76" s="126" t="s">
        <v>142</v>
      </c>
      <c r="C76" s="1007" t="s">
        <v>1</v>
      </c>
      <c r="D76" s="187">
        <f t="shared" si="445"/>
        <v>0</v>
      </c>
      <c r="E76" s="210"/>
      <c r="F76" s="210"/>
      <c r="G76" s="210"/>
      <c r="H76" s="938"/>
      <c r="I76" s="467"/>
      <c r="J76" s="187">
        <f t="shared" si="435"/>
        <v>0</v>
      </c>
      <c r="K76" s="498"/>
      <c r="L76" s="498"/>
      <c r="M76" s="498"/>
      <c r="N76" s="1046"/>
      <c r="O76" s="499"/>
      <c r="P76" s="187">
        <f t="shared" si="436"/>
        <v>0</v>
      </c>
      <c r="Q76" s="988">
        <f>ROUND(Q31*0.302,2)</f>
        <v>0</v>
      </c>
      <c r="R76" s="988">
        <f>ROUND(R31*0.302,2)</f>
        <v>0</v>
      </c>
      <c r="S76" s="210"/>
      <c r="T76" s="938"/>
      <c r="U76" s="467"/>
      <c r="V76" s="187">
        <f t="shared" si="437"/>
        <v>0</v>
      </c>
      <c r="W76" s="498"/>
      <c r="X76" s="498"/>
      <c r="Y76" s="498"/>
      <c r="Z76" s="1046"/>
      <c r="AA76" s="499"/>
      <c r="AB76" s="209">
        <f t="shared" si="438"/>
        <v>0</v>
      </c>
      <c r="AC76" s="1155">
        <f>ROUND(AC31*0.302,2)</f>
        <v>0</v>
      </c>
      <c r="AD76" s="1155">
        <f>ROUND(AD31*0.302,2)</f>
        <v>0</v>
      </c>
      <c r="AE76" s="1149"/>
      <c r="AF76" s="1149"/>
      <c r="AG76" s="467"/>
      <c r="AH76" s="187">
        <f t="shared" si="439"/>
        <v>0</v>
      </c>
      <c r="AI76" s="498"/>
      <c r="AJ76" s="498"/>
      <c r="AK76" s="498"/>
      <c r="AL76" s="1046"/>
      <c r="AM76" s="499"/>
      <c r="AN76" s="209">
        <f t="shared" si="440"/>
        <v>0</v>
      </c>
      <c r="AO76" s="988">
        <f>ROUND(AO31*0.302,2)</f>
        <v>0</v>
      </c>
      <c r="AP76" s="988">
        <f>ROUND(AP31*0.302,2)</f>
        <v>0</v>
      </c>
      <c r="AQ76" s="443"/>
      <c r="AR76" s="443"/>
      <c r="AS76" s="467"/>
      <c r="AT76" s="187">
        <f t="shared" si="441"/>
        <v>520.80498072922842</v>
      </c>
      <c r="AU76" s="498">
        <v>511.27239250712404</v>
      </c>
      <c r="AV76" s="498"/>
      <c r="AW76" s="498"/>
      <c r="AX76" s="1046">
        <v>9.5325882221043337</v>
      </c>
      <c r="AY76" s="499"/>
      <c r="AZ76" s="209">
        <f t="shared" si="442"/>
        <v>0</v>
      </c>
      <c r="BA76" s="988">
        <f>ROUND(BA31*0.302,2)</f>
        <v>0</v>
      </c>
      <c r="BB76" s="988">
        <f>ROUND(BB31*0.302,2)</f>
        <v>0</v>
      </c>
      <c r="BC76" s="443"/>
      <c r="BD76" s="443"/>
      <c r="BE76" s="467"/>
      <c r="BF76" s="187">
        <f t="shared" si="443"/>
        <v>536.2208081588135</v>
      </c>
      <c r="BG76" s="498">
        <v>526.40605532533493</v>
      </c>
      <c r="BH76" s="498"/>
      <c r="BI76" s="498"/>
      <c r="BJ76" s="1046">
        <v>9.8147528334786216</v>
      </c>
      <c r="BK76" s="499"/>
      <c r="BL76" s="209">
        <f t="shared" si="444"/>
        <v>0</v>
      </c>
      <c r="BM76" s="988">
        <f>ROUND(BM31*0.302,2)</f>
        <v>0</v>
      </c>
      <c r="BN76" s="988">
        <f>ROUND(BN31*0.302,2)</f>
        <v>0</v>
      </c>
      <c r="BO76" s="443"/>
      <c r="BP76" s="443"/>
      <c r="BQ76" s="467"/>
      <c r="BR76" s="835" t="str">
        <f t="shared" si="468"/>
        <v xml:space="preserve"> </v>
      </c>
      <c r="BS76" s="542" t="str">
        <f t="shared" si="469"/>
        <v xml:space="preserve"> </v>
      </c>
      <c r="BT76" s="833" t="str">
        <f t="shared" si="76"/>
        <v xml:space="preserve"> </v>
      </c>
      <c r="BU76" s="325" t="str">
        <f t="shared" si="77"/>
        <v xml:space="preserve"> </v>
      </c>
      <c r="BV76" s="325" t="str">
        <f t="shared" si="78"/>
        <v xml:space="preserve"> </v>
      </c>
      <c r="BW76" s="203" t="str">
        <f t="shared" si="79"/>
        <v xml:space="preserve"> </v>
      </c>
      <c r="BX76" s="974"/>
      <c r="BY76" s="143"/>
    </row>
    <row r="77" spans="1:77" s="125" customFormat="1" ht="18.75" outlineLevel="1">
      <c r="A77" s="142"/>
      <c r="B77" s="126" t="s">
        <v>143</v>
      </c>
      <c r="C77" s="1007" t="s">
        <v>1</v>
      </c>
      <c r="D77" s="187">
        <f t="shared" si="445"/>
        <v>0</v>
      </c>
      <c r="E77" s="210"/>
      <c r="F77" s="210"/>
      <c r="G77" s="210"/>
      <c r="H77" s="938"/>
      <c r="I77" s="467"/>
      <c r="J77" s="187">
        <f t="shared" si="435"/>
        <v>0</v>
      </c>
      <c r="K77" s="498"/>
      <c r="L77" s="498"/>
      <c r="M77" s="498"/>
      <c r="N77" s="1046"/>
      <c r="O77" s="499"/>
      <c r="P77" s="187">
        <f t="shared" si="436"/>
        <v>0</v>
      </c>
      <c r="Q77" s="988"/>
      <c r="R77" s="988"/>
      <c r="S77" s="210"/>
      <c r="T77" s="938"/>
      <c r="U77" s="467"/>
      <c r="V77" s="187">
        <f t="shared" si="437"/>
        <v>0</v>
      </c>
      <c r="W77" s="498"/>
      <c r="X77" s="498"/>
      <c r="Y77" s="498"/>
      <c r="Z77" s="1046"/>
      <c r="AA77" s="499"/>
      <c r="AB77" s="209">
        <f t="shared" si="438"/>
        <v>0</v>
      </c>
      <c r="AC77" s="1155"/>
      <c r="AD77" s="1155"/>
      <c r="AE77" s="1149"/>
      <c r="AF77" s="1149"/>
      <c r="AG77" s="467"/>
      <c r="AH77" s="187">
        <f t="shared" si="439"/>
        <v>0</v>
      </c>
      <c r="AI77" s="498"/>
      <c r="AJ77" s="498"/>
      <c r="AK77" s="498"/>
      <c r="AL77" s="1046"/>
      <c r="AM77" s="499"/>
      <c r="AN77" s="209">
        <f t="shared" si="440"/>
        <v>0</v>
      </c>
      <c r="AO77" s="988"/>
      <c r="AP77" s="988"/>
      <c r="AQ77" s="443"/>
      <c r="AR77" s="443"/>
      <c r="AS77" s="467"/>
      <c r="AT77" s="187">
        <f t="shared" si="441"/>
        <v>0</v>
      </c>
      <c r="AU77" s="498"/>
      <c r="AV77" s="498"/>
      <c r="AW77" s="498"/>
      <c r="AX77" s="1046"/>
      <c r="AY77" s="499"/>
      <c r="AZ77" s="209">
        <f t="shared" si="442"/>
        <v>0</v>
      </c>
      <c r="BA77" s="988"/>
      <c r="BB77" s="988"/>
      <c r="BC77" s="443"/>
      <c r="BD77" s="443"/>
      <c r="BE77" s="467"/>
      <c r="BF77" s="187">
        <f t="shared" si="443"/>
        <v>0</v>
      </c>
      <c r="BG77" s="498"/>
      <c r="BH77" s="498"/>
      <c r="BI77" s="498"/>
      <c r="BJ77" s="1046"/>
      <c r="BK77" s="499"/>
      <c r="BL77" s="209">
        <f t="shared" si="444"/>
        <v>0</v>
      </c>
      <c r="BM77" s="988"/>
      <c r="BN77" s="988"/>
      <c r="BO77" s="443"/>
      <c r="BP77" s="443"/>
      <c r="BQ77" s="467"/>
      <c r="BR77" s="835" t="str">
        <f t="shared" si="468"/>
        <v xml:space="preserve"> </v>
      </c>
      <c r="BS77" s="542" t="str">
        <f t="shared" si="469"/>
        <v xml:space="preserve"> </v>
      </c>
      <c r="BT77" s="833" t="str">
        <f t="shared" si="76"/>
        <v xml:space="preserve"> </v>
      </c>
      <c r="BU77" s="325" t="str">
        <f t="shared" si="77"/>
        <v xml:space="preserve"> </v>
      </c>
      <c r="BV77" s="325" t="str">
        <f t="shared" si="78"/>
        <v xml:space="preserve"> </v>
      </c>
      <c r="BW77" s="203" t="str">
        <f t="shared" si="79"/>
        <v xml:space="preserve"> </v>
      </c>
      <c r="BX77" s="974"/>
      <c r="BY77" s="143"/>
    </row>
    <row r="78" spans="1:77" s="125" customFormat="1" ht="18.75" outlineLevel="1">
      <c r="A78" s="142"/>
      <c r="B78" s="126" t="s">
        <v>68</v>
      </c>
      <c r="C78" s="1007" t="s">
        <v>1</v>
      </c>
      <c r="D78" s="187">
        <f t="shared" si="445"/>
        <v>344.21</v>
      </c>
      <c r="E78" s="210">
        <v>205.76</v>
      </c>
      <c r="F78" s="210">
        <v>138.44999999999999</v>
      </c>
      <c r="G78" s="210"/>
      <c r="H78" s="938"/>
      <c r="I78" s="467"/>
      <c r="J78" s="187">
        <f t="shared" si="435"/>
        <v>477.166</v>
      </c>
      <c r="K78" s="498">
        <v>285.18099999999998</v>
      </c>
      <c r="L78" s="498">
        <v>183.251</v>
      </c>
      <c r="M78" s="498"/>
      <c r="N78" s="1046">
        <v>8.734</v>
      </c>
      <c r="O78" s="499"/>
      <c r="P78" s="187">
        <f t="shared" si="436"/>
        <v>476.35</v>
      </c>
      <c r="Q78" s="988">
        <f>ROUND(Q33*0.302,2)</f>
        <v>293.10000000000002</v>
      </c>
      <c r="R78" s="988">
        <f>ROUND(R33*0.302,2)</f>
        <v>183.25</v>
      </c>
      <c r="S78" s="210"/>
      <c r="T78" s="938"/>
      <c r="U78" s="467"/>
      <c r="V78" s="187">
        <f t="shared" si="437"/>
        <v>491.29015478399998</v>
      </c>
      <c r="W78" s="498">
        <v>482.29779311999999</v>
      </c>
      <c r="X78" s="498"/>
      <c r="Y78" s="498"/>
      <c r="Z78" s="1046">
        <v>8.9923616640000006</v>
      </c>
      <c r="AA78" s="499"/>
      <c r="AB78" s="209">
        <f t="shared" si="438"/>
        <v>487.63</v>
      </c>
      <c r="AC78" s="1155">
        <f>ROUND(AC33*0.302,2)</f>
        <v>300.04000000000002</v>
      </c>
      <c r="AD78" s="1155">
        <f>ROUND(AD33*0.302,2)</f>
        <v>187.59</v>
      </c>
      <c r="AE78" s="1149"/>
      <c r="AF78" s="1149"/>
      <c r="AG78" s="467"/>
      <c r="AH78" s="187">
        <f t="shared" si="439"/>
        <v>505.83234336560639</v>
      </c>
      <c r="AI78" s="498">
        <v>496.57380779635201</v>
      </c>
      <c r="AJ78" s="498"/>
      <c r="AK78" s="498"/>
      <c r="AL78" s="1046">
        <v>9.258535569254402</v>
      </c>
      <c r="AM78" s="499"/>
      <c r="AN78" s="209">
        <f t="shared" si="440"/>
        <v>502.06</v>
      </c>
      <c r="AO78" s="988">
        <f>ROUND(AO33*0.302,2)</f>
        <v>308.92</v>
      </c>
      <c r="AP78" s="988">
        <f>ROUND(AP33*0.302,2)</f>
        <v>193.14</v>
      </c>
      <c r="AQ78" s="443"/>
      <c r="AR78" s="443"/>
      <c r="AS78" s="467"/>
      <c r="AT78" s="187">
        <f t="shared" si="441"/>
        <v>0</v>
      </c>
      <c r="AU78" s="498"/>
      <c r="AV78" s="498"/>
      <c r="AW78" s="498"/>
      <c r="AX78" s="1046"/>
      <c r="AY78" s="499"/>
      <c r="AZ78" s="209">
        <f t="shared" si="442"/>
        <v>516.92000000000007</v>
      </c>
      <c r="BA78" s="988">
        <f>ROUND(BA33*0.302,2)</f>
        <v>318.06</v>
      </c>
      <c r="BB78" s="988">
        <f>ROUND(BB33*0.302,2)</f>
        <v>198.86</v>
      </c>
      <c r="BC78" s="443"/>
      <c r="BD78" s="443"/>
      <c r="BE78" s="467"/>
      <c r="BF78" s="187">
        <f t="shared" si="443"/>
        <v>0</v>
      </c>
      <c r="BG78" s="498"/>
      <c r="BH78" s="498"/>
      <c r="BI78" s="498"/>
      <c r="BJ78" s="1046"/>
      <c r="BK78" s="499"/>
      <c r="BL78" s="209">
        <f t="shared" si="444"/>
        <v>532.22</v>
      </c>
      <c r="BM78" s="988">
        <f>ROUND(BM33*0.302,2)</f>
        <v>327.48</v>
      </c>
      <c r="BN78" s="988">
        <f>ROUND(BN33*0.302,2)</f>
        <v>204.74</v>
      </c>
      <c r="BO78" s="443"/>
      <c r="BP78" s="443"/>
      <c r="BQ78" s="467"/>
      <c r="BR78" s="835">
        <f t="shared" si="468"/>
        <v>0.99828990330409129</v>
      </c>
      <c r="BS78" s="542">
        <f t="shared" si="469"/>
        <v>1.3838935533540573</v>
      </c>
      <c r="BT78" s="833">
        <f t="shared" si="76"/>
        <v>1.0236800671774955</v>
      </c>
      <c r="BU78" s="325">
        <f t="shared" si="77"/>
        <v>1.0295921087709945</v>
      </c>
      <c r="BV78" s="325">
        <f t="shared" si="78"/>
        <v>1.0295980560092421</v>
      </c>
      <c r="BW78" s="203">
        <f t="shared" si="79"/>
        <v>1.0295983904666097</v>
      </c>
      <c r="BX78" s="974"/>
      <c r="BY78" s="143"/>
    </row>
    <row r="79" spans="1:77" s="111" customFormat="1" ht="26.25">
      <c r="A79" s="114" t="s">
        <v>37</v>
      </c>
      <c r="B79" s="139" t="s">
        <v>77</v>
      </c>
      <c r="C79" s="1003" t="s">
        <v>1</v>
      </c>
      <c r="D79" s="187">
        <f t="shared" si="445"/>
        <v>109.79</v>
      </c>
      <c r="E79" s="210">
        <v>109.79</v>
      </c>
      <c r="F79" s="210"/>
      <c r="G79" s="210"/>
      <c r="H79" s="938"/>
      <c r="I79" s="467"/>
      <c r="J79" s="187">
        <f t="shared" si="435"/>
        <v>97.67</v>
      </c>
      <c r="K79" s="232">
        <v>97.67</v>
      </c>
      <c r="L79" s="232"/>
      <c r="M79" s="232"/>
      <c r="N79" s="939"/>
      <c r="O79" s="470"/>
      <c r="P79" s="187">
        <f t="shared" si="436"/>
        <v>97.67</v>
      </c>
      <c r="Q79" s="1183">
        <f>ROUND(амор!K6/1000,2)</f>
        <v>97.67</v>
      </c>
      <c r="R79" s="965"/>
      <c r="S79" s="210"/>
      <c r="T79" s="938"/>
      <c r="U79" s="467"/>
      <c r="V79" s="187">
        <f t="shared" si="437"/>
        <v>97.67</v>
      </c>
      <c r="W79" s="232">
        <v>97.67</v>
      </c>
      <c r="X79" s="232"/>
      <c r="Y79" s="232"/>
      <c r="Z79" s="939"/>
      <c r="AA79" s="470"/>
      <c r="AB79" s="189">
        <f t="shared" si="438"/>
        <v>97.67</v>
      </c>
      <c r="AC79" s="1156">
        <f>ROUND(амор!M6/1000,2)</f>
        <v>97.67</v>
      </c>
      <c r="AD79" s="1156"/>
      <c r="AE79" s="1149"/>
      <c r="AF79" s="1149"/>
      <c r="AG79" s="467"/>
      <c r="AH79" s="187">
        <f t="shared" si="439"/>
        <v>0</v>
      </c>
      <c r="AI79" s="232"/>
      <c r="AJ79" s="232"/>
      <c r="AK79" s="232"/>
      <c r="AL79" s="939"/>
      <c r="AM79" s="470"/>
      <c r="AN79" s="189">
        <f t="shared" si="440"/>
        <v>0</v>
      </c>
      <c r="AO79" s="965"/>
      <c r="AP79" s="965"/>
      <c r="AQ79" s="443"/>
      <c r="AR79" s="443"/>
      <c r="AS79" s="467"/>
      <c r="AT79" s="187">
        <f t="shared" si="441"/>
        <v>0</v>
      </c>
      <c r="AU79" s="232"/>
      <c r="AV79" s="232"/>
      <c r="AW79" s="232"/>
      <c r="AX79" s="939"/>
      <c r="AY79" s="470"/>
      <c r="AZ79" s="189">
        <f t="shared" si="442"/>
        <v>0</v>
      </c>
      <c r="BA79" s="965"/>
      <c r="BB79" s="965"/>
      <c r="BC79" s="443"/>
      <c r="BD79" s="443"/>
      <c r="BE79" s="467"/>
      <c r="BF79" s="187">
        <f t="shared" si="443"/>
        <v>0</v>
      </c>
      <c r="BG79" s="232"/>
      <c r="BH79" s="232"/>
      <c r="BI79" s="232"/>
      <c r="BJ79" s="939"/>
      <c r="BK79" s="470"/>
      <c r="BL79" s="189">
        <f t="shared" si="444"/>
        <v>0</v>
      </c>
      <c r="BM79" s="965"/>
      <c r="BN79" s="965"/>
      <c r="BO79" s="443"/>
      <c r="BP79" s="443"/>
      <c r="BQ79" s="467"/>
      <c r="BR79" s="835">
        <f t="shared" si="468"/>
        <v>1</v>
      </c>
      <c r="BS79" s="542">
        <f t="shared" si="469"/>
        <v>0.88960743237088979</v>
      </c>
      <c r="BT79" s="831">
        <f>IF(ISERROR(AB79/P79)," ",AB79/P79)</f>
        <v>1</v>
      </c>
      <c r="BU79" s="324">
        <f>IF(ISERROR(AN79/AB79)," ",AN79/AB79)</f>
        <v>0</v>
      </c>
      <c r="BV79" s="324" t="str">
        <f>IF(ISERROR(AZ79/AN79)," ",AZ79/AN79)</f>
        <v xml:space="preserve"> </v>
      </c>
      <c r="BW79" s="201" t="str">
        <f>IF(ISERROR(BL79/AZ79)," ",BL79/AZ79)</f>
        <v xml:space="preserve"> </v>
      </c>
      <c r="BX79" s="967" t="s">
        <v>487</v>
      </c>
    </row>
    <row r="80" spans="1:77" s="111" customFormat="1" ht="31.5">
      <c r="A80" s="114" t="s">
        <v>60</v>
      </c>
      <c r="B80" s="936" t="s">
        <v>479</v>
      </c>
      <c r="C80" s="1003" t="s">
        <v>1</v>
      </c>
      <c r="D80" s="187">
        <f t="shared" si="445"/>
        <v>0</v>
      </c>
      <c r="E80" s="965"/>
      <c r="F80" s="210"/>
      <c r="G80" s="210"/>
      <c r="H80" s="938"/>
      <c r="I80" s="467"/>
      <c r="J80" s="187">
        <f t="shared" si="435"/>
        <v>0</v>
      </c>
      <c r="K80" s="232"/>
      <c r="L80" s="232"/>
      <c r="M80" s="939"/>
      <c r="N80" s="939"/>
      <c r="O80" s="470"/>
      <c r="P80" s="187">
        <f t="shared" si="436"/>
        <v>0</v>
      </c>
      <c r="Q80" s="210"/>
      <c r="R80" s="210"/>
      <c r="S80" s="210"/>
      <c r="T80" s="938"/>
      <c r="U80" s="467"/>
      <c r="V80" s="187"/>
      <c r="W80" s="232"/>
      <c r="X80" s="232"/>
      <c r="Y80" s="939"/>
      <c r="Z80" s="939"/>
      <c r="AA80" s="470"/>
      <c r="AB80" s="189"/>
      <c r="AC80" s="1148"/>
      <c r="AD80" s="1148"/>
      <c r="AE80" s="1149"/>
      <c r="AF80" s="1149"/>
      <c r="AG80" s="467"/>
      <c r="AH80" s="187"/>
      <c r="AI80" s="232"/>
      <c r="AJ80" s="232"/>
      <c r="AK80" s="939"/>
      <c r="AL80" s="939"/>
      <c r="AM80" s="470"/>
      <c r="AN80" s="189"/>
      <c r="AO80" s="937"/>
      <c r="AP80" s="937"/>
      <c r="AQ80" s="938"/>
      <c r="AR80" s="938"/>
      <c r="AS80" s="467"/>
      <c r="AT80" s="187"/>
      <c r="AU80" s="232"/>
      <c r="AV80" s="232"/>
      <c r="AW80" s="939"/>
      <c r="AX80" s="939"/>
      <c r="AY80" s="470"/>
      <c r="AZ80" s="189"/>
      <c r="BA80" s="937"/>
      <c r="BB80" s="937"/>
      <c r="BC80" s="938"/>
      <c r="BD80" s="938"/>
      <c r="BE80" s="467"/>
      <c r="BF80" s="187"/>
      <c r="BG80" s="232"/>
      <c r="BH80" s="232"/>
      <c r="BI80" s="939"/>
      <c r="BJ80" s="939"/>
      <c r="BK80" s="470"/>
      <c r="BL80" s="189"/>
      <c r="BM80" s="937"/>
      <c r="BN80" s="937"/>
      <c r="BO80" s="938"/>
      <c r="BP80" s="938"/>
      <c r="BQ80" s="467"/>
      <c r="BR80" s="940"/>
      <c r="BS80" s="941"/>
      <c r="BT80" s="942"/>
      <c r="BU80" s="943"/>
      <c r="BV80" s="943"/>
      <c r="BW80" s="201"/>
      <c r="BX80" s="967"/>
    </row>
    <row r="81" spans="1:77" s="111" customFormat="1" ht="47.25">
      <c r="A81" s="114" t="s">
        <v>73</v>
      </c>
      <c r="B81" s="936" t="s">
        <v>480</v>
      </c>
      <c r="C81" s="1003" t="s">
        <v>1</v>
      </c>
      <c r="D81" s="187">
        <f t="shared" si="445"/>
        <v>0</v>
      </c>
      <c r="E81" s="965"/>
      <c r="F81" s="210"/>
      <c r="G81" s="210"/>
      <c r="H81" s="938"/>
      <c r="I81" s="467"/>
      <c r="J81" s="187"/>
      <c r="K81" s="232"/>
      <c r="L81" s="232"/>
      <c r="M81" s="939"/>
      <c r="N81" s="939"/>
      <c r="O81" s="470"/>
      <c r="P81" s="187"/>
      <c r="Q81" s="210"/>
      <c r="R81" s="210"/>
      <c r="S81" s="210"/>
      <c r="T81" s="938"/>
      <c r="U81" s="467"/>
      <c r="V81" s="187"/>
      <c r="W81" s="232"/>
      <c r="X81" s="232"/>
      <c r="Y81" s="939"/>
      <c r="Z81" s="939"/>
      <c r="AA81" s="470"/>
      <c r="AB81" s="189"/>
      <c r="AC81" s="1148"/>
      <c r="AD81" s="1148"/>
      <c r="AE81" s="1149"/>
      <c r="AF81" s="1149"/>
      <c r="AG81" s="467"/>
      <c r="AH81" s="187"/>
      <c r="AI81" s="232"/>
      <c r="AJ81" s="232"/>
      <c r="AK81" s="939"/>
      <c r="AL81" s="939"/>
      <c r="AM81" s="470"/>
      <c r="AN81" s="189"/>
      <c r="AO81" s="937"/>
      <c r="AP81" s="937"/>
      <c r="AQ81" s="938"/>
      <c r="AR81" s="938"/>
      <c r="AS81" s="467"/>
      <c r="AT81" s="187"/>
      <c r="AU81" s="232"/>
      <c r="AV81" s="232"/>
      <c r="AW81" s="939"/>
      <c r="AX81" s="939"/>
      <c r="AY81" s="470"/>
      <c r="AZ81" s="189"/>
      <c r="BA81" s="937"/>
      <c r="BB81" s="937"/>
      <c r="BC81" s="938"/>
      <c r="BD81" s="938"/>
      <c r="BE81" s="467"/>
      <c r="BF81" s="187"/>
      <c r="BG81" s="232"/>
      <c r="BH81" s="232"/>
      <c r="BI81" s="939"/>
      <c r="BJ81" s="939"/>
      <c r="BK81" s="470"/>
      <c r="BL81" s="189"/>
      <c r="BM81" s="937"/>
      <c r="BN81" s="937"/>
      <c r="BO81" s="938"/>
      <c r="BP81" s="938"/>
      <c r="BQ81" s="467"/>
      <c r="BR81" s="940"/>
      <c r="BS81" s="941"/>
      <c r="BT81" s="942"/>
      <c r="BU81" s="943"/>
      <c r="BV81" s="943"/>
      <c r="BW81" s="201"/>
      <c r="BX81" s="967"/>
    </row>
    <row r="82" spans="1:77" s="111" customFormat="1" ht="35.25" customHeight="1">
      <c r="A82" s="114" t="s">
        <v>74</v>
      </c>
      <c r="B82" s="144" t="s">
        <v>144</v>
      </c>
      <c r="C82" s="1003" t="s">
        <v>1</v>
      </c>
      <c r="D82" s="187">
        <f t="shared" si="445"/>
        <v>0</v>
      </c>
      <c r="E82" s="190"/>
      <c r="F82" s="190"/>
      <c r="G82" s="190"/>
      <c r="H82" s="1019"/>
      <c r="I82" s="464"/>
      <c r="J82" s="187">
        <f t="shared" si="435"/>
        <v>0</v>
      </c>
      <c r="K82" s="232"/>
      <c r="L82" s="232"/>
      <c r="M82" s="939"/>
      <c r="N82" s="939"/>
      <c r="O82" s="470"/>
      <c r="P82" s="187">
        <f t="shared" si="436"/>
        <v>0</v>
      </c>
      <c r="Q82" s="989"/>
      <c r="R82" s="190"/>
      <c r="S82" s="190"/>
      <c r="T82" s="1019"/>
      <c r="U82" s="464"/>
      <c r="V82" s="187">
        <f t="shared" ref="V82:V84" si="485">W82+X82+Y82+Z82</f>
        <v>0</v>
      </c>
      <c r="W82" s="232"/>
      <c r="X82" s="232"/>
      <c r="Y82" s="939"/>
      <c r="Z82" s="939"/>
      <c r="AA82" s="470"/>
      <c r="AB82" s="189">
        <f t="shared" si="438"/>
        <v>0</v>
      </c>
      <c r="AC82" s="1134"/>
      <c r="AD82" s="1134"/>
      <c r="AE82" s="1135"/>
      <c r="AF82" s="1135"/>
      <c r="AG82" s="464"/>
      <c r="AH82" s="187">
        <f t="shared" ref="AH82:AH84" si="486">AI82+AJ82+AK82+AL82</f>
        <v>0</v>
      </c>
      <c r="AI82" s="232"/>
      <c r="AJ82" s="232"/>
      <c r="AK82" s="939"/>
      <c r="AL82" s="939"/>
      <c r="AM82" s="470"/>
      <c r="AN82" s="189">
        <f t="shared" si="440"/>
        <v>0</v>
      </c>
      <c r="AO82" s="190"/>
      <c r="AP82" s="190"/>
      <c r="AQ82" s="416"/>
      <c r="AR82" s="416"/>
      <c r="AS82" s="464"/>
      <c r="AT82" s="187">
        <f t="shared" ref="AT82:AT84" si="487">AU82+AV82+AW82+AX82</f>
        <v>0</v>
      </c>
      <c r="AU82" s="232"/>
      <c r="AV82" s="232"/>
      <c r="AW82" s="939"/>
      <c r="AX82" s="939"/>
      <c r="AY82" s="470"/>
      <c r="AZ82" s="189">
        <f t="shared" si="442"/>
        <v>0</v>
      </c>
      <c r="BA82" s="190"/>
      <c r="BB82" s="190"/>
      <c r="BC82" s="416"/>
      <c r="BD82" s="416"/>
      <c r="BE82" s="464"/>
      <c r="BF82" s="187">
        <f t="shared" ref="BF82:BF84" si="488">BG82+BH82+BI82+BJ82</f>
        <v>0</v>
      </c>
      <c r="BG82" s="232"/>
      <c r="BH82" s="232"/>
      <c r="BI82" s="939"/>
      <c r="BJ82" s="939"/>
      <c r="BK82" s="470"/>
      <c r="BL82" s="189">
        <f t="shared" si="444"/>
        <v>0</v>
      </c>
      <c r="BM82" s="190"/>
      <c r="BN82" s="190"/>
      <c r="BO82" s="416"/>
      <c r="BP82" s="416"/>
      <c r="BQ82" s="464"/>
      <c r="BR82" s="835" t="str">
        <f t="shared" si="468"/>
        <v xml:space="preserve"> </v>
      </c>
      <c r="BS82" s="542" t="str">
        <f t="shared" si="469"/>
        <v xml:space="preserve"> </v>
      </c>
      <c r="BT82" s="831" t="str">
        <f t="shared" si="76"/>
        <v xml:space="preserve"> </v>
      </c>
      <c r="BU82" s="324" t="str">
        <f t="shared" si="77"/>
        <v xml:space="preserve"> </v>
      </c>
      <c r="BV82" s="324" t="str">
        <f t="shared" si="78"/>
        <v xml:space="preserve"> </v>
      </c>
      <c r="BW82" s="201" t="str">
        <f t="shared" si="79"/>
        <v xml:space="preserve"> </v>
      </c>
      <c r="BX82" s="967"/>
    </row>
    <row r="83" spans="1:77" s="111" customFormat="1" ht="31.5">
      <c r="A83" s="114" t="s">
        <v>481</v>
      </c>
      <c r="B83" s="145" t="s">
        <v>234</v>
      </c>
      <c r="C83" s="1003" t="s">
        <v>1</v>
      </c>
      <c r="D83" s="187">
        <f t="shared" si="445"/>
        <v>0</v>
      </c>
      <c r="E83" s="1020"/>
      <c r="F83" s="1020"/>
      <c r="G83" s="1021"/>
      <c r="H83" s="1021"/>
      <c r="I83" s="1022"/>
      <c r="J83" s="187">
        <f t="shared" si="435"/>
        <v>0</v>
      </c>
      <c r="K83" s="1041"/>
      <c r="L83" s="1041"/>
      <c r="M83" s="1042"/>
      <c r="N83" s="1042"/>
      <c r="O83" s="1043"/>
      <c r="P83" s="187">
        <f t="shared" si="436"/>
        <v>0</v>
      </c>
      <c r="Q83" s="1020"/>
      <c r="R83" s="1020"/>
      <c r="S83" s="1021"/>
      <c r="T83" s="1021"/>
      <c r="U83" s="1022"/>
      <c r="V83" s="187">
        <f t="shared" si="485"/>
        <v>0</v>
      </c>
      <c r="W83" s="1041"/>
      <c r="X83" s="1041"/>
      <c r="Y83" s="1042"/>
      <c r="Z83" s="1042"/>
      <c r="AA83" s="1043"/>
      <c r="AB83" s="1136">
        <f t="shared" si="438"/>
        <v>0</v>
      </c>
      <c r="AC83" s="1137"/>
      <c r="AD83" s="1137"/>
      <c r="AE83" s="1138"/>
      <c r="AF83" s="1138"/>
      <c r="AG83" s="1139"/>
      <c r="AH83" s="187">
        <f t="shared" si="486"/>
        <v>0</v>
      </c>
      <c r="AI83" s="1041"/>
      <c r="AJ83" s="1041"/>
      <c r="AK83" s="1042"/>
      <c r="AL83" s="1042"/>
      <c r="AM83" s="496"/>
      <c r="AN83" s="191">
        <f t="shared" si="440"/>
        <v>0</v>
      </c>
      <c r="AO83" s="192"/>
      <c r="AP83" s="192"/>
      <c r="AQ83" s="417"/>
      <c r="AR83" s="417"/>
      <c r="AS83" s="465"/>
      <c r="AT83" s="187">
        <f t="shared" si="487"/>
        <v>0</v>
      </c>
      <c r="AU83" s="1041"/>
      <c r="AV83" s="1041"/>
      <c r="AW83" s="1042"/>
      <c r="AX83" s="1042"/>
      <c r="AY83" s="496"/>
      <c r="AZ83" s="191">
        <f t="shared" si="442"/>
        <v>0</v>
      </c>
      <c r="BA83" s="192"/>
      <c r="BB83" s="192"/>
      <c r="BC83" s="417"/>
      <c r="BD83" s="417"/>
      <c r="BE83" s="465"/>
      <c r="BF83" s="187">
        <f t="shared" si="488"/>
        <v>0</v>
      </c>
      <c r="BG83" s="1041"/>
      <c r="BH83" s="1041"/>
      <c r="BI83" s="1042"/>
      <c r="BJ83" s="1042"/>
      <c r="BK83" s="496"/>
      <c r="BL83" s="191">
        <f t="shared" si="444"/>
        <v>0</v>
      </c>
      <c r="BM83" s="192"/>
      <c r="BN83" s="192"/>
      <c r="BO83" s="417"/>
      <c r="BP83" s="417"/>
      <c r="BQ83" s="465"/>
      <c r="BR83" s="835" t="str">
        <f t="shared" si="468"/>
        <v xml:space="preserve"> </v>
      </c>
      <c r="BS83" s="542" t="str">
        <f t="shared" si="469"/>
        <v xml:space="preserve"> </v>
      </c>
      <c r="BT83" s="831" t="str">
        <f t="shared" ref="BT83" si="489">IF(ISERROR(AB83/P83)," ",AB83/P83)</f>
        <v xml:space="preserve"> </v>
      </c>
      <c r="BU83" s="324" t="str">
        <f t="shared" ref="BU83" si="490">IF(ISERROR(AN83/AB83)," ",AN83/AB83)</f>
        <v xml:space="preserve"> </v>
      </c>
      <c r="BV83" s="324" t="str">
        <f t="shared" ref="BV83" si="491">IF(ISERROR(AZ83/AN83)," ",AZ83/AN83)</f>
        <v xml:space="preserve"> </v>
      </c>
      <c r="BW83" s="201" t="str">
        <f t="shared" ref="BW83" si="492">IF(ISERROR(BL83/AZ83)," ",BL83/AZ83)</f>
        <v xml:space="preserve"> </v>
      </c>
      <c r="BX83" s="967"/>
    </row>
    <row r="84" spans="1:77" s="111" customFormat="1" ht="69" customHeight="1" thickBot="1">
      <c r="A84" s="114" t="s">
        <v>482</v>
      </c>
      <c r="B84" s="145" t="s">
        <v>297</v>
      </c>
      <c r="C84" s="1003" t="s">
        <v>1</v>
      </c>
      <c r="D84" s="187">
        <f t="shared" si="445"/>
        <v>0</v>
      </c>
      <c r="E84" s="1020"/>
      <c r="F84" s="1020"/>
      <c r="G84" s="1021"/>
      <c r="H84" s="1021"/>
      <c r="I84" s="510"/>
      <c r="J84" s="187">
        <f t="shared" si="435"/>
        <v>317.81</v>
      </c>
      <c r="K84" s="1041">
        <v>317.81</v>
      </c>
      <c r="L84" s="1041"/>
      <c r="M84" s="1042"/>
      <c r="N84" s="1042"/>
      <c r="O84" s="1043"/>
      <c r="P84" s="187">
        <f t="shared" si="436"/>
        <v>0</v>
      </c>
      <c r="Q84" s="1020"/>
      <c r="R84" s="1020"/>
      <c r="S84" s="1021"/>
      <c r="T84" s="1021"/>
      <c r="U84" s="510"/>
      <c r="V84" s="187">
        <f t="shared" si="485"/>
        <v>317.81</v>
      </c>
      <c r="W84" s="1041">
        <v>317.81</v>
      </c>
      <c r="X84" s="1041"/>
      <c r="Y84" s="1042"/>
      <c r="Z84" s="1042"/>
      <c r="AA84" s="1043"/>
      <c r="AB84" s="1136">
        <f t="shared" si="438"/>
        <v>0</v>
      </c>
      <c r="AC84" s="1137"/>
      <c r="AD84" s="1137"/>
      <c r="AE84" s="1138"/>
      <c r="AF84" s="1138"/>
      <c r="AG84" s="510"/>
      <c r="AH84" s="187">
        <f t="shared" si="486"/>
        <v>317.81</v>
      </c>
      <c r="AI84" s="1041">
        <v>317.81</v>
      </c>
      <c r="AJ84" s="1041"/>
      <c r="AK84" s="1042"/>
      <c r="AL84" s="1042"/>
      <c r="AM84" s="496"/>
      <c r="AN84" s="191">
        <f t="shared" si="440"/>
        <v>0</v>
      </c>
      <c r="AO84" s="192"/>
      <c r="AP84" s="192"/>
      <c r="AQ84" s="417"/>
      <c r="AR84" s="417"/>
      <c r="AS84" s="465"/>
      <c r="AT84" s="187">
        <f t="shared" si="487"/>
        <v>317.81</v>
      </c>
      <c r="AU84" s="1041">
        <v>317.81</v>
      </c>
      <c r="AV84" s="1041"/>
      <c r="AW84" s="1042"/>
      <c r="AX84" s="1042"/>
      <c r="AY84" s="496"/>
      <c r="AZ84" s="191">
        <f t="shared" si="442"/>
        <v>0</v>
      </c>
      <c r="BA84" s="192"/>
      <c r="BB84" s="192"/>
      <c r="BC84" s="417"/>
      <c r="BD84" s="417"/>
      <c r="BE84" s="465"/>
      <c r="BF84" s="187">
        <f t="shared" si="488"/>
        <v>317.81</v>
      </c>
      <c r="BG84" s="1041">
        <v>317.81</v>
      </c>
      <c r="BH84" s="1041"/>
      <c r="BI84" s="1042"/>
      <c r="BJ84" s="1042"/>
      <c r="BK84" s="496"/>
      <c r="BL84" s="191">
        <f t="shared" si="444"/>
        <v>0</v>
      </c>
      <c r="BM84" s="192"/>
      <c r="BN84" s="192"/>
      <c r="BO84" s="417"/>
      <c r="BP84" s="417"/>
      <c r="BQ84" s="465"/>
      <c r="BR84" s="834">
        <f t="shared" si="468"/>
        <v>0</v>
      </c>
      <c r="BS84" s="540" t="str">
        <f t="shared" si="469"/>
        <v xml:space="preserve"> </v>
      </c>
      <c r="BT84" s="832" t="str">
        <f t="shared" si="76"/>
        <v xml:space="preserve"> </v>
      </c>
      <c r="BU84" s="333" t="str">
        <f t="shared" si="77"/>
        <v xml:space="preserve"> </v>
      </c>
      <c r="BV84" s="333" t="str">
        <f t="shared" si="78"/>
        <v xml:space="preserve"> </v>
      </c>
      <c r="BW84" s="202" t="str">
        <f t="shared" si="79"/>
        <v xml:space="preserve"> </v>
      </c>
      <c r="BX84" s="967"/>
    </row>
    <row r="85" spans="1:77" s="88" customFormat="1" ht="19.5" thickBot="1">
      <c r="A85" s="1588" t="s">
        <v>244</v>
      </c>
      <c r="B85" s="1584"/>
      <c r="C85" s="84" t="s">
        <v>1</v>
      </c>
      <c r="D85" s="186">
        <f>E85+F85+G85+H85</f>
        <v>0</v>
      </c>
      <c r="E85" s="184">
        <f t="shared" ref="E85:H85" si="493">E86+E87</f>
        <v>0</v>
      </c>
      <c r="F85" s="184">
        <f t="shared" si="493"/>
        <v>0</v>
      </c>
      <c r="G85" s="184">
        <f t="shared" si="493"/>
        <v>0</v>
      </c>
      <c r="H85" s="185">
        <f t="shared" si="493"/>
        <v>0</v>
      </c>
      <c r="I85" s="462">
        <f>I86+I87</f>
        <v>0</v>
      </c>
      <c r="J85" s="186">
        <f>K85+L85+M85+N85</f>
        <v>0</v>
      </c>
      <c r="K85" s="184"/>
      <c r="L85" s="184"/>
      <c r="M85" s="184">
        <f t="shared" ref="M85:N85" si="494">M86+M87</f>
        <v>0</v>
      </c>
      <c r="N85" s="185">
        <f t="shared" si="494"/>
        <v>0</v>
      </c>
      <c r="O85" s="462">
        <f>O86+O87</f>
        <v>0</v>
      </c>
      <c r="P85" s="186">
        <f>Q85+R85+S85+T85</f>
        <v>0</v>
      </c>
      <c r="Q85" s="184">
        <f t="shared" ref="Q85" si="495">Q86+Q87</f>
        <v>0</v>
      </c>
      <c r="R85" s="184">
        <f t="shared" ref="R85" si="496">R86+R87</f>
        <v>0</v>
      </c>
      <c r="S85" s="184">
        <f t="shared" ref="S85" si="497">S86+S87</f>
        <v>0</v>
      </c>
      <c r="T85" s="185">
        <f t="shared" ref="T85" si="498">T86+T87</f>
        <v>0</v>
      </c>
      <c r="U85" s="462">
        <f>U86+U87</f>
        <v>0</v>
      </c>
      <c r="V85" s="186">
        <f>W85+X85+Y85+Z85</f>
        <v>0</v>
      </c>
      <c r="W85" s="184">
        <f t="shared" ref="W85:Z85" si="499">W86+W87</f>
        <v>0</v>
      </c>
      <c r="X85" s="184">
        <f t="shared" si="499"/>
        <v>0</v>
      </c>
      <c r="Y85" s="184">
        <f t="shared" si="499"/>
        <v>0</v>
      </c>
      <c r="Z85" s="185">
        <f t="shared" si="499"/>
        <v>0</v>
      </c>
      <c r="AA85" s="462">
        <f>AA86+AA87</f>
        <v>0</v>
      </c>
      <c r="AB85" s="186">
        <f>AC85+AD85+AE85+AF85</f>
        <v>0</v>
      </c>
      <c r="AC85" s="184">
        <f t="shared" ref="AC85" si="500">AC86+AC87</f>
        <v>0</v>
      </c>
      <c r="AD85" s="184">
        <f t="shared" ref="AD85" si="501">AD86+AD87</f>
        <v>0</v>
      </c>
      <c r="AE85" s="184">
        <f t="shared" ref="AE85" si="502">AE86+AE87</f>
        <v>0</v>
      </c>
      <c r="AF85" s="185">
        <f t="shared" ref="AF85" si="503">AF86+AF87</f>
        <v>0</v>
      </c>
      <c r="AG85" s="462">
        <f>AG86+AG87</f>
        <v>0</v>
      </c>
      <c r="AH85" s="186">
        <f>AI85+AJ85+AK85+AL85</f>
        <v>0</v>
      </c>
      <c r="AI85" s="184">
        <f t="shared" ref="AI85:AL85" si="504">AI86+AI87</f>
        <v>0</v>
      </c>
      <c r="AJ85" s="184">
        <f t="shared" si="504"/>
        <v>0</v>
      </c>
      <c r="AK85" s="184">
        <f t="shared" si="504"/>
        <v>0</v>
      </c>
      <c r="AL85" s="185">
        <f t="shared" si="504"/>
        <v>0</v>
      </c>
      <c r="AM85" s="462">
        <f>AM86+AM87</f>
        <v>0</v>
      </c>
      <c r="AN85" s="186">
        <f>AO85+AP85+AQ85+AR85</f>
        <v>0</v>
      </c>
      <c r="AO85" s="184">
        <f t="shared" ref="AO85:AR85" si="505">AO86+AO87</f>
        <v>0</v>
      </c>
      <c r="AP85" s="184">
        <f t="shared" si="505"/>
        <v>0</v>
      </c>
      <c r="AQ85" s="184">
        <f t="shared" si="505"/>
        <v>0</v>
      </c>
      <c r="AR85" s="185">
        <f t="shared" si="505"/>
        <v>0</v>
      </c>
      <c r="AS85" s="462">
        <f>AS86+AS87</f>
        <v>0</v>
      </c>
      <c r="AT85" s="186">
        <f>AU85+AV85+AW85+AX85</f>
        <v>0</v>
      </c>
      <c r="AU85" s="184">
        <f t="shared" ref="AU85:AX85" si="506">AU86+AU87</f>
        <v>0</v>
      </c>
      <c r="AV85" s="184">
        <f t="shared" si="506"/>
        <v>0</v>
      </c>
      <c r="AW85" s="184">
        <f t="shared" si="506"/>
        <v>0</v>
      </c>
      <c r="AX85" s="185">
        <f t="shared" si="506"/>
        <v>0</v>
      </c>
      <c r="AY85" s="462">
        <f>AY86+AY87</f>
        <v>0</v>
      </c>
      <c r="AZ85" s="186">
        <f>BA85+BB85+BC85+BD85</f>
        <v>0</v>
      </c>
      <c r="BA85" s="184">
        <f t="shared" ref="BA85:BD85" si="507">BA86+BA87</f>
        <v>0</v>
      </c>
      <c r="BB85" s="184">
        <f t="shared" si="507"/>
        <v>0</v>
      </c>
      <c r="BC85" s="184">
        <f t="shared" si="507"/>
        <v>0</v>
      </c>
      <c r="BD85" s="185">
        <f t="shared" si="507"/>
        <v>0</v>
      </c>
      <c r="BE85" s="462">
        <f>BE86+BE87</f>
        <v>0</v>
      </c>
      <c r="BF85" s="186">
        <f>BG85+BH85+BI85+BJ85</f>
        <v>0</v>
      </c>
      <c r="BG85" s="184">
        <f t="shared" ref="BG85:BJ85" si="508">BG86+BG87</f>
        <v>0</v>
      </c>
      <c r="BH85" s="184">
        <f t="shared" si="508"/>
        <v>0</v>
      </c>
      <c r="BI85" s="184">
        <f t="shared" si="508"/>
        <v>0</v>
      </c>
      <c r="BJ85" s="185">
        <f t="shared" si="508"/>
        <v>0</v>
      </c>
      <c r="BK85" s="462">
        <f>BK86+BK87</f>
        <v>0</v>
      </c>
      <c r="BL85" s="186">
        <f>BM85+BN85+BO85+BP85</f>
        <v>0</v>
      </c>
      <c r="BM85" s="184">
        <f t="shared" ref="BM85:BP85" si="509">BM86+BM87</f>
        <v>0</v>
      </c>
      <c r="BN85" s="184">
        <f t="shared" si="509"/>
        <v>0</v>
      </c>
      <c r="BO85" s="184">
        <f t="shared" si="509"/>
        <v>0</v>
      </c>
      <c r="BP85" s="185">
        <f t="shared" si="509"/>
        <v>0</v>
      </c>
      <c r="BQ85" s="462">
        <f>BQ86+BQ87</f>
        <v>0</v>
      </c>
      <c r="BR85" s="826" t="str">
        <f t="shared" si="468"/>
        <v xml:space="preserve"> </v>
      </c>
      <c r="BS85" s="330" t="str">
        <f t="shared" si="469"/>
        <v xml:space="preserve"> </v>
      </c>
      <c r="BT85" s="826" t="str">
        <f t="shared" si="76"/>
        <v xml:space="preserve"> </v>
      </c>
      <c r="BU85" s="330" t="str">
        <f t="shared" si="77"/>
        <v xml:space="preserve"> </v>
      </c>
      <c r="BV85" s="330" t="str">
        <f t="shared" si="78"/>
        <v xml:space="preserve"> </v>
      </c>
      <c r="BW85" s="196" t="str">
        <f t="shared" si="79"/>
        <v xml:space="preserve"> </v>
      </c>
      <c r="BX85" s="967"/>
    </row>
    <row r="86" spans="1:77" s="535" customFormat="1" ht="78.75">
      <c r="A86" s="536" t="s">
        <v>251</v>
      </c>
      <c r="B86" s="537" t="s">
        <v>289</v>
      </c>
      <c r="C86" s="1002" t="s">
        <v>1</v>
      </c>
      <c r="D86" s="211">
        <f t="shared" ref="D86:D87" si="510">E86+F86+G86+H86</f>
        <v>0</v>
      </c>
      <c r="E86" s="188"/>
      <c r="F86" s="188"/>
      <c r="G86" s="188"/>
      <c r="H86" s="415"/>
      <c r="I86" s="522"/>
      <c r="J86" s="211">
        <f t="shared" ref="J86:J87" si="511">K86+L86+M86+N86</f>
        <v>0</v>
      </c>
      <c r="K86" s="532"/>
      <c r="L86" s="532"/>
      <c r="M86" s="532"/>
      <c r="N86" s="533"/>
      <c r="O86" s="534"/>
      <c r="P86" s="211">
        <f t="shared" ref="P86:P87" si="512">Q86+R86+S86+T86</f>
        <v>0</v>
      </c>
      <c r="Q86" s="188"/>
      <c r="R86" s="188"/>
      <c r="S86" s="188"/>
      <c r="T86" s="415"/>
      <c r="U86" s="522"/>
      <c r="V86" s="211">
        <f t="shared" ref="V86:V87" si="513">W86+X86+Y86+Z86</f>
        <v>0</v>
      </c>
      <c r="W86" s="532"/>
      <c r="X86" s="532"/>
      <c r="Y86" s="532"/>
      <c r="Z86" s="533"/>
      <c r="AA86" s="534"/>
      <c r="AB86" s="211">
        <f t="shared" ref="AB86:AB87" si="514">AC86+AD86+AE86+AF86</f>
        <v>0</v>
      </c>
      <c r="AC86" s="188"/>
      <c r="AD86" s="188"/>
      <c r="AE86" s="188"/>
      <c r="AF86" s="415"/>
      <c r="AG86" s="463"/>
      <c r="AH86" s="211">
        <f t="shared" ref="AH86:AH87" si="515">AI86+AJ86+AK86+AL86</f>
        <v>0</v>
      </c>
      <c r="AI86" s="532"/>
      <c r="AJ86" s="532"/>
      <c r="AK86" s="532"/>
      <c r="AL86" s="533"/>
      <c r="AM86" s="534"/>
      <c r="AN86" s="211">
        <f t="shared" ref="AN86:AN87" si="516">AO86+AP86+AQ86+AR86</f>
        <v>0</v>
      </c>
      <c r="AO86" s="188"/>
      <c r="AP86" s="188"/>
      <c r="AQ86" s="188"/>
      <c r="AR86" s="415"/>
      <c r="AS86" s="463"/>
      <c r="AT86" s="211">
        <f t="shared" ref="AT86:AT87" si="517">AU86+AV86+AW86+AX86</f>
        <v>0</v>
      </c>
      <c r="AU86" s="532"/>
      <c r="AV86" s="532"/>
      <c r="AW86" s="532"/>
      <c r="AX86" s="533"/>
      <c r="AY86" s="534"/>
      <c r="AZ86" s="211">
        <f t="shared" ref="AZ86:AZ87" si="518">BA86+BB86+BC86+BD86</f>
        <v>0</v>
      </c>
      <c r="BA86" s="188"/>
      <c r="BB86" s="188"/>
      <c r="BC86" s="188"/>
      <c r="BD86" s="415"/>
      <c r="BE86" s="463"/>
      <c r="BF86" s="211">
        <f t="shared" ref="BF86:BF87" si="519">BG86+BH86+BI86+BJ86</f>
        <v>0</v>
      </c>
      <c r="BG86" s="532"/>
      <c r="BH86" s="532"/>
      <c r="BI86" s="532"/>
      <c r="BJ86" s="533"/>
      <c r="BK86" s="534"/>
      <c r="BL86" s="211">
        <f t="shared" ref="BL86:BL87" si="520">BM86+BN86+BO86+BP86</f>
        <v>0</v>
      </c>
      <c r="BM86" s="188"/>
      <c r="BN86" s="188"/>
      <c r="BO86" s="188"/>
      <c r="BP86" s="415"/>
      <c r="BQ86" s="463"/>
      <c r="BR86" s="844" t="str">
        <f t="shared" si="468"/>
        <v xml:space="preserve"> </v>
      </c>
      <c r="BS86" s="840" t="str">
        <f t="shared" si="469"/>
        <v xml:space="preserve"> </v>
      </c>
      <c r="BT86" s="841" t="str">
        <f t="shared" ref="BT86:BT88" si="521">IF(ISERROR(AB86/P86)," ",AB86/P86)</f>
        <v xml:space="preserve"> </v>
      </c>
      <c r="BU86" s="842" t="str">
        <f t="shared" ref="BU86:BU88" si="522">IF(ISERROR(AN86/AB86)," ",AN86/AB86)</f>
        <v xml:space="preserve"> </v>
      </c>
      <c r="BV86" s="842" t="str">
        <f t="shared" ref="BV86:BV88" si="523">IF(ISERROR(AZ86/AN86)," ",AZ86/AN86)</f>
        <v xml:space="preserve"> </v>
      </c>
      <c r="BW86" s="843" t="str">
        <f t="shared" ref="BW86:BW88" si="524">IF(ISERROR(BL86/AZ86)," ",BL86/AZ86)</f>
        <v xml:space="preserve"> </v>
      </c>
      <c r="BX86" s="975"/>
    </row>
    <row r="87" spans="1:77" s="539" customFormat="1" ht="18.75">
      <c r="A87" s="538" t="s">
        <v>290</v>
      </c>
      <c r="B87" s="537" t="s">
        <v>291</v>
      </c>
      <c r="C87" s="1002" t="s">
        <v>1</v>
      </c>
      <c r="D87" s="211">
        <f t="shared" si="510"/>
        <v>0</v>
      </c>
      <c r="E87" s="493">
        <f>E88+E89+E90+E91</f>
        <v>0</v>
      </c>
      <c r="F87" s="493">
        <f t="shared" ref="F87:H87" si="525">F88+F89+F90</f>
        <v>0</v>
      </c>
      <c r="G87" s="493">
        <f t="shared" si="525"/>
        <v>0</v>
      </c>
      <c r="H87" s="494">
        <f t="shared" si="525"/>
        <v>0</v>
      </c>
      <c r="I87" s="495">
        <f>I88+I89+I90</f>
        <v>0</v>
      </c>
      <c r="J87" s="211">
        <f t="shared" si="511"/>
        <v>0</v>
      </c>
      <c r="K87" s="532">
        <f t="shared" ref="K87:N87" si="526">K88+K89+K90</f>
        <v>0</v>
      </c>
      <c r="L87" s="532">
        <f t="shared" si="526"/>
        <v>0</v>
      </c>
      <c r="M87" s="532">
        <f t="shared" si="526"/>
        <v>0</v>
      </c>
      <c r="N87" s="533">
        <f t="shared" si="526"/>
        <v>0</v>
      </c>
      <c r="O87" s="534">
        <f>O88+O89+O90</f>
        <v>0</v>
      </c>
      <c r="P87" s="211">
        <f t="shared" si="512"/>
        <v>0</v>
      </c>
      <c r="Q87" s="493">
        <f t="shared" ref="Q87" si="527">Q88+Q89+Q90</f>
        <v>0</v>
      </c>
      <c r="R87" s="493">
        <f t="shared" ref="R87" si="528">R88+R89+R90</f>
        <v>0</v>
      </c>
      <c r="S87" s="493">
        <f t="shared" ref="S87" si="529">S88+S89+S90</f>
        <v>0</v>
      </c>
      <c r="T87" s="494">
        <f t="shared" ref="T87" si="530">T88+T89+T90</f>
        <v>0</v>
      </c>
      <c r="U87" s="495">
        <f>U88+U89+U90</f>
        <v>0</v>
      </c>
      <c r="V87" s="211">
        <f t="shared" si="513"/>
        <v>0</v>
      </c>
      <c r="W87" s="532">
        <f t="shared" ref="W87:Z87" si="531">W88+W89+W90</f>
        <v>0</v>
      </c>
      <c r="X87" s="532">
        <f t="shared" si="531"/>
        <v>0</v>
      </c>
      <c r="Y87" s="532">
        <f t="shared" si="531"/>
        <v>0</v>
      </c>
      <c r="Z87" s="533">
        <f t="shared" si="531"/>
        <v>0</v>
      </c>
      <c r="AA87" s="534">
        <f>AA88+AA89+AA90</f>
        <v>0</v>
      </c>
      <c r="AB87" s="211">
        <f t="shared" si="514"/>
        <v>0</v>
      </c>
      <c r="AC87" s="493">
        <f t="shared" ref="AC87" si="532">AC88+AC89+AC90</f>
        <v>0</v>
      </c>
      <c r="AD87" s="493">
        <f t="shared" ref="AD87" si="533">AD88+AD89+AD90</f>
        <v>0</v>
      </c>
      <c r="AE87" s="493">
        <f t="shared" ref="AE87" si="534">AE88+AE89+AE90</f>
        <v>0</v>
      </c>
      <c r="AF87" s="494">
        <f t="shared" ref="AF87" si="535">AF88+AF89+AF90</f>
        <v>0</v>
      </c>
      <c r="AG87" s="495">
        <f>AG88+AG89+AG90</f>
        <v>0</v>
      </c>
      <c r="AH87" s="211">
        <f t="shared" si="515"/>
        <v>0</v>
      </c>
      <c r="AI87" s="532">
        <f t="shared" ref="AI87:AL87" si="536">AI88+AI89+AI90</f>
        <v>0</v>
      </c>
      <c r="AJ87" s="532">
        <f t="shared" si="536"/>
        <v>0</v>
      </c>
      <c r="AK87" s="532">
        <f t="shared" si="536"/>
        <v>0</v>
      </c>
      <c r="AL87" s="533">
        <f t="shared" si="536"/>
        <v>0</v>
      </c>
      <c r="AM87" s="534">
        <f>AM88+AM89+AM90</f>
        <v>0</v>
      </c>
      <c r="AN87" s="211">
        <f t="shared" si="516"/>
        <v>0</v>
      </c>
      <c r="AO87" s="493">
        <f t="shared" ref="AO87:AR87" si="537">AO88+AO89+AO90</f>
        <v>0</v>
      </c>
      <c r="AP87" s="493">
        <f t="shared" si="537"/>
        <v>0</v>
      </c>
      <c r="AQ87" s="493">
        <f t="shared" si="537"/>
        <v>0</v>
      </c>
      <c r="AR87" s="494">
        <f t="shared" si="537"/>
        <v>0</v>
      </c>
      <c r="AS87" s="495">
        <f>AS88+AS89+AS90</f>
        <v>0</v>
      </c>
      <c r="AT87" s="211">
        <f t="shared" si="517"/>
        <v>0</v>
      </c>
      <c r="AU87" s="532">
        <f t="shared" ref="AU87:AX87" si="538">AU88+AU89+AU90</f>
        <v>0</v>
      </c>
      <c r="AV87" s="532">
        <f t="shared" si="538"/>
        <v>0</v>
      </c>
      <c r="AW87" s="532">
        <f t="shared" si="538"/>
        <v>0</v>
      </c>
      <c r="AX87" s="533">
        <f t="shared" si="538"/>
        <v>0</v>
      </c>
      <c r="AY87" s="534">
        <f>AY88+AY89+AY90</f>
        <v>0</v>
      </c>
      <c r="AZ87" s="211">
        <f t="shared" si="518"/>
        <v>0</v>
      </c>
      <c r="BA87" s="493">
        <f t="shared" ref="BA87:BD87" si="539">BA88+BA89+BA90</f>
        <v>0</v>
      </c>
      <c r="BB87" s="493">
        <f t="shared" si="539"/>
        <v>0</v>
      </c>
      <c r="BC87" s="493">
        <f t="shared" si="539"/>
        <v>0</v>
      </c>
      <c r="BD87" s="494">
        <f t="shared" si="539"/>
        <v>0</v>
      </c>
      <c r="BE87" s="495">
        <f>BE88+BE89+BE90</f>
        <v>0</v>
      </c>
      <c r="BF87" s="211">
        <f t="shared" si="519"/>
        <v>0</v>
      </c>
      <c r="BG87" s="532">
        <f t="shared" ref="BG87:BJ87" si="540">BG88+BG89+BG90</f>
        <v>0</v>
      </c>
      <c r="BH87" s="532">
        <f t="shared" si="540"/>
        <v>0</v>
      </c>
      <c r="BI87" s="532">
        <f t="shared" si="540"/>
        <v>0</v>
      </c>
      <c r="BJ87" s="533">
        <f t="shared" si="540"/>
        <v>0</v>
      </c>
      <c r="BK87" s="534">
        <f>BK88+BK89+BK90</f>
        <v>0</v>
      </c>
      <c r="BL87" s="211">
        <f t="shared" si="520"/>
        <v>0</v>
      </c>
      <c r="BM87" s="493">
        <f t="shared" ref="BM87:BP87" si="541">BM88+BM89+BM90</f>
        <v>0</v>
      </c>
      <c r="BN87" s="493">
        <f t="shared" si="541"/>
        <v>0</v>
      </c>
      <c r="BO87" s="493">
        <f t="shared" si="541"/>
        <v>0</v>
      </c>
      <c r="BP87" s="494">
        <f t="shared" si="541"/>
        <v>0</v>
      </c>
      <c r="BQ87" s="495">
        <f>BQ88+BQ89+BQ90</f>
        <v>0</v>
      </c>
      <c r="BR87" s="835" t="str">
        <f t="shared" si="468"/>
        <v xml:space="preserve"> </v>
      </c>
      <c r="BS87" s="542" t="str">
        <f t="shared" si="469"/>
        <v xml:space="preserve"> </v>
      </c>
      <c r="BT87" s="834" t="str">
        <f t="shared" si="521"/>
        <v xml:space="preserve"> </v>
      </c>
      <c r="BU87" s="540" t="str">
        <f t="shared" si="522"/>
        <v xml:space="preserve"> </v>
      </c>
      <c r="BV87" s="540" t="str">
        <f t="shared" si="523"/>
        <v xml:space="preserve"> </v>
      </c>
      <c r="BW87" s="541" t="str">
        <f t="shared" si="524"/>
        <v xml:space="preserve"> </v>
      </c>
      <c r="BX87" s="976"/>
    </row>
    <row r="88" spans="1:77" s="83" customFormat="1" ht="18.75">
      <c r="A88" s="146"/>
      <c r="B88" s="147" t="s">
        <v>80</v>
      </c>
      <c r="C88" s="1013" t="s">
        <v>1</v>
      </c>
      <c r="D88" s="559">
        <f>E88+F88+G88+H88</f>
        <v>0</v>
      </c>
      <c r="E88" s="560"/>
      <c r="F88" s="560"/>
      <c r="G88" s="560"/>
      <c r="H88" s="561"/>
      <c r="I88" s="519"/>
      <c r="J88" s="559">
        <f>K88+L88+M88+N88</f>
        <v>0</v>
      </c>
      <c r="K88" s="562"/>
      <c r="L88" s="562"/>
      <c r="M88" s="562"/>
      <c r="N88" s="563"/>
      <c r="O88" s="530"/>
      <c r="P88" s="559">
        <f>Q88+R88+S88+T88</f>
        <v>0</v>
      </c>
      <c r="Q88" s="560"/>
      <c r="R88" s="560"/>
      <c r="S88" s="560"/>
      <c r="T88" s="561"/>
      <c r="U88" s="519"/>
      <c r="V88" s="559">
        <f>W88+X88+Y88+Z88</f>
        <v>0</v>
      </c>
      <c r="W88" s="562"/>
      <c r="X88" s="562"/>
      <c r="Y88" s="562"/>
      <c r="Z88" s="563"/>
      <c r="AA88" s="530"/>
      <c r="AB88" s="559">
        <f>AC88+AD88+AE88+AF88</f>
        <v>0</v>
      </c>
      <c r="AC88" s="560"/>
      <c r="AD88" s="560"/>
      <c r="AE88" s="561"/>
      <c r="AF88" s="561"/>
      <c r="AG88" s="519"/>
      <c r="AH88" s="559">
        <f>AI88+AJ88+AK88+AL88</f>
        <v>0</v>
      </c>
      <c r="AI88" s="562"/>
      <c r="AJ88" s="562"/>
      <c r="AK88" s="562"/>
      <c r="AL88" s="563"/>
      <c r="AM88" s="530"/>
      <c r="AN88" s="559">
        <f>AO88+AP88+AQ88+AR88</f>
        <v>0</v>
      </c>
      <c r="AO88" s="560"/>
      <c r="AP88" s="560"/>
      <c r="AQ88" s="561"/>
      <c r="AR88" s="561"/>
      <c r="AS88" s="519"/>
      <c r="AT88" s="559">
        <f>AU88+AV88+AW88+AX88</f>
        <v>0</v>
      </c>
      <c r="AU88" s="562"/>
      <c r="AV88" s="562"/>
      <c r="AW88" s="562"/>
      <c r="AX88" s="563"/>
      <c r="AY88" s="530"/>
      <c r="AZ88" s="559">
        <f>BA88+BB88+BC88+BD88</f>
        <v>0</v>
      </c>
      <c r="BA88" s="560"/>
      <c r="BB88" s="560"/>
      <c r="BC88" s="561"/>
      <c r="BD88" s="561"/>
      <c r="BE88" s="519"/>
      <c r="BF88" s="559">
        <f>BG88+BH88+BI88+BJ88</f>
        <v>0</v>
      </c>
      <c r="BG88" s="562"/>
      <c r="BH88" s="562"/>
      <c r="BI88" s="562"/>
      <c r="BJ88" s="563"/>
      <c r="BK88" s="530"/>
      <c r="BL88" s="559">
        <f>BM88+BN88+BO88+BP88</f>
        <v>0</v>
      </c>
      <c r="BM88" s="560"/>
      <c r="BN88" s="560"/>
      <c r="BO88" s="561"/>
      <c r="BP88" s="561"/>
      <c r="BQ88" s="519"/>
      <c r="BR88" s="835" t="str">
        <f t="shared" si="468"/>
        <v xml:space="preserve"> </v>
      </c>
      <c r="BS88" s="542" t="str">
        <f t="shared" si="469"/>
        <v xml:space="preserve"> </v>
      </c>
      <c r="BT88" s="835" t="str">
        <f t="shared" si="521"/>
        <v xml:space="preserve"> </v>
      </c>
      <c r="BU88" s="542" t="str">
        <f t="shared" si="522"/>
        <v xml:space="preserve"> </v>
      </c>
      <c r="BV88" s="542" t="str">
        <f t="shared" si="523"/>
        <v xml:space="preserve"> </v>
      </c>
      <c r="BW88" s="543" t="str">
        <f t="shared" si="524"/>
        <v xml:space="preserve"> </v>
      </c>
      <c r="BX88" s="967"/>
    </row>
    <row r="89" spans="1:77" s="83" customFormat="1" ht="31.5">
      <c r="A89" s="133"/>
      <c r="B89" s="148" t="s">
        <v>249</v>
      </c>
      <c r="C89" s="1013" t="s">
        <v>1</v>
      </c>
      <c r="D89" s="559">
        <f t="shared" ref="D89:D90" si="542">E89+F89+G89+H89</f>
        <v>0</v>
      </c>
      <c r="E89" s="560"/>
      <c r="F89" s="560"/>
      <c r="G89" s="560"/>
      <c r="H89" s="561"/>
      <c r="I89" s="519"/>
      <c r="J89" s="559">
        <f t="shared" ref="J89:J90" si="543">K89+L89+M89+N89</f>
        <v>0</v>
      </c>
      <c r="K89" s="383"/>
      <c r="L89" s="383"/>
      <c r="M89" s="1044"/>
      <c r="N89" s="1044"/>
      <c r="O89" s="500"/>
      <c r="P89" s="559">
        <f t="shared" ref="P89:P90" si="544">Q89+R89+S89+T89</f>
        <v>0</v>
      </c>
      <c r="Q89" s="560"/>
      <c r="R89" s="560"/>
      <c r="S89" s="560"/>
      <c r="T89" s="561"/>
      <c r="U89" s="519"/>
      <c r="V89" s="559">
        <f t="shared" ref="V89:V90" si="545">W89+X89+Y89+Z89</f>
        <v>0</v>
      </c>
      <c r="W89" s="383"/>
      <c r="X89" s="383"/>
      <c r="Y89" s="1044"/>
      <c r="Z89" s="1044"/>
      <c r="AA89" s="500"/>
      <c r="AB89" s="564">
        <f t="shared" ref="AB89:AB90" si="546">AC89+AD89+AE89+AF89</f>
        <v>0</v>
      </c>
      <c r="AC89" s="1144"/>
      <c r="AD89" s="1144"/>
      <c r="AE89" s="1145"/>
      <c r="AF89" s="1145"/>
      <c r="AG89" s="469"/>
      <c r="AH89" s="559">
        <f t="shared" ref="AH89:AH90" si="547">AI89+AJ89+AK89+AL89</f>
        <v>0</v>
      </c>
      <c r="AI89" s="383"/>
      <c r="AJ89" s="383"/>
      <c r="AK89" s="1044"/>
      <c r="AL89" s="1044"/>
      <c r="AM89" s="500"/>
      <c r="AN89" s="564">
        <f t="shared" ref="AN89:AN90" si="548">AO89+AP89+AQ89+AR89</f>
        <v>0</v>
      </c>
      <c r="AO89" s="207"/>
      <c r="AP89" s="207"/>
      <c r="AQ89" s="431"/>
      <c r="AR89" s="431"/>
      <c r="AS89" s="469"/>
      <c r="AT89" s="559">
        <f t="shared" ref="AT89:AT90" si="549">AU89+AV89+AW89+AX89</f>
        <v>0</v>
      </c>
      <c r="AU89" s="383"/>
      <c r="AV89" s="383"/>
      <c r="AW89" s="1044"/>
      <c r="AX89" s="1044"/>
      <c r="AY89" s="500"/>
      <c r="AZ89" s="564">
        <f t="shared" ref="AZ89:AZ90" si="550">BA89+BB89+BC89+BD89</f>
        <v>0</v>
      </c>
      <c r="BA89" s="207"/>
      <c r="BB89" s="207"/>
      <c r="BC89" s="431"/>
      <c r="BD89" s="431"/>
      <c r="BE89" s="469"/>
      <c r="BF89" s="559">
        <f t="shared" ref="BF89:BF90" si="551">BG89+BH89+BI89+BJ89</f>
        <v>0</v>
      </c>
      <c r="BG89" s="383"/>
      <c r="BH89" s="383"/>
      <c r="BI89" s="1044"/>
      <c r="BJ89" s="1044"/>
      <c r="BK89" s="500"/>
      <c r="BL89" s="564">
        <f t="shared" ref="BL89:BL90" si="552">BM89+BN89+BO89+BP89</f>
        <v>0</v>
      </c>
      <c r="BM89" s="207"/>
      <c r="BN89" s="207"/>
      <c r="BO89" s="431"/>
      <c r="BP89" s="431"/>
      <c r="BQ89" s="469"/>
      <c r="BR89" s="835" t="str">
        <f t="shared" si="468"/>
        <v xml:space="preserve"> </v>
      </c>
      <c r="BS89" s="542" t="str">
        <f t="shared" si="469"/>
        <v xml:space="preserve"> </v>
      </c>
      <c r="BT89" s="827" t="str">
        <f t="shared" si="76"/>
        <v xml:space="preserve"> </v>
      </c>
      <c r="BU89" s="329" t="str">
        <f t="shared" si="77"/>
        <v xml:space="preserve"> </v>
      </c>
      <c r="BV89" s="329" t="str">
        <f t="shared" si="78"/>
        <v xml:space="preserve"> </v>
      </c>
      <c r="BW89" s="197" t="str">
        <f t="shared" si="79"/>
        <v xml:space="preserve"> </v>
      </c>
      <c r="BX89" s="967"/>
      <c r="BY89" s="565"/>
    </row>
    <row r="90" spans="1:77" s="83" customFormat="1" ht="19.5" thickBot="1">
      <c r="A90" s="133"/>
      <c r="B90" s="148" t="s">
        <v>250</v>
      </c>
      <c r="C90" s="1013" t="s">
        <v>1</v>
      </c>
      <c r="D90" s="559">
        <f t="shared" si="542"/>
        <v>0</v>
      </c>
      <c r="E90" s="560"/>
      <c r="F90" s="560"/>
      <c r="G90" s="560"/>
      <c r="H90" s="561"/>
      <c r="I90" s="566"/>
      <c r="J90" s="559">
        <f t="shared" si="543"/>
        <v>0</v>
      </c>
      <c r="K90" s="383"/>
      <c r="L90" s="383"/>
      <c r="M90" s="383"/>
      <c r="N90" s="1044"/>
      <c r="O90" s="500"/>
      <c r="P90" s="559">
        <f t="shared" si="544"/>
        <v>0</v>
      </c>
      <c r="Q90" s="995"/>
      <c r="R90" s="560"/>
      <c r="S90" s="560"/>
      <c r="T90" s="561"/>
      <c r="U90" s="566"/>
      <c r="V90" s="559">
        <f t="shared" si="545"/>
        <v>0</v>
      </c>
      <c r="W90" s="383"/>
      <c r="X90" s="383"/>
      <c r="Y90" s="383"/>
      <c r="Z90" s="1044"/>
      <c r="AA90" s="500"/>
      <c r="AB90" s="564">
        <f t="shared" si="546"/>
        <v>0</v>
      </c>
      <c r="AC90" s="1144">
        <f>ROUND(Q90*индексы!I8,2)</f>
        <v>0</v>
      </c>
      <c r="AD90" s="1144"/>
      <c r="AE90" s="1145"/>
      <c r="AF90" s="1145"/>
      <c r="AG90" s="469"/>
      <c r="AH90" s="559">
        <f t="shared" si="547"/>
        <v>0</v>
      </c>
      <c r="AI90" s="383"/>
      <c r="AJ90" s="383"/>
      <c r="AK90" s="383"/>
      <c r="AL90" s="1044"/>
      <c r="AM90" s="500"/>
      <c r="AN90" s="564">
        <f t="shared" si="548"/>
        <v>0</v>
      </c>
      <c r="AO90" s="207">
        <f>ROUND(AC90*индексы!J8,2)</f>
        <v>0</v>
      </c>
      <c r="AP90" s="207"/>
      <c r="AQ90" s="431"/>
      <c r="AR90" s="431"/>
      <c r="AS90" s="469"/>
      <c r="AT90" s="559">
        <f t="shared" si="549"/>
        <v>0</v>
      </c>
      <c r="AU90" s="383"/>
      <c r="AV90" s="383"/>
      <c r="AW90" s="383"/>
      <c r="AX90" s="1044"/>
      <c r="AY90" s="500"/>
      <c r="AZ90" s="564">
        <f t="shared" si="550"/>
        <v>0</v>
      </c>
      <c r="BA90" s="207">
        <f>ROUND(AO90*индексы!K8,2)</f>
        <v>0</v>
      </c>
      <c r="BB90" s="207"/>
      <c r="BC90" s="431"/>
      <c r="BD90" s="431"/>
      <c r="BE90" s="469"/>
      <c r="BF90" s="559">
        <f t="shared" si="551"/>
        <v>0</v>
      </c>
      <c r="BG90" s="383"/>
      <c r="BH90" s="383"/>
      <c r="BI90" s="383"/>
      <c r="BJ90" s="1044"/>
      <c r="BK90" s="500"/>
      <c r="BL90" s="564">
        <f t="shared" si="552"/>
        <v>0</v>
      </c>
      <c r="BM90" s="207">
        <f>ROUND(BA90*индексы!L8,2)</f>
        <v>0</v>
      </c>
      <c r="BN90" s="207"/>
      <c r="BO90" s="431"/>
      <c r="BP90" s="431"/>
      <c r="BQ90" s="469"/>
      <c r="BR90" s="834" t="str">
        <f t="shared" si="468"/>
        <v xml:space="preserve"> </v>
      </c>
      <c r="BS90" s="540" t="str">
        <f t="shared" si="469"/>
        <v xml:space="preserve"> </v>
      </c>
      <c r="BT90" s="829" t="str">
        <f t="shared" si="76"/>
        <v xml:space="preserve"> </v>
      </c>
      <c r="BU90" s="331" t="str">
        <f t="shared" si="77"/>
        <v xml:space="preserve"> </v>
      </c>
      <c r="BV90" s="331" t="str">
        <f t="shared" si="78"/>
        <v xml:space="preserve"> </v>
      </c>
      <c r="BW90" s="199" t="str">
        <f t="shared" si="79"/>
        <v xml:space="preserve"> </v>
      </c>
      <c r="BX90" s="967"/>
    </row>
    <row r="91" spans="1:77" s="83" customFormat="1" ht="19.5" thickBot="1">
      <c r="A91" s="133"/>
      <c r="B91" s="148" t="s">
        <v>483</v>
      </c>
      <c r="C91" s="1013" t="s">
        <v>1</v>
      </c>
      <c r="D91" s="945"/>
      <c r="E91" s="946"/>
      <c r="F91" s="946"/>
      <c r="G91" s="946"/>
      <c r="H91" s="947"/>
      <c r="I91" s="566"/>
      <c r="J91" s="945"/>
      <c r="K91" s="948"/>
      <c r="L91" s="948"/>
      <c r="M91" s="948"/>
      <c r="N91" s="949"/>
      <c r="O91" s="950"/>
      <c r="P91" s="945"/>
      <c r="Q91" s="946"/>
      <c r="R91" s="946"/>
      <c r="S91" s="946"/>
      <c r="T91" s="947"/>
      <c r="U91" s="566"/>
      <c r="V91" s="945"/>
      <c r="W91" s="948"/>
      <c r="X91" s="948"/>
      <c r="Y91" s="948"/>
      <c r="Z91" s="949"/>
      <c r="AA91" s="950"/>
      <c r="AB91" s="945"/>
      <c r="AC91" s="946"/>
      <c r="AD91" s="946"/>
      <c r="AE91" s="947"/>
      <c r="AF91" s="947"/>
      <c r="AG91" s="951"/>
      <c r="AH91" s="945"/>
      <c r="AI91" s="948"/>
      <c r="AJ91" s="948"/>
      <c r="AK91" s="948"/>
      <c r="AL91" s="949"/>
      <c r="AM91" s="950"/>
      <c r="AN91" s="945"/>
      <c r="AO91" s="946"/>
      <c r="AP91" s="946"/>
      <c r="AQ91" s="947"/>
      <c r="AR91" s="947"/>
      <c r="AS91" s="951"/>
      <c r="AT91" s="945"/>
      <c r="AU91" s="948"/>
      <c r="AV91" s="948"/>
      <c r="AW91" s="948"/>
      <c r="AX91" s="949"/>
      <c r="AY91" s="950"/>
      <c r="AZ91" s="945"/>
      <c r="BA91" s="946"/>
      <c r="BB91" s="946"/>
      <c r="BC91" s="947"/>
      <c r="BD91" s="947"/>
      <c r="BE91" s="951"/>
      <c r="BF91" s="945"/>
      <c r="BG91" s="948"/>
      <c r="BH91" s="948"/>
      <c r="BI91" s="948"/>
      <c r="BJ91" s="949"/>
      <c r="BK91" s="950"/>
      <c r="BL91" s="945"/>
      <c r="BM91" s="946"/>
      <c r="BN91" s="946"/>
      <c r="BO91" s="947"/>
      <c r="BP91" s="947"/>
      <c r="BQ91" s="951"/>
      <c r="BR91" s="841"/>
      <c r="BS91" s="842"/>
      <c r="BT91" s="952"/>
      <c r="BU91" s="953"/>
      <c r="BV91" s="953"/>
      <c r="BW91" s="954"/>
      <c r="BX91" s="967"/>
    </row>
    <row r="92" spans="1:77" s="88" customFormat="1" ht="19.5" thickBot="1">
      <c r="A92" s="1583" t="s">
        <v>215</v>
      </c>
      <c r="B92" s="1584"/>
      <c r="C92" s="84" t="s">
        <v>1</v>
      </c>
      <c r="D92" s="186">
        <f>E92+F92+G92+H92</f>
        <v>556.14</v>
      </c>
      <c r="E92" s="184">
        <v>556.14</v>
      </c>
      <c r="F92" s="184"/>
      <c r="G92" s="184"/>
      <c r="H92" s="185"/>
      <c r="I92" s="462"/>
      <c r="J92" s="186">
        <f>K92+L92+M92+N92</f>
        <v>644.03</v>
      </c>
      <c r="K92" s="184">
        <v>384.93673100000001</v>
      </c>
      <c r="L92" s="184">
        <v>247.30751999999998</v>
      </c>
      <c r="M92" s="184"/>
      <c r="N92" s="185">
        <v>11.785748999999999</v>
      </c>
      <c r="O92" s="462"/>
      <c r="P92" s="184">
        <f>ROUND((P15-P16+P21+P59)*0.05,2)</f>
        <v>622.75</v>
      </c>
      <c r="Q92" s="184">
        <f>ROUND((P15-P16+P21+P59)*0.05,2)</f>
        <v>622.75</v>
      </c>
      <c r="R92" s="184"/>
      <c r="S92" s="184">
        <f t="shared" ref="S92" si="553">ROUND((S15-S16+S21+S59)*0.05,2)</f>
        <v>0</v>
      </c>
      <c r="T92" s="1228"/>
      <c r="U92" s="462"/>
      <c r="V92" s="186">
        <f>W92+X92+Y92+Z92</f>
        <v>711.72879421344373</v>
      </c>
      <c r="W92" s="184">
        <v>698.70155779011191</v>
      </c>
      <c r="X92" s="184"/>
      <c r="Y92" s="184"/>
      <c r="Z92" s="185">
        <v>13.027236423331868</v>
      </c>
      <c r="AA92" s="462"/>
      <c r="AB92" s="186">
        <f>AC92+AD92+AE92+AF92</f>
        <v>649.70000000000005</v>
      </c>
      <c r="AC92" s="184">
        <f>ROUND((AB15-AB16+AB21+AB59)*0.05,2)</f>
        <v>649.70000000000005</v>
      </c>
      <c r="AD92" s="184">
        <f t="shared" ref="AD92:AG92" si="554">IF(R92&gt;0,(AD15-AD16-AD18-AD20+AD21+AD59-AD62-AD82)*5%,0)</f>
        <v>0</v>
      </c>
      <c r="AE92" s="184">
        <f t="shared" si="554"/>
        <v>0</v>
      </c>
      <c r="AF92" s="185">
        <f t="shared" si="554"/>
        <v>0</v>
      </c>
      <c r="AG92" s="462">
        <f t="shared" si="554"/>
        <v>0</v>
      </c>
      <c r="AH92" s="186">
        <f>AI92+AJ92+AK92+AL92</f>
        <v>748.78002642186652</v>
      </c>
      <c r="AI92" s="184">
        <v>735.07461712471081</v>
      </c>
      <c r="AJ92" s="184"/>
      <c r="AK92" s="184"/>
      <c r="AL92" s="185">
        <v>13.705409297155683</v>
      </c>
      <c r="AM92" s="462"/>
      <c r="AN92" s="186">
        <f>AO92+AP92+AQ92+AR92</f>
        <v>671.67</v>
      </c>
      <c r="AO92" s="184">
        <f>ROUND((AN15-AN16+AN21+AN59)*0.05,2)</f>
        <v>671.67</v>
      </c>
      <c r="AP92" s="184">
        <f t="shared" ref="AP92" si="555">IF(AD92&gt;0,(AP15-AP16-AP18-AP20+AP21+AP59-AP62-AP82)*5%,0)</f>
        <v>0</v>
      </c>
      <c r="AQ92" s="185">
        <f t="shared" ref="AQ92" si="556">IF(AE92&gt;0,(AQ15-AQ16-AQ18-AQ20+AQ21+AQ59-AQ62-AQ82)*5%,0)</f>
        <v>0</v>
      </c>
      <c r="AR92" s="185">
        <f t="shared" ref="AR92" si="557">IF(AF92&gt;0,(AR15-AR16-AR18-AR20+AR21+AR59-AR62-AR82)*5%,0)</f>
        <v>0</v>
      </c>
      <c r="AS92" s="462">
        <f t="shared" ref="AS92" si="558">IF(AG92&gt;0,(AS15-AS16-AS18-AS20+AS21+AS59-AS62-AS82)*5%,0)</f>
        <v>0</v>
      </c>
      <c r="AT92" s="186">
        <f>AU92+AV92+AW92+AX92</f>
        <v>785.90759104089943</v>
      </c>
      <c r="AU92" s="184">
        <v>771.52261170801239</v>
      </c>
      <c r="AV92" s="184"/>
      <c r="AW92" s="184"/>
      <c r="AX92" s="185">
        <v>14.384979332887054</v>
      </c>
      <c r="AY92" s="462"/>
      <c r="AZ92" s="186">
        <f>BA92+BB92+BC92+BD92</f>
        <v>695.03</v>
      </c>
      <c r="BA92" s="184">
        <f>ROUND((AZ15-AZ16+AZ21+AZ59)*0.05,2)</f>
        <v>695.03</v>
      </c>
      <c r="BB92" s="184">
        <f t="shared" ref="BB92" si="559">IF(AP92&gt;0,(BB15-BB16-BB18-BB20+BB21+BB59-BB62-BB82)*5%,0)</f>
        <v>0</v>
      </c>
      <c r="BC92" s="185">
        <f t="shared" ref="BC92" si="560">IF(AQ92&gt;0,(BC15-BC16-BC18-BC20+BC21+BC59-BC62-BC82)*5%,0)</f>
        <v>0</v>
      </c>
      <c r="BD92" s="185">
        <f t="shared" ref="BD92" si="561">IF(AR92&gt;0,(BD15-BD16-BD18-BD20+BD21+BD59-BD62-BD82)*5%,0)</f>
        <v>0</v>
      </c>
      <c r="BE92" s="462">
        <f t="shared" ref="BE92" si="562">IF(AS92&gt;0,(BE15-BE16-BE18-BE20+BE21+BE59-BE62-BE82)*5%,0)</f>
        <v>0</v>
      </c>
      <c r="BF92" s="186">
        <f>BG92+BH92+BI92+BJ92</f>
        <v>830.50463449049425</v>
      </c>
      <c r="BG92" s="184">
        <v>815.30336637805669</v>
      </c>
      <c r="BH92" s="184"/>
      <c r="BI92" s="184"/>
      <c r="BJ92" s="185">
        <v>15.201268112437601</v>
      </c>
      <c r="BK92" s="462"/>
      <c r="BL92" s="186">
        <f>BM92+BN92+BO92+BP92</f>
        <v>719.1</v>
      </c>
      <c r="BM92" s="184">
        <f>ROUND((BL15-BL16+BL21+BL59)*0.05,2)</f>
        <v>719.1</v>
      </c>
      <c r="BN92" s="184">
        <f t="shared" ref="BN92" si="563">IF(BB92&gt;0,(BN15-BN16-BN18-BN20+BN21+BN59-BN62-BN82)*5%,0)</f>
        <v>0</v>
      </c>
      <c r="BO92" s="185">
        <f t="shared" ref="BO92" si="564">IF(BC92&gt;0,(BO15-BO16-BO18-BO20+BO21+BO59-BO62-BO82)*5%,0)</f>
        <v>0</v>
      </c>
      <c r="BP92" s="185">
        <f t="shared" ref="BP92" si="565">IF(BD92&gt;0,(BP15-BP16-BP18-BP20+BP21+BP59-BP62-BP82)*5%,0)</f>
        <v>0</v>
      </c>
      <c r="BQ92" s="462">
        <f t="shared" ref="BQ92" si="566">IF(BE92&gt;0,(BQ15-BQ16-BQ18-BQ20+BQ21+BQ59-BQ62-BQ82)*5%,0)</f>
        <v>0</v>
      </c>
      <c r="BR92" s="826">
        <f t="shared" si="468"/>
        <v>0.96695806095989323</v>
      </c>
      <c r="BS92" s="330">
        <f t="shared" si="469"/>
        <v>1.1197719998561513</v>
      </c>
      <c r="BT92" s="826">
        <f t="shared" ref="BT92:BT126" si="567">IF(ISERROR(AB92/P92)," ",AB92/P92)</f>
        <v>1.0432757928542755</v>
      </c>
      <c r="BU92" s="330">
        <f t="shared" ref="BU92:BU126" si="568">IF(ISERROR(AN92/AB92)," ",AN92/AB92)</f>
        <v>1.0338156072033244</v>
      </c>
      <c r="BV92" s="330">
        <f t="shared" ref="BV92:BV126" si="569">IF(ISERROR(AZ92/AN92)," ",AZ92/AN92)</f>
        <v>1.034778983727128</v>
      </c>
      <c r="BW92" s="196">
        <f t="shared" ref="BW92:BW126" si="570">IF(ISERROR(BL92/AZ92)," ",BL92/AZ92)</f>
        <v>1.0346315986360302</v>
      </c>
      <c r="BX92" s="967"/>
    </row>
    <row r="93" spans="1:77" s="88" customFormat="1" ht="36" customHeight="1" thickBot="1">
      <c r="A93" s="1583" t="s">
        <v>216</v>
      </c>
      <c r="B93" s="1584"/>
      <c r="C93" s="84" t="s">
        <v>1</v>
      </c>
      <c r="D93" s="186">
        <f>E93+F93+G93+H93</f>
        <v>0</v>
      </c>
      <c r="E93" s="184"/>
      <c r="F93" s="184"/>
      <c r="G93" s="184"/>
      <c r="H93" s="185"/>
      <c r="I93" s="462"/>
      <c r="J93" s="186">
        <f t="shared" ref="J93:J98" si="571">K93+L93+M93+N93</f>
        <v>0</v>
      </c>
      <c r="K93" s="184"/>
      <c r="L93" s="184"/>
      <c r="M93" s="184"/>
      <c r="N93" s="185"/>
      <c r="O93" s="462"/>
      <c r="P93" s="186">
        <f>Q93+R93+S93+T93</f>
        <v>0</v>
      </c>
      <c r="Q93" s="184"/>
      <c r="R93" s="184"/>
      <c r="S93" s="184"/>
      <c r="T93" s="185"/>
      <c r="U93" s="462"/>
      <c r="V93" s="186">
        <f t="shared" ref="V93:V98" si="572">W93+X93+Y93+Z93</f>
        <v>0</v>
      </c>
      <c r="W93" s="184"/>
      <c r="X93" s="184"/>
      <c r="Y93" s="184"/>
      <c r="Z93" s="185"/>
      <c r="AA93" s="462"/>
      <c r="AB93" s="186">
        <f t="shared" ref="AB93:AB98" si="573">AC93+AD93+AE93+AF93</f>
        <v>0</v>
      </c>
      <c r="AC93" s="184"/>
      <c r="AD93" s="184"/>
      <c r="AE93" s="185"/>
      <c r="AF93" s="185"/>
      <c r="AG93" s="462"/>
      <c r="AH93" s="186">
        <f t="shared" ref="AH93:AH98" si="574">AI93+AJ93+AK93+AL93</f>
        <v>0</v>
      </c>
      <c r="AI93" s="184"/>
      <c r="AJ93" s="184"/>
      <c r="AK93" s="184"/>
      <c r="AL93" s="185"/>
      <c r="AM93" s="462"/>
      <c r="AN93" s="186">
        <f t="shared" ref="AN93:AN94" si="575">AO93+AP93+AQ93+AR93</f>
        <v>0</v>
      </c>
      <c r="AO93" s="184"/>
      <c r="AP93" s="184"/>
      <c r="AQ93" s="185"/>
      <c r="AR93" s="185"/>
      <c r="AS93" s="462"/>
      <c r="AT93" s="186">
        <f t="shared" ref="AT93:AT98" si="576">AU93+AV93+AW93+AX93</f>
        <v>0</v>
      </c>
      <c r="AU93" s="184"/>
      <c r="AV93" s="184"/>
      <c r="AW93" s="184"/>
      <c r="AX93" s="185"/>
      <c r="AY93" s="462"/>
      <c r="AZ93" s="186">
        <f t="shared" ref="AZ93:AZ94" si="577">BA93+BB93+BC93+BD93</f>
        <v>0</v>
      </c>
      <c r="BA93" s="184"/>
      <c r="BB93" s="184"/>
      <c r="BC93" s="185"/>
      <c r="BD93" s="185"/>
      <c r="BE93" s="462"/>
      <c r="BF93" s="186">
        <f t="shared" ref="BF93:BF98" si="578">BG93+BH93+BI93+BJ93</f>
        <v>0</v>
      </c>
      <c r="BG93" s="184"/>
      <c r="BH93" s="184"/>
      <c r="BI93" s="184"/>
      <c r="BJ93" s="185"/>
      <c r="BK93" s="462"/>
      <c r="BL93" s="186">
        <f t="shared" ref="BL93:BL94" si="579">BM93+BN93+BO93+BP93</f>
        <v>0</v>
      </c>
      <c r="BM93" s="184"/>
      <c r="BN93" s="184"/>
      <c r="BO93" s="185"/>
      <c r="BP93" s="185"/>
      <c r="BQ93" s="462"/>
      <c r="BR93" s="826" t="str">
        <f t="shared" si="468"/>
        <v xml:space="preserve"> </v>
      </c>
      <c r="BS93" s="330" t="str">
        <f t="shared" si="469"/>
        <v xml:space="preserve"> </v>
      </c>
      <c r="BT93" s="826" t="str">
        <f t="shared" si="567"/>
        <v xml:space="preserve"> </v>
      </c>
      <c r="BU93" s="330" t="str">
        <f t="shared" si="568"/>
        <v xml:space="preserve"> </v>
      </c>
      <c r="BV93" s="330" t="str">
        <f t="shared" si="569"/>
        <v xml:space="preserve"> </v>
      </c>
      <c r="BW93" s="196" t="str">
        <f t="shared" si="570"/>
        <v xml:space="preserve"> </v>
      </c>
      <c r="BX93" s="967"/>
    </row>
    <row r="94" spans="1:77" s="88" customFormat="1" ht="19.5" thickBot="1">
      <c r="A94" s="1583" t="s">
        <v>217</v>
      </c>
      <c r="B94" s="1584"/>
      <c r="C94" s="84" t="s">
        <v>1</v>
      </c>
      <c r="D94" s="555">
        <f>E94+F94+G94+H94</f>
        <v>0</v>
      </c>
      <c r="E94" s="549">
        <f>SUM(E95:E98)</f>
        <v>0</v>
      </c>
      <c r="F94" s="549">
        <f t="shared" ref="F94:I94" si="580">SUM(F95:F98)</f>
        <v>0</v>
      </c>
      <c r="G94" s="549">
        <f t="shared" si="580"/>
        <v>0</v>
      </c>
      <c r="H94" s="550">
        <f t="shared" si="580"/>
        <v>0</v>
      </c>
      <c r="I94" s="551">
        <f t="shared" si="580"/>
        <v>0</v>
      </c>
      <c r="J94" s="186">
        <f t="shared" si="571"/>
        <v>0</v>
      </c>
      <c r="K94" s="184">
        <f>SUM(K95:K98)</f>
        <v>0</v>
      </c>
      <c r="L94" s="184">
        <f t="shared" ref="L94:O94" si="581">SUM(L95:L98)</f>
        <v>0</v>
      </c>
      <c r="M94" s="184">
        <f t="shared" si="581"/>
        <v>0</v>
      </c>
      <c r="N94" s="185">
        <f t="shared" si="581"/>
        <v>0</v>
      </c>
      <c r="O94" s="462">
        <f t="shared" si="581"/>
        <v>0</v>
      </c>
      <c r="P94" s="555">
        <f>Q94+R94+S94+T94</f>
        <v>0</v>
      </c>
      <c r="Q94" s="549">
        <f>SUM(Q95:Q98)</f>
        <v>0</v>
      </c>
      <c r="R94" s="549">
        <f t="shared" ref="R94:U94" si="582">SUM(R95:R98)</f>
        <v>0</v>
      </c>
      <c r="S94" s="549">
        <f t="shared" si="582"/>
        <v>0</v>
      </c>
      <c r="T94" s="550">
        <f t="shared" si="582"/>
        <v>0</v>
      </c>
      <c r="U94" s="551">
        <f t="shared" si="582"/>
        <v>0</v>
      </c>
      <c r="V94" s="186">
        <f t="shared" si="572"/>
        <v>0</v>
      </c>
      <c r="W94" s="184">
        <f>SUM(W95:W98)</f>
        <v>0</v>
      </c>
      <c r="X94" s="184">
        <f t="shared" ref="X94:Z94" si="583">SUM(X95:X98)</f>
        <v>0</v>
      </c>
      <c r="Y94" s="184">
        <f t="shared" si="583"/>
        <v>0</v>
      </c>
      <c r="Z94" s="185">
        <f t="shared" si="583"/>
        <v>0</v>
      </c>
      <c r="AA94" s="462">
        <f t="shared" ref="AA94" si="584">SUM(AA95:AA98)</f>
        <v>0</v>
      </c>
      <c r="AB94" s="186">
        <f t="shared" si="573"/>
        <v>0</v>
      </c>
      <c r="AC94" s="184">
        <f>SUM(AC95:AC98)</f>
        <v>0</v>
      </c>
      <c r="AD94" s="184">
        <f t="shared" ref="AD94" si="585">SUM(AD95:AD98)</f>
        <v>0</v>
      </c>
      <c r="AE94" s="185">
        <f>SUM(AE95:AE98)</f>
        <v>0</v>
      </c>
      <c r="AF94" s="185">
        <f t="shared" ref="AF94" si="586">SUM(AF95:AF98)</f>
        <v>0</v>
      </c>
      <c r="AG94" s="462">
        <f t="shared" ref="AG94" si="587">SUM(AG95:AG98)</f>
        <v>0</v>
      </c>
      <c r="AH94" s="186">
        <f t="shared" si="574"/>
        <v>0</v>
      </c>
      <c r="AI94" s="184">
        <f>SUM(AI95:AI98)</f>
        <v>0</v>
      </c>
      <c r="AJ94" s="184">
        <f t="shared" ref="AJ94:AL94" si="588">SUM(AJ95:AJ98)</f>
        <v>0</v>
      </c>
      <c r="AK94" s="184">
        <f t="shared" si="588"/>
        <v>0</v>
      </c>
      <c r="AL94" s="185">
        <f t="shared" si="588"/>
        <v>0</v>
      </c>
      <c r="AM94" s="462">
        <f t="shared" ref="AM94" si="589">SUM(AM95:AM98)</f>
        <v>0</v>
      </c>
      <c r="AN94" s="186">
        <f t="shared" si="575"/>
        <v>-159.78</v>
      </c>
      <c r="AO94" s="184">
        <f>SUM(AO95:AO98)</f>
        <v>-159.78</v>
      </c>
      <c r="AP94" s="184">
        <f t="shared" ref="AP94" si="590">SUM(AP95:AP98)</f>
        <v>0</v>
      </c>
      <c r="AQ94" s="185">
        <f>SUM(AQ95:AQ98)</f>
        <v>0</v>
      </c>
      <c r="AR94" s="185">
        <f t="shared" ref="AR94:AS94" si="591">SUM(AR95:AR98)</f>
        <v>0</v>
      </c>
      <c r="AS94" s="462">
        <f t="shared" si="591"/>
        <v>0</v>
      </c>
      <c r="AT94" s="186">
        <f t="shared" si="576"/>
        <v>0</v>
      </c>
      <c r="AU94" s="184">
        <f>SUM(AU95:AU98)</f>
        <v>0</v>
      </c>
      <c r="AV94" s="184">
        <f t="shared" ref="AV94:AX94" si="592">SUM(AV95:AV98)</f>
        <v>0</v>
      </c>
      <c r="AW94" s="184">
        <f t="shared" si="592"/>
        <v>0</v>
      </c>
      <c r="AX94" s="185">
        <f t="shared" si="592"/>
        <v>0</v>
      </c>
      <c r="AY94" s="462">
        <f t="shared" ref="AY94" si="593">SUM(AY95:AY98)</f>
        <v>0</v>
      </c>
      <c r="AZ94" s="186">
        <f t="shared" si="577"/>
        <v>0</v>
      </c>
      <c r="BA94" s="184">
        <f>SUM(BA95:BA98)</f>
        <v>0</v>
      </c>
      <c r="BB94" s="184">
        <f t="shared" ref="BB94" si="594">SUM(BB95:BB98)</f>
        <v>0</v>
      </c>
      <c r="BC94" s="185">
        <f>SUM(BC95:BC98)</f>
        <v>0</v>
      </c>
      <c r="BD94" s="185">
        <f t="shared" ref="BD94:BE94" si="595">SUM(BD95:BD98)</f>
        <v>0</v>
      </c>
      <c r="BE94" s="462">
        <f t="shared" si="595"/>
        <v>0</v>
      </c>
      <c r="BF94" s="186">
        <f t="shared" si="578"/>
        <v>0</v>
      </c>
      <c r="BG94" s="184">
        <f>SUM(BG95:BG98)</f>
        <v>0</v>
      </c>
      <c r="BH94" s="184">
        <f t="shared" ref="BH94:BJ94" si="596">SUM(BH95:BH98)</f>
        <v>0</v>
      </c>
      <c r="BI94" s="184">
        <f t="shared" si="596"/>
        <v>0</v>
      </c>
      <c r="BJ94" s="185">
        <f t="shared" si="596"/>
        <v>0</v>
      </c>
      <c r="BK94" s="462">
        <f t="shared" ref="BK94" si="597">SUM(BK95:BK98)</f>
        <v>0</v>
      </c>
      <c r="BL94" s="186">
        <f t="shared" si="579"/>
        <v>0</v>
      </c>
      <c r="BM94" s="184">
        <f>SUM(BM95:BM98)</f>
        <v>0</v>
      </c>
      <c r="BN94" s="184">
        <f t="shared" ref="BN94" si="598">SUM(BN95:BN98)</f>
        <v>0</v>
      </c>
      <c r="BO94" s="185">
        <f>SUM(BO95:BO98)</f>
        <v>0</v>
      </c>
      <c r="BP94" s="185">
        <f t="shared" ref="BP94:BQ94" si="599">SUM(BP95:BP98)</f>
        <v>0</v>
      </c>
      <c r="BQ94" s="462">
        <f t="shared" si="599"/>
        <v>0</v>
      </c>
      <c r="BR94" s="826" t="str">
        <f t="shared" si="468"/>
        <v xml:space="preserve"> </v>
      </c>
      <c r="BS94" s="330" t="str">
        <f t="shared" si="469"/>
        <v xml:space="preserve"> </v>
      </c>
      <c r="BT94" s="826" t="str">
        <f t="shared" si="567"/>
        <v xml:space="preserve"> </v>
      </c>
      <c r="BU94" s="330" t="str">
        <f t="shared" si="568"/>
        <v xml:space="preserve"> </v>
      </c>
      <c r="BV94" s="330">
        <f t="shared" si="569"/>
        <v>0</v>
      </c>
      <c r="BW94" s="196" t="str">
        <f t="shared" si="570"/>
        <v xml:space="preserve"> </v>
      </c>
      <c r="BX94" s="967"/>
    </row>
    <row r="95" spans="1:77" s="83" customFormat="1" ht="32.25" customHeight="1" outlineLevel="1">
      <c r="A95" s="146" t="s">
        <v>42</v>
      </c>
      <c r="B95" s="147" t="s">
        <v>245</v>
      </c>
      <c r="C95" s="1013" t="s">
        <v>1</v>
      </c>
      <c r="D95" s="557">
        <f t="shared" ref="D95:D98" si="600">E95+F95+G95+H95</f>
        <v>0</v>
      </c>
      <c r="E95" s="544"/>
      <c r="F95" s="544"/>
      <c r="G95" s="544"/>
      <c r="H95" s="544"/>
      <c r="I95" s="545"/>
      <c r="J95" s="211">
        <f t="shared" si="571"/>
        <v>0</v>
      </c>
      <c r="K95" s="213"/>
      <c r="L95" s="213"/>
      <c r="M95" s="213"/>
      <c r="N95" s="446"/>
      <c r="O95" s="472"/>
      <c r="P95" s="557">
        <f t="shared" ref="P95:P98" si="601">Q95+R95+S95+T95</f>
        <v>0</v>
      </c>
      <c r="Q95" s="544">
        <f>'учет итогов'!I28</f>
        <v>0</v>
      </c>
      <c r="R95" s="544"/>
      <c r="S95" s="544"/>
      <c r="T95" s="544"/>
      <c r="U95" s="545"/>
      <c r="V95" s="211">
        <f t="shared" si="572"/>
        <v>0</v>
      </c>
      <c r="W95" s="213"/>
      <c r="X95" s="213"/>
      <c r="Y95" s="213"/>
      <c r="Z95" s="446"/>
      <c r="AA95" s="472"/>
      <c r="AB95" s="212">
        <f>AC95+AD95+AE95+AF95</f>
        <v>0</v>
      </c>
      <c r="AC95" s="213"/>
      <c r="AD95" s="213"/>
      <c r="AE95" s="446"/>
      <c r="AF95" s="446"/>
      <c r="AG95" s="472"/>
      <c r="AH95" s="211">
        <f t="shared" si="574"/>
        <v>0</v>
      </c>
      <c r="AI95" s="213"/>
      <c r="AJ95" s="213"/>
      <c r="AK95" s="213"/>
      <c r="AL95" s="446"/>
      <c r="AM95" s="472"/>
      <c r="AN95" s="212">
        <f>AO95+AP95+AQ95+AR95</f>
        <v>-159.78</v>
      </c>
      <c r="AO95" s="213">
        <f>'учет итогов'!K21</f>
        <v>-159.78</v>
      </c>
      <c r="AP95" s="213"/>
      <c r="AQ95" s="446"/>
      <c r="AR95" s="446"/>
      <c r="AS95" s="472"/>
      <c r="AT95" s="211">
        <f t="shared" si="576"/>
        <v>0</v>
      </c>
      <c r="AU95" s="213"/>
      <c r="AV95" s="213"/>
      <c r="AW95" s="213"/>
      <c r="AX95" s="446"/>
      <c r="AY95" s="472"/>
      <c r="AZ95" s="212">
        <f>BA95+BB95+BC95+BD95</f>
        <v>0</v>
      </c>
      <c r="BA95" s="213"/>
      <c r="BB95" s="213"/>
      <c r="BC95" s="446"/>
      <c r="BD95" s="446"/>
      <c r="BE95" s="472"/>
      <c r="BF95" s="211">
        <f t="shared" si="578"/>
        <v>0</v>
      </c>
      <c r="BG95" s="213"/>
      <c r="BH95" s="213"/>
      <c r="BI95" s="213"/>
      <c r="BJ95" s="446"/>
      <c r="BK95" s="472"/>
      <c r="BL95" s="212">
        <f>BM95+BN95+BO95+BP95</f>
        <v>0</v>
      </c>
      <c r="BM95" s="213"/>
      <c r="BN95" s="213"/>
      <c r="BO95" s="446"/>
      <c r="BP95" s="446"/>
      <c r="BQ95" s="472"/>
      <c r="BR95" s="844" t="str">
        <f t="shared" si="468"/>
        <v xml:space="preserve"> </v>
      </c>
      <c r="BS95" s="840" t="str">
        <f t="shared" si="469"/>
        <v xml:space="preserve"> </v>
      </c>
      <c r="BT95" s="827" t="str">
        <f t="shared" si="567"/>
        <v xml:space="preserve"> </v>
      </c>
      <c r="BU95" s="329" t="str">
        <f t="shared" si="568"/>
        <v xml:space="preserve"> </v>
      </c>
      <c r="BV95" s="329">
        <f t="shared" si="569"/>
        <v>0</v>
      </c>
      <c r="BW95" s="197" t="str">
        <f t="shared" si="570"/>
        <v xml:space="preserve"> </v>
      </c>
      <c r="BX95" s="967"/>
    </row>
    <row r="96" spans="1:77" s="83" customFormat="1" ht="78.75" outlineLevel="1">
      <c r="A96" s="133" t="s">
        <v>45</v>
      </c>
      <c r="B96" s="148" t="s">
        <v>246</v>
      </c>
      <c r="C96" s="1013" t="s">
        <v>1</v>
      </c>
      <c r="D96" s="211">
        <f t="shared" si="600"/>
        <v>0</v>
      </c>
      <c r="E96" s="215"/>
      <c r="F96" s="215"/>
      <c r="G96" s="215"/>
      <c r="H96" s="215"/>
      <c r="I96" s="546"/>
      <c r="J96" s="211">
        <f t="shared" si="571"/>
        <v>0</v>
      </c>
      <c r="K96" s="215"/>
      <c r="L96" s="215"/>
      <c r="M96" s="215"/>
      <c r="N96" s="1052"/>
      <c r="O96" s="473"/>
      <c r="P96" s="211">
        <f t="shared" si="601"/>
        <v>0</v>
      </c>
      <c r="Q96" s="215"/>
      <c r="R96" s="215"/>
      <c r="S96" s="215"/>
      <c r="T96" s="215"/>
      <c r="U96" s="546"/>
      <c r="V96" s="211">
        <f t="shared" si="572"/>
        <v>0</v>
      </c>
      <c r="W96" s="215"/>
      <c r="X96" s="215"/>
      <c r="Y96" s="215"/>
      <c r="Z96" s="1052"/>
      <c r="AA96" s="473"/>
      <c r="AB96" s="214">
        <f t="shared" si="573"/>
        <v>0</v>
      </c>
      <c r="AC96" s="1157"/>
      <c r="AD96" s="1157"/>
      <c r="AE96" s="1158"/>
      <c r="AF96" s="1158"/>
      <c r="AG96" s="473"/>
      <c r="AH96" s="211">
        <f t="shared" si="574"/>
        <v>0</v>
      </c>
      <c r="AI96" s="215"/>
      <c r="AJ96" s="215"/>
      <c r="AK96" s="215"/>
      <c r="AL96" s="1052"/>
      <c r="AM96" s="473"/>
      <c r="AN96" s="214">
        <f t="shared" ref="AN96:AN98" si="602">AO96+AP96+AQ96+AR96</f>
        <v>0</v>
      </c>
      <c r="AO96" s="215"/>
      <c r="AP96" s="215"/>
      <c r="AQ96" s="447"/>
      <c r="AR96" s="447"/>
      <c r="AS96" s="473"/>
      <c r="AT96" s="211">
        <f t="shared" si="576"/>
        <v>0</v>
      </c>
      <c r="AU96" s="215"/>
      <c r="AV96" s="215"/>
      <c r="AW96" s="215"/>
      <c r="AX96" s="1052"/>
      <c r="AY96" s="473"/>
      <c r="AZ96" s="214">
        <f t="shared" ref="AZ96:AZ98" si="603">BA96+BB96+BC96+BD96</f>
        <v>0</v>
      </c>
      <c r="BA96" s="215"/>
      <c r="BB96" s="215"/>
      <c r="BC96" s="447"/>
      <c r="BD96" s="447"/>
      <c r="BE96" s="473"/>
      <c r="BF96" s="211">
        <f t="shared" si="578"/>
        <v>0</v>
      </c>
      <c r="BG96" s="215"/>
      <c r="BH96" s="215"/>
      <c r="BI96" s="215"/>
      <c r="BJ96" s="1052"/>
      <c r="BK96" s="473"/>
      <c r="BL96" s="214">
        <f t="shared" ref="BL96:BL98" si="604">BM96+BN96+BO96+BP96</f>
        <v>0</v>
      </c>
      <c r="BM96" s="215"/>
      <c r="BN96" s="215"/>
      <c r="BO96" s="447"/>
      <c r="BP96" s="447"/>
      <c r="BQ96" s="473"/>
      <c r="BR96" s="835" t="str">
        <f t="shared" si="468"/>
        <v xml:space="preserve"> </v>
      </c>
      <c r="BS96" s="542" t="str">
        <f t="shared" si="469"/>
        <v xml:space="preserve"> </v>
      </c>
      <c r="BT96" s="828" t="str">
        <f t="shared" si="567"/>
        <v xml:space="preserve"> </v>
      </c>
      <c r="BU96" s="323" t="str">
        <f t="shared" si="568"/>
        <v xml:space="preserve"> </v>
      </c>
      <c r="BV96" s="323" t="str">
        <f t="shared" si="569"/>
        <v xml:space="preserve"> </v>
      </c>
      <c r="BW96" s="198" t="str">
        <f t="shared" si="570"/>
        <v xml:space="preserve"> </v>
      </c>
      <c r="BX96" s="967"/>
    </row>
    <row r="97" spans="1:77" s="83" customFormat="1" ht="32.25" customHeight="1" outlineLevel="1">
      <c r="A97" s="133" t="s">
        <v>46</v>
      </c>
      <c r="B97" s="148" t="s">
        <v>247</v>
      </c>
      <c r="C97" s="1013" t="s">
        <v>1</v>
      </c>
      <c r="D97" s="211">
        <f t="shared" si="600"/>
        <v>0</v>
      </c>
      <c r="E97" s="215"/>
      <c r="F97" s="215"/>
      <c r="G97" s="215"/>
      <c r="H97" s="215"/>
      <c r="I97" s="546"/>
      <c r="J97" s="211">
        <f t="shared" si="571"/>
        <v>0</v>
      </c>
      <c r="K97" s="215"/>
      <c r="L97" s="215"/>
      <c r="M97" s="215"/>
      <c r="N97" s="1052"/>
      <c r="O97" s="473"/>
      <c r="P97" s="211">
        <f t="shared" si="601"/>
        <v>0</v>
      </c>
      <c r="Q97" s="215"/>
      <c r="R97" s="215"/>
      <c r="S97" s="215"/>
      <c r="T97" s="215"/>
      <c r="U97" s="546"/>
      <c r="V97" s="211">
        <f t="shared" si="572"/>
        <v>0</v>
      </c>
      <c r="W97" s="215"/>
      <c r="X97" s="215"/>
      <c r="Y97" s="215"/>
      <c r="Z97" s="1052"/>
      <c r="AA97" s="473"/>
      <c r="AB97" s="214">
        <f t="shared" si="573"/>
        <v>0</v>
      </c>
      <c r="AC97" s="1157"/>
      <c r="AD97" s="1157"/>
      <c r="AE97" s="1158"/>
      <c r="AF97" s="1158"/>
      <c r="AG97" s="473"/>
      <c r="AH97" s="211">
        <f t="shared" si="574"/>
        <v>0</v>
      </c>
      <c r="AI97" s="215"/>
      <c r="AJ97" s="215"/>
      <c r="AK97" s="215"/>
      <c r="AL97" s="1052"/>
      <c r="AM97" s="473"/>
      <c r="AN97" s="214">
        <f t="shared" si="602"/>
        <v>0</v>
      </c>
      <c r="AO97" s="215"/>
      <c r="AP97" s="215"/>
      <c r="AQ97" s="447"/>
      <c r="AR97" s="447"/>
      <c r="AS97" s="473"/>
      <c r="AT97" s="211">
        <f t="shared" si="576"/>
        <v>0</v>
      </c>
      <c r="AU97" s="215"/>
      <c r="AV97" s="215"/>
      <c r="AW97" s="215"/>
      <c r="AX97" s="1052"/>
      <c r="AY97" s="473"/>
      <c r="AZ97" s="214">
        <f t="shared" si="603"/>
        <v>0</v>
      </c>
      <c r="BA97" s="215"/>
      <c r="BB97" s="215"/>
      <c r="BC97" s="447"/>
      <c r="BD97" s="447"/>
      <c r="BE97" s="473"/>
      <c r="BF97" s="211">
        <f t="shared" si="578"/>
        <v>0</v>
      </c>
      <c r="BG97" s="215"/>
      <c r="BH97" s="215"/>
      <c r="BI97" s="215"/>
      <c r="BJ97" s="1052"/>
      <c r="BK97" s="473"/>
      <c r="BL97" s="214">
        <f t="shared" si="604"/>
        <v>0</v>
      </c>
      <c r="BM97" s="215"/>
      <c r="BN97" s="215"/>
      <c r="BO97" s="447"/>
      <c r="BP97" s="447"/>
      <c r="BQ97" s="473"/>
      <c r="BR97" s="835" t="str">
        <f t="shared" si="468"/>
        <v xml:space="preserve"> </v>
      </c>
      <c r="BS97" s="542" t="str">
        <f t="shared" si="469"/>
        <v xml:space="preserve"> </v>
      </c>
      <c r="BT97" s="828" t="str">
        <f t="shared" si="567"/>
        <v xml:space="preserve"> </v>
      </c>
      <c r="BU97" s="323" t="str">
        <f t="shared" si="568"/>
        <v xml:space="preserve"> </v>
      </c>
      <c r="BV97" s="323" t="str">
        <f t="shared" si="569"/>
        <v xml:space="preserve"> </v>
      </c>
      <c r="BW97" s="198" t="str">
        <f t="shared" si="570"/>
        <v xml:space="preserve"> </v>
      </c>
      <c r="BX97" s="967"/>
    </row>
    <row r="98" spans="1:77" s="83" customFormat="1" ht="97.5" customHeight="1" outlineLevel="1" thickBot="1">
      <c r="A98" s="134" t="s">
        <v>48</v>
      </c>
      <c r="B98" s="149" t="s">
        <v>248</v>
      </c>
      <c r="C98" s="1013" t="s">
        <v>1</v>
      </c>
      <c r="D98" s="558">
        <f t="shared" si="600"/>
        <v>0</v>
      </c>
      <c r="E98" s="547"/>
      <c r="F98" s="547"/>
      <c r="G98" s="547"/>
      <c r="H98" s="547"/>
      <c r="I98" s="548"/>
      <c r="J98" s="211">
        <f t="shared" si="571"/>
        <v>0</v>
      </c>
      <c r="K98" s="1053"/>
      <c r="L98" s="1053"/>
      <c r="M98" s="1053"/>
      <c r="N98" s="1054"/>
      <c r="O98" s="1055"/>
      <c r="P98" s="558">
        <f t="shared" si="601"/>
        <v>0</v>
      </c>
      <c r="Q98" s="547"/>
      <c r="R98" s="547"/>
      <c r="S98" s="547"/>
      <c r="T98" s="547"/>
      <c r="U98" s="548"/>
      <c r="V98" s="211">
        <f t="shared" si="572"/>
        <v>0</v>
      </c>
      <c r="W98" s="1053"/>
      <c r="X98" s="1053"/>
      <c r="Y98" s="1053"/>
      <c r="Z98" s="1054"/>
      <c r="AA98" s="1055"/>
      <c r="AB98" s="1159">
        <f t="shared" si="573"/>
        <v>0</v>
      </c>
      <c r="AC98" s="1160"/>
      <c r="AD98" s="1160"/>
      <c r="AE98" s="1161"/>
      <c r="AF98" s="1161"/>
      <c r="AG98" s="1162"/>
      <c r="AH98" s="211">
        <f t="shared" si="574"/>
        <v>0</v>
      </c>
      <c r="AI98" s="1053"/>
      <c r="AJ98" s="1053"/>
      <c r="AK98" s="1053"/>
      <c r="AL98" s="1054"/>
      <c r="AM98" s="474"/>
      <c r="AN98" s="216">
        <f t="shared" si="602"/>
        <v>0</v>
      </c>
      <c r="AO98" s="217"/>
      <c r="AP98" s="217"/>
      <c r="AQ98" s="448"/>
      <c r="AR98" s="448"/>
      <c r="AS98" s="474"/>
      <c r="AT98" s="211">
        <f t="shared" si="576"/>
        <v>0</v>
      </c>
      <c r="AU98" s="1053"/>
      <c r="AV98" s="1053"/>
      <c r="AW98" s="1053"/>
      <c r="AX98" s="1054"/>
      <c r="AY98" s="474"/>
      <c r="AZ98" s="216">
        <f t="shared" si="603"/>
        <v>0</v>
      </c>
      <c r="BA98" s="217"/>
      <c r="BB98" s="217"/>
      <c r="BC98" s="448"/>
      <c r="BD98" s="448"/>
      <c r="BE98" s="474"/>
      <c r="BF98" s="211">
        <f t="shared" si="578"/>
        <v>0</v>
      </c>
      <c r="BG98" s="1053"/>
      <c r="BH98" s="1053"/>
      <c r="BI98" s="1053"/>
      <c r="BJ98" s="1054"/>
      <c r="BK98" s="474"/>
      <c r="BL98" s="216">
        <f t="shared" si="604"/>
        <v>0</v>
      </c>
      <c r="BM98" s="217"/>
      <c r="BN98" s="217"/>
      <c r="BO98" s="448"/>
      <c r="BP98" s="448"/>
      <c r="BQ98" s="474"/>
      <c r="BR98" s="834" t="str">
        <f t="shared" si="468"/>
        <v xml:space="preserve"> </v>
      </c>
      <c r="BS98" s="540" t="str">
        <f t="shared" si="469"/>
        <v xml:space="preserve"> </v>
      </c>
      <c r="BT98" s="829" t="str">
        <f t="shared" si="567"/>
        <v xml:space="preserve"> </v>
      </c>
      <c r="BU98" s="331" t="str">
        <f t="shared" si="568"/>
        <v xml:space="preserve"> </v>
      </c>
      <c r="BV98" s="331" t="str">
        <f t="shared" si="569"/>
        <v xml:space="preserve"> </v>
      </c>
      <c r="BW98" s="199" t="str">
        <f t="shared" si="570"/>
        <v xml:space="preserve"> </v>
      </c>
      <c r="BX98" s="967"/>
    </row>
    <row r="99" spans="1:77" s="88" customFormat="1" ht="19.5" thickBot="1">
      <c r="A99" s="1583" t="s">
        <v>218</v>
      </c>
      <c r="B99" s="1584"/>
      <c r="C99" s="84" t="s">
        <v>1</v>
      </c>
      <c r="D99" s="556">
        <f>E99+F99+G99+H99</f>
        <v>30934.646451300003</v>
      </c>
      <c r="E99" s="552">
        <f>SUM(E101:E107)</f>
        <v>26220.452000000001</v>
      </c>
      <c r="F99" s="552">
        <f t="shared" ref="F99:I99" si="605">SUM(F101:F107)</f>
        <v>2201.2444513</v>
      </c>
      <c r="G99" s="552">
        <f t="shared" si="605"/>
        <v>0</v>
      </c>
      <c r="H99" s="553">
        <f t="shared" si="605"/>
        <v>2512.9499999999998</v>
      </c>
      <c r="I99" s="554">
        <f t="shared" si="605"/>
        <v>0</v>
      </c>
      <c r="J99" s="186">
        <f>K99+L99+M99+N99</f>
        <v>33667.60686599859</v>
      </c>
      <c r="K99" s="184">
        <f>SUM(K101:K107)</f>
        <v>29987.450431783924</v>
      </c>
      <c r="L99" s="184">
        <f t="shared" ref="L99:O99" si="606">SUM(L101:L107)</f>
        <v>3285.7367572146686</v>
      </c>
      <c r="M99" s="184">
        <f t="shared" si="606"/>
        <v>0</v>
      </c>
      <c r="N99" s="185">
        <f t="shared" si="606"/>
        <v>394.41967700000004</v>
      </c>
      <c r="O99" s="462">
        <f t="shared" si="606"/>
        <v>0</v>
      </c>
      <c r="P99" s="556">
        <f>Q99+R99+S99+T99</f>
        <v>32729.009000000002</v>
      </c>
      <c r="Q99" s="552">
        <f>SUM(Q101:Q107)</f>
        <v>27382.267</v>
      </c>
      <c r="R99" s="552">
        <f>SUM(R101:R107)</f>
        <v>2653.4720000000002</v>
      </c>
      <c r="S99" s="552">
        <f t="shared" ref="S99:U99" si="607">SUM(S101:S107)</f>
        <v>0</v>
      </c>
      <c r="T99" s="553">
        <f t="shared" si="607"/>
        <v>2693.27</v>
      </c>
      <c r="U99" s="554">
        <f t="shared" si="607"/>
        <v>0</v>
      </c>
      <c r="V99" s="186">
        <f>W99+X99+Y99+Z99</f>
        <v>35088.107376617372</v>
      </c>
      <c r="W99" s="184">
        <f>SUM(W101:W107)</f>
        <v>31789.269292930039</v>
      </c>
      <c r="X99" s="184">
        <f t="shared" ref="X99:Z99" si="608">SUM(X101:X107)</f>
        <v>2861.5055040000007</v>
      </c>
      <c r="Y99" s="184">
        <f t="shared" si="608"/>
        <v>0</v>
      </c>
      <c r="Z99" s="185">
        <f t="shared" si="608"/>
        <v>437.33257968733187</v>
      </c>
      <c r="AA99" s="462">
        <f t="shared" ref="AA99" si="609">SUM(AA101:AA107)</f>
        <v>0</v>
      </c>
      <c r="AB99" s="186">
        <f>AC99+AD99+AE99+AF99</f>
        <v>33674.99</v>
      </c>
      <c r="AC99" s="184">
        <f>SUM(AC101:AC107)</f>
        <v>28038.629999999997</v>
      </c>
      <c r="AD99" s="184">
        <f>SUM(AD101:AD107)</f>
        <v>2716.26</v>
      </c>
      <c r="AE99" s="184">
        <f t="shared" ref="AE99:AG99" si="610">SUM(AE101:AE107)</f>
        <v>0</v>
      </c>
      <c r="AF99" s="185">
        <f t="shared" si="610"/>
        <v>2920.1</v>
      </c>
      <c r="AG99" s="462">
        <f t="shared" si="610"/>
        <v>0</v>
      </c>
      <c r="AH99" s="186">
        <f>AI99+AJ99+AK99+AL99</f>
        <v>36509.074875856953</v>
      </c>
      <c r="AI99" s="184">
        <f>SUM(AI101:AI107)</f>
        <v>33077.22979138486</v>
      </c>
      <c r="AJ99" s="184">
        <f t="shared" ref="AJ99:AL99" si="611">SUM(AJ101:AJ107)</f>
        <v>2946.2060669184007</v>
      </c>
      <c r="AK99" s="184">
        <f t="shared" si="611"/>
        <v>0</v>
      </c>
      <c r="AL99" s="185">
        <f t="shared" si="611"/>
        <v>485.63901755369193</v>
      </c>
      <c r="AM99" s="462">
        <f t="shared" ref="AM99" si="612">SUM(AM101:AM107)</f>
        <v>0</v>
      </c>
      <c r="AN99" s="186">
        <f>AO99+AP99+AQ99+AR99</f>
        <v>34552.79</v>
      </c>
      <c r="AO99" s="184">
        <f>SUM(AO101:AO107)</f>
        <v>28667.37</v>
      </c>
      <c r="AP99" s="184">
        <f t="shared" ref="AP99:AS99" si="613">SUM(AP101:AP107)</f>
        <v>2796.66</v>
      </c>
      <c r="AQ99" s="184">
        <f t="shared" si="613"/>
        <v>0</v>
      </c>
      <c r="AR99" s="185">
        <f t="shared" si="613"/>
        <v>3088.76</v>
      </c>
      <c r="AS99" s="462">
        <f t="shared" si="613"/>
        <v>0</v>
      </c>
      <c r="AT99" s="186">
        <f>AU99+AV99+AW99+AX99</f>
        <v>37952.466774871813</v>
      </c>
      <c r="AU99" s="184">
        <f>SUM(AU101:AU107)</f>
        <v>34382.609763608845</v>
      </c>
      <c r="AV99" s="184">
        <f t="shared" ref="AV99:AX99" si="614">SUM(AV101:AV107)</f>
        <v>3033.4137664991858</v>
      </c>
      <c r="AW99" s="184">
        <f t="shared" si="614"/>
        <v>0</v>
      </c>
      <c r="AX99" s="185">
        <f t="shared" si="614"/>
        <v>536.44324476378438</v>
      </c>
      <c r="AY99" s="462">
        <f t="shared" ref="AY99" si="615">SUM(AY101:AY107)</f>
        <v>0</v>
      </c>
      <c r="AZ99" s="186">
        <f>BA99+BB99+BC99+BD99</f>
        <v>35795.949999999997</v>
      </c>
      <c r="BA99" s="184">
        <f>SUM(BA101:BA107)</f>
        <v>29704.289999999997</v>
      </c>
      <c r="BB99" s="184">
        <f t="shared" ref="BB99:BE99" si="616">SUM(BB101:BB107)</f>
        <v>2879.44</v>
      </c>
      <c r="BC99" s="184">
        <f t="shared" si="616"/>
        <v>0</v>
      </c>
      <c r="BD99" s="185">
        <f t="shared" si="616"/>
        <v>3212.2200000000003</v>
      </c>
      <c r="BE99" s="462">
        <f t="shared" si="616"/>
        <v>0</v>
      </c>
      <c r="BF99" s="186">
        <f>BG99+BH99+BI99+BJ99</f>
        <v>39574.221879145436</v>
      </c>
      <c r="BG99" s="184">
        <f>SUM(BG101:BG107)</f>
        <v>35856.130582165591</v>
      </c>
      <c r="BH99" s="184">
        <f t="shared" ref="BH99:BJ99" si="617">SUM(BH101:BH107)</f>
        <v>3123.2028139875615</v>
      </c>
      <c r="BI99" s="184">
        <f t="shared" si="617"/>
        <v>0</v>
      </c>
      <c r="BJ99" s="185">
        <f t="shared" si="617"/>
        <v>594.88848299228573</v>
      </c>
      <c r="BK99" s="462">
        <f t="shared" ref="BK99" si="618">SUM(BK101:BK107)</f>
        <v>0</v>
      </c>
      <c r="BL99" s="186">
        <f>BM99+BN99+BO99+BP99</f>
        <v>36911.069999999992</v>
      </c>
      <c r="BM99" s="184">
        <f>SUM(BM101:BM107)</f>
        <v>30606.089999999993</v>
      </c>
      <c r="BN99" s="184">
        <f t="shared" ref="BN99:BQ99" si="619">SUM(BN101:BN107)</f>
        <v>2964.67</v>
      </c>
      <c r="BO99" s="184">
        <f t="shared" si="619"/>
        <v>0</v>
      </c>
      <c r="BP99" s="185">
        <f t="shared" si="619"/>
        <v>3340.31</v>
      </c>
      <c r="BQ99" s="462">
        <f t="shared" si="619"/>
        <v>0</v>
      </c>
      <c r="BR99" s="826">
        <f t="shared" si="468"/>
        <v>0.97212163401650942</v>
      </c>
      <c r="BS99" s="330">
        <f t="shared" si="469"/>
        <v>1.05800494767331</v>
      </c>
      <c r="BT99" s="826">
        <f t="shared" si="567"/>
        <v>1.0289034415921361</v>
      </c>
      <c r="BU99" s="330">
        <f t="shared" si="568"/>
        <v>1.0260668228854708</v>
      </c>
      <c r="BV99" s="330">
        <f>IF(ISERROR(AZ99/AN99)," ",AZ99/AN99)</f>
        <v>1.035978570760856</v>
      </c>
      <c r="BW99" s="196">
        <f t="shared" si="570"/>
        <v>1.0311521275451552</v>
      </c>
      <c r="BX99" s="967"/>
    </row>
    <row r="100" spans="1:77" s="152" customFormat="1" ht="18.75" outlineLevel="1">
      <c r="A100" s="150"/>
      <c r="B100" s="151" t="s">
        <v>123</v>
      </c>
      <c r="C100" s="1014"/>
      <c r="D100" s="220">
        <f>E100+F100+G100+H100</f>
        <v>0</v>
      </c>
      <c r="E100" s="218"/>
      <c r="F100" s="218"/>
      <c r="G100" s="218"/>
      <c r="H100" s="219"/>
      <c r="I100" s="511"/>
      <c r="J100" s="220">
        <f>K100+L100+M100+N100</f>
        <v>0</v>
      </c>
      <c r="K100" s="218"/>
      <c r="L100" s="218"/>
      <c r="M100" s="219"/>
      <c r="N100" s="219"/>
      <c r="O100" s="475"/>
      <c r="P100" s="220">
        <f>Q100+R100+S100+T100</f>
        <v>0</v>
      </c>
      <c r="Q100" s="218"/>
      <c r="R100" s="218"/>
      <c r="S100" s="218"/>
      <c r="T100" s="219"/>
      <c r="U100" s="511"/>
      <c r="V100" s="220">
        <f>W100+X100+Y100+Z100</f>
        <v>0</v>
      </c>
      <c r="W100" s="218"/>
      <c r="X100" s="218"/>
      <c r="Y100" s="219"/>
      <c r="Z100" s="219"/>
      <c r="AA100" s="475"/>
      <c r="AB100" s="220">
        <f>AC100+AD100+AE100+AF100</f>
        <v>0</v>
      </c>
      <c r="AC100" s="218"/>
      <c r="AD100" s="218"/>
      <c r="AE100" s="219"/>
      <c r="AF100" s="219"/>
      <c r="AG100" s="475"/>
      <c r="AH100" s="220">
        <f>AI100+AJ100+AK100+AL100</f>
        <v>0</v>
      </c>
      <c r="AI100" s="218"/>
      <c r="AJ100" s="218"/>
      <c r="AK100" s="219"/>
      <c r="AL100" s="219"/>
      <c r="AM100" s="475"/>
      <c r="AN100" s="220">
        <f>AO100+AP100+AQ100+AR100</f>
        <v>0</v>
      </c>
      <c r="AO100" s="218"/>
      <c r="AP100" s="218"/>
      <c r="AQ100" s="219"/>
      <c r="AR100" s="219"/>
      <c r="AS100" s="475"/>
      <c r="AT100" s="220">
        <f>AU100+AV100+AW100+AX100</f>
        <v>0</v>
      </c>
      <c r="AU100" s="218"/>
      <c r="AV100" s="218"/>
      <c r="AW100" s="219"/>
      <c r="AX100" s="219"/>
      <c r="AY100" s="475"/>
      <c r="AZ100" s="220">
        <f>BA100+BB100+BC100+BD100</f>
        <v>0</v>
      </c>
      <c r="BA100" s="218"/>
      <c r="BB100" s="218"/>
      <c r="BC100" s="219"/>
      <c r="BD100" s="219"/>
      <c r="BE100" s="475"/>
      <c r="BF100" s="220">
        <f>BG100+BH100+BI100+BJ100</f>
        <v>0</v>
      </c>
      <c r="BG100" s="218"/>
      <c r="BH100" s="218"/>
      <c r="BI100" s="219"/>
      <c r="BJ100" s="219"/>
      <c r="BK100" s="475"/>
      <c r="BL100" s="220">
        <f>BM100+BN100+BO100+BP100</f>
        <v>0</v>
      </c>
      <c r="BM100" s="218"/>
      <c r="BN100" s="218"/>
      <c r="BO100" s="219"/>
      <c r="BP100" s="219"/>
      <c r="BQ100" s="475"/>
      <c r="BR100" s="844" t="str">
        <f t="shared" si="468"/>
        <v xml:space="preserve"> </v>
      </c>
      <c r="BS100" s="840" t="str">
        <f t="shared" si="469"/>
        <v xml:space="preserve"> </v>
      </c>
      <c r="BT100" s="836" t="str">
        <f t="shared" si="567"/>
        <v xml:space="preserve"> </v>
      </c>
      <c r="BU100" s="334" t="str">
        <f t="shared" si="568"/>
        <v xml:space="preserve"> </v>
      </c>
      <c r="BV100" s="334" t="str">
        <f t="shared" si="569"/>
        <v xml:space="preserve"> </v>
      </c>
      <c r="BW100" s="204" t="str">
        <f t="shared" si="570"/>
        <v xml:space="preserve"> </v>
      </c>
      <c r="BX100" s="977"/>
    </row>
    <row r="101" spans="1:77" s="83" customFormat="1" ht="18.75">
      <c r="A101" s="153"/>
      <c r="B101" s="154" t="s">
        <v>145</v>
      </c>
      <c r="C101" s="1015" t="s">
        <v>1</v>
      </c>
      <c r="D101" s="189">
        <f>E101+F101+G101+H101</f>
        <v>5281.12</v>
      </c>
      <c r="E101" s="221">
        <f>E21</f>
        <v>3220.72</v>
      </c>
      <c r="F101" s="221">
        <f>F21</f>
        <v>2060.4</v>
      </c>
      <c r="G101" s="1030">
        <f>G21</f>
        <v>0</v>
      </c>
      <c r="H101" s="1030">
        <f>H21</f>
        <v>0</v>
      </c>
      <c r="I101" s="476">
        <f>I21</f>
        <v>0</v>
      </c>
      <c r="J101" s="189">
        <f>K101+L101+M101+N101</f>
        <v>6078.2068659985916</v>
      </c>
      <c r="K101" s="221">
        <f>K21</f>
        <v>3213.9307007839229</v>
      </c>
      <c r="L101" s="221">
        <f>L21</f>
        <v>2824.2592372146687</v>
      </c>
      <c r="M101" s="1030">
        <f>M21</f>
        <v>0</v>
      </c>
      <c r="N101" s="1030">
        <f>N21</f>
        <v>40.016928000000007</v>
      </c>
      <c r="O101" s="476">
        <f>O21</f>
        <v>0</v>
      </c>
      <c r="P101" s="189">
        <f>Q101+R101+S101+T101</f>
        <v>5814.4290000000001</v>
      </c>
      <c r="Q101" s="221">
        <f>Q21</f>
        <v>3344.2069999999999</v>
      </c>
      <c r="R101" s="221">
        <f>R21</f>
        <v>2470.2220000000002</v>
      </c>
      <c r="S101" s="1030">
        <f>S21</f>
        <v>0</v>
      </c>
      <c r="T101" s="1030">
        <f>T21</f>
        <v>0</v>
      </c>
      <c r="U101" s="476">
        <f>U21</f>
        <v>0</v>
      </c>
      <c r="V101" s="189">
        <f>W101+X101+Y101+Z101</f>
        <v>6137.4024276199279</v>
      </c>
      <c r="W101" s="221">
        <f>W21</f>
        <v>3236.9049420199271</v>
      </c>
      <c r="X101" s="221">
        <f>X21</f>
        <v>2861.5055040000007</v>
      </c>
      <c r="Y101" s="1030">
        <f>Y21</f>
        <v>0</v>
      </c>
      <c r="Z101" s="1030">
        <f>Z21</f>
        <v>38.991981600000017</v>
      </c>
      <c r="AA101" s="476">
        <f>AA21</f>
        <v>0</v>
      </c>
      <c r="AB101" s="189">
        <f>AC101+AD101+AE101+AF101</f>
        <v>5952</v>
      </c>
      <c r="AC101" s="1163">
        <f>AC21</f>
        <v>3423.33</v>
      </c>
      <c r="AD101" s="1163">
        <f>AD21</f>
        <v>2528.67</v>
      </c>
      <c r="AE101" s="1163">
        <f>AE21</f>
        <v>0</v>
      </c>
      <c r="AF101" s="1164">
        <f>AF21</f>
        <v>0</v>
      </c>
      <c r="AG101" s="476">
        <f>AG21</f>
        <v>0</v>
      </c>
      <c r="AH101" s="189">
        <f>AI101+AJ101+AK101+AL101</f>
        <v>6319.0695394774775</v>
      </c>
      <c r="AI101" s="221">
        <f>AI21</f>
        <v>3332.7173283037168</v>
      </c>
      <c r="AJ101" s="221">
        <f>AJ21</f>
        <v>2946.2060669184007</v>
      </c>
      <c r="AK101" s="1030">
        <f>AK21</f>
        <v>0</v>
      </c>
      <c r="AL101" s="1030">
        <f>AL21</f>
        <v>40.146144255360007</v>
      </c>
      <c r="AM101" s="476">
        <f>AM21</f>
        <v>0</v>
      </c>
      <c r="AN101" s="189">
        <f>AO101+AP101+AQ101+AR101</f>
        <v>6128.18</v>
      </c>
      <c r="AO101" s="221">
        <f>AO21</f>
        <v>3524.66</v>
      </c>
      <c r="AP101" s="221">
        <f>AP21</f>
        <v>2603.52</v>
      </c>
      <c r="AQ101" s="221">
        <f>AQ21</f>
        <v>0</v>
      </c>
      <c r="AR101" s="222">
        <f>AR21</f>
        <v>0</v>
      </c>
      <c r="AS101" s="476">
        <f>AS21</f>
        <v>0</v>
      </c>
      <c r="AT101" s="189">
        <f>AU101+AV101+AW101+AX101</f>
        <v>6506.1139978460124</v>
      </c>
      <c r="AU101" s="221">
        <f>AU21</f>
        <v>3431.3657612215075</v>
      </c>
      <c r="AV101" s="221">
        <f>AV21</f>
        <v>3033.4137664991858</v>
      </c>
      <c r="AW101" s="1030">
        <f>AW21</f>
        <v>0</v>
      </c>
      <c r="AX101" s="1030">
        <f>AX21</f>
        <v>41.334470125318674</v>
      </c>
      <c r="AY101" s="476">
        <f>AY21</f>
        <v>0</v>
      </c>
      <c r="AZ101" s="189">
        <f>BA101+BB101+BC101+BD101</f>
        <v>6309.57</v>
      </c>
      <c r="BA101" s="221">
        <f>BA21</f>
        <v>3628.99</v>
      </c>
      <c r="BB101" s="221">
        <f>BB21</f>
        <v>2680.58</v>
      </c>
      <c r="BC101" s="221">
        <f>BC21</f>
        <v>0</v>
      </c>
      <c r="BD101" s="222">
        <f>BD21</f>
        <v>0</v>
      </c>
      <c r="BE101" s="476">
        <f>BE21</f>
        <v>0</v>
      </c>
      <c r="BF101" s="189">
        <f>BG101+BH101+BI101+BJ101</f>
        <v>6698.6830630302184</v>
      </c>
      <c r="BG101" s="221">
        <f>BG21</f>
        <v>3532.934187753664</v>
      </c>
      <c r="BH101" s="221">
        <f>BH21</f>
        <v>3123.2028139875615</v>
      </c>
      <c r="BI101" s="1030">
        <f>BI21</f>
        <v>0</v>
      </c>
      <c r="BJ101" s="1030">
        <f>BJ21</f>
        <v>42.546061288993037</v>
      </c>
      <c r="BK101" s="476">
        <f>BK21</f>
        <v>0</v>
      </c>
      <c r="BL101" s="189">
        <f>BM101+BN101+BO101+BP101</f>
        <v>6496.34</v>
      </c>
      <c r="BM101" s="221">
        <f>BM21</f>
        <v>3736.41</v>
      </c>
      <c r="BN101" s="221">
        <f>BN21</f>
        <v>2759.93</v>
      </c>
      <c r="BO101" s="221">
        <f>BO21</f>
        <v>0</v>
      </c>
      <c r="BP101" s="222">
        <f>BP21</f>
        <v>0</v>
      </c>
      <c r="BQ101" s="476">
        <f>BQ21</f>
        <v>0</v>
      </c>
      <c r="BR101" s="835">
        <f t="shared" si="468"/>
        <v>0.95660268368387369</v>
      </c>
      <c r="BS101" s="542">
        <f t="shared" si="469"/>
        <v>1.1009840715605781</v>
      </c>
      <c r="BT101" s="828">
        <f t="shared" si="567"/>
        <v>1.023660276873275</v>
      </c>
      <c r="BU101" s="323">
        <f t="shared" si="568"/>
        <v>1.0296001344086021</v>
      </c>
      <c r="BV101" s="323">
        <f t="shared" si="569"/>
        <v>1.0295993263905432</v>
      </c>
      <c r="BW101" s="198">
        <f t="shared" si="570"/>
        <v>1.0296010663167221</v>
      </c>
      <c r="BX101" s="967"/>
    </row>
    <row r="102" spans="1:77" s="83" customFormat="1" ht="18.75">
      <c r="A102" s="153"/>
      <c r="B102" s="154" t="s">
        <v>146</v>
      </c>
      <c r="C102" s="1015" t="s">
        <v>1</v>
      </c>
      <c r="D102" s="189">
        <f t="shared" ref="D102:D107" si="620">E102+F102+G102+H102</f>
        <v>495.01645129999997</v>
      </c>
      <c r="E102" s="221">
        <f>E59</f>
        <v>354.17200000000003</v>
      </c>
      <c r="F102" s="221">
        <f>F59</f>
        <v>140.84445129999997</v>
      </c>
      <c r="G102" s="1030">
        <f>G59</f>
        <v>0</v>
      </c>
      <c r="H102" s="1030">
        <f>H59</f>
        <v>0</v>
      </c>
      <c r="I102" s="476">
        <f>I59</f>
        <v>0</v>
      </c>
      <c r="J102" s="189">
        <f t="shared" ref="J102:J107" si="621">K102+L102+M102+N102</f>
        <v>985.96500000000003</v>
      </c>
      <c r="K102" s="221">
        <f>K59</f>
        <v>761.58799999999997</v>
      </c>
      <c r="L102" s="221">
        <f>L59</f>
        <v>214.17000000000002</v>
      </c>
      <c r="M102" s="1030">
        <f>M59</f>
        <v>0</v>
      </c>
      <c r="N102" s="1030">
        <f>N59</f>
        <v>10.207000000000001</v>
      </c>
      <c r="O102" s="476">
        <f>O59</f>
        <v>0</v>
      </c>
      <c r="P102" s="189">
        <f>Q102+R102+S102+T102</f>
        <v>617.3900000000001</v>
      </c>
      <c r="Q102" s="221">
        <f>Q59</f>
        <v>434.14000000000004</v>
      </c>
      <c r="R102" s="221">
        <f>R59</f>
        <v>183.25</v>
      </c>
      <c r="S102" s="1030">
        <f>S59</f>
        <v>0</v>
      </c>
      <c r="T102" s="1030">
        <f>T59</f>
        <v>0</v>
      </c>
      <c r="U102" s="476">
        <f>U59</f>
        <v>0</v>
      </c>
      <c r="V102" s="189">
        <f t="shared" ref="V102:V107" si="622">W102+X102+Y102+Z102</f>
        <v>1141.1401547839998</v>
      </c>
      <c r="W102" s="221">
        <f>W59</f>
        <v>1128.1207931199999</v>
      </c>
      <c r="X102" s="221">
        <f>X59</f>
        <v>0</v>
      </c>
      <c r="Y102" s="1030">
        <f>Y59</f>
        <v>0</v>
      </c>
      <c r="Z102" s="1030">
        <f>Z59</f>
        <v>13.019361664000002</v>
      </c>
      <c r="AA102" s="476">
        <f>AA59</f>
        <v>0</v>
      </c>
      <c r="AB102" s="189">
        <f t="shared" ref="AB102:AB111" si="623">AC102+AD102+AE102+AF102</f>
        <v>627.65000000000009</v>
      </c>
      <c r="AC102" s="1163">
        <f>AC59</f>
        <v>440.06000000000006</v>
      </c>
      <c r="AD102" s="1163">
        <f>AD59</f>
        <v>187.59</v>
      </c>
      <c r="AE102" s="1163">
        <f>AE59</f>
        <v>0</v>
      </c>
      <c r="AF102" s="1164">
        <f>AF59</f>
        <v>0</v>
      </c>
      <c r="AG102" s="476">
        <f>AG59</f>
        <v>0</v>
      </c>
      <c r="AH102" s="189">
        <f t="shared" ref="AH102:AH107" si="624">AI102+AJ102+AK102+AL102</f>
        <v>1143.4223099576066</v>
      </c>
      <c r="AI102" s="221">
        <f>AI59</f>
        <v>1128.6048459564304</v>
      </c>
      <c r="AJ102" s="221">
        <f>AJ59</f>
        <v>0</v>
      </c>
      <c r="AK102" s="1030">
        <f>AK59</f>
        <v>0</v>
      </c>
      <c r="AL102" s="1030">
        <f>AL59</f>
        <v>14.81746400117617</v>
      </c>
      <c r="AM102" s="476">
        <f>AM59</f>
        <v>0</v>
      </c>
      <c r="AN102" s="189">
        <f t="shared" ref="AN102:AN107" si="625">AO102+AP102+AQ102+AR102</f>
        <v>544.29999999999995</v>
      </c>
      <c r="AO102" s="221">
        <f>AO59</f>
        <v>351.16</v>
      </c>
      <c r="AP102" s="221">
        <f>AP59</f>
        <v>193.14</v>
      </c>
      <c r="AQ102" s="221">
        <f>AQ59</f>
        <v>0</v>
      </c>
      <c r="AR102" s="222">
        <f>AR59</f>
        <v>0</v>
      </c>
      <c r="AS102" s="476">
        <f>AS59</f>
        <v>0</v>
      </c>
      <c r="AT102" s="189">
        <f t="shared" ref="AT102:AT107" si="626">AU102+AV102+AW102+AX102</f>
        <v>1085.272185984908</v>
      </c>
      <c r="AU102" s="221">
        <f>AU59</f>
        <v>1071.5543906793293</v>
      </c>
      <c r="AV102" s="221">
        <f>AV59</f>
        <v>0</v>
      </c>
      <c r="AW102" s="1030">
        <f>AW59</f>
        <v>0</v>
      </c>
      <c r="AX102" s="1030">
        <f>AX59</f>
        <v>13.717795305578729</v>
      </c>
      <c r="AY102" s="476">
        <f>AY59</f>
        <v>0</v>
      </c>
      <c r="AZ102" s="189">
        <f t="shared" ref="AZ102:AZ107" si="627">BA102+BB102+BC102+BD102</f>
        <v>559.80999999999995</v>
      </c>
      <c r="BA102" s="221">
        <f>BA59</f>
        <v>360.95</v>
      </c>
      <c r="BB102" s="221">
        <f>BB59</f>
        <v>198.86</v>
      </c>
      <c r="BC102" s="221">
        <f>BC59</f>
        <v>0</v>
      </c>
      <c r="BD102" s="222">
        <f>BD59</f>
        <v>0</v>
      </c>
      <c r="BE102" s="476">
        <f>BE59</f>
        <v>0</v>
      </c>
      <c r="BF102" s="189">
        <f t="shared" ref="BF102:BF107" si="628">BG102+BH102+BI102+BJ102</f>
        <v>1107.9941816247206</v>
      </c>
      <c r="BG102" s="221">
        <f>BG59</f>
        <v>1093.9000280338655</v>
      </c>
      <c r="BH102" s="221">
        <f>BH59</f>
        <v>0</v>
      </c>
      <c r="BI102" s="1030">
        <f>BI59</f>
        <v>0</v>
      </c>
      <c r="BJ102" s="1030">
        <f>BJ59</f>
        <v>14.094153590855102</v>
      </c>
      <c r="BK102" s="476">
        <f>BK59</f>
        <v>0</v>
      </c>
      <c r="BL102" s="189">
        <f t="shared" ref="BL102:BL107" si="629">BM102+BN102+BO102+BP102</f>
        <v>575.79</v>
      </c>
      <c r="BM102" s="221">
        <f>BM59</f>
        <v>371.05</v>
      </c>
      <c r="BN102" s="221">
        <f>BN59</f>
        <v>204.74</v>
      </c>
      <c r="BO102" s="221">
        <f>BO59</f>
        <v>0</v>
      </c>
      <c r="BP102" s="222">
        <f>BP59</f>
        <v>0</v>
      </c>
      <c r="BQ102" s="476">
        <f>BQ59</f>
        <v>0</v>
      </c>
      <c r="BR102" s="835">
        <f t="shared" si="468"/>
        <v>0.62617841404106644</v>
      </c>
      <c r="BS102" s="542">
        <f t="shared" si="469"/>
        <v>1.2472110742554632</v>
      </c>
      <c r="BT102" s="828">
        <f t="shared" si="567"/>
        <v>1.0166183449683344</v>
      </c>
      <c r="BU102" s="323">
        <f t="shared" si="568"/>
        <v>0.86720305902971384</v>
      </c>
      <c r="BV102" s="323">
        <f t="shared" si="569"/>
        <v>1.0284953150835936</v>
      </c>
      <c r="BW102" s="198">
        <f t="shared" si="570"/>
        <v>1.0285453993319162</v>
      </c>
      <c r="BX102" s="967"/>
    </row>
    <row r="103" spans="1:77" s="83" customFormat="1" ht="18.75">
      <c r="A103" s="153"/>
      <c r="B103" s="154" t="s">
        <v>147</v>
      </c>
      <c r="C103" s="1015" t="s">
        <v>1</v>
      </c>
      <c r="D103" s="189">
        <f t="shared" si="620"/>
        <v>24602.370000000003</v>
      </c>
      <c r="E103" s="221">
        <f>E15</f>
        <v>22089.420000000002</v>
      </c>
      <c r="F103" s="221">
        <f>F15</f>
        <v>0</v>
      </c>
      <c r="G103" s="1030">
        <f>G15</f>
        <v>0</v>
      </c>
      <c r="H103" s="1030">
        <f>H15</f>
        <v>2512.9499999999998</v>
      </c>
      <c r="I103" s="476">
        <f>I15</f>
        <v>0</v>
      </c>
      <c r="J103" s="189">
        <f t="shared" si="621"/>
        <v>25959.404999999999</v>
      </c>
      <c r="K103" s="221">
        <f>K15</f>
        <v>25626.994999999999</v>
      </c>
      <c r="L103" s="221">
        <f>L15</f>
        <v>0</v>
      </c>
      <c r="M103" s="1030">
        <f>M15</f>
        <v>0</v>
      </c>
      <c r="N103" s="1030">
        <f>N15</f>
        <v>332.41</v>
      </c>
      <c r="O103" s="476">
        <f>O15</f>
        <v>0</v>
      </c>
      <c r="P103" s="189">
        <f t="shared" ref="P103:P111" si="630">Q103+R103+S103+T103</f>
        <v>25674.44</v>
      </c>
      <c r="Q103" s="221">
        <f>Q15</f>
        <v>22981.17</v>
      </c>
      <c r="R103" s="221">
        <f>R15</f>
        <v>0</v>
      </c>
      <c r="S103" s="1030">
        <f>S15</f>
        <v>0</v>
      </c>
      <c r="T103" s="1030">
        <f>T15</f>
        <v>2693.27</v>
      </c>
      <c r="U103" s="476">
        <f>U15</f>
        <v>0</v>
      </c>
      <c r="V103" s="189">
        <f t="shared" si="622"/>
        <v>27097.836000000003</v>
      </c>
      <c r="W103" s="221">
        <f>W15</f>
        <v>26725.542000000001</v>
      </c>
      <c r="X103" s="221">
        <f>X15</f>
        <v>0</v>
      </c>
      <c r="Y103" s="1030">
        <f>Y15</f>
        <v>0</v>
      </c>
      <c r="Z103" s="1030">
        <f>Z15</f>
        <v>372.29399999999998</v>
      </c>
      <c r="AA103" s="476">
        <f>AA15</f>
        <v>0</v>
      </c>
      <c r="AB103" s="189">
        <f t="shared" si="623"/>
        <v>26445.639999999996</v>
      </c>
      <c r="AC103" s="1163">
        <f>AC15</f>
        <v>23525.539999999997</v>
      </c>
      <c r="AD103" s="1163">
        <f>AD15</f>
        <v>0</v>
      </c>
      <c r="AE103" s="1163">
        <f>AE15</f>
        <v>0</v>
      </c>
      <c r="AF103" s="1164">
        <f>AF15</f>
        <v>2920.1</v>
      </c>
      <c r="AG103" s="476">
        <f>AG15</f>
        <v>0</v>
      </c>
      <c r="AH103" s="189">
        <f t="shared" si="624"/>
        <v>28297.803000000004</v>
      </c>
      <c r="AI103" s="221">
        <f>AI15</f>
        <v>27880.833000000002</v>
      </c>
      <c r="AJ103" s="221">
        <f>AJ15</f>
        <v>0</v>
      </c>
      <c r="AK103" s="1030">
        <f>AK15</f>
        <v>0</v>
      </c>
      <c r="AL103" s="1030">
        <f>AL15</f>
        <v>416.97</v>
      </c>
      <c r="AM103" s="476">
        <f>AM15</f>
        <v>0</v>
      </c>
      <c r="AN103" s="189">
        <f t="shared" si="625"/>
        <v>27368.42</v>
      </c>
      <c r="AO103" s="221">
        <f>AO15</f>
        <v>24279.66</v>
      </c>
      <c r="AP103" s="221">
        <f>AP15</f>
        <v>0</v>
      </c>
      <c r="AQ103" s="221">
        <f>AQ15</f>
        <v>0</v>
      </c>
      <c r="AR103" s="222">
        <f>AR15</f>
        <v>3088.76</v>
      </c>
      <c r="AS103" s="476">
        <f>AS15</f>
        <v>0</v>
      </c>
      <c r="AT103" s="189">
        <f t="shared" si="626"/>
        <v>29575.173000000003</v>
      </c>
      <c r="AU103" s="221">
        <f>AU15</f>
        <v>29108.167000000001</v>
      </c>
      <c r="AV103" s="221">
        <f>AV15</f>
        <v>0</v>
      </c>
      <c r="AW103" s="1030">
        <f>AW15</f>
        <v>0</v>
      </c>
      <c r="AX103" s="1030">
        <f>AX15</f>
        <v>467.00599999999997</v>
      </c>
      <c r="AY103" s="476">
        <f>AY15</f>
        <v>0</v>
      </c>
      <c r="AZ103" s="189">
        <f t="shared" si="627"/>
        <v>28231.54</v>
      </c>
      <c r="BA103" s="221">
        <f>BA15</f>
        <v>25019.32</v>
      </c>
      <c r="BB103" s="221">
        <f>BB15</f>
        <v>0</v>
      </c>
      <c r="BC103" s="221">
        <f>BC15</f>
        <v>0</v>
      </c>
      <c r="BD103" s="222">
        <f>BD15</f>
        <v>3212.2200000000003</v>
      </c>
      <c r="BE103" s="476">
        <f>BE15</f>
        <v>0</v>
      </c>
      <c r="BF103" s="189">
        <f t="shared" si="628"/>
        <v>30937.040000000001</v>
      </c>
      <c r="BG103" s="221">
        <f>BG15</f>
        <v>30413.993000000002</v>
      </c>
      <c r="BH103" s="221">
        <f>BH15</f>
        <v>0</v>
      </c>
      <c r="BI103" s="1030">
        <f>BI15</f>
        <v>0</v>
      </c>
      <c r="BJ103" s="1030">
        <f>BJ15</f>
        <v>523.04700000000003</v>
      </c>
      <c r="BK103" s="476">
        <f>BK15</f>
        <v>0</v>
      </c>
      <c r="BL103" s="189">
        <f t="shared" si="629"/>
        <v>29119.839999999997</v>
      </c>
      <c r="BM103" s="221">
        <f>BM15</f>
        <v>25779.529999999995</v>
      </c>
      <c r="BN103" s="221">
        <f>BN15</f>
        <v>0</v>
      </c>
      <c r="BO103" s="221">
        <f>BO15</f>
        <v>0</v>
      </c>
      <c r="BP103" s="222">
        <f>BP15</f>
        <v>3340.31</v>
      </c>
      <c r="BQ103" s="476">
        <f>BQ15</f>
        <v>0</v>
      </c>
      <c r="BR103" s="835">
        <f t="shared" si="468"/>
        <v>0.98902266827764351</v>
      </c>
      <c r="BS103" s="542">
        <f t="shared" si="469"/>
        <v>1.0435758831364619</v>
      </c>
      <c r="BT103" s="828">
        <f t="shared" si="567"/>
        <v>1.03003765612804</v>
      </c>
      <c r="BU103" s="323">
        <f t="shared" si="568"/>
        <v>1.0348934644803454</v>
      </c>
      <c r="BV103" s="323">
        <f t="shared" si="569"/>
        <v>1.0315370781360416</v>
      </c>
      <c r="BW103" s="198">
        <f t="shared" si="570"/>
        <v>1.0314648085084979</v>
      </c>
      <c r="BX103" s="967"/>
    </row>
    <row r="104" spans="1:77" s="83" customFormat="1" ht="18.75">
      <c r="A104" s="153"/>
      <c r="B104" s="154" t="s">
        <v>148</v>
      </c>
      <c r="C104" s="1015" t="s">
        <v>1</v>
      </c>
      <c r="D104" s="189">
        <f t="shared" si="620"/>
        <v>0</v>
      </c>
      <c r="E104" s="221">
        <f>E85</f>
        <v>0</v>
      </c>
      <c r="F104" s="221">
        <f>F85</f>
        <v>0</v>
      </c>
      <c r="G104" s="1030">
        <f>G85</f>
        <v>0</v>
      </c>
      <c r="H104" s="1030">
        <f>H85</f>
        <v>0</v>
      </c>
      <c r="I104" s="476">
        <f>I85</f>
        <v>0</v>
      </c>
      <c r="J104" s="189">
        <f t="shared" si="621"/>
        <v>0</v>
      </c>
      <c r="K104" s="221">
        <f>K85</f>
        <v>0</v>
      </c>
      <c r="L104" s="221">
        <f>L85</f>
        <v>0</v>
      </c>
      <c r="M104" s="1030">
        <f>M85</f>
        <v>0</v>
      </c>
      <c r="N104" s="1030">
        <f>N85</f>
        <v>0</v>
      </c>
      <c r="O104" s="476">
        <f>O85</f>
        <v>0</v>
      </c>
      <c r="P104" s="189">
        <f t="shared" si="630"/>
        <v>0</v>
      </c>
      <c r="Q104" s="221">
        <f>Q85</f>
        <v>0</v>
      </c>
      <c r="R104" s="221">
        <f>R85</f>
        <v>0</v>
      </c>
      <c r="S104" s="1030">
        <f>S85</f>
        <v>0</v>
      </c>
      <c r="T104" s="1030">
        <f>T85</f>
        <v>0</v>
      </c>
      <c r="U104" s="476">
        <f>U85</f>
        <v>0</v>
      </c>
      <c r="V104" s="189">
        <f t="shared" si="622"/>
        <v>0</v>
      </c>
      <c r="W104" s="221">
        <f>W85</f>
        <v>0</v>
      </c>
      <c r="X104" s="221">
        <f>X85</f>
        <v>0</v>
      </c>
      <c r="Y104" s="1030">
        <f>Y85</f>
        <v>0</v>
      </c>
      <c r="Z104" s="1030">
        <f>Z85</f>
        <v>0</v>
      </c>
      <c r="AA104" s="476">
        <f>AA85</f>
        <v>0</v>
      </c>
      <c r="AB104" s="189">
        <f t="shared" si="623"/>
        <v>0</v>
      </c>
      <c r="AC104" s="1163">
        <f>AC85</f>
        <v>0</v>
      </c>
      <c r="AD104" s="1163">
        <f>AD85</f>
        <v>0</v>
      </c>
      <c r="AE104" s="1163">
        <f>AE85</f>
        <v>0</v>
      </c>
      <c r="AF104" s="1164">
        <f>AF85</f>
        <v>0</v>
      </c>
      <c r="AG104" s="476">
        <f>AG85</f>
        <v>0</v>
      </c>
      <c r="AH104" s="189">
        <f t="shared" si="624"/>
        <v>0</v>
      </c>
      <c r="AI104" s="221">
        <f>AI85</f>
        <v>0</v>
      </c>
      <c r="AJ104" s="221">
        <f>AJ85</f>
        <v>0</v>
      </c>
      <c r="AK104" s="1030">
        <f>AK85</f>
        <v>0</v>
      </c>
      <c r="AL104" s="1030">
        <f>AL85</f>
        <v>0</v>
      </c>
      <c r="AM104" s="476">
        <f>AM85</f>
        <v>0</v>
      </c>
      <c r="AN104" s="189">
        <f t="shared" si="625"/>
        <v>0</v>
      </c>
      <c r="AO104" s="221">
        <f>AO85</f>
        <v>0</v>
      </c>
      <c r="AP104" s="221">
        <f>AP85</f>
        <v>0</v>
      </c>
      <c r="AQ104" s="221">
        <f>AQ85</f>
        <v>0</v>
      </c>
      <c r="AR104" s="222">
        <f>AR85</f>
        <v>0</v>
      </c>
      <c r="AS104" s="476">
        <f>AS85</f>
        <v>0</v>
      </c>
      <c r="AT104" s="189">
        <f t="shared" si="626"/>
        <v>0</v>
      </c>
      <c r="AU104" s="221">
        <f>AU85</f>
        <v>0</v>
      </c>
      <c r="AV104" s="221">
        <f>AV85</f>
        <v>0</v>
      </c>
      <c r="AW104" s="1030">
        <f>AW85</f>
        <v>0</v>
      </c>
      <c r="AX104" s="1030">
        <f>AX85</f>
        <v>0</v>
      </c>
      <c r="AY104" s="476">
        <f>AY85</f>
        <v>0</v>
      </c>
      <c r="AZ104" s="189">
        <f t="shared" si="627"/>
        <v>0</v>
      </c>
      <c r="BA104" s="221">
        <f>BA85</f>
        <v>0</v>
      </c>
      <c r="BB104" s="221">
        <f>BB85</f>
        <v>0</v>
      </c>
      <c r="BC104" s="221">
        <f>BC85</f>
        <v>0</v>
      </c>
      <c r="BD104" s="222">
        <f>BD85</f>
        <v>0</v>
      </c>
      <c r="BE104" s="476">
        <f>BE85</f>
        <v>0</v>
      </c>
      <c r="BF104" s="189">
        <f t="shared" si="628"/>
        <v>0</v>
      </c>
      <c r="BG104" s="221">
        <f>BG85</f>
        <v>0</v>
      </c>
      <c r="BH104" s="221">
        <f>BH85</f>
        <v>0</v>
      </c>
      <c r="BI104" s="1030">
        <f>BI85</f>
        <v>0</v>
      </c>
      <c r="BJ104" s="1030">
        <f>BJ85</f>
        <v>0</v>
      </c>
      <c r="BK104" s="476">
        <f>BK85</f>
        <v>0</v>
      </c>
      <c r="BL104" s="189">
        <f t="shared" si="629"/>
        <v>0</v>
      </c>
      <c r="BM104" s="221">
        <f>BM85</f>
        <v>0</v>
      </c>
      <c r="BN104" s="221">
        <f>BN85</f>
        <v>0</v>
      </c>
      <c r="BO104" s="221">
        <f>BO85</f>
        <v>0</v>
      </c>
      <c r="BP104" s="222">
        <f>BP85</f>
        <v>0</v>
      </c>
      <c r="BQ104" s="476">
        <f>BQ85</f>
        <v>0</v>
      </c>
      <c r="BR104" s="835" t="str">
        <f t="shared" si="468"/>
        <v xml:space="preserve"> </v>
      </c>
      <c r="BS104" s="542" t="str">
        <f t="shared" si="469"/>
        <v xml:space="preserve"> </v>
      </c>
      <c r="BT104" s="828" t="str">
        <f t="shared" si="567"/>
        <v xml:space="preserve"> </v>
      </c>
      <c r="BU104" s="323" t="str">
        <f t="shared" si="568"/>
        <v xml:space="preserve"> </v>
      </c>
      <c r="BV104" s="323" t="str">
        <f t="shared" si="569"/>
        <v xml:space="preserve"> </v>
      </c>
      <c r="BW104" s="198" t="str">
        <f t="shared" si="570"/>
        <v xml:space="preserve"> </v>
      </c>
      <c r="BX104" s="967"/>
    </row>
    <row r="105" spans="1:77" s="83" customFormat="1" ht="18.75">
      <c r="A105" s="153"/>
      <c r="B105" s="154" t="s">
        <v>207</v>
      </c>
      <c r="C105" s="1015" t="s">
        <v>1</v>
      </c>
      <c r="D105" s="189">
        <f t="shared" si="620"/>
        <v>556.14</v>
      </c>
      <c r="E105" s="221">
        <f t="shared" ref="E105:I105" si="631">E92</f>
        <v>556.14</v>
      </c>
      <c r="F105" s="221">
        <f t="shared" si="631"/>
        <v>0</v>
      </c>
      <c r="G105" s="1030">
        <f t="shared" si="631"/>
        <v>0</v>
      </c>
      <c r="H105" s="1030">
        <f t="shared" si="631"/>
        <v>0</v>
      </c>
      <c r="I105" s="476">
        <f t="shared" si="631"/>
        <v>0</v>
      </c>
      <c r="J105" s="189">
        <f t="shared" si="621"/>
        <v>644.03</v>
      </c>
      <c r="K105" s="221">
        <f t="shared" ref="K105:O105" si="632">K92</f>
        <v>384.93673100000001</v>
      </c>
      <c r="L105" s="221">
        <f t="shared" si="632"/>
        <v>247.30751999999998</v>
      </c>
      <c r="M105" s="1030">
        <f t="shared" si="632"/>
        <v>0</v>
      </c>
      <c r="N105" s="1030">
        <f t="shared" si="632"/>
        <v>11.785748999999999</v>
      </c>
      <c r="O105" s="476">
        <f t="shared" si="632"/>
        <v>0</v>
      </c>
      <c r="P105" s="189">
        <f t="shared" si="630"/>
        <v>622.75</v>
      </c>
      <c r="Q105" s="221">
        <f t="shared" ref="Q105:S105" si="633">Q92</f>
        <v>622.75</v>
      </c>
      <c r="R105" s="221">
        <f t="shared" si="633"/>
        <v>0</v>
      </c>
      <c r="S105" s="1030">
        <f t="shared" si="633"/>
        <v>0</v>
      </c>
      <c r="T105" s="1030">
        <f t="shared" ref="T105:U105" si="634">T92</f>
        <v>0</v>
      </c>
      <c r="U105" s="476">
        <f t="shared" si="634"/>
        <v>0</v>
      </c>
      <c r="V105" s="189">
        <f t="shared" si="622"/>
        <v>711.72879421344373</v>
      </c>
      <c r="W105" s="221">
        <f t="shared" ref="W105:Z105" si="635">W92</f>
        <v>698.70155779011191</v>
      </c>
      <c r="X105" s="221">
        <f t="shared" si="635"/>
        <v>0</v>
      </c>
      <c r="Y105" s="1030">
        <f t="shared" si="635"/>
        <v>0</v>
      </c>
      <c r="Z105" s="1030">
        <f t="shared" si="635"/>
        <v>13.027236423331868</v>
      </c>
      <c r="AA105" s="476">
        <f t="shared" ref="AA105" si="636">AA92</f>
        <v>0</v>
      </c>
      <c r="AB105" s="189">
        <f t="shared" si="623"/>
        <v>649.70000000000005</v>
      </c>
      <c r="AC105" s="1163">
        <f>AC92</f>
        <v>649.70000000000005</v>
      </c>
      <c r="AD105" s="1163">
        <f t="shared" ref="AD105:AG105" si="637">AD92</f>
        <v>0</v>
      </c>
      <c r="AE105" s="1163">
        <f t="shared" si="637"/>
        <v>0</v>
      </c>
      <c r="AF105" s="1164">
        <f t="shared" si="637"/>
        <v>0</v>
      </c>
      <c r="AG105" s="476">
        <f t="shared" si="637"/>
        <v>0</v>
      </c>
      <c r="AH105" s="189">
        <f t="shared" si="624"/>
        <v>748.78002642186652</v>
      </c>
      <c r="AI105" s="221">
        <f t="shared" ref="AI105:AL105" si="638">AI92</f>
        <v>735.07461712471081</v>
      </c>
      <c r="AJ105" s="221">
        <f t="shared" si="638"/>
        <v>0</v>
      </c>
      <c r="AK105" s="1030">
        <f t="shared" si="638"/>
        <v>0</v>
      </c>
      <c r="AL105" s="1030">
        <f t="shared" si="638"/>
        <v>13.705409297155683</v>
      </c>
      <c r="AM105" s="476">
        <f t="shared" ref="AM105" si="639">AM92</f>
        <v>0</v>
      </c>
      <c r="AN105" s="189">
        <f t="shared" si="625"/>
        <v>671.67</v>
      </c>
      <c r="AO105" s="221">
        <f>AO92</f>
        <v>671.67</v>
      </c>
      <c r="AP105" s="221">
        <f t="shared" ref="AP105:AS105" si="640">AP92</f>
        <v>0</v>
      </c>
      <c r="AQ105" s="221">
        <f t="shared" si="640"/>
        <v>0</v>
      </c>
      <c r="AR105" s="222">
        <f t="shared" si="640"/>
        <v>0</v>
      </c>
      <c r="AS105" s="476">
        <f t="shared" si="640"/>
        <v>0</v>
      </c>
      <c r="AT105" s="189">
        <f t="shared" si="626"/>
        <v>785.90759104089943</v>
      </c>
      <c r="AU105" s="221">
        <f t="shared" ref="AU105:AX105" si="641">AU92</f>
        <v>771.52261170801239</v>
      </c>
      <c r="AV105" s="221">
        <f t="shared" si="641"/>
        <v>0</v>
      </c>
      <c r="AW105" s="1030">
        <f t="shared" si="641"/>
        <v>0</v>
      </c>
      <c r="AX105" s="1030">
        <f t="shared" si="641"/>
        <v>14.384979332887054</v>
      </c>
      <c r="AY105" s="476">
        <f t="shared" ref="AY105" si="642">AY92</f>
        <v>0</v>
      </c>
      <c r="AZ105" s="189">
        <f t="shared" si="627"/>
        <v>695.03</v>
      </c>
      <c r="BA105" s="221">
        <f>BA92</f>
        <v>695.03</v>
      </c>
      <c r="BB105" s="221">
        <f t="shared" ref="BB105:BE105" si="643">BB92</f>
        <v>0</v>
      </c>
      <c r="BC105" s="221">
        <f t="shared" si="643"/>
        <v>0</v>
      </c>
      <c r="BD105" s="222">
        <f t="shared" si="643"/>
        <v>0</v>
      </c>
      <c r="BE105" s="476">
        <f t="shared" si="643"/>
        <v>0</v>
      </c>
      <c r="BF105" s="189">
        <f t="shared" si="628"/>
        <v>830.50463449049425</v>
      </c>
      <c r="BG105" s="221">
        <f t="shared" ref="BG105:BJ105" si="644">BG92</f>
        <v>815.30336637805669</v>
      </c>
      <c r="BH105" s="221">
        <f t="shared" si="644"/>
        <v>0</v>
      </c>
      <c r="BI105" s="1030">
        <f t="shared" si="644"/>
        <v>0</v>
      </c>
      <c r="BJ105" s="1030">
        <f t="shared" si="644"/>
        <v>15.201268112437601</v>
      </c>
      <c r="BK105" s="476">
        <f t="shared" ref="BK105" si="645">BK92</f>
        <v>0</v>
      </c>
      <c r="BL105" s="189">
        <f t="shared" si="629"/>
        <v>719.1</v>
      </c>
      <c r="BM105" s="221">
        <f>BM92</f>
        <v>719.1</v>
      </c>
      <c r="BN105" s="221">
        <f t="shared" ref="BN105:BQ105" si="646">BN92</f>
        <v>0</v>
      </c>
      <c r="BO105" s="221">
        <f t="shared" si="646"/>
        <v>0</v>
      </c>
      <c r="BP105" s="222">
        <f t="shared" si="646"/>
        <v>0</v>
      </c>
      <c r="BQ105" s="476">
        <f t="shared" si="646"/>
        <v>0</v>
      </c>
      <c r="BR105" s="835">
        <f t="shared" si="468"/>
        <v>0.96695806095989323</v>
      </c>
      <c r="BS105" s="542">
        <f t="shared" si="469"/>
        <v>1.1197719998561513</v>
      </c>
      <c r="BT105" s="828">
        <f t="shared" si="567"/>
        <v>1.0432757928542755</v>
      </c>
      <c r="BU105" s="323">
        <f t="shared" si="568"/>
        <v>1.0338156072033244</v>
      </c>
      <c r="BV105" s="323">
        <f t="shared" si="569"/>
        <v>1.034778983727128</v>
      </c>
      <c r="BW105" s="198">
        <f t="shared" si="570"/>
        <v>1.0346315986360302</v>
      </c>
      <c r="BX105" s="967"/>
    </row>
    <row r="106" spans="1:77" s="83" customFormat="1" ht="18.75">
      <c r="A106" s="153"/>
      <c r="B106" s="154" t="s">
        <v>149</v>
      </c>
      <c r="C106" s="1015" t="s">
        <v>1</v>
      </c>
      <c r="D106" s="189">
        <f t="shared" si="620"/>
        <v>0</v>
      </c>
      <c r="E106" s="221">
        <f t="shared" ref="E106:I106" si="647">E93</f>
        <v>0</v>
      </c>
      <c r="F106" s="221">
        <f t="shared" si="647"/>
        <v>0</v>
      </c>
      <c r="G106" s="1030">
        <f t="shared" si="647"/>
        <v>0</v>
      </c>
      <c r="H106" s="1030">
        <f t="shared" si="647"/>
        <v>0</v>
      </c>
      <c r="I106" s="476">
        <f t="shared" si="647"/>
        <v>0</v>
      </c>
      <c r="J106" s="189">
        <f t="shared" si="621"/>
        <v>0</v>
      </c>
      <c r="K106" s="221">
        <f t="shared" ref="K106:O106" si="648">K93</f>
        <v>0</v>
      </c>
      <c r="L106" s="221">
        <f t="shared" si="648"/>
        <v>0</v>
      </c>
      <c r="M106" s="1030">
        <f t="shared" si="648"/>
        <v>0</v>
      </c>
      <c r="N106" s="1030">
        <f t="shared" si="648"/>
        <v>0</v>
      </c>
      <c r="O106" s="476">
        <f t="shared" si="648"/>
        <v>0</v>
      </c>
      <c r="P106" s="189">
        <f t="shared" si="630"/>
        <v>0</v>
      </c>
      <c r="Q106" s="221">
        <f t="shared" ref="Q106:S107" si="649">Q93</f>
        <v>0</v>
      </c>
      <c r="R106" s="221">
        <f t="shared" si="649"/>
        <v>0</v>
      </c>
      <c r="S106" s="1030">
        <f t="shared" si="649"/>
        <v>0</v>
      </c>
      <c r="T106" s="1030">
        <f t="shared" ref="T106:U106" si="650">T93</f>
        <v>0</v>
      </c>
      <c r="U106" s="476">
        <f t="shared" si="650"/>
        <v>0</v>
      </c>
      <c r="V106" s="189">
        <f t="shared" si="622"/>
        <v>0</v>
      </c>
      <c r="W106" s="221">
        <f t="shared" ref="W106:Z106" si="651">W93</f>
        <v>0</v>
      </c>
      <c r="X106" s="221">
        <f t="shared" si="651"/>
        <v>0</v>
      </c>
      <c r="Y106" s="1030">
        <f t="shared" si="651"/>
        <v>0</v>
      </c>
      <c r="Z106" s="1030">
        <f t="shared" si="651"/>
        <v>0</v>
      </c>
      <c r="AA106" s="476">
        <f t="shared" ref="AA106" si="652">AA93</f>
        <v>0</v>
      </c>
      <c r="AB106" s="189">
        <f t="shared" si="623"/>
        <v>0</v>
      </c>
      <c r="AC106" s="1163">
        <f t="shared" ref="AC106:AC107" si="653">AC93</f>
        <v>0</v>
      </c>
      <c r="AD106" s="1163">
        <f t="shared" ref="AD106:AG106" si="654">AD93</f>
        <v>0</v>
      </c>
      <c r="AE106" s="1163">
        <f t="shared" si="654"/>
        <v>0</v>
      </c>
      <c r="AF106" s="1164">
        <f t="shared" si="654"/>
        <v>0</v>
      </c>
      <c r="AG106" s="476">
        <f t="shared" si="654"/>
        <v>0</v>
      </c>
      <c r="AH106" s="189">
        <f t="shared" si="624"/>
        <v>0</v>
      </c>
      <c r="AI106" s="221">
        <f t="shared" ref="AI106:AL106" si="655">AI93</f>
        <v>0</v>
      </c>
      <c r="AJ106" s="221">
        <f t="shared" si="655"/>
        <v>0</v>
      </c>
      <c r="AK106" s="1030">
        <f t="shared" si="655"/>
        <v>0</v>
      </c>
      <c r="AL106" s="1030">
        <f t="shared" si="655"/>
        <v>0</v>
      </c>
      <c r="AM106" s="476">
        <f t="shared" ref="AM106" si="656">AM93</f>
        <v>0</v>
      </c>
      <c r="AN106" s="189">
        <f t="shared" si="625"/>
        <v>0</v>
      </c>
      <c r="AO106" s="221">
        <f t="shared" ref="AO106:AS107" si="657">AO93</f>
        <v>0</v>
      </c>
      <c r="AP106" s="221">
        <f t="shared" si="657"/>
        <v>0</v>
      </c>
      <c r="AQ106" s="221">
        <f t="shared" si="657"/>
        <v>0</v>
      </c>
      <c r="AR106" s="222">
        <f t="shared" si="657"/>
        <v>0</v>
      </c>
      <c r="AS106" s="476">
        <f t="shared" si="657"/>
        <v>0</v>
      </c>
      <c r="AT106" s="189">
        <f t="shared" si="626"/>
        <v>0</v>
      </c>
      <c r="AU106" s="221">
        <f t="shared" ref="AU106:AX106" si="658">AU93</f>
        <v>0</v>
      </c>
      <c r="AV106" s="221">
        <f t="shared" si="658"/>
        <v>0</v>
      </c>
      <c r="AW106" s="1030">
        <f t="shared" si="658"/>
        <v>0</v>
      </c>
      <c r="AX106" s="1030">
        <f t="shared" si="658"/>
        <v>0</v>
      </c>
      <c r="AY106" s="476">
        <f t="shared" ref="AY106" si="659">AY93</f>
        <v>0</v>
      </c>
      <c r="AZ106" s="189">
        <f t="shared" si="627"/>
        <v>0</v>
      </c>
      <c r="BA106" s="221">
        <f t="shared" ref="BA106:BE107" si="660">BA93</f>
        <v>0</v>
      </c>
      <c r="BB106" s="221">
        <f t="shared" si="660"/>
        <v>0</v>
      </c>
      <c r="BC106" s="221">
        <f t="shared" si="660"/>
        <v>0</v>
      </c>
      <c r="BD106" s="222">
        <f t="shared" si="660"/>
        <v>0</v>
      </c>
      <c r="BE106" s="476">
        <f t="shared" si="660"/>
        <v>0</v>
      </c>
      <c r="BF106" s="189">
        <f t="shared" si="628"/>
        <v>0</v>
      </c>
      <c r="BG106" s="221">
        <f t="shared" ref="BG106:BJ106" si="661">BG93</f>
        <v>0</v>
      </c>
      <c r="BH106" s="221">
        <f t="shared" si="661"/>
        <v>0</v>
      </c>
      <c r="BI106" s="1030">
        <f t="shared" si="661"/>
        <v>0</v>
      </c>
      <c r="BJ106" s="1030">
        <f t="shared" si="661"/>
        <v>0</v>
      </c>
      <c r="BK106" s="476">
        <f t="shared" ref="BK106" si="662">BK93</f>
        <v>0</v>
      </c>
      <c r="BL106" s="189">
        <f t="shared" si="629"/>
        <v>0</v>
      </c>
      <c r="BM106" s="221">
        <f t="shared" ref="BM106:BQ107" si="663">BM93</f>
        <v>0</v>
      </c>
      <c r="BN106" s="221">
        <f t="shared" si="663"/>
        <v>0</v>
      </c>
      <c r="BO106" s="221">
        <f t="shared" si="663"/>
        <v>0</v>
      </c>
      <c r="BP106" s="222">
        <f t="shared" si="663"/>
        <v>0</v>
      </c>
      <c r="BQ106" s="476">
        <f t="shared" si="663"/>
        <v>0</v>
      </c>
      <c r="BR106" s="835" t="str">
        <f t="shared" si="468"/>
        <v xml:space="preserve"> </v>
      </c>
      <c r="BS106" s="542" t="str">
        <f t="shared" si="469"/>
        <v xml:space="preserve"> </v>
      </c>
      <c r="BT106" s="828" t="str">
        <f t="shared" si="567"/>
        <v xml:space="preserve"> </v>
      </c>
      <c r="BU106" s="323" t="str">
        <f t="shared" si="568"/>
        <v xml:space="preserve"> </v>
      </c>
      <c r="BV106" s="323" t="str">
        <f t="shared" si="569"/>
        <v xml:space="preserve"> </v>
      </c>
      <c r="BW106" s="198" t="str">
        <f t="shared" si="570"/>
        <v xml:space="preserve"> </v>
      </c>
      <c r="BX106" s="967"/>
    </row>
    <row r="107" spans="1:77" s="83" customFormat="1" ht="18.75">
      <c r="A107" s="153"/>
      <c r="B107" s="155" t="s">
        <v>150</v>
      </c>
      <c r="C107" s="1015" t="s">
        <v>1</v>
      </c>
      <c r="D107" s="189">
        <f t="shared" si="620"/>
        <v>0</v>
      </c>
      <c r="E107" s="221">
        <f>E94</f>
        <v>0</v>
      </c>
      <c r="F107" s="221">
        <f t="shared" ref="F107:I107" si="664">F94</f>
        <v>0</v>
      </c>
      <c r="G107" s="1030">
        <f t="shared" si="664"/>
        <v>0</v>
      </c>
      <c r="H107" s="1030">
        <f t="shared" si="664"/>
        <v>0</v>
      </c>
      <c r="I107" s="476">
        <f t="shared" si="664"/>
        <v>0</v>
      </c>
      <c r="J107" s="189">
        <f t="shared" si="621"/>
        <v>0</v>
      </c>
      <c r="K107" s="221">
        <f>K94</f>
        <v>0</v>
      </c>
      <c r="L107" s="221">
        <f t="shared" ref="L107:O107" si="665">L94</f>
        <v>0</v>
      </c>
      <c r="M107" s="1030">
        <f t="shared" si="665"/>
        <v>0</v>
      </c>
      <c r="N107" s="1030">
        <f t="shared" si="665"/>
        <v>0</v>
      </c>
      <c r="O107" s="476">
        <f t="shared" si="665"/>
        <v>0</v>
      </c>
      <c r="P107" s="189">
        <f t="shared" si="630"/>
        <v>0</v>
      </c>
      <c r="Q107" s="221">
        <f>Q94</f>
        <v>0</v>
      </c>
      <c r="R107" s="221">
        <f t="shared" si="649"/>
        <v>0</v>
      </c>
      <c r="S107" s="1030">
        <f t="shared" si="649"/>
        <v>0</v>
      </c>
      <c r="T107" s="1030">
        <f t="shared" ref="T107:U107" si="666">T94</f>
        <v>0</v>
      </c>
      <c r="U107" s="476">
        <f t="shared" si="666"/>
        <v>0</v>
      </c>
      <c r="V107" s="189">
        <f t="shared" si="622"/>
        <v>0</v>
      </c>
      <c r="W107" s="221">
        <f>W94</f>
        <v>0</v>
      </c>
      <c r="X107" s="221">
        <f t="shared" ref="X107:Z107" si="667">X94</f>
        <v>0</v>
      </c>
      <c r="Y107" s="1030">
        <f t="shared" si="667"/>
        <v>0</v>
      </c>
      <c r="Z107" s="1030">
        <f t="shared" si="667"/>
        <v>0</v>
      </c>
      <c r="AA107" s="476">
        <f t="shared" ref="AA107" si="668">AA94</f>
        <v>0</v>
      </c>
      <c r="AB107" s="189">
        <f t="shared" si="623"/>
        <v>0</v>
      </c>
      <c r="AC107" s="1163">
        <f t="shared" si="653"/>
        <v>0</v>
      </c>
      <c r="AD107" s="1163">
        <f t="shared" ref="AD107:AG107" si="669">AD94</f>
        <v>0</v>
      </c>
      <c r="AE107" s="1163">
        <f t="shared" si="669"/>
        <v>0</v>
      </c>
      <c r="AF107" s="1164">
        <f t="shared" si="669"/>
        <v>0</v>
      </c>
      <c r="AG107" s="476">
        <f t="shared" si="669"/>
        <v>0</v>
      </c>
      <c r="AH107" s="189">
        <f t="shared" si="624"/>
        <v>0</v>
      </c>
      <c r="AI107" s="221">
        <f>AI94</f>
        <v>0</v>
      </c>
      <c r="AJ107" s="221">
        <f t="shared" ref="AJ107:AL107" si="670">AJ94</f>
        <v>0</v>
      </c>
      <c r="AK107" s="1030">
        <f t="shared" si="670"/>
        <v>0</v>
      </c>
      <c r="AL107" s="1030">
        <f t="shared" si="670"/>
        <v>0</v>
      </c>
      <c r="AM107" s="476">
        <f t="shared" ref="AM107" si="671">AM94</f>
        <v>0</v>
      </c>
      <c r="AN107" s="189">
        <f t="shared" si="625"/>
        <v>-159.78</v>
      </c>
      <c r="AO107" s="221">
        <f t="shared" si="657"/>
        <v>-159.78</v>
      </c>
      <c r="AP107" s="221">
        <f t="shared" si="657"/>
        <v>0</v>
      </c>
      <c r="AQ107" s="221">
        <f t="shared" si="657"/>
        <v>0</v>
      </c>
      <c r="AR107" s="222">
        <f t="shared" si="657"/>
        <v>0</v>
      </c>
      <c r="AS107" s="476">
        <f t="shared" si="657"/>
        <v>0</v>
      </c>
      <c r="AT107" s="189">
        <f t="shared" si="626"/>
        <v>0</v>
      </c>
      <c r="AU107" s="221">
        <f>AU94</f>
        <v>0</v>
      </c>
      <c r="AV107" s="221">
        <f t="shared" ref="AV107:AX107" si="672">AV94</f>
        <v>0</v>
      </c>
      <c r="AW107" s="1030">
        <f t="shared" si="672"/>
        <v>0</v>
      </c>
      <c r="AX107" s="1030">
        <f t="shared" si="672"/>
        <v>0</v>
      </c>
      <c r="AY107" s="476">
        <f t="shared" ref="AY107" si="673">AY94</f>
        <v>0</v>
      </c>
      <c r="AZ107" s="189">
        <f t="shared" si="627"/>
        <v>0</v>
      </c>
      <c r="BA107" s="221">
        <f t="shared" si="660"/>
        <v>0</v>
      </c>
      <c r="BB107" s="221">
        <f t="shared" si="660"/>
        <v>0</v>
      </c>
      <c r="BC107" s="221">
        <f t="shared" si="660"/>
        <v>0</v>
      </c>
      <c r="BD107" s="222">
        <f t="shared" si="660"/>
        <v>0</v>
      </c>
      <c r="BE107" s="476">
        <f t="shared" si="660"/>
        <v>0</v>
      </c>
      <c r="BF107" s="189">
        <f t="shared" si="628"/>
        <v>0</v>
      </c>
      <c r="BG107" s="221">
        <f>BG94</f>
        <v>0</v>
      </c>
      <c r="BH107" s="221">
        <f t="shared" ref="BH107:BJ107" si="674">BH94</f>
        <v>0</v>
      </c>
      <c r="BI107" s="1030">
        <f t="shared" si="674"/>
        <v>0</v>
      </c>
      <c r="BJ107" s="1030">
        <f t="shared" si="674"/>
        <v>0</v>
      </c>
      <c r="BK107" s="476">
        <f t="shared" ref="BK107" si="675">BK94</f>
        <v>0</v>
      </c>
      <c r="BL107" s="189">
        <f t="shared" si="629"/>
        <v>0</v>
      </c>
      <c r="BM107" s="221">
        <f t="shared" si="663"/>
        <v>0</v>
      </c>
      <c r="BN107" s="221">
        <f t="shared" si="663"/>
        <v>0</v>
      </c>
      <c r="BO107" s="221">
        <f t="shared" si="663"/>
        <v>0</v>
      </c>
      <c r="BP107" s="222">
        <f t="shared" si="663"/>
        <v>0</v>
      </c>
      <c r="BQ107" s="476">
        <f t="shared" si="663"/>
        <v>0</v>
      </c>
      <c r="BR107" s="835" t="str">
        <f t="shared" si="468"/>
        <v xml:space="preserve"> </v>
      </c>
      <c r="BS107" s="542" t="str">
        <f t="shared" si="469"/>
        <v xml:space="preserve"> </v>
      </c>
      <c r="BT107" s="828" t="str">
        <f t="shared" si="567"/>
        <v xml:space="preserve"> </v>
      </c>
      <c r="BU107" s="323" t="str">
        <f t="shared" si="568"/>
        <v xml:space="preserve"> </v>
      </c>
      <c r="BV107" s="323">
        <f t="shared" si="569"/>
        <v>0</v>
      </c>
      <c r="BW107" s="198" t="str">
        <f t="shared" si="570"/>
        <v xml:space="preserve"> </v>
      </c>
      <c r="BX107" s="967"/>
    </row>
    <row r="108" spans="1:77" s="159" customFormat="1">
      <c r="A108" s="156"/>
      <c r="B108" s="157"/>
      <c r="C108" s="158"/>
      <c r="D108" s="1031"/>
      <c r="E108" s="223"/>
      <c r="F108" s="223"/>
      <c r="G108" s="223"/>
      <c r="H108" s="223"/>
      <c r="I108" s="1032"/>
      <c r="J108" s="1031"/>
      <c r="K108" s="223"/>
      <c r="L108" s="223"/>
      <c r="M108" s="223"/>
      <c r="N108" s="223"/>
      <c r="O108" s="1032"/>
      <c r="P108" s="1031"/>
      <c r="Q108" s="223"/>
      <c r="R108" s="223"/>
      <c r="S108" s="223"/>
      <c r="T108" s="223"/>
      <c r="U108" s="1032"/>
      <c r="V108" s="1031"/>
      <c r="W108" s="223"/>
      <c r="X108" s="223"/>
      <c r="Y108" s="223"/>
      <c r="Z108" s="223"/>
      <c r="AA108" s="1032"/>
      <c r="AB108" s="1031"/>
      <c r="AC108" s="223"/>
      <c r="AD108" s="223"/>
      <c r="AE108" s="223"/>
      <c r="AF108" s="455"/>
      <c r="AG108" s="477"/>
      <c r="AH108" s="1031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455"/>
      <c r="AS108" s="477"/>
      <c r="AT108" s="1031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455"/>
      <c r="BE108" s="477"/>
      <c r="BF108" s="1031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839"/>
      <c r="BU108" s="223"/>
      <c r="BV108" s="223"/>
      <c r="BW108" s="223"/>
      <c r="BX108" s="978"/>
      <c r="BY108" s="223"/>
    </row>
    <row r="109" spans="1:77" ht="18.75">
      <c r="A109" s="160" t="s">
        <v>92</v>
      </c>
      <c r="B109" s="161" t="s">
        <v>221</v>
      </c>
      <c r="C109" s="1015" t="s">
        <v>1</v>
      </c>
      <c r="D109" s="189">
        <f>E109+F109+G109+H109</f>
        <v>30934.646451300003</v>
      </c>
      <c r="E109" s="224">
        <f>E99-E104-E111</f>
        <v>26220.452000000001</v>
      </c>
      <c r="F109" s="224">
        <f>F99-F104-F111</f>
        <v>2201.2444513</v>
      </c>
      <c r="G109" s="1033">
        <f>G99-G104-G111</f>
        <v>0</v>
      </c>
      <c r="H109" s="1033">
        <f t="shared" ref="H109:I109" si="676">H99-H104-H111</f>
        <v>2512.9499999999998</v>
      </c>
      <c r="I109" s="478">
        <f t="shared" si="676"/>
        <v>0</v>
      </c>
      <c r="J109" s="189">
        <f>K109+L109+M109+N109</f>
        <v>33667.60686599859</v>
      </c>
      <c r="K109" s="224">
        <f>K99-K104-K111</f>
        <v>29987.450431783924</v>
      </c>
      <c r="L109" s="224">
        <f>L99-L104-L111</f>
        <v>3285.7367572146686</v>
      </c>
      <c r="M109" s="1033">
        <f>M99-M104-M111</f>
        <v>0</v>
      </c>
      <c r="N109" s="1033">
        <f t="shared" ref="N109:O109" si="677">N99-N104-N111</f>
        <v>394.41967700000004</v>
      </c>
      <c r="O109" s="478">
        <f t="shared" si="677"/>
        <v>0</v>
      </c>
      <c r="P109" s="189">
        <f>Q109+R109+S109+T109</f>
        <v>32729.009000000002</v>
      </c>
      <c r="Q109" s="224">
        <f>Q99-Q104-Q111</f>
        <v>27382.267</v>
      </c>
      <c r="R109" s="224">
        <f>R99-R104-R111</f>
        <v>2653.4720000000002</v>
      </c>
      <c r="S109" s="1033">
        <f>S99-S104-S111</f>
        <v>0</v>
      </c>
      <c r="T109" s="1033">
        <f t="shared" ref="T109:U109" si="678">T99-T104-T111</f>
        <v>2693.27</v>
      </c>
      <c r="U109" s="478">
        <f t="shared" si="678"/>
        <v>0</v>
      </c>
      <c r="V109" s="189">
        <f>W109+X109+Y109+Z109</f>
        <v>35088.107376617372</v>
      </c>
      <c r="W109" s="224">
        <f>W99-W104-W111</f>
        <v>31789.269292930039</v>
      </c>
      <c r="X109" s="224">
        <f>X99-X104-X111</f>
        <v>2861.5055040000007</v>
      </c>
      <c r="Y109" s="1033">
        <f>Y99-Y104-Y111</f>
        <v>0</v>
      </c>
      <c r="Z109" s="1033">
        <f t="shared" ref="Z109" si="679">Z99-Z104-Z111</f>
        <v>437.33257968733187</v>
      </c>
      <c r="AA109" s="478">
        <f t="shared" ref="AA109" si="680">AA99-AA104-AA111</f>
        <v>0</v>
      </c>
      <c r="AB109" s="189">
        <f>AC109+AD109+AE109+AF109</f>
        <v>33674.99</v>
      </c>
      <c r="AC109" s="1165">
        <f>AC99-AC104-AC111</f>
        <v>28038.629999999997</v>
      </c>
      <c r="AD109" s="1165">
        <f>AD99-AD104-AD111</f>
        <v>2716.26</v>
      </c>
      <c r="AE109" s="1165">
        <f>AE99-AE104-AE111</f>
        <v>0</v>
      </c>
      <c r="AF109" s="1166">
        <f t="shared" ref="AF109:AG109" si="681">AF99-AF104-AF111</f>
        <v>2920.1</v>
      </c>
      <c r="AG109" s="478">
        <f t="shared" si="681"/>
        <v>0</v>
      </c>
      <c r="AH109" s="189">
        <f>AI109+AJ109+AK109+AL109</f>
        <v>36509.074875856953</v>
      </c>
      <c r="AI109" s="224">
        <f>AI99-AI104-AI111</f>
        <v>33077.22979138486</v>
      </c>
      <c r="AJ109" s="224">
        <f>AJ99-AJ104-AJ111</f>
        <v>2946.2060669184007</v>
      </c>
      <c r="AK109" s="1033">
        <f>AK99-AK104-AK111</f>
        <v>0</v>
      </c>
      <c r="AL109" s="1033">
        <f t="shared" ref="AL109" si="682">AL99-AL104-AL111</f>
        <v>485.63901755369193</v>
      </c>
      <c r="AM109" s="478">
        <f t="shared" ref="AM109" si="683">AM99-AM104-AM111</f>
        <v>0</v>
      </c>
      <c r="AN109" s="189">
        <f>AO109+AP109+AQ109+AR109</f>
        <v>34552.79</v>
      </c>
      <c r="AO109" s="224">
        <f>AO99-AO104-AO111</f>
        <v>28667.37</v>
      </c>
      <c r="AP109" s="224">
        <f>AP99-AP104-AP111</f>
        <v>2796.66</v>
      </c>
      <c r="AQ109" s="224">
        <f>AQ99-AQ104-AQ111</f>
        <v>0</v>
      </c>
      <c r="AR109" s="225">
        <f t="shared" ref="AR109:AS109" si="684">AR99-AR104-AR111</f>
        <v>3088.76</v>
      </c>
      <c r="AS109" s="478">
        <f t="shared" si="684"/>
        <v>0</v>
      </c>
      <c r="AT109" s="189">
        <f>AU109+AV109+AW109+AX109</f>
        <v>37952.466774871813</v>
      </c>
      <c r="AU109" s="224">
        <f>AU99-AU104-AU111</f>
        <v>34382.609763608845</v>
      </c>
      <c r="AV109" s="224">
        <f>AV99-AV104-AV111</f>
        <v>3033.4137664991858</v>
      </c>
      <c r="AW109" s="1033">
        <f>AW99-AW104-AW111</f>
        <v>0</v>
      </c>
      <c r="AX109" s="1033">
        <f t="shared" ref="AX109" si="685">AX99-AX104-AX111</f>
        <v>536.44324476378438</v>
      </c>
      <c r="AY109" s="478">
        <f t="shared" ref="AY109" si="686">AY99-AY104-AY111</f>
        <v>0</v>
      </c>
      <c r="AZ109" s="189">
        <f>BA109+BB109+BC109+BD109</f>
        <v>35795.949999999997</v>
      </c>
      <c r="BA109" s="224">
        <f>BA99-BA104-BA111</f>
        <v>29704.289999999997</v>
      </c>
      <c r="BB109" s="224">
        <f>BB99-BB104-BB111</f>
        <v>2879.44</v>
      </c>
      <c r="BC109" s="224">
        <f>BC99-BC104-BC111</f>
        <v>0</v>
      </c>
      <c r="BD109" s="225">
        <f t="shared" ref="BD109:BE109" si="687">BD99-BD104-BD111</f>
        <v>3212.2200000000003</v>
      </c>
      <c r="BE109" s="478">
        <f t="shared" si="687"/>
        <v>0</v>
      </c>
      <c r="BF109" s="189">
        <f>BG109+BH109+BI109+BJ109</f>
        <v>39574.221879145436</v>
      </c>
      <c r="BG109" s="224">
        <f>BG99-BG104-BG111</f>
        <v>35856.130582165591</v>
      </c>
      <c r="BH109" s="224">
        <f>BH99-BH104-BH111</f>
        <v>3123.2028139875615</v>
      </c>
      <c r="BI109" s="1033">
        <f>BI99-BI104-BI111</f>
        <v>0</v>
      </c>
      <c r="BJ109" s="1033">
        <f t="shared" ref="BJ109" si="688">BJ99-BJ104-BJ111</f>
        <v>594.88848299228573</v>
      </c>
      <c r="BK109" s="478">
        <f t="shared" ref="BK109" si="689">BK99-BK104-BK111</f>
        <v>0</v>
      </c>
      <c r="BL109" s="189">
        <f>BM109+BN109+BO109+BP109</f>
        <v>36911.069999999992</v>
      </c>
      <c r="BM109" s="224">
        <f>BM99-BM104-BM111</f>
        <v>30606.089999999993</v>
      </c>
      <c r="BN109" s="224">
        <f>BN99-BN104-BN111</f>
        <v>2964.67</v>
      </c>
      <c r="BO109" s="224">
        <f>BO99-BO104-BO111</f>
        <v>0</v>
      </c>
      <c r="BP109" s="225">
        <f t="shared" ref="BP109:BQ109" si="690">BP99-BP104-BP111</f>
        <v>3340.31</v>
      </c>
      <c r="BQ109" s="478">
        <f t="shared" si="690"/>
        <v>0</v>
      </c>
      <c r="BR109" s="835">
        <f t="shared" si="468"/>
        <v>0.97212163401650942</v>
      </c>
      <c r="BS109" s="542">
        <f t="shared" si="469"/>
        <v>1.05800494767331</v>
      </c>
      <c r="BT109" s="828">
        <f t="shared" si="567"/>
        <v>1.0289034415921361</v>
      </c>
      <c r="BU109" s="323">
        <f t="shared" si="568"/>
        <v>1.0260668228854708</v>
      </c>
      <c r="BV109" s="323">
        <f t="shared" si="569"/>
        <v>1.035978570760856</v>
      </c>
      <c r="BW109" s="198">
        <f t="shared" si="570"/>
        <v>1.0311521275451552</v>
      </c>
    </row>
    <row r="110" spans="1:77" ht="31.5">
      <c r="A110" s="160" t="s">
        <v>93</v>
      </c>
      <c r="B110" s="161" t="s">
        <v>223</v>
      </c>
      <c r="C110" s="1015" t="s">
        <v>1</v>
      </c>
      <c r="D110" s="189">
        <f t="shared" ref="D110:D111" si="691">E110+F110+G110+H110</f>
        <v>0</v>
      </c>
      <c r="E110" s="226">
        <f>E85</f>
        <v>0</v>
      </c>
      <c r="F110" s="226">
        <f>F85</f>
        <v>0</v>
      </c>
      <c r="G110" s="1034">
        <f>G85</f>
        <v>0</v>
      </c>
      <c r="H110" s="1034">
        <f>H85</f>
        <v>0</v>
      </c>
      <c r="I110" s="479">
        <f>I85</f>
        <v>0</v>
      </c>
      <c r="J110" s="189">
        <f t="shared" ref="J110:J111" si="692">K110+L110+M110+N110</f>
        <v>0</v>
      </c>
      <c r="K110" s="226">
        <f>K85</f>
        <v>0</v>
      </c>
      <c r="L110" s="226">
        <f>L85</f>
        <v>0</v>
      </c>
      <c r="M110" s="1034">
        <f>M85</f>
        <v>0</v>
      </c>
      <c r="N110" s="1034">
        <f>N85</f>
        <v>0</v>
      </c>
      <c r="O110" s="479">
        <f>O85</f>
        <v>0</v>
      </c>
      <c r="P110" s="189">
        <f t="shared" si="630"/>
        <v>0</v>
      </c>
      <c r="Q110" s="226">
        <f>Q85</f>
        <v>0</v>
      </c>
      <c r="R110" s="226">
        <f>R85</f>
        <v>0</v>
      </c>
      <c r="S110" s="1034">
        <f>S85</f>
        <v>0</v>
      </c>
      <c r="T110" s="1034">
        <f>T85</f>
        <v>0</v>
      </c>
      <c r="U110" s="479">
        <f>U85</f>
        <v>0</v>
      </c>
      <c r="V110" s="189">
        <f t="shared" ref="V110:V111" si="693">W110+X110+Y110+Z110</f>
        <v>0</v>
      </c>
      <c r="W110" s="226">
        <f>W85</f>
        <v>0</v>
      </c>
      <c r="X110" s="226">
        <f>X85</f>
        <v>0</v>
      </c>
      <c r="Y110" s="1034">
        <f>Y85</f>
        <v>0</v>
      </c>
      <c r="Z110" s="1034">
        <f>Z85</f>
        <v>0</v>
      </c>
      <c r="AA110" s="479">
        <f>AA85</f>
        <v>0</v>
      </c>
      <c r="AB110" s="189">
        <f t="shared" si="623"/>
        <v>0</v>
      </c>
      <c r="AC110" s="1167">
        <f>AC85</f>
        <v>0</v>
      </c>
      <c r="AD110" s="1167">
        <f>AD85</f>
        <v>0</v>
      </c>
      <c r="AE110" s="1167">
        <f>AE85</f>
        <v>0</v>
      </c>
      <c r="AF110" s="1168">
        <f>AF85</f>
        <v>0</v>
      </c>
      <c r="AG110" s="479">
        <f>AG85</f>
        <v>0</v>
      </c>
      <c r="AH110" s="189">
        <f t="shared" ref="AH110:AH111" si="694">AI110+AJ110+AK110+AL110</f>
        <v>0</v>
      </c>
      <c r="AI110" s="226">
        <f>AI85</f>
        <v>0</v>
      </c>
      <c r="AJ110" s="226">
        <f>AJ85</f>
        <v>0</v>
      </c>
      <c r="AK110" s="1034">
        <f>AK85</f>
        <v>0</v>
      </c>
      <c r="AL110" s="1034">
        <f>AL85</f>
        <v>0</v>
      </c>
      <c r="AM110" s="479">
        <f>AM85</f>
        <v>0</v>
      </c>
      <c r="AN110" s="189">
        <f t="shared" ref="AN110:AN111" si="695">AO110+AP110+AQ110+AR110</f>
        <v>0</v>
      </c>
      <c r="AO110" s="226">
        <f>AO85</f>
        <v>0</v>
      </c>
      <c r="AP110" s="226">
        <f>AP85</f>
        <v>0</v>
      </c>
      <c r="AQ110" s="226">
        <f>AQ85</f>
        <v>0</v>
      </c>
      <c r="AR110" s="227">
        <f>AR85</f>
        <v>0</v>
      </c>
      <c r="AS110" s="479">
        <f>AS85</f>
        <v>0</v>
      </c>
      <c r="AT110" s="189">
        <f t="shared" ref="AT110:AT111" si="696">AU110+AV110+AW110+AX110</f>
        <v>0</v>
      </c>
      <c r="AU110" s="226">
        <f>AU85</f>
        <v>0</v>
      </c>
      <c r="AV110" s="226">
        <f>AV85</f>
        <v>0</v>
      </c>
      <c r="AW110" s="1034">
        <f>AW85</f>
        <v>0</v>
      </c>
      <c r="AX110" s="1034">
        <f>AX85</f>
        <v>0</v>
      </c>
      <c r="AY110" s="479">
        <f>AY85</f>
        <v>0</v>
      </c>
      <c r="AZ110" s="189">
        <f t="shared" ref="AZ110:AZ111" si="697">BA110+BB110+BC110+BD110</f>
        <v>0</v>
      </c>
      <c r="BA110" s="226">
        <f>BA85</f>
        <v>0</v>
      </c>
      <c r="BB110" s="226">
        <f>BB85</f>
        <v>0</v>
      </c>
      <c r="BC110" s="226">
        <f>BC85</f>
        <v>0</v>
      </c>
      <c r="BD110" s="227">
        <f>BD85</f>
        <v>0</v>
      </c>
      <c r="BE110" s="479">
        <f>BE85</f>
        <v>0</v>
      </c>
      <c r="BF110" s="189">
        <f t="shared" ref="BF110:BF111" si="698">BG110+BH110+BI110+BJ110</f>
        <v>0</v>
      </c>
      <c r="BG110" s="226">
        <f>BG85</f>
        <v>0</v>
      </c>
      <c r="BH110" s="226">
        <f>BH85</f>
        <v>0</v>
      </c>
      <c r="BI110" s="1034">
        <f>BI85</f>
        <v>0</v>
      </c>
      <c r="BJ110" s="1034">
        <f>BJ85</f>
        <v>0</v>
      </c>
      <c r="BK110" s="479">
        <f>BK85</f>
        <v>0</v>
      </c>
      <c r="BL110" s="189">
        <f t="shared" ref="BL110:BL111" si="699">BM110+BN110+BO110+BP110</f>
        <v>0</v>
      </c>
      <c r="BM110" s="226">
        <f>BM85</f>
        <v>0</v>
      </c>
      <c r="BN110" s="226">
        <f>BN85</f>
        <v>0</v>
      </c>
      <c r="BO110" s="226">
        <f>BO85</f>
        <v>0</v>
      </c>
      <c r="BP110" s="227">
        <f>BP85</f>
        <v>0</v>
      </c>
      <c r="BQ110" s="479">
        <f>BQ85</f>
        <v>0</v>
      </c>
      <c r="BR110" s="835" t="str">
        <f t="shared" si="468"/>
        <v xml:space="preserve"> </v>
      </c>
      <c r="BS110" s="542" t="str">
        <f t="shared" si="469"/>
        <v xml:space="preserve"> </v>
      </c>
      <c r="BT110" s="828" t="str">
        <f t="shared" si="567"/>
        <v xml:space="preserve"> </v>
      </c>
      <c r="BU110" s="323" t="str">
        <f t="shared" si="568"/>
        <v xml:space="preserve"> </v>
      </c>
      <c r="BV110" s="323" t="str">
        <f t="shared" si="569"/>
        <v xml:space="preserve"> </v>
      </c>
      <c r="BW110" s="198" t="str">
        <f t="shared" si="570"/>
        <v xml:space="preserve"> </v>
      </c>
    </row>
    <row r="111" spans="1:77" ht="18.75">
      <c r="A111" s="160" t="s">
        <v>94</v>
      </c>
      <c r="B111" s="161" t="s">
        <v>222</v>
      </c>
      <c r="C111" s="1015" t="s">
        <v>1</v>
      </c>
      <c r="D111" s="189">
        <f t="shared" si="691"/>
        <v>0</v>
      </c>
      <c r="E111" s="226">
        <f>E70</f>
        <v>0</v>
      </c>
      <c r="F111" s="226">
        <f>F70</f>
        <v>0</v>
      </c>
      <c r="G111" s="1034">
        <f>G70</f>
        <v>0</v>
      </c>
      <c r="H111" s="1034">
        <f>H70</f>
        <v>0</v>
      </c>
      <c r="I111" s="479">
        <f>I70</f>
        <v>0</v>
      </c>
      <c r="J111" s="189">
        <f t="shared" si="692"/>
        <v>0</v>
      </c>
      <c r="K111" s="226">
        <f>K70</f>
        <v>0</v>
      </c>
      <c r="L111" s="226">
        <f>L70</f>
        <v>0</v>
      </c>
      <c r="M111" s="1034">
        <f>M70</f>
        <v>0</v>
      </c>
      <c r="N111" s="1034">
        <f>N70</f>
        <v>0</v>
      </c>
      <c r="O111" s="479">
        <f>O70</f>
        <v>0</v>
      </c>
      <c r="P111" s="189">
        <f t="shared" si="630"/>
        <v>0</v>
      </c>
      <c r="Q111" s="226">
        <f>Q70</f>
        <v>0</v>
      </c>
      <c r="R111" s="226">
        <f>R70</f>
        <v>0</v>
      </c>
      <c r="S111" s="1034">
        <f>S70</f>
        <v>0</v>
      </c>
      <c r="T111" s="1034">
        <f>T70</f>
        <v>0</v>
      </c>
      <c r="U111" s="479">
        <f>U70</f>
        <v>0</v>
      </c>
      <c r="V111" s="189">
        <f t="shared" si="693"/>
        <v>0</v>
      </c>
      <c r="W111" s="226">
        <f>W70</f>
        <v>0</v>
      </c>
      <c r="X111" s="226">
        <f>X70</f>
        <v>0</v>
      </c>
      <c r="Y111" s="1034">
        <f>Y70</f>
        <v>0</v>
      </c>
      <c r="Z111" s="1034">
        <f>Z70</f>
        <v>0</v>
      </c>
      <c r="AA111" s="479">
        <f>AA70</f>
        <v>0</v>
      </c>
      <c r="AB111" s="189">
        <f t="shared" si="623"/>
        <v>0</v>
      </c>
      <c r="AC111" s="1167">
        <f>AC70</f>
        <v>0</v>
      </c>
      <c r="AD111" s="1167">
        <f>AD70</f>
        <v>0</v>
      </c>
      <c r="AE111" s="1167">
        <f>AE70</f>
        <v>0</v>
      </c>
      <c r="AF111" s="1168">
        <f>AF70</f>
        <v>0</v>
      </c>
      <c r="AG111" s="479">
        <f>AG70</f>
        <v>0</v>
      </c>
      <c r="AH111" s="189">
        <f t="shared" si="694"/>
        <v>0</v>
      </c>
      <c r="AI111" s="226">
        <f>AI70</f>
        <v>0</v>
      </c>
      <c r="AJ111" s="226">
        <f>AJ70</f>
        <v>0</v>
      </c>
      <c r="AK111" s="1034">
        <f>AK70</f>
        <v>0</v>
      </c>
      <c r="AL111" s="1034">
        <f>AL70</f>
        <v>0</v>
      </c>
      <c r="AM111" s="479">
        <f>AM70</f>
        <v>0</v>
      </c>
      <c r="AN111" s="189">
        <f t="shared" si="695"/>
        <v>0</v>
      </c>
      <c r="AO111" s="226">
        <f>AO70</f>
        <v>0</v>
      </c>
      <c r="AP111" s="226">
        <f>AP70</f>
        <v>0</v>
      </c>
      <c r="AQ111" s="226">
        <f>AQ70</f>
        <v>0</v>
      </c>
      <c r="AR111" s="227">
        <f>AR70</f>
        <v>0</v>
      </c>
      <c r="AS111" s="479">
        <f>AS70</f>
        <v>0</v>
      </c>
      <c r="AT111" s="189">
        <f t="shared" si="696"/>
        <v>0</v>
      </c>
      <c r="AU111" s="226">
        <f>AU70</f>
        <v>0</v>
      </c>
      <c r="AV111" s="226">
        <f>AV70</f>
        <v>0</v>
      </c>
      <c r="AW111" s="1034">
        <f>AW70</f>
        <v>0</v>
      </c>
      <c r="AX111" s="1034">
        <f>AX70</f>
        <v>0</v>
      </c>
      <c r="AY111" s="479">
        <f>AY70</f>
        <v>0</v>
      </c>
      <c r="AZ111" s="189">
        <f t="shared" si="697"/>
        <v>0</v>
      </c>
      <c r="BA111" s="226">
        <f>BA70</f>
        <v>0</v>
      </c>
      <c r="BB111" s="226">
        <f>BB70</f>
        <v>0</v>
      </c>
      <c r="BC111" s="226">
        <f>BC70</f>
        <v>0</v>
      </c>
      <c r="BD111" s="227">
        <f>BD70</f>
        <v>0</v>
      </c>
      <c r="BE111" s="479">
        <f>BE70</f>
        <v>0</v>
      </c>
      <c r="BF111" s="189">
        <f t="shared" si="698"/>
        <v>0</v>
      </c>
      <c r="BG111" s="226">
        <f>BG70</f>
        <v>0</v>
      </c>
      <c r="BH111" s="226">
        <f>BH70</f>
        <v>0</v>
      </c>
      <c r="BI111" s="1034">
        <f>BI70</f>
        <v>0</v>
      </c>
      <c r="BJ111" s="1034">
        <f>BJ70</f>
        <v>0</v>
      </c>
      <c r="BK111" s="479">
        <f>BK70</f>
        <v>0</v>
      </c>
      <c r="BL111" s="189">
        <f t="shared" si="699"/>
        <v>0</v>
      </c>
      <c r="BM111" s="226">
        <f>BM70</f>
        <v>0</v>
      </c>
      <c r="BN111" s="226">
        <f>BN70</f>
        <v>0</v>
      </c>
      <c r="BO111" s="226">
        <f>BO70</f>
        <v>0</v>
      </c>
      <c r="BP111" s="227">
        <f>BP70</f>
        <v>0</v>
      </c>
      <c r="BQ111" s="479">
        <f>BQ70</f>
        <v>0</v>
      </c>
      <c r="BR111" s="835" t="str">
        <f t="shared" si="468"/>
        <v xml:space="preserve"> </v>
      </c>
      <c r="BS111" s="542" t="str">
        <f t="shared" si="469"/>
        <v xml:space="preserve"> </v>
      </c>
      <c r="BT111" s="828" t="str">
        <f t="shared" si="567"/>
        <v xml:space="preserve"> </v>
      </c>
      <c r="BU111" s="323" t="str">
        <f t="shared" si="568"/>
        <v xml:space="preserve"> </v>
      </c>
      <c r="BV111" s="323" t="str">
        <f t="shared" si="569"/>
        <v xml:space="preserve"> </v>
      </c>
      <c r="BW111" s="198" t="str">
        <f t="shared" si="570"/>
        <v xml:space="preserve"> </v>
      </c>
    </row>
    <row r="112" spans="1:77" ht="18.75">
      <c r="A112" s="160" t="s">
        <v>95</v>
      </c>
      <c r="B112" s="166" t="s">
        <v>151</v>
      </c>
      <c r="C112" s="1015" t="s">
        <v>1</v>
      </c>
      <c r="D112" s="189">
        <f>E112+F112+G112+H112</f>
        <v>30934.646451300003</v>
      </c>
      <c r="E112" s="226">
        <f>E109+E110+E111</f>
        <v>26220.452000000001</v>
      </c>
      <c r="F112" s="226">
        <f t="shared" ref="F112:I112" si="700">F109+F110+F111</f>
        <v>2201.2444513</v>
      </c>
      <c r="G112" s="1034">
        <f t="shared" si="700"/>
        <v>0</v>
      </c>
      <c r="H112" s="1034">
        <f t="shared" si="700"/>
        <v>2512.9499999999998</v>
      </c>
      <c r="I112" s="479">
        <f t="shared" si="700"/>
        <v>0</v>
      </c>
      <c r="J112" s="189">
        <f>K112+L112+M112+N112</f>
        <v>33667.60686599859</v>
      </c>
      <c r="K112" s="226">
        <f>K109+K110+K111</f>
        <v>29987.450431783924</v>
      </c>
      <c r="L112" s="226">
        <f t="shared" ref="L112:O112" si="701">L109+L110+L111</f>
        <v>3285.7367572146686</v>
      </c>
      <c r="M112" s="1034">
        <f t="shared" si="701"/>
        <v>0</v>
      </c>
      <c r="N112" s="1034">
        <f t="shared" si="701"/>
        <v>394.41967700000004</v>
      </c>
      <c r="O112" s="479">
        <f t="shared" si="701"/>
        <v>0</v>
      </c>
      <c r="P112" s="189">
        <f>Q112+R112+S112+T112</f>
        <v>32729.009000000002</v>
      </c>
      <c r="Q112" s="226">
        <f>Q109+Q110+Q111</f>
        <v>27382.267</v>
      </c>
      <c r="R112" s="226">
        <f t="shared" ref="R112:S112" si="702">R109+R110+R111</f>
        <v>2653.4720000000002</v>
      </c>
      <c r="S112" s="1034">
        <f t="shared" si="702"/>
        <v>0</v>
      </c>
      <c r="T112" s="1034">
        <f t="shared" ref="T112:U112" si="703">T109+T110+T111</f>
        <v>2693.27</v>
      </c>
      <c r="U112" s="479">
        <f t="shared" si="703"/>
        <v>0</v>
      </c>
      <c r="V112" s="189">
        <f>W112+X112+Y112+Z112</f>
        <v>35088.107376617372</v>
      </c>
      <c r="W112" s="226">
        <f>W109+W110+W111</f>
        <v>31789.269292930039</v>
      </c>
      <c r="X112" s="226">
        <f t="shared" ref="X112:Z112" si="704">X109+X110+X111</f>
        <v>2861.5055040000007</v>
      </c>
      <c r="Y112" s="1034">
        <f t="shared" si="704"/>
        <v>0</v>
      </c>
      <c r="Z112" s="1034">
        <f t="shared" si="704"/>
        <v>437.33257968733187</v>
      </c>
      <c r="AA112" s="479">
        <f t="shared" ref="AA112" si="705">AA109+AA110+AA111</f>
        <v>0</v>
      </c>
      <c r="AB112" s="189">
        <f>AC112+AD112+AE112+AF112</f>
        <v>33674.99</v>
      </c>
      <c r="AC112" s="1167">
        <f>AC109+AC110+AC111</f>
        <v>28038.629999999997</v>
      </c>
      <c r="AD112" s="1167">
        <f t="shared" ref="AD112:AG112" si="706">AD109+AD110+AD111</f>
        <v>2716.26</v>
      </c>
      <c r="AE112" s="1167">
        <f t="shared" si="706"/>
        <v>0</v>
      </c>
      <c r="AF112" s="1168">
        <f t="shared" si="706"/>
        <v>2920.1</v>
      </c>
      <c r="AG112" s="479">
        <f t="shared" si="706"/>
        <v>0</v>
      </c>
      <c r="AH112" s="189">
        <f>AI112+AJ112+AK112+AL112</f>
        <v>36509.074875856953</v>
      </c>
      <c r="AI112" s="226">
        <f>AI109+AI110+AI111</f>
        <v>33077.22979138486</v>
      </c>
      <c r="AJ112" s="226">
        <f t="shared" ref="AJ112:AL112" si="707">AJ109+AJ110+AJ111</f>
        <v>2946.2060669184007</v>
      </c>
      <c r="AK112" s="1034">
        <f t="shared" si="707"/>
        <v>0</v>
      </c>
      <c r="AL112" s="1034">
        <f t="shared" si="707"/>
        <v>485.63901755369193</v>
      </c>
      <c r="AM112" s="479">
        <f t="shared" ref="AM112" si="708">AM109+AM110+AM111</f>
        <v>0</v>
      </c>
      <c r="AN112" s="189">
        <f>AO112+AP112+AQ112+AR112</f>
        <v>34552.79</v>
      </c>
      <c r="AO112" s="226">
        <f>AO109+AO110+AO111</f>
        <v>28667.37</v>
      </c>
      <c r="AP112" s="226">
        <f t="shared" ref="AP112:AS112" si="709">AP109+AP110+AP111</f>
        <v>2796.66</v>
      </c>
      <c r="AQ112" s="226">
        <f t="shared" si="709"/>
        <v>0</v>
      </c>
      <c r="AR112" s="227">
        <f t="shared" si="709"/>
        <v>3088.76</v>
      </c>
      <c r="AS112" s="479">
        <f t="shared" si="709"/>
        <v>0</v>
      </c>
      <c r="AT112" s="189">
        <f>AU112+AV112+AW112+AX112</f>
        <v>37952.466774871813</v>
      </c>
      <c r="AU112" s="226">
        <f>AU109+AU110+AU111</f>
        <v>34382.609763608845</v>
      </c>
      <c r="AV112" s="226">
        <f t="shared" ref="AV112:AX112" si="710">AV109+AV110+AV111</f>
        <v>3033.4137664991858</v>
      </c>
      <c r="AW112" s="1034">
        <f t="shared" si="710"/>
        <v>0</v>
      </c>
      <c r="AX112" s="1034">
        <f t="shared" si="710"/>
        <v>536.44324476378438</v>
      </c>
      <c r="AY112" s="479">
        <f t="shared" ref="AY112" si="711">AY109+AY110+AY111</f>
        <v>0</v>
      </c>
      <c r="AZ112" s="189">
        <f>BA112+BB112+BC112+BD112</f>
        <v>35795.949999999997</v>
      </c>
      <c r="BA112" s="226">
        <f>BA109+BA110+BA111</f>
        <v>29704.289999999997</v>
      </c>
      <c r="BB112" s="226">
        <f t="shared" ref="BB112:BE112" si="712">BB109+BB110+BB111</f>
        <v>2879.44</v>
      </c>
      <c r="BC112" s="226">
        <f t="shared" si="712"/>
        <v>0</v>
      </c>
      <c r="BD112" s="227">
        <f t="shared" si="712"/>
        <v>3212.2200000000003</v>
      </c>
      <c r="BE112" s="479">
        <f t="shared" si="712"/>
        <v>0</v>
      </c>
      <c r="BF112" s="189">
        <f>BG112+BH112+BI112+BJ112</f>
        <v>39574.221879145436</v>
      </c>
      <c r="BG112" s="226">
        <f>BG109+BG110+BG111</f>
        <v>35856.130582165591</v>
      </c>
      <c r="BH112" s="226">
        <f t="shared" ref="BH112:BJ112" si="713">BH109+BH110+BH111</f>
        <v>3123.2028139875615</v>
      </c>
      <c r="BI112" s="1034">
        <f t="shared" si="713"/>
        <v>0</v>
      </c>
      <c r="BJ112" s="1034">
        <f t="shared" si="713"/>
        <v>594.88848299228573</v>
      </c>
      <c r="BK112" s="479">
        <f t="shared" ref="BK112" si="714">BK109+BK110+BK111</f>
        <v>0</v>
      </c>
      <c r="BL112" s="189">
        <f>BM112+BN112+BO112+BP112</f>
        <v>36911.069999999992</v>
      </c>
      <c r="BM112" s="226">
        <f>BM109+BM110+BM111</f>
        <v>30606.089999999993</v>
      </c>
      <c r="BN112" s="226">
        <f t="shared" ref="BN112:BQ112" si="715">BN109+BN110+BN111</f>
        <v>2964.67</v>
      </c>
      <c r="BO112" s="226">
        <f t="shared" si="715"/>
        <v>0</v>
      </c>
      <c r="BP112" s="227">
        <f t="shared" si="715"/>
        <v>3340.31</v>
      </c>
      <c r="BQ112" s="479">
        <f t="shared" si="715"/>
        <v>0</v>
      </c>
      <c r="BR112" s="835">
        <f t="shared" si="468"/>
        <v>0.97212163401650942</v>
      </c>
      <c r="BS112" s="542">
        <f t="shared" si="469"/>
        <v>1.05800494767331</v>
      </c>
      <c r="BT112" s="828">
        <f t="shared" ref="BT112:BT115" si="716">IF(ISERROR(AB112/P112)," ",AB112/P112)</f>
        <v>1.0289034415921361</v>
      </c>
      <c r="BU112" s="323">
        <f t="shared" ref="BU112:BU115" si="717">IF(ISERROR(AN112/AB112)," ",AN112/AB112)</f>
        <v>1.0260668228854708</v>
      </c>
      <c r="BV112" s="323">
        <f t="shared" ref="BV112:BV115" si="718">IF(ISERROR(AZ112/AN112)," ",AZ112/AN112)</f>
        <v>1.035978570760856</v>
      </c>
      <c r="BW112" s="198">
        <f t="shared" ref="BW112:BW115" si="719">IF(ISERROR(BL112/AZ112)," ",BL112/AZ112)</f>
        <v>1.0311521275451552</v>
      </c>
    </row>
    <row r="113" spans="1:76" ht="18.75">
      <c r="A113" s="160"/>
      <c r="B113" s="379" t="s">
        <v>33</v>
      </c>
      <c r="C113" s="1015"/>
      <c r="D113" s="189"/>
      <c r="E113" s="226"/>
      <c r="F113" s="226"/>
      <c r="G113" s="1034"/>
      <c r="H113" s="1034"/>
      <c r="I113" s="479"/>
      <c r="J113" s="189"/>
      <c r="K113" s="226"/>
      <c r="L113" s="226"/>
      <c r="M113" s="1034"/>
      <c r="N113" s="1034"/>
      <c r="O113" s="479"/>
      <c r="P113" s="189"/>
      <c r="Q113" s="226"/>
      <c r="R113" s="226"/>
      <c r="S113" s="1034"/>
      <c r="T113" s="1034"/>
      <c r="U113" s="479"/>
      <c r="V113" s="189"/>
      <c r="W113" s="226"/>
      <c r="X113" s="226"/>
      <c r="Y113" s="1034"/>
      <c r="Z113" s="1034"/>
      <c r="AA113" s="479"/>
      <c r="AB113" s="189"/>
      <c r="AC113" s="1167"/>
      <c r="AD113" s="1167"/>
      <c r="AE113" s="1168"/>
      <c r="AF113" s="1168"/>
      <c r="AG113" s="479"/>
      <c r="AH113" s="189"/>
      <c r="AI113" s="226"/>
      <c r="AJ113" s="226"/>
      <c r="AK113" s="1034"/>
      <c r="AL113" s="1034"/>
      <c r="AM113" s="479"/>
      <c r="AN113" s="189"/>
      <c r="AO113" s="226"/>
      <c r="AP113" s="226"/>
      <c r="AQ113" s="227"/>
      <c r="AR113" s="227"/>
      <c r="AS113" s="479"/>
      <c r="AT113" s="189"/>
      <c r="AU113" s="226"/>
      <c r="AV113" s="226"/>
      <c r="AW113" s="1034"/>
      <c r="AX113" s="1034"/>
      <c r="AY113" s="479"/>
      <c r="AZ113" s="189"/>
      <c r="BA113" s="226"/>
      <c r="BB113" s="226"/>
      <c r="BC113" s="227"/>
      <c r="BD113" s="227"/>
      <c r="BE113" s="479"/>
      <c r="BF113" s="189"/>
      <c r="BG113" s="226"/>
      <c r="BH113" s="226"/>
      <c r="BI113" s="1034"/>
      <c r="BJ113" s="1034"/>
      <c r="BK113" s="479"/>
      <c r="BL113" s="189"/>
      <c r="BM113" s="226"/>
      <c r="BN113" s="226"/>
      <c r="BO113" s="227"/>
      <c r="BP113" s="227"/>
      <c r="BQ113" s="479"/>
      <c r="BR113" s="835" t="str">
        <f t="shared" si="468"/>
        <v xml:space="preserve"> </v>
      </c>
      <c r="BS113" s="542" t="str">
        <f t="shared" si="469"/>
        <v xml:space="preserve"> </v>
      </c>
      <c r="BT113" s="828"/>
      <c r="BU113" s="323"/>
      <c r="BV113" s="323"/>
      <c r="BW113" s="198"/>
    </row>
    <row r="114" spans="1:76" s="58" customFormat="1" ht="38.25" customHeight="1">
      <c r="A114" s="167"/>
      <c r="B114" s="168" t="s">
        <v>224</v>
      </c>
      <c r="C114" s="1016" t="s">
        <v>3</v>
      </c>
      <c r="D114" s="372">
        <f>IF((E99+F99)&gt;0,D110/(E99+F99),0)</f>
        <v>0</v>
      </c>
      <c r="E114" s="373"/>
      <c r="F114" s="373"/>
      <c r="G114" s="1035"/>
      <c r="H114" s="1035"/>
      <c r="I114" s="480"/>
      <c r="J114" s="372">
        <f>IF((K99+L99)&gt;0,J110/(K99+L99),0)</f>
        <v>0</v>
      </c>
      <c r="K114" s="373"/>
      <c r="L114" s="373"/>
      <c r="M114" s="1035"/>
      <c r="N114" s="1035"/>
      <c r="O114" s="480"/>
      <c r="P114" s="372">
        <f>IF((Q99+R99)&gt;0,P110/(Q99+R99),0)</f>
        <v>0</v>
      </c>
      <c r="Q114" s="373"/>
      <c r="R114" s="373"/>
      <c r="S114" s="1035"/>
      <c r="T114" s="1035"/>
      <c r="U114" s="480"/>
      <c r="V114" s="372">
        <f>IF((W99+X99)&gt;0,V110/(W99+X99),0)</f>
        <v>0</v>
      </c>
      <c r="W114" s="373"/>
      <c r="X114" s="373"/>
      <c r="Y114" s="1035"/>
      <c r="Z114" s="1035"/>
      <c r="AA114" s="480"/>
      <c r="AB114" s="372">
        <f>IF((AC99+AD99)&gt;0,AB110/(AC99+AD99),0)</f>
        <v>0</v>
      </c>
      <c r="AC114" s="1169"/>
      <c r="AD114" s="1169"/>
      <c r="AE114" s="1170"/>
      <c r="AF114" s="1170"/>
      <c r="AG114" s="480"/>
      <c r="AH114" s="372">
        <f>IF((AI99+AJ99)&gt;0,AH110/(AI99+AJ99),0)</f>
        <v>0</v>
      </c>
      <c r="AI114" s="373"/>
      <c r="AJ114" s="373"/>
      <c r="AK114" s="1035"/>
      <c r="AL114" s="1035"/>
      <c r="AM114" s="480"/>
      <c r="AN114" s="372">
        <f>IF((AO99+AP99)&gt;0,AN110/(AO99+AP99),0)</f>
        <v>0</v>
      </c>
      <c r="AO114" s="373"/>
      <c r="AP114" s="373"/>
      <c r="AQ114" s="449"/>
      <c r="AR114" s="449"/>
      <c r="AS114" s="480"/>
      <c r="AT114" s="372">
        <f>IF((AU99+AV99)&gt;0,AT110/(AU99+AV99),0)</f>
        <v>0</v>
      </c>
      <c r="AU114" s="373"/>
      <c r="AV114" s="373"/>
      <c r="AW114" s="1035"/>
      <c r="AX114" s="1035"/>
      <c r="AY114" s="480"/>
      <c r="AZ114" s="372">
        <f>IF((BA99+BB99)&gt;0,AZ110/(BA99+BB99),0)</f>
        <v>0</v>
      </c>
      <c r="BA114" s="373"/>
      <c r="BB114" s="373"/>
      <c r="BC114" s="449"/>
      <c r="BD114" s="449"/>
      <c r="BE114" s="480"/>
      <c r="BF114" s="372">
        <f>IF((BG99+BH99)&gt;0,BF110/(BG99+BH99),0)</f>
        <v>0</v>
      </c>
      <c r="BG114" s="373"/>
      <c r="BH114" s="373"/>
      <c r="BI114" s="1035"/>
      <c r="BJ114" s="1035"/>
      <c r="BK114" s="480"/>
      <c r="BL114" s="372">
        <f>IF((BM99+BN99)&gt;0,BL110/(BM99+BN99),0)</f>
        <v>0</v>
      </c>
      <c r="BM114" s="373"/>
      <c r="BN114" s="373"/>
      <c r="BO114" s="449"/>
      <c r="BP114" s="449"/>
      <c r="BQ114" s="480"/>
      <c r="BR114" s="835" t="str">
        <f t="shared" si="468"/>
        <v xml:space="preserve"> </v>
      </c>
      <c r="BS114" s="542" t="str">
        <f t="shared" si="469"/>
        <v xml:space="preserve"> </v>
      </c>
      <c r="BT114" s="828" t="str">
        <f t="shared" si="716"/>
        <v xml:space="preserve"> </v>
      </c>
      <c r="BU114" s="323" t="str">
        <f t="shared" si="717"/>
        <v xml:space="preserve"> </v>
      </c>
      <c r="BV114" s="323" t="str">
        <f t="shared" si="718"/>
        <v xml:space="preserve"> </v>
      </c>
      <c r="BW114" s="198" t="str">
        <f t="shared" si="719"/>
        <v xml:space="preserve"> </v>
      </c>
      <c r="BX114" s="966"/>
    </row>
    <row r="115" spans="1:76" s="58" customFormat="1" ht="63.75">
      <c r="A115" s="167"/>
      <c r="B115" s="168" t="s">
        <v>219</v>
      </c>
      <c r="C115" s="1016" t="s">
        <v>3</v>
      </c>
      <c r="D115" s="1119">
        <f>IF((D15+D21+D59-D16-D18-D20-D62-D82)&gt;0,D92/(D15+D21+D59-D16-D18-D20-D62-D82),0)</f>
        <v>4.9999970999675167E-2</v>
      </c>
      <c r="E115" s="373"/>
      <c r="F115" s="373"/>
      <c r="G115" s="1035"/>
      <c r="H115" s="1035"/>
      <c r="I115" s="480"/>
      <c r="J115" s="1119">
        <f>IF((J15+J21+J59-J16-J18-J20-J62-J82)&gt;0,J92/(J15+J21+J59-J16-J18-J20-J62-J82),0)</f>
        <v>4.9999973347534546E-2</v>
      </c>
      <c r="K115" s="373"/>
      <c r="L115" s="373"/>
      <c r="M115" s="1035"/>
      <c r="N115" s="1035"/>
      <c r="O115" s="480"/>
      <c r="P115" s="1119">
        <f>IF((P15+P21+P59-P16-P18-P20-P62-P82)&gt;0,P92/(P15+P21+P59-P16-P18-P20-P62-P82),0)</f>
        <v>4.9999602572408305E-2</v>
      </c>
      <c r="Q115" s="373"/>
      <c r="R115" s="373"/>
      <c r="S115" s="1035"/>
      <c r="T115" s="1035"/>
      <c r="U115" s="480"/>
      <c r="V115" s="1119">
        <f>IF((V15+V21+V59-V16-V18-V20-V62-V82)&gt;0,V92/(V15+V21+V59-V16-V18-V20-V62-V82),0)</f>
        <v>5.2400578665068101E-2</v>
      </c>
      <c r="W115" s="373"/>
      <c r="X115" s="373"/>
      <c r="Y115" s="1035"/>
      <c r="Z115" s="1035"/>
      <c r="AA115" s="480"/>
      <c r="AB115" s="1119">
        <f>IF((AB15+AB21+AB59-AB16-AB18-AB20-AB62-AB82)&gt;0,AB92/(AB15+AB21+AB59-AB16-AB18-AB20-AB62-AB82),0)</f>
        <v>4.9999961520731502E-2</v>
      </c>
      <c r="AC115" s="1169"/>
      <c r="AD115" s="1169"/>
      <c r="AE115" s="1170"/>
      <c r="AF115" s="1170"/>
      <c r="AG115" s="480"/>
      <c r="AH115" s="1119">
        <f>IF((AH15+AH21+AH59-AH16-AH18-AH20-AH62-AH82)&gt;0,AH92/(AH15+AH21+AH59-AH16-AH18-AH20-AH62-AH82),0)</f>
        <v>5.2346909471790673E-2</v>
      </c>
      <c r="AI115" s="373"/>
      <c r="AJ115" s="373"/>
      <c r="AK115" s="1035"/>
      <c r="AL115" s="1035"/>
      <c r="AM115" s="480"/>
      <c r="AN115" s="1119">
        <f>IF((AN15+AN21+AN59-AN16-AN18-AN20-AN62-AN82)&gt;0,AN92/(AN15+AN21+AN59-AN16-AN18-AN20-AN62-AN82),0)</f>
        <v>4.9999999999999989E-2</v>
      </c>
      <c r="AO115" s="373"/>
      <c r="AP115" s="373"/>
      <c r="AQ115" s="449"/>
      <c r="AR115" s="449"/>
      <c r="AS115" s="480"/>
      <c r="AT115" s="1119">
        <f>IF((AT15+AT21+AT59-AT16-AT18-AT20-AT62-AT82)&gt;0,AT92/(AT15+AT21+AT59-AT16-AT18-AT20-AT62-AT82),0)</f>
        <v>5.2300179600139357E-2</v>
      </c>
      <c r="AU115" s="373"/>
      <c r="AV115" s="373"/>
      <c r="AW115" s="1035"/>
      <c r="AX115" s="1035"/>
      <c r="AY115" s="480"/>
      <c r="AZ115" s="1119">
        <f>IF((AZ15+AZ21+AZ59-AZ16-AZ18-AZ20-AZ62-AZ82)&gt;0,AZ92/(AZ15+AZ21+AZ59-AZ16-AZ18-AZ20-AZ62-AZ82),0)</f>
        <v>4.9999820152295045E-2</v>
      </c>
      <c r="BA115" s="373"/>
      <c r="BB115" s="373"/>
      <c r="BC115" s="449"/>
      <c r="BD115" s="449"/>
      <c r="BE115" s="480"/>
      <c r="BF115" s="1119">
        <f>IF((BF15+BF21+BF59-BF16-BF18-BF20-BF62-BF82)&gt;0,BF92/(BF15+BF21+BF59-BF16-BF18-BF20-BF62-BF82),0)</f>
        <v>5.223848833097982E-2</v>
      </c>
      <c r="BG115" s="373"/>
      <c r="BH115" s="373"/>
      <c r="BI115" s="1035"/>
      <c r="BJ115" s="1035"/>
      <c r="BK115" s="480"/>
      <c r="BL115" s="1119">
        <f>IF((BL15+BL21+BL59-BL16-BL18-BL20-BL62-BL82)&gt;0,BL92/(BL15+BL21+BL59-BL16-BL18-BL20-BL62-BL82),0)</f>
        <v>5.0000312893071934E-2</v>
      </c>
      <c r="BM115" s="373"/>
      <c r="BN115" s="373"/>
      <c r="BO115" s="449"/>
      <c r="BP115" s="449"/>
      <c r="BQ115" s="480"/>
      <c r="BR115" s="835">
        <f t="shared" si="468"/>
        <v>0.99999258449352235</v>
      </c>
      <c r="BS115" s="542">
        <f t="shared" si="469"/>
        <v>0.99999263145038897</v>
      </c>
      <c r="BT115" s="828">
        <f t="shared" si="716"/>
        <v>1.0000071790235268</v>
      </c>
      <c r="BU115" s="323">
        <f t="shared" si="717"/>
        <v>1.0000007695859621</v>
      </c>
      <c r="BV115" s="323">
        <f t="shared" si="718"/>
        <v>0.99999640304590109</v>
      </c>
      <c r="BW115" s="198">
        <f t="shared" si="719"/>
        <v>1.0000098548509853</v>
      </c>
      <c r="BX115" s="966"/>
    </row>
    <row r="116" spans="1:76" s="159" customFormat="1">
      <c r="A116" s="358" t="str">
        <f>IF(ISERROR(AB116/P116)," ",AB116/P116)</f>
        <v xml:space="preserve"> </v>
      </c>
      <c r="B116" s="359"/>
      <c r="C116" s="1017"/>
      <c r="D116" s="377"/>
      <c r="E116" s="375"/>
      <c r="F116" s="375"/>
      <c r="G116" s="1036"/>
      <c r="H116" s="1036"/>
      <c r="I116" s="481"/>
      <c r="J116" s="377"/>
      <c r="K116" s="375"/>
      <c r="L116" s="375"/>
      <c r="M116" s="1036"/>
      <c r="N116" s="1036"/>
      <c r="O116" s="481"/>
      <c r="P116" s="377"/>
      <c r="Q116" s="375"/>
      <c r="R116" s="375"/>
      <c r="S116" s="1036"/>
      <c r="T116" s="1036"/>
      <c r="U116" s="481"/>
      <c r="V116" s="377"/>
      <c r="W116" s="375"/>
      <c r="X116" s="375"/>
      <c r="Y116" s="1036"/>
      <c r="Z116" s="1036"/>
      <c r="AA116" s="481"/>
      <c r="AB116" s="377"/>
      <c r="AC116" s="1171"/>
      <c r="AD116" s="1171"/>
      <c r="AE116" s="1172"/>
      <c r="AF116" s="1172"/>
      <c r="AG116" s="481"/>
      <c r="AH116" s="377"/>
      <c r="AI116" s="375"/>
      <c r="AJ116" s="375"/>
      <c r="AK116" s="1036"/>
      <c r="AL116" s="1036"/>
      <c r="AM116" s="481"/>
      <c r="AN116" s="377"/>
      <c r="AO116" s="375"/>
      <c r="AP116" s="375"/>
      <c r="AQ116" s="450"/>
      <c r="AR116" s="450"/>
      <c r="AS116" s="481"/>
      <c r="AT116" s="377"/>
      <c r="AU116" s="375"/>
      <c r="AV116" s="375"/>
      <c r="AW116" s="1036"/>
      <c r="AX116" s="1036"/>
      <c r="AY116" s="481"/>
      <c r="AZ116" s="377"/>
      <c r="BA116" s="375"/>
      <c r="BB116" s="375"/>
      <c r="BC116" s="450"/>
      <c r="BD116" s="450"/>
      <c r="BE116" s="481"/>
      <c r="BF116" s="377"/>
      <c r="BG116" s="375"/>
      <c r="BH116" s="375"/>
      <c r="BI116" s="1036"/>
      <c r="BJ116" s="1036"/>
      <c r="BK116" s="481"/>
      <c r="BL116" s="377"/>
      <c r="BM116" s="375"/>
      <c r="BN116" s="375"/>
      <c r="BO116" s="450"/>
      <c r="BP116" s="450"/>
      <c r="BQ116" s="481"/>
      <c r="BR116" s="359"/>
      <c r="BS116" s="359"/>
      <c r="BT116" s="359"/>
      <c r="BU116" s="359"/>
      <c r="BV116" s="359"/>
      <c r="BW116" s="360"/>
      <c r="BX116" s="979"/>
    </row>
    <row r="117" spans="1:76" ht="18.75">
      <c r="A117" s="160"/>
      <c r="B117" s="161" t="s">
        <v>152</v>
      </c>
      <c r="C117" s="1015" t="s">
        <v>13</v>
      </c>
      <c r="D117" s="169">
        <f>D118+D119</f>
        <v>26741</v>
      </c>
      <c r="E117" s="164"/>
      <c r="F117" s="164"/>
      <c r="G117" s="1037"/>
      <c r="H117" s="1037"/>
      <c r="I117" s="482"/>
      <c r="J117" s="169">
        <f>J118+J119</f>
        <v>26129.759999999998</v>
      </c>
      <c r="K117" s="164"/>
      <c r="L117" s="164"/>
      <c r="M117" s="1037"/>
      <c r="N117" s="1037"/>
      <c r="O117" s="482"/>
      <c r="P117" s="169">
        <f>P118+P119</f>
        <v>26741</v>
      </c>
      <c r="Q117" s="164"/>
      <c r="R117" s="164"/>
      <c r="S117" s="1037"/>
      <c r="T117" s="1037"/>
      <c r="U117" s="482"/>
      <c r="V117" s="169">
        <f>V118+V119</f>
        <v>26130</v>
      </c>
      <c r="W117" s="164"/>
      <c r="X117" s="164"/>
      <c r="Y117" s="1037"/>
      <c r="Z117" s="1037"/>
      <c r="AA117" s="482"/>
      <c r="AB117" s="169">
        <f>AB118+AB119</f>
        <v>26741</v>
      </c>
      <c r="AC117" s="1173"/>
      <c r="AD117" s="1173"/>
      <c r="AE117" s="1174"/>
      <c r="AF117" s="1174"/>
      <c r="AG117" s="482"/>
      <c r="AH117" s="169">
        <f>AH118+AH119</f>
        <v>26130</v>
      </c>
      <c r="AI117" s="164"/>
      <c r="AJ117" s="164"/>
      <c r="AK117" s="1037"/>
      <c r="AL117" s="1037"/>
      <c r="AM117" s="482"/>
      <c r="AN117" s="169">
        <f>AN118+AN119</f>
        <v>26741</v>
      </c>
      <c r="AO117" s="164"/>
      <c r="AP117" s="164"/>
      <c r="AQ117" s="165"/>
      <c r="AR117" s="165"/>
      <c r="AS117" s="482"/>
      <c r="AT117" s="169">
        <f>AT118+AT119</f>
        <v>26130</v>
      </c>
      <c r="AU117" s="164"/>
      <c r="AV117" s="164"/>
      <c r="AW117" s="1037"/>
      <c r="AX117" s="1037"/>
      <c r="AY117" s="482"/>
      <c r="AZ117" s="169">
        <f>AZ118+AZ119</f>
        <v>26741</v>
      </c>
      <c r="BA117" s="164"/>
      <c r="BB117" s="164"/>
      <c r="BC117" s="165"/>
      <c r="BD117" s="165"/>
      <c r="BE117" s="482"/>
      <c r="BF117" s="169">
        <f>BF118+BF119</f>
        <v>26130</v>
      </c>
      <c r="BG117" s="164"/>
      <c r="BH117" s="164"/>
      <c r="BI117" s="1037"/>
      <c r="BJ117" s="1037"/>
      <c r="BK117" s="482"/>
      <c r="BL117" s="169">
        <f>BL118+BL119</f>
        <v>26741</v>
      </c>
      <c r="BM117" s="164"/>
      <c r="BN117" s="164"/>
      <c r="BO117" s="165"/>
      <c r="BP117" s="165"/>
      <c r="BQ117" s="482"/>
      <c r="BR117" s="835">
        <f t="shared" si="468"/>
        <v>1.0233924842784625</v>
      </c>
      <c r="BS117" s="542">
        <f t="shared" si="469"/>
        <v>1</v>
      </c>
      <c r="BT117" s="828">
        <f t="shared" si="567"/>
        <v>1</v>
      </c>
      <c r="BU117" s="323">
        <f t="shared" si="568"/>
        <v>1</v>
      </c>
      <c r="BV117" s="323">
        <f t="shared" si="569"/>
        <v>1</v>
      </c>
      <c r="BW117" s="198">
        <f t="shared" si="570"/>
        <v>1</v>
      </c>
    </row>
    <row r="118" spans="1:76" ht="18.75">
      <c r="A118" s="160"/>
      <c r="B118" s="161" t="s">
        <v>153</v>
      </c>
      <c r="C118" s="1015" t="s">
        <v>13</v>
      </c>
      <c r="D118" s="170"/>
      <c r="E118" s="162"/>
      <c r="F118" s="162"/>
      <c r="G118" s="1038"/>
      <c r="H118" s="1038"/>
      <c r="I118" s="483"/>
      <c r="J118" s="512"/>
      <c r="K118" s="162"/>
      <c r="L118" s="162"/>
      <c r="M118" s="1038"/>
      <c r="N118" s="1038"/>
      <c r="O118" s="483"/>
      <c r="P118" s="170">
        <f>индексы!G83</f>
        <v>0</v>
      </c>
      <c r="Q118" s="162"/>
      <c r="R118" s="162"/>
      <c r="S118" s="1038"/>
      <c r="T118" s="1038"/>
      <c r="U118" s="483"/>
      <c r="V118" s="512"/>
      <c r="W118" s="162"/>
      <c r="X118" s="162"/>
      <c r="Y118" s="1038"/>
      <c r="Z118" s="1038"/>
      <c r="AA118" s="483"/>
      <c r="AB118" s="170">
        <f>индексы!J83</f>
        <v>0</v>
      </c>
      <c r="AC118" s="1175"/>
      <c r="AD118" s="1175"/>
      <c r="AE118" s="1176"/>
      <c r="AF118" s="1176"/>
      <c r="AG118" s="483"/>
      <c r="AH118" s="512"/>
      <c r="AI118" s="162"/>
      <c r="AJ118" s="162"/>
      <c r="AK118" s="1038"/>
      <c r="AL118" s="1038"/>
      <c r="AM118" s="483"/>
      <c r="AN118" s="170">
        <f>индексы!M83</f>
        <v>0</v>
      </c>
      <c r="AO118" s="162"/>
      <c r="AP118" s="162"/>
      <c r="AQ118" s="163"/>
      <c r="AR118" s="163"/>
      <c r="AS118" s="483"/>
      <c r="AT118" s="512"/>
      <c r="AU118" s="162"/>
      <c r="AV118" s="162"/>
      <c r="AW118" s="1038"/>
      <c r="AX118" s="1038"/>
      <c r="AY118" s="483"/>
      <c r="AZ118" s="170">
        <f>индексы!P83</f>
        <v>0</v>
      </c>
      <c r="BA118" s="162"/>
      <c r="BB118" s="162"/>
      <c r="BC118" s="163"/>
      <c r="BD118" s="163"/>
      <c r="BE118" s="483"/>
      <c r="BF118" s="512"/>
      <c r="BG118" s="162"/>
      <c r="BH118" s="162"/>
      <c r="BI118" s="1038"/>
      <c r="BJ118" s="1038"/>
      <c r="BK118" s="483"/>
      <c r="BL118" s="170">
        <f>индексы!S83</f>
        <v>0</v>
      </c>
      <c r="BM118" s="162"/>
      <c r="BN118" s="162"/>
      <c r="BO118" s="163"/>
      <c r="BP118" s="163"/>
      <c r="BQ118" s="483"/>
      <c r="BR118" s="835" t="str">
        <f t="shared" si="468"/>
        <v xml:space="preserve"> </v>
      </c>
      <c r="BS118" s="542" t="str">
        <f t="shared" si="469"/>
        <v xml:space="preserve"> </v>
      </c>
      <c r="BT118" s="828" t="str">
        <f t="shared" si="567"/>
        <v xml:space="preserve"> </v>
      </c>
      <c r="BU118" s="323" t="str">
        <f t="shared" si="568"/>
        <v xml:space="preserve"> </v>
      </c>
      <c r="BV118" s="323" t="str">
        <f t="shared" si="569"/>
        <v xml:space="preserve"> </v>
      </c>
      <c r="BW118" s="198" t="str">
        <f t="shared" si="570"/>
        <v xml:space="preserve"> </v>
      </c>
    </row>
    <row r="119" spans="1:76" ht="18.75">
      <c r="A119" s="160"/>
      <c r="B119" s="161" t="s">
        <v>154</v>
      </c>
      <c r="C119" s="1015" t="s">
        <v>13</v>
      </c>
      <c r="D119" s="170">
        <v>26741</v>
      </c>
      <c r="E119" s="162"/>
      <c r="F119" s="162"/>
      <c r="G119" s="1038"/>
      <c r="H119" s="1038"/>
      <c r="I119" s="483"/>
      <c r="J119" s="512">
        <v>26129.759999999998</v>
      </c>
      <c r="K119" s="162"/>
      <c r="L119" s="162"/>
      <c r="M119" s="1038"/>
      <c r="N119" s="1038"/>
      <c r="O119" s="483"/>
      <c r="P119" s="170">
        <f>индексы!G89</f>
        <v>26741</v>
      </c>
      <c r="Q119" s="162"/>
      <c r="R119" s="162"/>
      <c r="S119" s="1038"/>
      <c r="T119" s="1038"/>
      <c r="U119" s="483"/>
      <c r="V119" s="512">
        <v>26130</v>
      </c>
      <c r="W119" s="162"/>
      <c r="X119" s="162"/>
      <c r="Y119" s="1038"/>
      <c r="Z119" s="1038"/>
      <c r="AA119" s="483"/>
      <c r="AB119" s="170">
        <f>индексы!J89</f>
        <v>26741</v>
      </c>
      <c r="AC119" s="1175"/>
      <c r="AD119" s="1175"/>
      <c r="AE119" s="1176"/>
      <c r="AF119" s="1176"/>
      <c r="AG119" s="483"/>
      <c r="AH119" s="512">
        <f>V119</f>
        <v>26130</v>
      </c>
      <c r="AI119" s="162"/>
      <c r="AJ119" s="162"/>
      <c r="AK119" s="1038"/>
      <c r="AL119" s="1038"/>
      <c r="AM119" s="483"/>
      <c r="AN119" s="170">
        <f>индексы!M89</f>
        <v>26741</v>
      </c>
      <c r="AO119" s="162"/>
      <c r="AP119" s="162"/>
      <c r="AQ119" s="163"/>
      <c r="AR119" s="163"/>
      <c r="AS119" s="483"/>
      <c r="AT119" s="512">
        <v>26130</v>
      </c>
      <c r="AU119" s="162"/>
      <c r="AV119" s="162"/>
      <c r="AW119" s="1038"/>
      <c r="AX119" s="1038"/>
      <c r="AY119" s="483"/>
      <c r="AZ119" s="170">
        <f>индексы!P89</f>
        <v>26741</v>
      </c>
      <c r="BA119" s="162"/>
      <c r="BB119" s="162"/>
      <c r="BC119" s="163"/>
      <c r="BD119" s="163"/>
      <c r="BE119" s="483"/>
      <c r="BF119" s="512">
        <f>AT119</f>
        <v>26130</v>
      </c>
      <c r="BG119" s="162"/>
      <c r="BH119" s="162"/>
      <c r="BI119" s="1038"/>
      <c r="BJ119" s="1038"/>
      <c r="BK119" s="483"/>
      <c r="BL119" s="170">
        <f>индексы!S89</f>
        <v>26741</v>
      </c>
      <c r="BM119" s="162"/>
      <c r="BN119" s="162"/>
      <c r="BO119" s="163"/>
      <c r="BP119" s="163"/>
      <c r="BQ119" s="483"/>
      <c r="BR119" s="835">
        <f t="shared" si="468"/>
        <v>1.0233924842784625</v>
      </c>
      <c r="BS119" s="542">
        <f t="shared" si="469"/>
        <v>1</v>
      </c>
      <c r="BT119" s="828">
        <f t="shared" si="567"/>
        <v>1</v>
      </c>
      <c r="BU119" s="323">
        <f t="shared" si="568"/>
        <v>1</v>
      </c>
      <c r="BV119" s="323">
        <f t="shared" si="569"/>
        <v>1</v>
      </c>
      <c r="BW119" s="198">
        <f t="shared" si="570"/>
        <v>1</v>
      </c>
    </row>
    <row r="120" spans="1:76" ht="18.75">
      <c r="A120" s="160"/>
      <c r="B120" s="161" t="s">
        <v>155</v>
      </c>
      <c r="C120" s="1015" t="s">
        <v>13</v>
      </c>
      <c r="D120" s="170">
        <v>272.83999999999997</v>
      </c>
      <c r="E120" s="162"/>
      <c r="F120" s="162"/>
      <c r="G120" s="1038"/>
      <c r="H120" s="1038"/>
      <c r="I120" s="483"/>
      <c r="J120" s="512">
        <v>266.55</v>
      </c>
      <c r="K120" s="162"/>
      <c r="L120" s="162"/>
      <c r="M120" s="1038"/>
      <c r="N120" s="1038"/>
      <c r="O120" s="483"/>
      <c r="P120" s="170">
        <v>272.83999999999997</v>
      </c>
      <c r="Q120" s="162"/>
      <c r="R120" s="162"/>
      <c r="S120" s="1038"/>
      <c r="T120" s="1038"/>
      <c r="U120" s="483"/>
      <c r="V120" s="512">
        <v>266</v>
      </c>
      <c r="W120" s="162"/>
      <c r="X120" s="162"/>
      <c r="Y120" s="1038"/>
      <c r="Z120" s="1038"/>
      <c r="AA120" s="483"/>
      <c r="AB120" s="170">
        <f>P120</f>
        <v>272.83999999999997</v>
      </c>
      <c r="AC120" s="1175"/>
      <c r="AD120" s="1175"/>
      <c r="AE120" s="1176"/>
      <c r="AF120" s="1176"/>
      <c r="AG120" s="483"/>
      <c r="AH120" s="512">
        <f>V120</f>
        <v>266</v>
      </c>
      <c r="AI120" s="162"/>
      <c r="AJ120" s="162"/>
      <c r="AK120" s="1038"/>
      <c r="AL120" s="1038"/>
      <c r="AM120" s="483"/>
      <c r="AN120" s="170">
        <f>AB120</f>
        <v>272.83999999999997</v>
      </c>
      <c r="AO120" s="162"/>
      <c r="AP120" s="162"/>
      <c r="AQ120" s="163"/>
      <c r="AR120" s="163"/>
      <c r="AS120" s="483"/>
      <c r="AT120" s="512">
        <v>266</v>
      </c>
      <c r="AU120" s="162"/>
      <c r="AV120" s="162"/>
      <c r="AW120" s="1038"/>
      <c r="AX120" s="1038"/>
      <c r="AY120" s="483"/>
      <c r="AZ120" s="170">
        <f>AN120</f>
        <v>272.83999999999997</v>
      </c>
      <c r="BA120" s="162"/>
      <c r="BB120" s="162"/>
      <c r="BC120" s="163"/>
      <c r="BD120" s="163"/>
      <c r="BE120" s="483"/>
      <c r="BF120" s="512">
        <f>AT120</f>
        <v>266</v>
      </c>
      <c r="BG120" s="162"/>
      <c r="BH120" s="162"/>
      <c r="BI120" s="1038"/>
      <c r="BJ120" s="1038"/>
      <c r="BK120" s="483"/>
      <c r="BL120" s="170">
        <f>AZ120</f>
        <v>272.83999999999997</v>
      </c>
      <c r="BM120" s="162"/>
      <c r="BN120" s="162"/>
      <c r="BO120" s="163"/>
      <c r="BP120" s="163"/>
      <c r="BQ120" s="483"/>
      <c r="BR120" s="835">
        <f t="shared" si="468"/>
        <v>1.0235978240480208</v>
      </c>
      <c r="BS120" s="542">
        <f t="shared" si="469"/>
        <v>1</v>
      </c>
      <c r="BT120" s="828">
        <f t="shared" si="567"/>
        <v>1</v>
      </c>
      <c r="BU120" s="323">
        <f t="shared" si="568"/>
        <v>1</v>
      </c>
      <c r="BV120" s="323">
        <f t="shared" si="569"/>
        <v>1</v>
      </c>
      <c r="BW120" s="198">
        <f t="shared" si="570"/>
        <v>1</v>
      </c>
    </row>
    <row r="121" spans="1:76" ht="18.75" outlineLevel="1">
      <c r="A121" s="160"/>
      <c r="B121" s="161" t="s">
        <v>75</v>
      </c>
      <c r="C121" s="1015" t="s">
        <v>76</v>
      </c>
      <c r="D121" s="357"/>
      <c r="E121" s="164"/>
      <c r="F121" s="164"/>
      <c r="G121" s="1039"/>
      <c r="H121" s="1039">
        <v>101888</v>
      </c>
      <c r="I121" s="484"/>
      <c r="J121" s="513"/>
      <c r="K121" s="501"/>
      <c r="L121" s="501"/>
      <c r="M121" s="1056"/>
      <c r="N121" s="1056">
        <v>10334.290000000001</v>
      </c>
      <c r="O121" s="502"/>
      <c r="P121" s="357"/>
      <c r="Q121" s="164"/>
      <c r="R121" s="164"/>
      <c r="S121" s="1039"/>
      <c r="T121" s="1039">
        <v>101888</v>
      </c>
      <c r="U121" s="484"/>
      <c r="V121" s="513"/>
      <c r="W121" s="501"/>
      <c r="X121" s="501"/>
      <c r="Y121" s="1056"/>
      <c r="Z121" s="1056">
        <f>N121</f>
        <v>10334.290000000001</v>
      </c>
      <c r="AA121" s="502"/>
      <c r="AB121" s="357"/>
      <c r="AC121" s="1173"/>
      <c r="AD121" s="1173"/>
      <c r="AE121" s="1177"/>
      <c r="AF121" s="1177">
        <f>AR121</f>
        <v>101888</v>
      </c>
      <c r="AG121" s="484"/>
      <c r="AH121" s="513"/>
      <c r="AI121" s="501"/>
      <c r="AJ121" s="501"/>
      <c r="AK121" s="1056"/>
      <c r="AL121" s="1056">
        <f>Z121</f>
        <v>10334.290000000001</v>
      </c>
      <c r="AM121" s="502"/>
      <c r="AN121" s="357"/>
      <c r="AO121" s="164"/>
      <c r="AP121" s="164"/>
      <c r="AQ121" s="451"/>
      <c r="AR121" s="451">
        <f>BD121</f>
        <v>101888</v>
      </c>
      <c r="AS121" s="484"/>
      <c r="AT121" s="513"/>
      <c r="AU121" s="501"/>
      <c r="AV121" s="501"/>
      <c r="AW121" s="1056"/>
      <c r="AX121" s="1056">
        <f>AL121</f>
        <v>10334.290000000001</v>
      </c>
      <c r="AY121" s="502"/>
      <c r="AZ121" s="357"/>
      <c r="BA121" s="164"/>
      <c r="BB121" s="164"/>
      <c r="BC121" s="451"/>
      <c r="BD121" s="451">
        <f>BP121</f>
        <v>101888</v>
      </c>
      <c r="BE121" s="484"/>
      <c r="BF121" s="513"/>
      <c r="BG121" s="501"/>
      <c r="BH121" s="501"/>
      <c r="BI121" s="1056"/>
      <c r="BJ121" s="1056">
        <f>AX121</f>
        <v>10334.290000000001</v>
      </c>
      <c r="BK121" s="502"/>
      <c r="BL121" s="357"/>
      <c r="BM121" s="164"/>
      <c r="BN121" s="164"/>
      <c r="BO121" s="451"/>
      <c r="BP121" s="451">
        <f>T121</f>
        <v>101888</v>
      </c>
      <c r="BQ121" s="484"/>
      <c r="BR121" s="835" t="str">
        <f t="shared" si="468"/>
        <v xml:space="preserve"> </v>
      </c>
      <c r="BS121" s="542" t="str">
        <f t="shared" si="469"/>
        <v xml:space="preserve"> </v>
      </c>
      <c r="BT121" s="828" t="str">
        <f t="shared" si="567"/>
        <v xml:space="preserve"> </v>
      </c>
      <c r="BU121" s="323" t="str">
        <f t="shared" si="568"/>
        <v xml:space="preserve"> </v>
      </c>
      <c r="BV121" s="323" t="str">
        <f t="shared" si="569"/>
        <v xml:space="preserve"> </v>
      </c>
      <c r="BW121" s="198" t="str">
        <f t="shared" si="570"/>
        <v xml:space="preserve"> </v>
      </c>
    </row>
    <row r="122" spans="1:76" ht="18.75">
      <c r="A122" s="160"/>
      <c r="B122" s="161" t="s">
        <v>156</v>
      </c>
      <c r="C122" s="1015" t="s">
        <v>1</v>
      </c>
      <c r="D122" s="171">
        <f>ROUND(E124*D120/1000,2)</f>
        <v>264.83</v>
      </c>
      <c r="E122" s="164"/>
      <c r="F122" s="164"/>
      <c r="G122" s="1037"/>
      <c r="H122" s="1037"/>
      <c r="I122" s="482"/>
      <c r="J122" s="169">
        <f>ROUND(K124*J120/1000,2)</f>
        <v>302.81</v>
      </c>
      <c r="K122" s="501"/>
      <c r="L122" s="501"/>
      <c r="M122" s="1057"/>
      <c r="N122" s="1057"/>
      <c r="O122" s="503"/>
      <c r="P122" s="171">
        <f>ROUND(Q124*P120/1000,2)</f>
        <v>276.56</v>
      </c>
      <c r="Q122" s="164"/>
      <c r="R122" s="164"/>
      <c r="S122" s="1037"/>
      <c r="T122" s="1037"/>
      <c r="U122" s="482"/>
      <c r="V122" s="169">
        <f>ROUND(W124*V120/1000,2)</f>
        <v>320.35000000000002</v>
      </c>
      <c r="W122" s="501"/>
      <c r="X122" s="501"/>
      <c r="Y122" s="1057"/>
      <c r="Z122" s="1057"/>
      <c r="AA122" s="503"/>
      <c r="AB122" s="171">
        <f>ROUND(AC124*AB120/1000,2)</f>
        <v>283.19</v>
      </c>
      <c r="AC122" s="1173"/>
      <c r="AD122" s="1173"/>
      <c r="AE122" s="1174"/>
      <c r="AF122" s="1174"/>
      <c r="AG122" s="482"/>
      <c r="AH122" s="169">
        <f>ROUND(AI124*AH120/1000,2)</f>
        <v>333.33</v>
      </c>
      <c r="AI122" s="501"/>
      <c r="AJ122" s="501"/>
      <c r="AK122" s="1057"/>
      <c r="AL122" s="1057"/>
      <c r="AM122" s="503"/>
      <c r="AN122" s="171">
        <f>ROUND(AO124*AN120/1000,2)</f>
        <v>289.54000000000002</v>
      </c>
      <c r="AO122" s="164"/>
      <c r="AP122" s="164"/>
      <c r="AQ122" s="165"/>
      <c r="AR122" s="165"/>
      <c r="AS122" s="482"/>
      <c r="AT122" s="169">
        <f>ROUND(AU124*AT120/1000,2)</f>
        <v>346.48</v>
      </c>
      <c r="AU122" s="501"/>
      <c r="AV122" s="501"/>
      <c r="AW122" s="1057"/>
      <c r="AX122" s="1057"/>
      <c r="AY122" s="503"/>
      <c r="AZ122" s="171">
        <f>ROUND(BA124*AZ120/1000,2)</f>
        <v>300.01</v>
      </c>
      <c r="BA122" s="164"/>
      <c r="BB122" s="164"/>
      <c r="BC122" s="165"/>
      <c r="BD122" s="165"/>
      <c r="BE122" s="482"/>
      <c r="BF122" s="169">
        <f>ROUND(BG124*BF120/1000,2)</f>
        <v>361.33</v>
      </c>
      <c r="BG122" s="501"/>
      <c r="BH122" s="501"/>
      <c r="BI122" s="1057"/>
      <c r="BJ122" s="1057"/>
      <c r="BK122" s="503"/>
      <c r="BL122" s="171">
        <f>ROUND(BM124*BL120/1000,2)</f>
        <v>309.12</v>
      </c>
      <c r="BM122" s="164"/>
      <c r="BN122" s="164"/>
      <c r="BO122" s="165"/>
      <c r="BP122" s="165"/>
      <c r="BQ122" s="482"/>
      <c r="BR122" s="835">
        <f t="shared" si="468"/>
        <v>0.91331197780786633</v>
      </c>
      <c r="BS122" s="542">
        <f t="shared" si="469"/>
        <v>1.044292565041725</v>
      </c>
      <c r="BT122" s="828">
        <f t="shared" si="567"/>
        <v>1.0239730980619033</v>
      </c>
      <c r="BU122" s="323">
        <f t="shared" si="568"/>
        <v>1.022423108160599</v>
      </c>
      <c r="BV122" s="323">
        <f t="shared" si="569"/>
        <v>1.0361608067969883</v>
      </c>
      <c r="BW122" s="198">
        <f t="shared" si="570"/>
        <v>1.0303656544781841</v>
      </c>
    </row>
    <row r="123" spans="1:76" ht="18.75">
      <c r="A123" s="160"/>
      <c r="B123" s="161" t="s">
        <v>157</v>
      </c>
      <c r="C123" s="1015" t="s">
        <v>1</v>
      </c>
      <c r="D123" s="171">
        <f>F99+D122</f>
        <v>2466.0744513</v>
      </c>
      <c r="E123" s="164"/>
      <c r="F123" s="164"/>
      <c r="G123" s="1037"/>
      <c r="H123" s="1037"/>
      <c r="I123" s="482"/>
      <c r="J123" s="169">
        <f>L99+J122</f>
        <v>3588.5467572146686</v>
      </c>
      <c r="K123" s="501"/>
      <c r="L123" s="501"/>
      <c r="M123" s="1057"/>
      <c r="N123" s="1057"/>
      <c r="O123" s="503"/>
      <c r="P123" s="171">
        <f>R99+P122</f>
        <v>2930.0320000000002</v>
      </c>
      <c r="Q123" s="164"/>
      <c r="R123" s="164"/>
      <c r="S123" s="1037"/>
      <c r="T123" s="1037"/>
      <c r="U123" s="482"/>
      <c r="V123" s="169">
        <f>X99+V122</f>
        <v>3181.8555040000006</v>
      </c>
      <c r="W123" s="501"/>
      <c r="X123" s="501"/>
      <c r="Y123" s="1057"/>
      <c r="Z123" s="1057"/>
      <c r="AA123" s="503"/>
      <c r="AB123" s="171">
        <f>AD99+AB122</f>
        <v>2999.4500000000003</v>
      </c>
      <c r="AC123" s="1173"/>
      <c r="AD123" s="1173"/>
      <c r="AE123" s="1174"/>
      <c r="AF123" s="1174"/>
      <c r="AG123" s="482"/>
      <c r="AH123" s="169">
        <f>AJ99+AH122</f>
        <v>3279.5360669184006</v>
      </c>
      <c r="AI123" s="501"/>
      <c r="AJ123" s="501"/>
      <c r="AK123" s="1057"/>
      <c r="AL123" s="1057"/>
      <c r="AM123" s="503"/>
      <c r="AN123" s="171">
        <f>AP99+AN122</f>
        <v>3086.2</v>
      </c>
      <c r="AO123" s="164"/>
      <c r="AP123" s="164"/>
      <c r="AQ123" s="165"/>
      <c r="AR123" s="165"/>
      <c r="AS123" s="482"/>
      <c r="AT123" s="169">
        <f>AV99+AT122</f>
        <v>3379.8937664991859</v>
      </c>
      <c r="AU123" s="501"/>
      <c r="AV123" s="501"/>
      <c r="AW123" s="1057"/>
      <c r="AX123" s="1057"/>
      <c r="AY123" s="503"/>
      <c r="AZ123" s="171">
        <f>BB99+AZ122</f>
        <v>3179.45</v>
      </c>
      <c r="BA123" s="164"/>
      <c r="BB123" s="164"/>
      <c r="BC123" s="165"/>
      <c r="BD123" s="165"/>
      <c r="BE123" s="482"/>
      <c r="BF123" s="169">
        <f>BH99+BF122</f>
        <v>3484.5328139875614</v>
      </c>
      <c r="BG123" s="501"/>
      <c r="BH123" s="501"/>
      <c r="BI123" s="1057"/>
      <c r="BJ123" s="1057"/>
      <c r="BK123" s="503"/>
      <c r="BL123" s="171">
        <f>BN99+BL122</f>
        <v>3273.79</v>
      </c>
      <c r="BM123" s="164"/>
      <c r="BN123" s="164"/>
      <c r="BO123" s="165"/>
      <c r="BP123" s="165"/>
      <c r="BQ123" s="482"/>
      <c r="BR123" s="835">
        <f t="shared" si="468"/>
        <v>0.81649542230688688</v>
      </c>
      <c r="BS123" s="542">
        <f t="shared" si="469"/>
        <v>1.1881360672040633</v>
      </c>
      <c r="BT123" s="828">
        <f t="shared" si="567"/>
        <v>1.023691891419616</v>
      </c>
      <c r="BU123" s="323">
        <f t="shared" si="568"/>
        <v>1.028921969027655</v>
      </c>
      <c r="BV123" s="323">
        <f t="shared" si="569"/>
        <v>1.0302151513187738</v>
      </c>
      <c r="BW123" s="198">
        <f t="shared" si="570"/>
        <v>1.0296717985815158</v>
      </c>
    </row>
    <row r="124" spans="1:76" s="176" customFormat="1" ht="20.25" thickBot="1">
      <c r="A124" s="172"/>
      <c r="B124" s="173" t="s">
        <v>158</v>
      </c>
      <c r="C124" s="1018" t="s">
        <v>12</v>
      </c>
      <c r="D124" s="1065">
        <f>E124+F124</f>
        <v>1062.8510405909969</v>
      </c>
      <c r="E124" s="1066">
        <f>IF((D117+D120)&gt;0,(E99)*1000/(D117+D120),0)</f>
        <v>970.63031394277891</v>
      </c>
      <c r="F124" s="1066">
        <f>IF(D119&gt;0,D123*1000/D119,0)</f>
        <v>92.22072664821809</v>
      </c>
      <c r="G124" s="1067"/>
      <c r="H124" s="1067"/>
      <c r="I124" s="1040"/>
      <c r="J124" s="1076">
        <f>K124+L124</f>
        <v>1273.3826810707492</v>
      </c>
      <c r="K124" s="1077">
        <f>IF((J117+J120)&gt;0,(K99)*1000/(J117+J120),0)</f>
        <v>1136.0470623274209</v>
      </c>
      <c r="L124" s="1077">
        <f>IF(J119&gt;0,J123*1000/J119,0)</f>
        <v>137.33561874332827</v>
      </c>
      <c r="M124" s="1078"/>
      <c r="N124" s="1078"/>
      <c r="O124" s="1058"/>
      <c r="P124" s="1065">
        <f>Q124+R124</f>
        <v>1123.21</v>
      </c>
      <c r="Q124" s="1066">
        <f>ROUND(IF((P117+P120)&gt;0,(Q99)*1000/(P117+P120),0),2)</f>
        <v>1013.64</v>
      </c>
      <c r="R124" s="1066">
        <f>ROUND(IF(P119&gt;0,P123*1000/P119,0),2)</f>
        <v>109.57</v>
      </c>
      <c r="S124" s="1067"/>
      <c r="T124" s="1067"/>
      <c r="U124" s="1040"/>
      <c r="V124" s="514">
        <f>W124+X124</f>
        <v>1326.09166812934</v>
      </c>
      <c r="W124" s="504">
        <f>IF((V117+V120)&gt;0,(W99)*1000/(V117+V120),2)</f>
        <v>1204.3214613172465</v>
      </c>
      <c r="X124" s="504">
        <f>IF(V119&gt;0,V123*1000/V119,0)</f>
        <v>121.77020681209341</v>
      </c>
      <c r="Y124" s="1089"/>
      <c r="Z124" s="1089"/>
      <c r="AA124" s="505"/>
      <c r="AB124" s="174">
        <f>AC124+AD124</f>
        <v>1150.102449901121</v>
      </c>
      <c r="AC124" s="1178">
        <f>IF((AB117+AB120)&gt;0,(AC99)*1000/(AB117+AB120),0)</f>
        <v>1037.9357396060684</v>
      </c>
      <c r="AD124" s="1178">
        <f>IF(AB119&gt;0,AB123*1000/AB119,0)</f>
        <v>112.16671029505255</v>
      </c>
      <c r="AE124" s="1179"/>
      <c r="AF124" s="1179"/>
      <c r="AG124" s="485"/>
      <c r="AH124" s="514">
        <f>AI124+AJ124</f>
        <v>1378.6236971031872</v>
      </c>
      <c r="AI124" s="504">
        <f>IF((AH117+AH120)&gt;0,(AI99)*1000/(AH117+AH120),0)</f>
        <v>1253.1152368307646</v>
      </c>
      <c r="AJ124" s="504">
        <f>IF(AH119&gt;0,AH123*1000/AH119,0)</f>
        <v>125.50846027242252</v>
      </c>
      <c r="AK124" s="1089"/>
      <c r="AL124" s="1089"/>
      <c r="AM124" s="505"/>
      <c r="AN124" s="174">
        <f>AO124+AP124</f>
        <v>1176.6212682314999</v>
      </c>
      <c r="AO124" s="175">
        <f>IF((AN117+AN120)&gt;0,(AO99)*1000/(AN117+AN120),0)</f>
        <v>1061.2104758153598</v>
      </c>
      <c r="AP124" s="175">
        <f>IF(AN119&gt;0,AN123*1000/AN119,0)</f>
        <v>115.41079241614001</v>
      </c>
      <c r="AQ124" s="452"/>
      <c r="AR124" s="452"/>
      <c r="AS124" s="485"/>
      <c r="AT124" s="514">
        <f>AU124+AV124</f>
        <v>1431.9181091401658</v>
      </c>
      <c r="AU124" s="504">
        <f>IF((AT117+AT120)&gt;0,(AU99)*1000/(AT117+AT120),2)</f>
        <v>1302.5689408853175</v>
      </c>
      <c r="AV124" s="504">
        <f>IF(AT119&gt;0,AT123*1000/AT119,0)</f>
        <v>129.34916825484831</v>
      </c>
      <c r="AW124" s="1089"/>
      <c r="AX124" s="1089"/>
      <c r="AY124" s="505"/>
      <c r="AZ124" s="174">
        <f>BA124+BB124</f>
        <v>1218.4931914845154</v>
      </c>
      <c r="BA124" s="175">
        <f>IF((AZ117+AZ120)&gt;0,(BA99)*1000/(AZ117+AZ120),0)</f>
        <v>1099.595244511702</v>
      </c>
      <c r="BB124" s="175">
        <f>IF(AZ119&gt;0,AZ123*1000/AZ119,0)</f>
        <v>118.89794697281329</v>
      </c>
      <c r="BC124" s="452"/>
      <c r="BD124" s="452"/>
      <c r="BE124" s="485"/>
      <c r="BF124" s="514">
        <f>BG124+BH124</f>
        <v>1491.7463057583302</v>
      </c>
      <c r="BG124" s="504">
        <f>IF((BF117+BF120)&gt;0,(BG99)*1000/(BF117+BF120),0)</f>
        <v>1358.3925815337775</v>
      </c>
      <c r="BH124" s="504">
        <f>IF(BF119&gt;0,BF123*1000/BF119,0)</f>
        <v>133.35372422455268</v>
      </c>
      <c r="BI124" s="1089"/>
      <c r="BJ124" s="1089"/>
      <c r="BK124" s="505"/>
      <c r="BL124" s="174">
        <f>BM124+BN124</f>
        <v>1255.4039955976482</v>
      </c>
      <c r="BM124" s="175">
        <f>IF((BL117+BL120)&gt;0,(BM99)*1000/(BL117+BL120),0)</f>
        <v>1132.978132690502</v>
      </c>
      <c r="BN124" s="175">
        <f>IF(BL119&gt;0,BL123*1000/BL119,0)</f>
        <v>122.42586290714632</v>
      </c>
      <c r="BO124" s="452"/>
      <c r="BP124" s="452"/>
      <c r="BQ124" s="485"/>
      <c r="BR124" s="835">
        <f t="shared" si="468"/>
        <v>0.88206790990397843</v>
      </c>
      <c r="BS124" s="542">
        <f t="shared" si="469"/>
        <v>1.0567896695810173</v>
      </c>
      <c r="BT124" s="837">
        <f t="shared" si="567"/>
        <v>1.0239424950820604</v>
      </c>
      <c r="BU124" s="326">
        <f t="shared" si="568"/>
        <v>1.0230577878802527</v>
      </c>
      <c r="BV124" s="326">
        <f t="shared" si="569"/>
        <v>1.0355865769075807</v>
      </c>
      <c r="BW124" s="327">
        <f t="shared" si="570"/>
        <v>1.0302921709953616</v>
      </c>
      <c r="BX124" s="966"/>
    </row>
    <row r="125" spans="1:76" s="176" customFormat="1" ht="20.25" outlineLevel="1" thickBot="1">
      <c r="A125" s="172"/>
      <c r="B125" s="173" t="s">
        <v>260</v>
      </c>
      <c r="C125" s="1018" t="s">
        <v>53</v>
      </c>
      <c r="D125" s="1072"/>
      <c r="E125" s="1073"/>
      <c r="F125" s="1073"/>
      <c r="G125" s="1074">
        <f>IF(G121&gt;0,G99/G121*1000,0)</f>
        <v>0</v>
      </c>
      <c r="H125" s="1074">
        <f t="shared" ref="H125" si="720">IF(H121&gt;0,H99/H121*1000,0)</f>
        <v>24.663846576633166</v>
      </c>
      <c r="I125" s="1075">
        <f>IF(I121&gt;0,I99/I121*1000,0)</f>
        <v>0</v>
      </c>
      <c r="J125" s="1083"/>
      <c r="K125" s="1084"/>
      <c r="L125" s="1084"/>
      <c r="M125" s="1085">
        <f>IF(M121&gt;0,M99/M121*1000,0)</f>
        <v>0</v>
      </c>
      <c r="N125" s="1085">
        <f t="shared" ref="N125" si="721">IF(N121&gt;0,N99/N121*1000,0)</f>
        <v>38.166112717951599</v>
      </c>
      <c r="O125" s="1086">
        <f>IF(O121&gt;0,O99/O121*1000,0)</f>
        <v>0</v>
      </c>
      <c r="P125" s="1072"/>
      <c r="Q125" s="1073"/>
      <c r="R125" s="1073"/>
      <c r="S125" s="1074">
        <f>IF(S121&gt;0,S99/S121*1000,0)</f>
        <v>0</v>
      </c>
      <c r="T125" s="1074">
        <f t="shared" ref="T125" si="722">IF(T121&gt;0,T99/T121*1000,0)</f>
        <v>26.433633008793972</v>
      </c>
      <c r="U125" s="1075">
        <f>IF(U121&gt;0,U99/U121*1000,0)</f>
        <v>0</v>
      </c>
      <c r="V125" s="1083"/>
      <c r="W125" s="1084"/>
      <c r="X125" s="1084"/>
      <c r="Y125" s="1090">
        <f>IF(Y121&gt;0,Y99/Y121*1000,0)</f>
        <v>0</v>
      </c>
      <c r="Z125" s="1090">
        <f t="shared" ref="Z125" si="723">IF(Z121&gt;0,Z99/Z121*1000,0)</f>
        <v>42.318589829328559</v>
      </c>
      <c r="AA125" s="1091">
        <f>IF(AA121&gt;0,AA99/AA121*1000,0)</f>
        <v>0</v>
      </c>
      <c r="AB125" s="1072"/>
      <c r="AC125" s="1073"/>
      <c r="AD125" s="1073"/>
      <c r="AE125" s="1180">
        <f>IF(AE121&gt;0,AE99/AE121*1000,0)</f>
        <v>0</v>
      </c>
      <c r="AF125" s="1181">
        <f t="shared" ref="AF125" si="724">IF(AF121&gt;0,AF99/AF121*1000,0)</f>
        <v>28.659901067839193</v>
      </c>
      <c r="AG125" s="1182">
        <f>IF(AG121&gt;0,AG99/AG121*1000,0)</f>
        <v>0</v>
      </c>
      <c r="AH125" s="1083"/>
      <c r="AI125" s="1084"/>
      <c r="AJ125" s="1084"/>
      <c r="AK125" s="1090">
        <f>IF(AK121&gt;0,AK99/AK121*1000,0)</f>
        <v>0</v>
      </c>
      <c r="AL125" s="1090">
        <f t="shared" ref="AL125" si="725">IF(AL121&gt;0,AL99/AL121*1000,0)</f>
        <v>46.992973639571936</v>
      </c>
      <c r="AM125" s="571">
        <f>IF(AM121&gt;0,AM99/AM121*1000,0)</f>
        <v>0</v>
      </c>
      <c r="AN125" s="567"/>
      <c r="AO125" s="568"/>
      <c r="AP125" s="568"/>
      <c r="AQ125" s="572">
        <f>IF(AQ121&gt;0,AQ99/AQ121*1000,0)</f>
        <v>0</v>
      </c>
      <c r="AR125" s="569">
        <f t="shared" ref="AR125" si="726">IF(AR121&gt;0,AR99/AR121*1000,0)</f>
        <v>30.315248115577891</v>
      </c>
      <c r="AS125" s="570">
        <f>IF(AS121&gt;0,AS99/AS121*1000,0)</f>
        <v>0</v>
      </c>
      <c r="AT125" s="1083"/>
      <c r="AU125" s="1084"/>
      <c r="AV125" s="1084"/>
      <c r="AW125" s="1090">
        <f>IF(AW121&gt;0,AW99/AW121*1000,0)</f>
        <v>0</v>
      </c>
      <c r="AX125" s="1090">
        <f t="shared" ref="AX125" si="727">IF(AX121&gt;0,AX99/AX121*1000,0)</f>
        <v>51.909056622543432</v>
      </c>
      <c r="AY125" s="571">
        <f>IF(AY121&gt;0,AY99/AY121*1000,0)</f>
        <v>0</v>
      </c>
      <c r="AZ125" s="567"/>
      <c r="BA125" s="568"/>
      <c r="BB125" s="568"/>
      <c r="BC125" s="572">
        <f>IF(BC121&gt;0,BC99/BC121*1000,0)</f>
        <v>0</v>
      </c>
      <c r="BD125" s="569">
        <f t="shared" ref="BD125" si="728">IF(BD121&gt;0,BD99/BD121*1000,0)</f>
        <v>31.526970791457291</v>
      </c>
      <c r="BE125" s="570">
        <f>IF(BE121&gt;0,BE99/BE121*1000,0)</f>
        <v>0</v>
      </c>
      <c r="BF125" s="1083"/>
      <c r="BG125" s="1084"/>
      <c r="BH125" s="1084"/>
      <c r="BI125" s="1090">
        <f>IF(BI121&gt;0,BI99/BI121*1000,0)</f>
        <v>0</v>
      </c>
      <c r="BJ125" s="1090">
        <f t="shared" ref="BJ125" si="729">IF(BJ121&gt;0,BJ99/BJ121*1000,0)</f>
        <v>57.564523832047072</v>
      </c>
      <c r="BK125" s="571">
        <f>IF(BK121&gt;0,BK99/BK121*1000,0)</f>
        <v>0</v>
      </c>
      <c r="BL125" s="567"/>
      <c r="BM125" s="568"/>
      <c r="BN125" s="568"/>
      <c r="BO125" s="572">
        <f>IF(BO121&gt;0,BO99/BO121*1000,0)</f>
        <v>0</v>
      </c>
      <c r="BP125" s="569">
        <f t="shared" ref="BP125" si="730">IF(BP121&gt;0,BP99/BP121*1000,0)</f>
        <v>32.784135521356781</v>
      </c>
      <c r="BQ125" s="570">
        <f>IF(BQ121&gt;0,BQ99/BQ121*1000,0)</f>
        <v>0</v>
      </c>
      <c r="BR125" s="835" t="str">
        <f t="shared" si="468"/>
        <v xml:space="preserve"> </v>
      </c>
      <c r="BS125" s="542" t="str">
        <f t="shared" si="469"/>
        <v xml:space="preserve"> </v>
      </c>
      <c r="BT125" s="837" t="str">
        <f t="shared" si="567"/>
        <v xml:space="preserve"> </v>
      </c>
      <c r="BU125" s="326" t="str">
        <f t="shared" si="568"/>
        <v xml:space="preserve"> </v>
      </c>
      <c r="BV125" s="326" t="str">
        <f t="shared" si="569"/>
        <v xml:space="preserve"> </v>
      </c>
      <c r="BW125" s="327" t="str">
        <f t="shared" si="570"/>
        <v xml:space="preserve"> </v>
      </c>
      <c r="BX125" s="966"/>
    </row>
    <row r="126" spans="1:76" ht="19.5" thickBot="1">
      <c r="A126" s="177"/>
      <c r="B126" s="178" t="s">
        <v>123</v>
      </c>
      <c r="C126" s="179"/>
      <c r="D126" s="1068" t="str">
        <f>IF(D118&gt;0,(E99+F99)/D117*1000,"---")</f>
        <v>---</v>
      </c>
      <c r="E126" s="1069"/>
      <c r="F126" s="1069"/>
      <c r="G126" s="1070"/>
      <c r="H126" s="1070"/>
      <c r="I126" s="1071"/>
      <c r="J126" s="1079" t="str">
        <f>IF(J118&gt;0,(K99+L99)/J117*1000,"---")</f>
        <v>---</v>
      </c>
      <c r="K126" s="1080"/>
      <c r="L126" s="1080"/>
      <c r="M126" s="1081"/>
      <c r="N126" s="1081"/>
      <c r="O126" s="1082"/>
      <c r="P126" s="1068" t="str">
        <f>IF(P118&gt;0,(Q99+R99)/P117*1000,"---")</f>
        <v>---</v>
      </c>
      <c r="Q126" s="1069"/>
      <c r="R126" s="1069"/>
      <c r="S126" s="1070"/>
      <c r="T126" s="1070"/>
      <c r="U126" s="1071"/>
      <c r="V126" s="1087" t="str">
        <f>IF(V118&gt;0,(W99+X99)/V117*1000,"---")</f>
        <v>---</v>
      </c>
      <c r="W126" s="1080"/>
      <c r="X126" s="1080"/>
      <c r="Y126" s="1081"/>
      <c r="Z126" s="1081"/>
      <c r="AA126" s="1082"/>
      <c r="AB126" s="1068" t="str">
        <f>IF(AB118&gt;0,(AC99+AD99)/AB117*1000,"---")</f>
        <v>---</v>
      </c>
      <c r="AC126" s="1069"/>
      <c r="AD126" s="1069"/>
      <c r="AE126" s="1070"/>
      <c r="AF126" s="1070"/>
      <c r="AG126" s="1071"/>
      <c r="AH126" s="515" t="str">
        <f>IF(AH118&gt;0,(AI99+AJ99)/AH117*1000,"---")</f>
        <v>---</v>
      </c>
      <c r="AI126" s="506"/>
      <c r="AJ126" s="506"/>
      <c r="AK126" s="507"/>
      <c r="AL126" s="507"/>
      <c r="AM126" s="508"/>
      <c r="AN126" s="182" t="str">
        <f>IF(AN118&gt;0,(AO99+AP99)/AN117*1000,"---")</f>
        <v>---</v>
      </c>
      <c r="AO126" s="180"/>
      <c r="AP126" s="180"/>
      <c r="AQ126" s="181"/>
      <c r="AR126" s="181"/>
      <c r="AS126" s="486"/>
      <c r="AT126" s="515" t="str">
        <f>IF(AT118&gt;0,(AU99+AV99)/AT117*1000,"---")</f>
        <v>---</v>
      </c>
      <c r="AU126" s="506"/>
      <c r="AV126" s="506"/>
      <c r="AW126" s="507"/>
      <c r="AX126" s="507"/>
      <c r="AY126" s="508"/>
      <c r="AZ126" s="182" t="str">
        <f>IF(AZ118&gt;0,(BA99+BB99)/AZ117*1000,"---")</f>
        <v>---</v>
      </c>
      <c r="BA126" s="180"/>
      <c r="BB126" s="180"/>
      <c r="BC126" s="181"/>
      <c r="BD126" s="181"/>
      <c r="BE126" s="486"/>
      <c r="BF126" s="515" t="str">
        <f>IF(BF118&gt;0,(BG99+BH99)/BF117*1000,"---")</f>
        <v>---</v>
      </c>
      <c r="BG126" s="506"/>
      <c r="BH126" s="506"/>
      <c r="BI126" s="507"/>
      <c r="BJ126" s="507"/>
      <c r="BK126" s="508"/>
      <c r="BL126" s="182" t="str">
        <f>IF(BL118&gt;0,(BM99+BN99)/BL117*1000,"---")</f>
        <v>---</v>
      </c>
      <c r="BM126" s="180"/>
      <c r="BN126" s="180"/>
      <c r="BO126" s="181"/>
      <c r="BP126" s="181"/>
      <c r="BQ126" s="486"/>
      <c r="BR126" s="835" t="str">
        <f t="shared" si="468"/>
        <v xml:space="preserve"> </v>
      </c>
      <c r="BS126" s="542" t="str">
        <f t="shared" si="469"/>
        <v xml:space="preserve"> </v>
      </c>
      <c r="BT126" s="838" t="str">
        <f t="shared" si="567"/>
        <v xml:space="preserve"> </v>
      </c>
      <c r="BU126" s="328" t="str">
        <f t="shared" si="568"/>
        <v xml:space="preserve"> </v>
      </c>
      <c r="BV126" s="328" t="str">
        <f t="shared" si="569"/>
        <v xml:space="preserve"> </v>
      </c>
      <c r="BW126" s="205" t="str">
        <f t="shared" si="570"/>
        <v xml:space="preserve"> </v>
      </c>
    </row>
    <row r="127" spans="1:76">
      <c r="T127" s="1227">
        <f>T125/H125</f>
        <v>1.0717563023538075</v>
      </c>
    </row>
    <row r="128" spans="1:76">
      <c r="AB128" s="75">
        <f>AB124/P124</f>
        <v>1.0239424950820604</v>
      </c>
    </row>
    <row r="129" spans="16:71">
      <c r="P129" s="183">
        <f>P124/D124</f>
        <v>1.0567896695810173</v>
      </c>
      <c r="Q129" s="183"/>
      <c r="R129" s="183"/>
      <c r="S129" s="183"/>
      <c r="T129" s="183"/>
      <c r="U129" s="183"/>
      <c r="AB129" s="183"/>
      <c r="AC129" s="183"/>
      <c r="AD129" s="183"/>
      <c r="AE129" s="183"/>
      <c r="AF129" s="183"/>
      <c r="AG129" s="183"/>
      <c r="AN129" s="183"/>
      <c r="AO129" s="183"/>
      <c r="AP129" s="183"/>
      <c r="AQ129" s="183"/>
      <c r="AR129" s="183"/>
      <c r="AS129" s="183"/>
      <c r="AZ129" s="183"/>
      <c r="BA129" s="183"/>
      <c r="BB129" s="183"/>
      <c r="BC129" s="183"/>
      <c r="BD129" s="183"/>
      <c r="BE129" s="183"/>
      <c r="BL129" s="183"/>
      <c r="BM129" s="183"/>
      <c r="BN129" s="183"/>
      <c r="BO129" s="183"/>
      <c r="BP129" s="183"/>
      <c r="BQ129" s="183"/>
      <c r="BR129" s="183"/>
      <c r="BS129" s="183"/>
    </row>
    <row r="131" spans="16:71">
      <c r="AB131" s="74"/>
    </row>
    <row r="132" spans="16:71">
      <c r="AB132" s="74"/>
    </row>
  </sheetData>
  <mergeCells count="73">
    <mergeCell ref="A5:A7"/>
    <mergeCell ref="B5:B7"/>
    <mergeCell ref="C5:C7"/>
    <mergeCell ref="D5:I5"/>
    <mergeCell ref="J5:O5"/>
    <mergeCell ref="D6:D7"/>
    <mergeCell ref="I6:I7"/>
    <mergeCell ref="J6:J7"/>
    <mergeCell ref="O6:O7"/>
    <mergeCell ref="E6:F6"/>
    <mergeCell ref="G6:H6"/>
    <mergeCell ref="K6:L6"/>
    <mergeCell ref="M6:N6"/>
    <mergeCell ref="A94:B94"/>
    <mergeCell ref="A99:B99"/>
    <mergeCell ref="A8:B8"/>
    <mergeCell ref="A15:B15"/>
    <mergeCell ref="A21:B21"/>
    <mergeCell ref="A59:B59"/>
    <mergeCell ref="A85:B85"/>
    <mergeCell ref="A93:B93"/>
    <mergeCell ref="A92:B92"/>
    <mergeCell ref="BV5:BV7"/>
    <mergeCell ref="BW5:BW7"/>
    <mergeCell ref="BU5:BU7"/>
    <mergeCell ref="BT5:BT7"/>
    <mergeCell ref="P5:U5"/>
    <mergeCell ref="P6:P7"/>
    <mergeCell ref="Q6:R6"/>
    <mergeCell ref="S6:T6"/>
    <mergeCell ref="U6:U7"/>
    <mergeCell ref="V6:V7"/>
    <mergeCell ref="W6:X6"/>
    <mergeCell ref="Y6:Z6"/>
    <mergeCell ref="AA6:AA7"/>
    <mergeCell ref="V5:AA5"/>
    <mergeCell ref="AB5:AG5"/>
    <mergeCell ref="AB6:AB7"/>
    <mergeCell ref="AC6:AD6"/>
    <mergeCell ref="AE6:AF6"/>
    <mergeCell ref="AG6:AG7"/>
    <mergeCell ref="AH5:AM5"/>
    <mergeCell ref="AH6:AH7"/>
    <mergeCell ref="AI6:AJ6"/>
    <mergeCell ref="AK6:AL6"/>
    <mergeCell ref="AM6:AM7"/>
    <mergeCell ref="AN5:AS5"/>
    <mergeCell ref="AN6:AN7"/>
    <mergeCell ref="AO6:AP6"/>
    <mergeCell ref="AQ6:AR6"/>
    <mergeCell ref="AS6:AS7"/>
    <mergeCell ref="AT5:AY5"/>
    <mergeCell ref="AT6:AT7"/>
    <mergeCell ref="AU6:AV6"/>
    <mergeCell ref="AW6:AX6"/>
    <mergeCell ref="AY6:AY7"/>
    <mergeCell ref="AZ5:BE5"/>
    <mergeCell ref="AZ6:AZ7"/>
    <mergeCell ref="BA6:BB6"/>
    <mergeCell ref="BC6:BD6"/>
    <mergeCell ref="BE6:BE7"/>
    <mergeCell ref="BF5:BK5"/>
    <mergeCell ref="BF6:BF7"/>
    <mergeCell ref="BG6:BH6"/>
    <mergeCell ref="BI6:BJ6"/>
    <mergeCell ref="BK6:BK7"/>
    <mergeCell ref="BS5:BS7"/>
    <mergeCell ref="BR5:BR7"/>
    <mergeCell ref="BL5:BQ5"/>
    <mergeCell ref="BL6:BL7"/>
    <mergeCell ref="BM6:BN6"/>
    <mergeCell ref="BO6:BP6"/>
    <mergeCell ref="BQ6:BQ7"/>
  </mergeCells>
  <pageMargins left="0.23622047244094491" right="0.23622047244094491" top="0.55118110236220474" bottom="0.55118110236220474" header="0.31496062992125984" footer="0.31496062992125984"/>
  <pageSetup paperSize="8" scale="47" fitToWidth="2" fitToHeight="0" orientation="landscape" blackAndWhite="1" r:id="rId1"/>
  <rowBreaks count="1" manualBreakCount="1">
    <brk id="68" max="75" man="1"/>
  </rowBreaks>
  <colBreaks count="1" manualBreakCount="1">
    <brk id="26" min="1" max="1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A123"/>
  <sheetViews>
    <sheetView view="pageBreakPreview" topLeftCell="B1" zoomScale="71" zoomScaleNormal="60" zoomScaleSheetLayoutView="71" workbookViewId="0">
      <pane ySplit="4" topLeftCell="A5" activePane="bottomLeft" state="frozen"/>
      <selection pane="bottomLeft" activeCell="L16" sqref="L16"/>
    </sheetView>
  </sheetViews>
  <sheetFormatPr defaultRowHeight="15.75" outlineLevelRow="1" outlineLevelCol="1"/>
  <cols>
    <col min="1" max="1" width="2.375" style="257" customWidth="1"/>
    <col min="2" max="2" width="30.75" customWidth="1"/>
    <col min="3" max="3" width="13.625" customWidth="1"/>
    <col min="4" max="9" width="15.375" customWidth="1" outlineLevel="1"/>
    <col min="10" max="10" width="13.25" customWidth="1" outlineLevel="1"/>
    <col min="11" max="13" width="15.375" customWidth="1"/>
    <col min="14" max="14" width="13" customWidth="1"/>
    <col min="15" max="17" width="15.375" customWidth="1"/>
    <col min="18" max="18" width="13" customWidth="1"/>
    <col min="19" max="21" width="15.375" customWidth="1"/>
    <col min="22" max="22" width="13" customWidth="1"/>
    <col min="23" max="25" width="15.375" customWidth="1"/>
    <col min="26" max="26" width="13" customWidth="1"/>
    <col min="27" max="27" width="22.25" customWidth="1"/>
  </cols>
  <sheetData>
    <row r="1" spans="1:26" s="355" customFormat="1" ht="23.25">
      <c r="A1" s="350"/>
      <c r="B1" s="351" t="s">
        <v>498</v>
      </c>
      <c r="C1" s="352"/>
      <c r="D1" s="353"/>
      <c r="E1" s="354"/>
      <c r="F1" s="354"/>
      <c r="G1" s="353"/>
      <c r="H1" s="354"/>
      <c r="I1" s="354"/>
      <c r="J1" s="354"/>
      <c r="K1" s="353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</row>
    <row r="2" spans="1:26" ht="19.5" thickBot="1">
      <c r="B2" s="335"/>
      <c r="C2" s="335"/>
      <c r="D2" s="335"/>
      <c r="E2" s="335"/>
      <c r="F2" s="335"/>
      <c r="G2" s="233"/>
      <c r="H2" s="233"/>
      <c r="I2" s="233"/>
      <c r="J2" s="233"/>
      <c r="K2" s="1230"/>
      <c r="L2" s="233"/>
      <c r="M2" s="233"/>
      <c r="N2" s="233"/>
      <c r="O2" s="336"/>
      <c r="P2" s="336"/>
      <c r="Q2" s="336"/>
      <c r="R2" s="233"/>
      <c r="S2" s="336"/>
      <c r="T2" s="336"/>
      <c r="U2" s="336"/>
      <c r="V2" s="233"/>
      <c r="W2" s="336"/>
      <c r="X2" s="336"/>
      <c r="Y2" s="336"/>
      <c r="Z2" s="233"/>
    </row>
    <row r="3" spans="1:26" ht="18.75" customHeight="1">
      <c r="B3" s="1663" t="s">
        <v>82</v>
      </c>
      <c r="C3" s="1665" t="s">
        <v>159</v>
      </c>
      <c r="D3" s="1656" t="s">
        <v>256</v>
      </c>
      <c r="E3" s="1657"/>
      <c r="F3" s="1658"/>
      <c r="G3" s="1662" t="s">
        <v>175</v>
      </c>
      <c r="H3" s="1657"/>
      <c r="I3" s="1658"/>
      <c r="J3" s="1654" t="s">
        <v>180</v>
      </c>
      <c r="K3" s="1662" t="s">
        <v>177</v>
      </c>
      <c r="L3" s="1657"/>
      <c r="M3" s="1658"/>
      <c r="N3" s="1654" t="s">
        <v>181</v>
      </c>
      <c r="O3" s="1656" t="s">
        <v>179</v>
      </c>
      <c r="P3" s="1657"/>
      <c r="Q3" s="1658"/>
      <c r="R3" s="1654" t="s">
        <v>182</v>
      </c>
      <c r="S3" s="1659" t="s">
        <v>236</v>
      </c>
      <c r="T3" s="1660"/>
      <c r="U3" s="1661"/>
      <c r="V3" s="1650" t="s">
        <v>237</v>
      </c>
      <c r="W3" s="1659" t="s">
        <v>254</v>
      </c>
      <c r="X3" s="1660"/>
      <c r="Y3" s="1661"/>
      <c r="Z3" s="1650" t="s">
        <v>255</v>
      </c>
    </row>
    <row r="4" spans="1:26" ht="32.25" customHeight="1" thickBot="1">
      <c r="B4" s="1664"/>
      <c r="C4" s="1666"/>
      <c r="D4" s="234" t="s">
        <v>185</v>
      </c>
      <c r="E4" s="235" t="s">
        <v>186</v>
      </c>
      <c r="F4" s="236" t="s">
        <v>187</v>
      </c>
      <c r="G4" s="234" t="s">
        <v>188</v>
      </c>
      <c r="H4" s="235" t="s">
        <v>189</v>
      </c>
      <c r="I4" s="236" t="s">
        <v>190</v>
      </c>
      <c r="J4" s="1655"/>
      <c r="K4" s="234" t="s">
        <v>191</v>
      </c>
      <c r="L4" s="235" t="s">
        <v>192</v>
      </c>
      <c r="M4" s="236" t="s">
        <v>193</v>
      </c>
      <c r="N4" s="1655"/>
      <c r="O4" s="234" t="s">
        <v>194</v>
      </c>
      <c r="P4" s="235" t="s">
        <v>195</v>
      </c>
      <c r="Q4" s="236" t="s">
        <v>196</v>
      </c>
      <c r="R4" s="1655"/>
      <c r="S4" s="234" t="s">
        <v>238</v>
      </c>
      <c r="T4" s="235" t="s">
        <v>239</v>
      </c>
      <c r="U4" s="236" t="s">
        <v>240</v>
      </c>
      <c r="V4" s="1651"/>
      <c r="W4" s="234" t="s">
        <v>257</v>
      </c>
      <c r="X4" s="235" t="s">
        <v>258</v>
      </c>
      <c r="Y4" s="236" t="s">
        <v>259</v>
      </c>
      <c r="Z4" s="1651"/>
    </row>
    <row r="5" spans="1:26" ht="32.25" customHeight="1" thickBot="1">
      <c r="B5" s="918" t="s">
        <v>519</v>
      </c>
      <c r="C5" s="918"/>
      <c r="D5" s="919"/>
      <c r="E5" s="919"/>
      <c r="F5" s="919"/>
      <c r="G5" s="919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</row>
    <row r="6" spans="1:26" ht="37.5">
      <c r="B6" s="238" t="s">
        <v>161</v>
      </c>
      <c r="C6" s="347" t="s">
        <v>21</v>
      </c>
      <c r="D6" s="240">
        <v>17914.43</v>
      </c>
      <c r="E6" s="241">
        <v>13020.216451300003</v>
      </c>
      <c r="F6" s="781">
        <f>D6+E6</f>
        <v>30934.646451300003</v>
      </c>
      <c r="G6" s="240">
        <f>G12+G31</f>
        <v>18975.150000000001</v>
      </c>
      <c r="H6" s="241">
        <f>H12+H31</f>
        <v>13753.858999999999</v>
      </c>
      <c r="I6" s="242">
        <f>'[184]Кальк.2019-2023 (ДИ)'!P99</f>
        <v>32729.009000000002</v>
      </c>
      <c r="J6" s="348">
        <f>I6/F6</f>
        <v>1.05800494767331</v>
      </c>
      <c r="K6" s="240">
        <f>K12+K31</f>
        <v>19920.915547499997</v>
      </c>
      <c r="L6" s="241">
        <f>L12+L31</f>
        <v>13754.074452500001</v>
      </c>
      <c r="M6" s="242">
        <f>'[184]Кальк.2019-2023 (ДИ)'!AB99</f>
        <v>33674.99</v>
      </c>
      <c r="N6" s="348">
        <f>M6/I6</f>
        <v>1.0289034415921361</v>
      </c>
      <c r="O6" s="240">
        <f>O12+O31</f>
        <v>20044.135899999997</v>
      </c>
      <c r="P6" s="241">
        <f>P12+P31</f>
        <v>14508.6541</v>
      </c>
      <c r="Q6" s="242">
        <f>'[184]Кальк.2019-2023 (ДИ)'!AN99</f>
        <v>34552.79</v>
      </c>
      <c r="R6" s="348">
        <f>Q6/M6</f>
        <v>1.0260668228854708</v>
      </c>
      <c r="S6" s="240">
        <f>S12+S31</f>
        <v>21144.41</v>
      </c>
      <c r="T6" s="241">
        <f>T12+T31</f>
        <v>14651.539999999995</v>
      </c>
      <c r="U6" s="242">
        <f>'[184]Кальк.2019-2023 (ДИ)'!AZ99</f>
        <v>35795.949999999997</v>
      </c>
      <c r="V6" s="348">
        <f>U6/Q6</f>
        <v>1.035978570760856</v>
      </c>
      <c r="W6" s="240">
        <f>W12+W31</f>
        <v>21350.268374933337</v>
      </c>
      <c r="X6" s="241">
        <f>Y6-W6</f>
        <v>15560.801625066655</v>
      </c>
      <c r="Y6" s="242">
        <f>'[184]Кальк.2019-2023 (ДИ)'!BL99</f>
        <v>36911.069999999992</v>
      </c>
      <c r="Z6" s="243">
        <f>Y6/U6</f>
        <v>1.0311521275451552</v>
      </c>
    </row>
    <row r="7" spans="1:26" ht="19.5" thickBot="1">
      <c r="B7" s="244" t="s">
        <v>227</v>
      </c>
      <c r="C7" s="980" t="s">
        <v>13</v>
      </c>
      <c r="D7" s="981">
        <v>15859</v>
      </c>
      <c r="E7" s="398">
        <v>10882</v>
      </c>
      <c r="F7" s="991">
        <f>D7+E7</f>
        <v>26741</v>
      </c>
      <c r="G7" s="981">
        <f>G13</f>
        <v>15859</v>
      </c>
      <c r="H7" s="398">
        <f>H13</f>
        <v>10882</v>
      </c>
      <c r="I7" s="982">
        <f>G7+H7</f>
        <v>26741</v>
      </c>
      <c r="J7" s="1255">
        <f t="shared" ref="J7:J8" si="0">I7/F7</f>
        <v>1</v>
      </c>
      <c r="K7" s="981">
        <f>K13</f>
        <v>15859</v>
      </c>
      <c r="L7" s="398">
        <f>L13</f>
        <v>10882</v>
      </c>
      <c r="M7" s="982">
        <f>K7+L7</f>
        <v>26741</v>
      </c>
      <c r="N7" s="1255">
        <f t="shared" ref="N7:N8" si="1">M7/I7</f>
        <v>1</v>
      </c>
      <c r="O7" s="981">
        <f>O13</f>
        <v>15859</v>
      </c>
      <c r="P7" s="398">
        <f>P13</f>
        <v>10882</v>
      </c>
      <c r="Q7" s="982">
        <f>O7+P7</f>
        <v>26741</v>
      </c>
      <c r="R7" s="1255">
        <f t="shared" ref="R7:R8" si="2">Q7/M7</f>
        <v>1</v>
      </c>
      <c r="S7" s="981">
        <f>S13</f>
        <v>15859</v>
      </c>
      <c r="T7" s="398">
        <f>T13</f>
        <v>10882</v>
      </c>
      <c r="U7" s="982">
        <f>S7+T7</f>
        <v>26741</v>
      </c>
      <c r="V7" s="1255">
        <f t="shared" ref="V7:V8" si="3">U7/Q7</f>
        <v>1</v>
      </c>
      <c r="W7" s="397">
        <f>[184]индексы!Q82</f>
        <v>15859</v>
      </c>
      <c r="X7" s="398">
        <f>[184]индексы!R82</f>
        <v>10882</v>
      </c>
      <c r="Y7" s="1544">
        <f>[184]индексы!S82</f>
        <v>26741</v>
      </c>
      <c r="Z7" s="1545">
        <f t="shared" ref="Z7:Z8" si="4">Y7/U7</f>
        <v>1</v>
      </c>
    </row>
    <row r="8" spans="1:26" s="72" customFormat="1" ht="38.25" customHeight="1" thickBot="1">
      <c r="A8" s="996"/>
      <c r="B8" s="250" t="s">
        <v>220</v>
      </c>
      <c r="C8" s="251" t="s">
        <v>12</v>
      </c>
      <c r="D8" s="997">
        <f>ROUND(D6/D7*1000,2)</f>
        <v>1129.6099999999999</v>
      </c>
      <c r="E8" s="998">
        <f>ROUND(E6/E7*1000,2)</f>
        <v>1196.49</v>
      </c>
      <c r="F8" s="998">
        <f>ROUND(F6/F7*1000,2)</f>
        <v>1156.82</v>
      </c>
      <c r="G8" s="998">
        <f>ROUND(G6*1000/G7,2)</f>
        <v>1196.49</v>
      </c>
      <c r="H8" s="998">
        <f>ROUND(H6*1000/H7,2)</f>
        <v>1263.9100000000001</v>
      </c>
      <c r="I8" s="998">
        <f>ROUND(I6*1000/I7,2)</f>
        <v>1223.93</v>
      </c>
      <c r="J8" s="254">
        <f t="shared" si="0"/>
        <v>1.058012482495116</v>
      </c>
      <c r="K8" s="998">
        <f>ROUND(K6*1000/K7,2)</f>
        <v>1256.1300000000001</v>
      </c>
      <c r="L8" s="998">
        <f>ROUND(L6*1000/L7,2)</f>
        <v>1263.93</v>
      </c>
      <c r="M8" s="998">
        <f>ROUND(M6*1000/M7,2)</f>
        <v>1259.3</v>
      </c>
      <c r="N8" s="342">
        <f t="shared" si="1"/>
        <v>1.02889871152762</v>
      </c>
      <c r="O8" s="998">
        <f>ROUND(O6*1000/O7,2)</f>
        <v>1263.9000000000001</v>
      </c>
      <c r="P8" s="998">
        <f>ROUND(P6*1000/P7,2)</f>
        <v>1333.27</v>
      </c>
      <c r="Q8" s="790">
        <f>ROUND(Q6*1000/Q7,3)</f>
        <v>1292.1279999999999</v>
      </c>
      <c r="R8" s="342">
        <f t="shared" si="2"/>
        <v>1.026068450726594</v>
      </c>
      <c r="S8" s="998">
        <f>ROUND(S6*1000/S7,2)</f>
        <v>1333.28</v>
      </c>
      <c r="T8" s="998">
        <f>ROUND(T6*1000/T7,2)</f>
        <v>1346.4</v>
      </c>
      <c r="U8" s="790">
        <f>ROUND(U6*1000/U7,3)</f>
        <v>1338.617</v>
      </c>
      <c r="V8" s="342">
        <f t="shared" si="3"/>
        <v>1.0359786336957331</v>
      </c>
      <c r="W8" s="998">
        <f>ROUND(W6*1000/W7,2)</f>
        <v>1346.26</v>
      </c>
      <c r="X8" s="1000">
        <f>ROUND(X6*1000/X7,2)</f>
        <v>1429.96</v>
      </c>
      <c r="Y8" s="253">
        <f>ROUND(Y6*1000/Y7,2)</f>
        <v>1380.32</v>
      </c>
      <c r="Z8" s="254">
        <f t="shared" si="4"/>
        <v>1.0311537952976841</v>
      </c>
    </row>
    <row r="9" spans="1:26" ht="18.75">
      <c r="B9" s="256" t="s">
        <v>160</v>
      </c>
      <c r="C9" s="237"/>
      <c r="D9" s="237"/>
      <c r="E9" s="255">
        <f>E8/D8</f>
        <v>1.0592062747319873</v>
      </c>
      <c r="F9" s="343"/>
      <c r="G9" s="363">
        <f>G8/E8</f>
        <v>1</v>
      </c>
      <c r="H9" s="255">
        <f>H8/G8</f>
        <v>1.0563481516769886</v>
      </c>
      <c r="I9" s="343"/>
      <c r="J9" s="343"/>
      <c r="K9" s="363">
        <f>K8/H8</f>
        <v>0.99384449842156486</v>
      </c>
      <c r="L9" s="255">
        <f>L8/K8</f>
        <v>1.0062095483747702</v>
      </c>
      <c r="M9" s="343"/>
      <c r="N9" s="344"/>
      <c r="O9" s="363">
        <f>O8/L8</f>
        <v>0.99997626450831933</v>
      </c>
      <c r="P9" s="255">
        <f>P8/O8</f>
        <v>1.0548856713347574</v>
      </c>
      <c r="Q9" s="237"/>
      <c r="R9" s="344"/>
      <c r="S9" s="363">
        <f>S8/P8</f>
        <v>1.000007500356267</v>
      </c>
      <c r="T9" s="255">
        <f>T8/S8</f>
        <v>1.0098403936157447</v>
      </c>
      <c r="U9" s="237"/>
      <c r="V9" s="344"/>
      <c r="W9" s="363">
        <f>W8/T8</f>
        <v>0.99989601901366598</v>
      </c>
      <c r="X9" s="255">
        <f>X8/W8</f>
        <v>1.0621722401319211</v>
      </c>
      <c r="Y9" s="237"/>
      <c r="Z9" s="344"/>
    </row>
    <row r="10" spans="1:26" ht="18.75">
      <c r="B10" s="802"/>
      <c r="C10" s="802"/>
      <c r="D10" s="803"/>
      <c r="E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</row>
    <row r="11" spans="1:26" ht="19.5" thickBot="1">
      <c r="B11" s="794" t="s">
        <v>520</v>
      </c>
      <c r="C11" s="58"/>
      <c r="D11" s="58"/>
      <c r="E11" s="58"/>
      <c r="F11" s="58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</row>
    <row r="12" spans="1:26" ht="37.5">
      <c r="B12" s="238" t="s">
        <v>161</v>
      </c>
      <c r="C12" s="347" t="s">
        <v>21</v>
      </c>
      <c r="D12" s="240">
        <v>16457.68</v>
      </c>
      <c r="E12" s="241">
        <v>11964.016451300002</v>
      </c>
      <c r="F12" s="242">
        <v>28421.696451300002</v>
      </c>
      <c r="G12" s="240">
        <f>G18+G24</f>
        <v>17435.640000000003</v>
      </c>
      <c r="H12" s="241">
        <f>I12-G12</f>
        <v>12600.098999999998</v>
      </c>
      <c r="I12" s="781">
        <f>'[184]Кальк.2019-2023 (ДИ)'!Q112+'[184]Кальк.2019-2023 (ДИ)'!R112</f>
        <v>30035.739000000001</v>
      </c>
      <c r="J12" s="243">
        <f>I12/F12</f>
        <v>1.0567890995340701</v>
      </c>
      <c r="K12" s="240">
        <f>K13*K14/1000</f>
        <v>18239.475547499998</v>
      </c>
      <c r="L12" s="241">
        <f>M12-K12</f>
        <v>12515.414452500001</v>
      </c>
      <c r="M12" s="242">
        <f>'[184]Кальк.2019-2023 (ДИ)'!AC99+'[184]Кальк.2019-2023 (ДИ)'!AD99</f>
        <v>30754.89</v>
      </c>
      <c r="N12" s="348">
        <f>M12/I12</f>
        <v>1.0239431764938429</v>
      </c>
      <c r="O12" s="240">
        <f>O13*O14/1000-0.01</f>
        <v>18239.425899999998</v>
      </c>
      <c r="P12" s="241">
        <f>Q12-O12</f>
        <v>13224.6041</v>
      </c>
      <c r="Q12" s="242">
        <f>'[184]Кальк.2019-2023 (ДИ)'!AO99+'[184]Кальк.2019-2023 (ДИ)'!AP99</f>
        <v>31464.03</v>
      </c>
      <c r="R12" s="348">
        <f>Q12/M12</f>
        <v>1.0230577966625796</v>
      </c>
      <c r="S12" s="240">
        <f>S18+S24</f>
        <v>19273.09</v>
      </c>
      <c r="T12" s="241">
        <f>U12-S12</f>
        <v>13310.639999999996</v>
      </c>
      <c r="U12" s="242">
        <f>'[184]Кальк.2019-2023 (ДИ)'!BA99+'[184]Кальк.2019-2023 (ДИ)'!BB99</f>
        <v>32583.729999999996</v>
      </c>
      <c r="V12" s="348">
        <f>U12/Q12</f>
        <v>1.0355866683320603</v>
      </c>
      <c r="W12" s="240">
        <f>W18+W24</f>
        <v>19398.468374933338</v>
      </c>
      <c r="X12" s="241">
        <f>Y12-W12</f>
        <v>14172.291625066657</v>
      </c>
      <c r="Y12" s="242">
        <f>'[184]Кальк.2019-2023 (ДИ)'!BM99+'[184]Кальк.2019-2023 (ДИ)'!BN99</f>
        <v>33570.759999999995</v>
      </c>
      <c r="Z12" s="243">
        <f>Y12/U12</f>
        <v>1.0302921120448763</v>
      </c>
    </row>
    <row r="13" spans="1:26" ht="19.5" thickBot="1">
      <c r="B13" s="244" t="s">
        <v>227</v>
      </c>
      <c r="C13" s="980" t="s">
        <v>13</v>
      </c>
      <c r="D13" s="1546">
        <v>15859</v>
      </c>
      <c r="E13" s="1547">
        <v>10882</v>
      </c>
      <c r="F13" s="1548">
        <v>26741</v>
      </c>
      <c r="G13" s="397">
        <f>[184]индексы!E89</f>
        <v>15859</v>
      </c>
      <c r="H13" s="398">
        <f>[184]индексы!F89</f>
        <v>10882</v>
      </c>
      <c r="I13" s="1549">
        <f>G13+H13</f>
        <v>26741</v>
      </c>
      <c r="J13" s="1545">
        <f t="shared" ref="J13" si="5">I13/F13</f>
        <v>1</v>
      </c>
      <c r="K13" s="397">
        <f>[184]индексы!H89</f>
        <v>15859</v>
      </c>
      <c r="L13" s="398">
        <f>[184]индексы!I89</f>
        <v>10882</v>
      </c>
      <c r="M13" s="1231">
        <f>K13+L13</f>
        <v>26741</v>
      </c>
      <c r="N13" s="1255">
        <f t="shared" ref="N13:N14" si="6">M13/I13</f>
        <v>1</v>
      </c>
      <c r="O13" s="397">
        <f>[184]индексы!K89</f>
        <v>15859</v>
      </c>
      <c r="P13" s="398">
        <f>[184]индексы!L89</f>
        <v>10882</v>
      </c>
      <c r="Q13" s="1231">
        <f>O13+P13</f>
        <v>26741</v>
      </c>
      <c r="R13" s="1255">
        <f t="shared" ref="R13:R14" si="7">Q13/M13</f>
        <v>1</v>
      </c>
      <c r="S13" s="397">
        <f>[184]индексы!N89</f>
        <v>15859</v>
      </c>
      <c r="T13" s="398">
        <f>[184]индексы!O89</f>
        <v>10882</v>
      </c>
      <c r="U13" s="1231">
        <f>S13+T13</f>
        <v>26741</v>
      </c>
      <c r="V13" s="1255">
        <f t="shared" ref="V13:V14" si="8">U13/Q13</f>
        <v>1</v>
      </c>
      <c r="W13" s="397">
        <f>[184]индексы!Q89</f>
        <v>15859</v>
      </c>
      <c r="X13" s="398">
        <f>[184]индексы!R89</f>
        <v>10882</v>
      </c>
      <c r="Y13" s="1231">
        <f>W13+X13</f>
        <v>26741</v>
      </c>
      <c r="Z13" s="1545">
        <f t="shared" ref="Z13:Z14" si="9">Y13/U13</f>
        <v>1</v>
      </c>
    </row>
    <row r="14" spans="1:26" ht="38.25" customHeight="1" thickBot="1">
      <c r="B14" s="250" t="s">
        <v>220</v>
      </c>
      <c r="C14" s="251" t="s">
        <v>12</v>
      </c>
      <c r="D14" s="341">
        <v>1037.75</v>
      </c>
      <c r="E14" s="252">
        <v>1099.43</v>
      </c>
      <c r="F14" s="252">
        <v>1062.8499999999999</v>
      </c>
      <c r="G14" s="252">
        <f>ROUND(G12/G13*1000,3)</f>
        <v>1099.4159999999999</v>
      </c>
      <c r="H14" s="252">
        <f>ROUND(H12/H13*1000,2)</f>
        <v>1157.8800000000001</v>
      </c>
      <c r="I14" s="990">
        <f>ROUND(I12*1000/I13,3)</f>
        <v>1123.2090000000001</v>
      </c>
      <c r="J14" s="254">
        <f>I14/F14</f>
        <v>1.0567897633720658</v>
      </c>
      <c r="K14" s="341">
        <f>M14</f>
        <v>1150.1025</v>
      </c>
      <c r="L14" s="252">
        <f>L12*1000/L13</f>
        <v>1150.1024124701341</v>
      </c>
      <c r="M14" s="994">
        <f>ROUND(M12*1000/M13,4)</f>
        <v>1150.1025</v>
      </c>
      <c r="N14" s="342">
        <f t="shared" si="6"/>
        <v>1.0239434513078154</v>
      </c>
      <c r="O14" s="341">
        <f>ROUND(L14,2)</f>
        <v>1150.0999999999999</v>
      </c>
      <c r="P14" s="252">
        <f>ROUND(P12*1000/P13,2)</f>
        <v>1215.27</v>
      </c>
      <c r="Q14" s="994">
        <f>ROUND(Q12*1000/Q13,3)</f>
        <v>1176.6210000000001</v>
      </c>
      <c r="R14" s="342">
        <f t="shared" si="7"/>
        <v>1.023057510091492</v>
      </c>
      <c r="S14" s="252">
        <f>ROUND(S12/S13*1000,3)</f>
        <v>1215.278</v>
      </c>
      <c r="T14" s="252">
        <f>ROUND(T12*1000/T13,2)</f>
        <v>1223.18</v>
      </c>
      <c r="U14" s="994">
        <f>ROUND(U12*1000/U13,3)</f>
        <v>1218.4929999999999</v>
      </c>
      <c r="V14" s="342">
        <f t="shared" si="8"/>
        <v>1.0355866502467659</v>
      </c>
      <c r="W14" s="252">
        <f>ROUND(W12/W13*1000,3)</f>
        <v>1223.184</v>
      </c>
      <c r="X14" s="252">
        <f>ROUND(X12*1000/X13,2)</f>
        <v>1302.3599999999999</v>
      </c>
      <c r="Y14" s="994">
        <f>ROUND(Y12*1000/Y13,3)</f>
        <v>1255.404</v>
      </c>
      <c r="Z14" s="254">
        <f t="shared" si="9"/>
        <v>1.0302923365173211</v>
      </c>
    </row>
    <row r="15" spans="1:26" ht="18.75">
      <c r="B15" s="256" t="s">
        <v>160</v>
      </c>
      <c r="C15" s="237"/>
      <c r="D15" s="237"/>
      <c r="E15" s="255">
        <f>E14/D14</f>
        <v>1.059436280414358</v>
      </c>
      <c r="F15" s="343"/>
      <c r="G15" s="363">
        <f>G14/E14</f>
        <v>0.99998726612881206</v>
      </c>
      <c r="H15" s="255">
        <f>H14/G14</f>
        <v>1.0531773232334258</v>
      </c>
      <c r="I15" s="343"/>
      <c r="J15" s="343"/>
      <c r="K15" s="363">
        <f>K14/H14</f>
        <v>0.99328298269250692</v>
      </c>
      <c r="L15" s="255">
        <f>L14/K14</f>
        <v>0.99999992389385661</v>
      </c>
      <c r="M15" s="343"/>
      <c r="N15" s="344"/>
      <c r="O15" s="363">
        <f>O14/L14</f>
        <v>0.99999790238668484</v>
      </c>
      <c r="P15" s="255">
        <f>P14/O14</f>
        <v>1.0566646378575777</v>
      </c>
      <c r="Q15" s="237"/>
      <c r="R15" s="344"/>
      <c r="S15" s="363">
        <f>S14/P14</f>
        <v>1.0000065828992735</v>
      </c>
      <c r="T15" s="255">
        <f>T14/S14</f>
        <v>1.0065022159538806</v>
      </c>
      <c r="U15" s="237"/>
      <c r="V15" s="344"/>
      <c r="W15" s="363">
        <f>W14/T14</f>
        <v>1.0000032701646526</v>
      </c>
      <c r="X15" s="255">
        <f>X14/W14</f>
        <v>1.0647294274614447</v>
      </c>
      <c r="Y15" s="237"/>
      <c r="Z15" s="344"/>
    </row>
    <row r="16" spans="1:26" ht="18.75">
      <c r="B16" s="256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344"/>
    </row>
    <row r="17" spans="2:26" ht="19.5" thickBot="1">
      <c r="B17" s="793" t="s">
        <v>446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</row>
    <row r="18" spans="2:26" ht="37.5">
      <c r="B18" s="238" t="s">
        <v>161</v>
      </c>
      <c r="C18" s="239" t="s">
        <v>21</v>
      </c>
      <c r="D18" s="240"/>
      <c r="E18" s="241"/>
      <c r="F18" s="242"/>
      <c r="G18" s="240">
        <v>16601.170000000002</v>
      </c>
      <c r="H18" s="241">
        <f>H12-H24</f>
        <v>11996.843519999999</v>
      </c>
      <c r="I18" s="781">
        <f>G18+H18</f>
        <v>28598.01352</v>
      </c>
      <c r="J18" s="243"/>
      <c r="K18" s="240">
        <f>K19*K20/1000</f>
        <v>17366.547750000002</v>
      </c>
      <c r="L18" s="241">
        <f>M18-K18</f>
        <v>11916.211095603059</v>
      </c>
      <c r="M18" s="242">
        <f>M12-M24</f>
        <v>29282.758845603061</v>
      </c>
      <c r="N18" s="348">
        <f>M18/I18</f>
        <v>1.0239438073250851</v>
      </c>
      <c r="O18" s="240">
        <f>O19*O20/1000-0.01</f>
        <v>17366.5</v>
      </c>
      <c r="P18" s="241">
        <f>Q18-O18</f>
        <v>12591.439999999999</v>
      </c>
      <c r="Q18" s="242">
        <f>Q12-Q24</f>
        <v>29957.94</v>
      </c>
      <c r="R18" s="348">
        <f>Q18/M18</f>
        <v>1.023057293131324</v>
      </c>
      <c r="S18" s="240">
        <v>18350.7</v>
      </c>
      <c r="T18" s="241">
        <f>U18-S18</f>
        <v>12673.359999999997</v>
      </c>
      <c r="U18" s="242">
        <f>U12-U24</f>
        <v>31024.059999999998</v>
      </c>
      <c r="V18" s="348">
        <f>U18/Q18</f>
        <v>1.0355872266250616</v>
      </c>
      <c r="W18" s="240">
        <v>18470.078374933339</v>
      </c>
      <c r="X18" s="241">
        <f>Y18-W18</f>
        <v>13493.761625066658</v>
      </c>
      <c r="Y18" s="242">
        <f>Y12-Y24</f>
        <v>31963.839999999997</v>
      </c>
      <c r="Z18" s="243">
        <f>Y18/U18</f>
        <v>1.0302919733909746</v>
      </c>
    </row>
    <row r="19" spans="2:26" ht="19.5" thickBot="1">
      <c r="B19" s="244" t="s">
        <v>227</v>
      </c>
      <c r="C19" s="245" t="s">
        <v>13</v>
      </c>
      <c r="D19" s="1546"/>
      <c r="E19" s="1547"/>
      <c r="F19" s="1548"/>
      <c r="G19" s="397">
        <f>[184]индексы!E91</f>
        <v>15100</v>
      </c>
      <c r="H19" s="398">
        <f>[184]индексы!F91</f>
        <v>10361</v>
      </c>
      <c r="I19" s="1549">
        <f>G19+H19</f>
        <v>25461</v>
      </c>
      <c r="J19" s="1545"/>
      <c r="K19" s="397">
        <f>G19</f>
        <v>15100</v>
      </c>
      <c r="L19" s="398">
        <f>H19</f>
        <v>10361</v>
      </c>
      <c r="M19" s="1231">
        <f>K19+L19</f>
        <v>25461</v>
      </c>
      <c r="N19" s="1255">
        <f t="shared" ref="N19:N20" si="10">M19/I19</f>
        <v>1</v>
      </c>
      <c r="O19" s="397">
        <f>K19</f>
        <v>15100</v>
      </c>
      <c r="P19" s="398">
        <f>L19</f>
        <v>10361</v>
      </c>
      <c r="Q19" s="1231">
        <f>O19+P19</f>
        <v>25461</v>
      </c>
      <c r="R19" s="1255">
        <f t="shared" ref="R19:R20" si="11">Q19/M19</f>
        <v>1</v>
      </c>
      <c r="S19" s="791">
        <f>O19</f>
        <v>15100</v>
      </c>
      <c r="T19" s="398">
        <f>P19</f>
        <v>10361</v>
      </c>
      <c r="U19" s="792">
        <f>S19+T19</f>
        <v>25461</v>
      </c>
      <c r="V19" s="1255">
        <f t="shared" ref="V19:V20" si="12">U19/Q19</f>
        <v>1</v>
      </c>
      <c r="W19" s="791">
        <f>S19</f>
        <v>15100</v>
      </c>
      <c r="X19" s="398">
        <f>T19</f>
        <v>10361</v>
      </c>
      <c r="Y19" s="792">
        <f>W19+X19</f>
        <v>25461</v>
      </c>
      <c r="Z19" s="1545">
        <f t="shared" ref="Z19:Z20" si="13">Y19/U19</f>
        <v>1</v>
      </c>
    </row>
    <row r="20" spans="2:26" ht="38.25" customHeight="1" thickBot="1">
      <c r="B20" s="250" t="s">
        <v>220</v>
      </c>
      <c r="C20" s="251" t="s">
        <v>12</v>
      </c>
      <c r="D20" s="341"/>
      <c r="E20" s="252"/>
      <c r="F20" s="253"/>
      <c r="G20" s="252">
        <f>ROUND(G18/G19*1000,2)</f>
        <v>1099.42</v>
      </c>
      <c r="H20" s="252">
        <f>ROUND(H18/H19*1000,2)</f>
        <v>1157.8800000000001</v>
      </c>
      <c r="I20" s="252">
        <f>ROUND(I18/I19*1000,2)</f>
        <v>1123.21</v>
      </c>
      <c r="J20" s="254"/>
      <c r="K20" s="252">
        <f>M14</f>
        <v>1150.1025</v>
      </c>
      <c r="L20" s="252">
        <f>ROUND(L18/L19*1000,2)</f>
        <v>1150.0999999999999</v>
      </c>
      <c r="M20" s="994">
        <f>M18/M19*1000</f>
        <v>1150.1024643809378</v>
      </c>
      <c r="N20" s="342">
        <f t="shared" si="10"/>
        <v>1.0239425079735203</v>
      </c>
      <c r="O20" s="341">
        <f>L20</f>
        <v>1150.0999999999999</v>
      </c>
      <c r="P20" s="252">
        <f>ROUND(P18/P19*1000,2)</f>
        <v>1215.27</v>
      </c>
      <c r="Q20" s="994">
        <f>ROUND(Q18/Q19*1000,2)</f>
        <v>1176.6199999999999</v>
      </c>
      <c r="R20" s="342">
        <f t="shared" si="11"/>
        <v>1.0230566722881822</v>
      </c>
      <c r="S20" s="252">
        <f>ROUND(S18/S19*1000,2)</f>
        <v>1215.28</v>
      </c>
      <c r="T20" s="252">
        <f>ROUND(T18/T19*1000,2)</f>
        <v>1223.18</v>
      </c>
      <c r="U20" s="994">
        <f>ROUND(U18/U19*1000,2)</f>
        <v>1218.49</v>
      </c>
      <c r="V20" s="342">
        <f t="shared" si="12"/>
        <v>1.0355849807074502</v>
      </c>
      <c r="W20" s="252">
        <f>ROUND(W18/W19*1000,2)</f>
        <v>1223.18</v>
      </c>
      <c r="X20" s="252">
        <f>ROUND(X18/X19*1000,2)</f>
        <v>1302.3599999999999</v>
      </c>
      <c r="Y20" s="994">
        <f>ROUND(Y18/Y19*1000,2)</f>
        <v>1255.4000000000001</v>
      </c>
      <c r="Z20" s="254">
        <f t="shared" si="13"/>
        <v>1.0302915904110825</v>
      </c>
    </row>
    <row r="21" spans="2:26" ht="18.75">
      <c r="B21" s="256" t="s">
        <v>160</v>
      </c>
      <c r="C21" s="237"/>
      <c r="D21" s="237"/>
      <c r="E21" s="255"/>
      <c r="F21" s="343"/>
      <c r="G21" s="363"/>
      <c r="H21" s="255">
        <f>H20/G20</f>
        <v>1.0531734914773245</v>
      </c>
      <c r="I21" s="343"/>
      <c r="J21" s="343"/>
      <c r="K21" s="363">
        <f>K20/H20</f>
        <v>0.99328298269250692</v>
      </c>
      <c r="L21" s="255">
        <f>L20/K20</f>
        <v>0.999997826280701</v>
      </c>
      <c r="M21" s="343"/>
      <c r="N21" s="344"/>
      <c r="O21" s="363">
        <f>O20/L20</f>
        <v>1</v>
      </c>
      <c r="P21" s="255">
        <f>P20/O20</f>
        <v>1.0566646378575777</v>
      </c>
      <c r="Q21" s="237"/>
      <c r="R21" s="344"/>
      <c r="S21" s="363">
        <f>S20/P20</f>
        <v>1.0000082286240917</v>
      </c>
      <c r="T21" s="255">
        <f>T20/S20</f>
        <v>1.0065005595418341</v>
      </c>
      <c r="U21" s="237"/>
      <c r="V21" s="344"/>
      <c r="W21" s="363">
        <f>W20/T20</f>
        <v>1</v>
      </c>
      <c r="X21" s="255">
        <f>X20/W20</f>
        <v>1.0647329093019833</v>
      </c>
      <c r="Y21" s="237"/>
      <c r="Z21" s="344"/>
    </row>
    <row r="22" spans="2:26" ht="18.75">
      <c r="B22" s="256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2:26" ht="19.5" thickBot="1">
      <c r="B23" s="793" t="s">
        <v>447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</row>
    <row r="24" spans="2:26" ht="37.5">
      <c r="B24" s="238" t="s">
        <v>161</v>
      </c>
      <c r="C24" s="239" t="s">
        <v>21</v>
      </c>
      <c r="D24" s="240"/>
      <c r="E24" s="241"/>
      <c r="F24" s="242"/>
      <c r="G24" s="240">
        <f>ROUND(G25*G26/1000,2)</f>
        <v>834.47</v>
      </c>
      <c r="H24" s="241">
        <f>H25*H26/1000</f>
        <v>603.25548000000015</v>
      </c>
      <c r="I24" s="781">
        <f>G24+H24</f>
        <v>1437.7254800000001</v>
      </c>
      <c r="J24" s="243"/>
      <c r="K24" s="240">
        <f>K25*K26/1000</f>
        <v>872.9277975</v>
      </c>
      <c r="L24" s="241">
        <f>L25*L26/1000</f>
        <v>599.20335689693991</v>
      </c>
      <c r="M24" s="242">
        <f>K24+L24</f>
        <v>1472.13115439694</v>
      </c>
      <c r="N24" s="348">
        <f>M24/I24</f>
        <v>1.02393062853483</v>
      </c>
      <c r="O24" s="240">
        <f>ROUND(O25*O26/1000,2)</f>
        <v>872.93</v>
      </c>
      <c r="P24" s="241">
        <f>ROUND(P25*P26/1000,2)</f>
        <v>633.16</v>
      </c>
      <c r="Q24" s="242">
        <f>O24+P24</f>
        <v>1506.09</v>
      </c>
      <c r="R24" s="348">
        <f>Q24/M24</f>
        <v>1.0230678126073429</v>
      </c>
      <c r="S24" s="240">
        <f>ROUND(S25*S26/1000,2)</f>
        <v>922.39</v>
      </c>
      <c r="T24" s="241">
        <f>ROUND(T25*T26/1000,2)</f>
        <v>637.28</v>
      </c>
      <c r="U24" s="242">
        <f>S24+T24</f>
        <v>1559.67</v>
      </c>
      <c r="V24" s="348">
        <f>U24/Q24</f>
        <v>1.0355755632133539</v>
      </c>
      <c r="W24" s="240">
        <f>ROUND(W25*W26/1000,2)</f>
        <v>928.39</v>
      </c>
      <c r="X24" s="241">
        <f>ROUND(X25*X26/1000,2)</f>
        <v>678.53</v>
      </c>
      <c r="Y24" s="242">
        <f>W24+X24</f>
        <v>1606.92</v>
      </c>
      <c r="Z24" s="243">
        <f>Y24/U24</f>
        <v>1.0302948700686683</v>
      </c>
    </row>
    <row r="25" spans="2:26" ht="19.5" thickBot="1">
      <c r="B25" s="244" t="s">
        <v>227</v>
      </c>
      <c r="C25" s="245" t="s">
        <v>13</v>
      </c>
      <c r="D25" s="1546"/>
      <c r="E25" s="1547"/>
      <c r="F25" s="1548"/>
      <c r="G25" s="397">
        <f>[184]индексы!E90</f>
        <v>759</v>
      </c>
      <c r="H25" s="398">
        <f>[184]индексы!F90</f>
        <v>521</v>
      </c>
      <c r="I25" s="1549">
        <f>G25+H25</f>
        <v>1280</v>
      </c>
      <c r="J25" s="1545"/>
      <c r="K25" s="397">
        <f>G25</f>
        <v>759</v>
      </c>
      <c r="L25" s="398">
        <f>H25</f>
        <v>521</v>
      </c>
      <c r="M25" s="1231">
        <f>K25+L25</f>
        <v>1280</v>
      </c>
      <c r="N25" s="1255">
        <f t="shared" ref="N25:N26" si="14">M25/I25</f>
        <v>1</v>
      </c>
      <c r="O25" s="397">
        <f>K25</f>
        <v>759</v>
      </c>
      <c r="P25" s="398">
        <f>L25</f>
        <v>521</v>
      </c>
      <c r="Q25" s="1231">
        <f>O25+P25</f>
        <v>1280</v>
      </c>
      <c r="R25" s="1255">
        <f t="shared" ref="R25:R26" si="15">Q25/M25</f>
        <v>1</v>
      </c>
      <c r="S25" s="791">
        <f>O25</f>
        <v>759</v>
      </c>
      <c r="T25" s="398">
        <f>P25</f>
        <v>521</v>
      </c>
      <c r="U25" s="1231">
        <f>S25+T25</f>
        <v>1280</v>
      </c>
      <c r="V25" s="1255">
        <f t="shared" ref="V25:V26" si="16">U25/Q25</f>
        <v>1</v>
      </c>
      <c r="W25" s="397">
        <f>S25</f>
        <v>759</v>
      </c>
      <c r="X25" s="398">
        <f>T25</f>
        <v>521</v>
      </c>
      <c r="Y25" s="1231">
        <f>W25+X25</f>
        <v>1280</v>
      </c>
      <c r="Z25" s="1545">
        <f t="shared" ref="Z25:Z26" si="17">Y25/U25</f>
        <v>1</v>
      </c>
    </row>
    <row r="26" spans="2:26" ht="38.25" customHeight="1" thickBot="1">
      <c r="B26" s="250" t="s">
        <v>220</v>
      </c>
      <c r="C26" s="251" t="s">
        <v>12</v>
      </c>
      <c r="D26" s="341"/>
      <c r="E26" s="252"/>
      <c r="F26" s="253"/>
      <c r="G26" s="341">
        <v>1099.43</v>
      </c>
      <c r="H26" s="252">
        <f>ROUND(H14,2)</f>
        <v>1157.8800000000001</v>
      </c>
      <c r="I26" s="252">
        <f>ROUND(I24/I25*1000,2)</f>
        <v>1123.22</v>
      </c>
      <c r="J26" s="254"/>
      <c r="K26" s="341">
        <f>M14</f>
        <v>1150.1025</v>
      </c>
      <c r="L26" s="252">
        <f>L14</f>
        <v>1150.1024124701341</v>
      </c>
      <c r="M26" s="994">
        <f>ROUND(M24/M25*1000,2)</f>
        <v>1150.0999999999999</v>
      </c>
      <c r="N26" s="342">
        <f t="shared" si="14"/>
        <v>1.0239311978063068</v>
      </c>
      <c r="O26" s="341">
        <f>L26</f>
        <v>1150.1024124701341</v>
      </c>
      <c r="P26" s="252">
        <f>P14</f>
        <v>1215.27</v>
      </c>
      <c r="Q26" s="994">
        <f>ROUND(Q24/Q25*1000,2)</f>
        <v>1176.6300000000001</v>
      </c>
      <c r="R26" s="342">
        <f t="shared" si="15"/>
        <v>1.0230675593426661</v>
      </c>
      <c r="S26" s="341">
        <f>P26</f>
        <v>1215.27</v>
      </c>
      <c r="T26" s="252">
        <f>T14</f>
        <v>1223.18</v>
      </c>
      <c r="U26" s="994">
        <f>ROUND(U24/U25*1000,2)</f>
        <v>1218.49</v>
      </c>
      <c r="V26" s="342">
        <f t="shared" si="16"/>
        <v>1.0355761794276874</v>
      </c>
      <c r="W26" s="341">
        <f>T26</f>
        <v>1223.18</v>
      </c>
      <c r="X26" s="252">
        <f>X14</f>
        <v>1302.3599999999999</v>
      </c>
      <c r="Y26" s="994">
        <f>ROUND(Y24/Y25*1000,2)</f>
        <v>1255.4100000000001</v>
      </c>
      <c r="Z26" s="254">
        <f t="shared" si="17"/>
        <v>1.0302997972900887</v>
      </c>
    </row>
    <row r="27" spans="2:26" ht="18.75">
      <c r="B27" s="256" t="s">
        <v>160</v>
      </c>
      <c r="C27" s="237"/>
      <c r="D27" s="237"/>
      <c r="E27" s="255"/>
      <c r="F27" s="343"/>
      <c r="G27" s="363"/>
      <c r="H27" s="255">
        <f>H26/G26</f>
        <v>1.0531639122090539</v>
      </c>
      <c r="I27" s="343"/>
      <c r="J27" s="343"/>
      <c r="K27" s="363">
        <f>K26/H26</f>
        <v>0.99328298269250692</v>
      </c>
      <c r="L27" s="255">
        <f>L26/K26</f>
        <v>0.99999992389385661</v>
      </c>
      <c r="M27" s="343"/>
      <c r="N27" s="344"/>
      <c r="O27" s="363">
        <f>O26/L26</f>
        <v>1</v>
      </c>
      <c r="P27" s="255">
        <f>P26/O26</f>
        <v>1.0566624213837637</v>
      </c>
      <c r="Q27" s="237"/>
      <c r="R27" s="344"/>
      <c r="S27" s="363">
        <f>S26/P26</f>
        <v>1</v>
      </c>
      <c r="T27" s="255">
        <f>T26/S26</f>
        <v>1.0065088416565866</v>
      </c>
      <c r="U27" s="237"/>
      <c r="V27" s="344"/>
      <c r="W27" s="363">
        <f>W26/T26</f>
        <v>1</v>
      </c>
      <c r="X27" s="255">
        <f>X26/W26</f>
        <v>1.0647329093019833</v>
      </c>
      <c r="Y27" s="237"/>
      <c r="Z27" s="344"/>
    </row>
    <row r="28" spans="2:26" ht="18.75">
      <c r="B28" s="256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</row>
    <row r="29" spans="2:26" ht="18.75" outlineLevel="1">
      <c r="B29" s="795" t="s">
        <v>448</v>
      </c>
      <c r="C29" s="796"/>
      <c r="D29" s="796"/>
      <c r="E29" s="58"/>
      <c r="F29" s="58"/>
      <c r="G29" s="58"/>
      <c r="H29" s="58"/>
      <c r="I29" s="58"/>
      <c r="J29" s="58"/>
      <c r="K29" s="58"/>
      <c r="L29" s="58"/>
      <c r="M29" s="406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2:26" ht="19.5" outlineLevel="1" thickBot="1">
      <c r="B30" s="794" t="s">
        <v>267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2:26" ht="37.5" outlineLevel="1">
      <c r="B31" s="238" t="s">
        <v>161</v>
      </c>
      <c r="C31" s="239" t="s">
        <v>1</v>
      </c>
      <c r="D31" s="240">
        <f>D37+D43</f>
        <v>1456.75</v>
      </c>
      <c r="E31" s="241">
        <f>E37+E43</f>
        <v>1056.2</v>
      </c>
      <c r="F31" s="242">
        <f>D31+E31</f>
        <v>2512.9499999999998</v>
      </c>
      <c r="G31" s="240">
        <f>G37+G43</f>
        <v>1539.51</v>
      </c>
      <c r="H31" s="241">
        <f>H37+H43</f>
        <v>1153.7600000000002</v>
      </c>
      <c r="I31" s="242">
        <f>'[184]Кальк.2019-2023 (ДИ)'!T109</f>
        <v>2693.27</v>
      </c>
      <c r="J31" s="348">
        <f>I31/F31</f>
        <v>1.0717563023538073</v>
      </c>
      <c r="K31" s="240">
        <f>K37+K43</f>
        <v>1681.44</v>
      </c>
      <c r="L31" s="241">
        <f>L37+L43</f>
        <v>1238.6599999999999</v>
      </c>
      <c r="M31" s="242">
        <f>'[184]Кальк.2019-2023 (ДИ)'!AF99</f>
        <v>2920.1</v>
      </c>
      <c r="N31" s="348">
        <f>M31/I31</f>
        <v>1.0842210398511847</v>
      </c>
      <c r="O31" s="240">
        <f>O37+O43</f>
        <v>1804.71</v>
      </c>
      <c r="P31" s="241">
        <f>P37+P43</f>
        <v>1284.0500000000002</v>
      </c>
      <c r="Q31" s="242">
        <f>'[184]Кальк.2019-2023 (ДИ)'!AR99</f>
        <v>3088.76</v>
      </c>
      <c r="R31" s="348">
        <f>Q31/M31</f>
        <v>1.057758295948769</v>
      </c>
      <c r="S31" s="240">
        <f>S37+S43</f>
        <v>1871.3200000000002</v>
      </c>
      <c r="T31" s="241">
        <f>U31-S31</f>
        <v>1340.9</v>
      </c>
      <c r="U31" s="242">
        <f>'[184]Кальк.2019-2023 (ДИ)'!BD99</f>
        <v>3212.2200000000003</v>
      </c>
      <c r="V31" s="348">
        <f>U31/Q31</f>
        <v>1.0399707325917196</v>
      </c>
      <c r="W31" s="240">
        <f>W37+W43</f>
        <v>1951.8</v>
      </c>
      <c r="X31" s="241">
        <f>Y31-W31</f>
        <v>1388.51</v>
      </c>
      <c r="Y31" s="242">
        <f>'[184]Кальк.2019-2023 (ДИ)'!BP99</f>
        <v>3340.31</v>
      </c>
      <c r="Z31" s="243">
        <f>Y31/U31</f>
        <v>1.0398758491012445</v>
      </c>
    </row>
    <row r="32" spans="2:26" ht="38.25" outlineLevel="1" thickBot="1">
      <c r="B32" s="244" t="s">
        <v>183</v>
      </c>
      <c r="C32" s="245" t="s">
        <v>29</v>
      </c>
      <c r="D32" s="1546">
        <f>D38+D44</f>
        <v>60425.630000000005</v>
      </c>
      <c r="E32" s="1546">
        <f>E38+E44</f>
        <v>41462.369999999995</v>
      </c>
      <c r="F32" s="1548">
        <f>D32+E32</f>
        <v>101888</v>
      </c>
      <c r="G32" s="1546">
        <f>G38+G44</f>
        <v>60425.630000000005</v>
      </c>
      <c r="H32" s="1546">
        <f>H38+H44</f>
        <v>41462.369999999995</v>
      </c>
      <c r="I32" s="1548">
        <f>[184]индексы!G95</f>
        <v>101888</v>
      </c>
      <c r="J32" s="1255">
        <f>I32/F32</f>
        <v>1</v>
      </c>
      <c r="K32" s="791">
        <f>[184]индексы!H95</f>
        <v>60425.63</v>
      </c>
      <c r="L32" s="398">
        <f>[184]индексы!I95</f>
        <v>41462.370000000003</v>
      </c>
      <c r="M32" s="792">
        <f>[184]индексы!J95</f>
        <v>101888</v>
      </c>
      <c r="N32" s="1255">
        <f t="shared" ref="N32:N33" si="18">M32/I32</f>
        <v>1</v>
      </c>
      <c r="O32" s="791">
        <f>K32</f>
        <v>60425.63</v>
      </c>
      <c r="P32" s="398">
        <f>L32</f>
        <v>41462.370000000003</v>
      </c>
      <c r="Q32" s="792">
        <f>[184]индексы!M95</f>
        <v>101888</v>
      </c>
      <c r="R32" s="1255">
        <f t="shared" ref="R32:R33" si="19">Q32/M32</f>
        <v>1</v>
      </c>
      <c r="S32" s="791">
        <f>[184]индексы!N95</f>
        <v>60425.63</v>
      </c>
      <c r="T32" s="398">
        <f>[184]индексы!O95</f>
        <v>41462.370000000003</v>
      </c>
      <c r="U32" s="792">
        <f>[184]индексы!P95</f>
        <v>101888</v>
      </c>
      <c r="V32" s="1255">
        <f>U32/Q32</f>
        <v>1</v>
      </c>
      <c r="W32" s="397">
        <f>[184]индексы!Q95</f>
        <v>60425.63</v>
      </c>
      <c r="X32" s="398">
        <f>[184]индексы!R95</f>
        <v>41462.370000000003</v>
      </c>
      <c r="Y32" s="1544">
        <f>[184]индексы!S95</f>
        <v>101888</v>
      </c>
      <c r="Z32" s="1545">
        <f>Y32/U32</f>
        <v>1</v>
      </c>
    </row>
    <row r="33" spans="1:26" ht="38.25" outlineLevel="1" thickBot="1">
      <c r="B33" s="250" t="s">
        <v>4</v>
      </c>
      <c r="C33" s="251" t="s">
        <v>19</v>
      </c>
      <c r="D33" s="252">
        <f t="shared" ref="D33:I33" si="20">ROUND(D31/D32*1000,2)</f>
        <v>24.11</v>
      </c>
      <c r="E33" s="252">
        <f t="shared" si="20"/>
        <v>25.47</v>
      </c>
      <c r="F33" s="253">
        <f t="shared" si="20"/>
        <v>24.66</v>
      </c>
      <c r="G33" s="252">
        <f>ROUND(G31/G32*1000,2)</f>
        <v>25.48</v>
      </c>
      <c r="H33" s="252">
        <f>ROUND(H31/H32*1000,2)</f>
        <v>27.83</v>
      </c>
      <c r="I33" s="253">
        <f t="shared" si="20"/>
        <v>26.43</v>
      </c>
      <c r="J33" s="342">
        <f>I33/F33</f>
        <v>1.0717761557177616</v>
      </c>
      <c r="K33" s="252">
        <f>ROUND(K31/K32*1000,2)</f>
        <v>27.83</v>
      </c>
      <c r="L33" s="252">
        <f>ROUND(L31/L32*1000,2)</f>
        <v>29.87</v>
      </c>
      <c r="M33" s="253">
        <f>ROUND(M31/M32*1000,2)</f>
        <v>28.66</v>
      </c>
      <c r="N33" s="342">
        <f t="shared" si="18"/>
        <v>1.0843738176314794</v>
      </c>
      <c r="O33" s="252">
        <f>ROUND(O31/O32*1000,2)</f>
        <v>29.87</v>
      </c>
      <c r="P33" s="252">
        <f>ROUND(P31/P32*1000,2)</f>
        <v>30.97</v>
      </c>
      <c r="Q33" s="790">
        <f>ROUND(Q31/Q32*1000,2)</f>
        <v>30.32</v>
      </c>
      <c r="R33" s="342">
        <f t="shared" si="19"/>
        <v>1.0579204466154919</v>
      </c>
      <c r="S33" s="252">
        <f>ROUND(S31/S32*1000,2)</f>
        <v>30.97</v>
      </c>
      <c r="T33" s="252">
        <f>ROUND(T31/T32*1000,2)</f>
        <v>32.340000000000003</v>
      </c>
      <c r="U33" s="253">
        <f>ROUND(U31/U32*1000,2)</f>
        <v>31.53</v>
      </c>
      <c r="V33" s="342">
        <f t="shared" ref="V33" si="21">U33/Q33</f>
        <v>1.0399076517150396</v>
      </c>
      <c r="W33" s="252">
        <f>ROUND(W31/W32*1000,2)</f>
        <v>32.299999999999997</v>
      </c>
      <c r="X33" s="252">
        <f>ROUND(X31/X32*1000,2)</f>
        <v>33.49</v>
      </c>
      <c r="Y33" s="253">
        <f>ROUND(Y31/Y32*1000,2)</f>
        <v>32.78</v>
      </c>
      <c r="Z33" s="254">
        <f>Y33/U33</f>
        <v>1.0396447827465904</v>
      </c>
    </row>
    <row r="34" spans="1:26" ht="18.75" outlineLevel="1">
      <c r="B34" s="256" t="s">
        <v>160</v>
      </c>
      <c r="C34" s="237"/>
      <c r="D34" s="237"/>
      <c r="E34" s="255">
        <f>E33/D33</f>
        <v>1.056408129406885</v>
      </c>
      <c r="F34" s="343"/>
      <c r="G34" s="363">
        <f>G33/E33</f>
        <v>1.0003926187671772</v>
      </c>
      <c r="H34" s="255">
        <f>H33/G33</f>
        <v>1.0922291993720565</v>
      </c>
      <c r="I34" s="237"/>
      <c r="J34" s="344"/>
      <c r="K34" s="363">
        <f>K33/H33</f>
        <v>1</v>
      </c>
      <c r="L34" s="255">
        <f>L33/K33</f>
        <v>1.0733021918792671</v>
      </c>
      <c r="M34" s="237"/>
      <c r="N34" s="237"/>
      <c r="O34" s="363">
        <f>O33/L33</f>
        <v>1</v>
      </c>
      <c r="P34" s="255">
        <f>P33/O33</f>
        <v>1.0368262470706393</v>
      </c>
      <c r="Q34" s="237"/>
      <c r="R34" s="237"/>
      <c r="S34" s="363">
        <f>S33/P33</f>
        <v>1</v>
      </c>
      <c r="T34" s="255">
        <f>T33/S33</f>
        <v>1.0442363577655798</v>
      </c>
      <c r="U34" s="237"/>
      <c r="V34" s="237"/>
      <c r="W34" s="363">
        <f>W33/T33</f>
        <v>0.99876314162028423</v>
      </c>
      <c r="X34" s="255">
        <f>X33/W33</f>
        <v>1.036842105263158</v>
      </c>
      <c r="Y34" s="237"/>
      <c r="Z34" s="237"/>
    </row>
    <row r="35" spans="1:26" ht="18.75" outlineLevel="1">
      <c r="B35" s="256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</row>
    <row r="36" spans="1:26" ht="19.5" thickBot="1">
      <c r="B36" s="793" t="s">
        <v>446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</row>
    <row r="37" spans="1:26" ht="37.5">
      <c r="B37" s="238" t="s">
        <v>161</v>
      </c>
      <c r="C37" s="239" t="s">
        <v>1</v>
      </c>
      <c r="D37" s="240">
        <v>1350.51</v>
      </c>
      <c r="E37" s="241">
        <v>973.02</v>
      </c>
      <c r="F37" s="781">
        <v>2323.5299999999997</v>
      </c>
      <c r="G37" s="240">
        <f>ROUND(G38*G39/1000,2)</f>
        <v>1418.26</v>
      </c>
      <c r="H37" s="241">
        <f>'[184]переменные на 5 лет'!E121</f>
        <v>1066.1500000000001</v>
      </c>
      <c r="I37" s="242">
        <f>G37+H37</f>
        <v>2484.41</v>
      </c>
      <c r="J37" s="348">
        <f>I37/F37</f>
        <v>1.0692394761419048</v>
      </c>
      <c r="K37" s="240">
        <f>ROUND(K38*K39/1000,2)</f>
        <v>1553.77</v>
      </c>
      <c r="L37" s="241">
        <f>ROUND(L38*L39/1000,2)</f>
        <v>1140.77</v>
      </c>
      <c r="M37" s="242">
        <f>K37+L37</f>
        <v>2694.54</v>
      </c>
      <c r="N37" s="348">
        <f>M37/I37</f>
        <v>1.0845794373714484</v>
      </c>
      <c r="O37" s="240">
        <f>ROUND(O38*O39/1000,2)</f>
        <v>1662.52</v>
      </c>
      <c r="P37" s="241">
        <f>ROUND(P38*P39/1000,2)</f>
        <v>1186.48</v>
      </c>
      <c r="Q37" s="242">
        <f>O37+P37</f>
        <v>2849</v>
      </c>
      <c r="R37" s="348">
        <f>Q37/M37</f>
        <v>1.0573233279149687</v>
      </c>
      <c r="S37" s="240">
        <f>ROUND(S38*S39/1000,2)</f>
        <v>1729.13</v>
      </c>
      <c r="T37" s="241">
        <f>ROUND(T38*T39/1000,2)</f>
        <v>1233.75</v>
      </c>
      <c r="U37" s="242">
        <f>S37+T37</f>
        <v>2962.88</v>
      </c>
      <c r="V37" s="348">
        <f>U37/Q37</f>
        <v>1.03997191997192</v>
      </c>
      <c r="W37" s="240">
        <f>ROUND(W38*W39/1000,2)</f>
        <v>1798.02</v>
      </c>
      <c r="X37" s="241">
        <f>ROUND(X38*X39/1000,2)+0.01</f>
        <v>1282.99</v>
      </c>
      <c r="Y37" s="242">
        <f>W37+X37</f>
        <v>3081.01</v>
      </c>
      <c r="Z37" s="992">
        <f>Y37/U37</f>
        <v>1.0398699913597582</v>
      </c>
    </row>
    <row r="38" spans="1:26" ht="38.25" thickBot="1">
      <c r="B38" s="244" t="s">
        <v>183</v>
      </c>
      <c r="C38" s="245" t="s">
        <v>29</v>
      </c>
      <c r="D38" s="1546">
        <v>56935.48</v>
      </c>
      <c r="E38" s="1547">
        <v>39067.519999999997</v>
      </c>
      <c r="F38" s="1252">
        <v>96003</v>
      </c>
      <c r="G38" s="981">
        <f>'[184]переменные на 5 лет'!D117</f>
        <v>56935.48</v>
      </c>
      <c r="H38" s="398">
        <f>'[184]переменные на 5 лет'!E117</f>
        <v>39067.519999999997</v>
      </c>
      <c r="I38" s="982">
        <f>G38+H38</f>
        <v>96003</v>
      </c>
      <c r="J38" s="1255">
        <f t="shared" ref="J38:J39" si="22">I38/F38</f>
        <v>1</v>
      </c>
      <c r="K38" s="981">
        <f>G38</f>
        <v>56935.48</v>
      </c>
      <c r="L38" s="398">
        <f>H38</f>
        <v>39067.519999999997</v>
      </c>
      <c r="M38" s="982">
        <f>K38+L38</f>
        <v>96003</v>
      </c>
      <c r="N38" s="1255">
        <f t="shared" ref="N38:N39" si="23">M38/I38</f>
        <v>1</v>
      </c>
      <c r="O38" s="981">
        <f>K38</f>
        <v>56935.48</v>
      </c>
      <c r="P38" s="398">
        <f>L38</f>
        <v>39067.519999999997</v>
      </c>
      <c r="Q38" s="982">
        <f>O38+P38</f>
        <v>96003</v>
      </c>
      <c r="R38" s="1255">
        <f t="shared" ref="R38:R39" si="24">Q38/M38</f>
        <v>1</v>
      </c>
      <c r="S38" s="981">
        <f>O38</f>
        <v>56935.48</v>
      </c>
      <c r="T38" s="398">
        <f>P38</f>
        <v>39067.519999999997</v>
      </c>
      <c r="U38" s="982">
        <f>S38+T38</f>
        <v>96003</v>
      </c>
      <c r="V38" s="1255">
        <f t="shared" ref="V38:V39" si="25">U38/Q38</f>
        <v>1</v>
      </c>
      <c r="W38" s="981">
        <f>S38</f>
        <v>56935.48</v>
      </c>
      <c r="X38" s="398">
        <f>T38</f>
        <v>39067.519999999997</v>
      </c>
      <c r="Y38" s="982">
        <f>W38+X38</f>
        <v>96003</v>
      </c>
      <c r="Z38" s="1253">
        <f t="shared" ref="Z38:Z39" si="26">Y38/U38</f>
        <v>1</v>
      </c>
    </row>
    <row r="39" spans="1:26" ht="38.25" customHeight="1" thickBot="1">
      <c r="B39" s="250" t="s">
        <v>4</v>
      </c>
      <c r="C39" s="251" t="s">
        <v>19</v>
      </c>
      <c r="D39" s="341">
        <v>23.72</v>
      </c>
      <c r="E39" s="252">
        <v>24.905999999999999</v>
      </c>
      <c r="F39" s="253">
        <v>24.2</v>
      </c>
      <c r="G39" s="789">
        <f>ROUND(E39,2)</f>
        <v>24.91</v>
      </c>
      <c r="H39" s="252">
        <f>ROUND(H37/H38*1000,2)</f>
        <v>27.29</v>
      </c>
      <c r="I39" s="1254">
        <f>I37/I38*1000</f>
        <v>25.878462131391725</v>
      </c>
      <c r="J39" s="254">
        <f t="shared" si="22"/>
        <v>1.0693579393137076</v>
      </c>
      <c r="K39" s="789">
        <f>H39</f>
        <v>27.29</v>
      </c>
      <c r="L39" s="788">
        <f>ROUND(K39*[184]индексы!I11,2)</f>
        <v>29.2</v>
      </c>
      <c r="M39" s="790">
        <f>M37/M38*1000</f>
        <v>28.067247898503172</v>
      </c>
      <c r="N39" s="342">
        <f t="shared" si="23"/>
        <v>1.0845794373714486</v>
      </c>
      <c r="O39" s="789">
        <f>L39</f>
        <v>29.2</v>
      </c>
      <c r="P39" s="788">
        <f>ROUND(O39*[184]индексы!J11,2)</f>
        <v>30.37</v>
      </c>
      <c r="Q39" s="790">
        <f>Q37/Q38*1000</f>
        <v>29.676155953459787</v>
      </c>
      <c r="R39" s="342">
        <f t="shared" si="24"/>
        <v>1.0573233279149687</v>
      </c>
      <c r="S39" s="789">
        <f>P39</f>
        <v>30.37</v>
      </c>
      <c r="T39" s="788">
        <f>ROUND(S39*[184]индексы!K11,2)</f>
        <v>31.58</v>
      </c>
      <c r="U39" s="790">
        <f>U37/U38*1000</f>
        <v>30.862368884305699</v>
      </c>
      <c r="V39" s="342">
        <f t="shared" si="25"/>
        <v>1.03997191997192</v>
      </c>
      <c r="W39" s="789">
        <f>T39</f>
        <v>31.58</v>
      </c>
      <c r="X39" s="788">
        <f>ROUND(W39*[184]индексы!L11,2)</f>
        <v>32.840000000000003</v>
      </c>
      <c r="Y39" s="790">
        <f>Y37/Y38*1000</f>
        <v>32.092851265064638</v>
      </c>
      <c r="Z39" s="254">
        <f t="shared" si="26"/>
        <v>1.0398699913597582</v>
      </c>
    </row>
    <row r="40" spans="1:26" ht="18.75">
      <c r="B40" s="256" t="s">
        <v>160</v>
      </c>
      <c r="C40" s="237"/>
      <c r="D40" s="237"/>
      <c r="E40" s="255">
        <f>E39/D39</f>
        <v>1.05</v>
      </c>
      <c r="F40" s="343"/>
      <c r="G40" s="363">
        <f>G39/E39</f>
        <v>1.0001606038705533</v>
      </c>
      <c r="H40" s="255">
        <f>H39/G39</f>
        <v>1.0955439582496989</v>
      </c>
      <c r="I40" s="343"/>
      <c r="J40" s="343"/>
      <c r="K40" s="363">
        <f>K39/H39</f>
        <v>1</v>
      </c>
      <c r="L40" s="255">
        <f>L39/K39</f>
        <v>1.0699890069622573</v>
      </c>
      <c r="M40" s="237"/>
      <c r="N40" s="344"/>
      <c r="O40" s="363">
        <f>O39/L39</f>
        <v>1</v>
      </c>
      <c r="P40" s="255">
        <f>P39/O39</f>
        <v>1.0400684931506849</v>
      </c>
      <c r="Q40" s="237"/>
      <c r="R40" s="344"/>
      <c r="S40" s="363">
        <f>S39/P39</f>
        <v>1</v>
      </c>
      <c r="T40" s="255">
        <f>T39/S39</f>
        <v>1.0398419492920645</v>
      </c>
      <c r="U40" s="237"/>
      <c r="V40" s="344"/>
      <c r="W40" s="363">
        <f>W39/T39</f>
        <v>1</v>
      </c>
      <c r="X40" s="255">
        <f>X39/W39</f>
        <v>1.039898670044332</v>
      </c>
      <c r="Y40" s="237"/>
      <c r="Z40" s="344"/>
    </row>
    <row r="41" spans="1:26" ht="18.75">
      <c r="B41" s="256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</row>
    <row r="42" spans="1:26" ht="19.5" thickBot="1">
      <c r="B42" s="793" t="s">
        <v>447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</row>
    <row r="43" spans="1:26" ht="37.5">
      <c r="B43" s="238" t="s">
        <v>161</v>
      </c>
      <c r="C43" s="239" t="s">
        <v>1</v>
      </c>
      <c r="D43" s="240">
        <v>106.24</v>
      </c>
      <c r="E43" s="241">
        <v>83.180000000000078</v>
      </c>
      <c r="F43" s="781">
        <v>189.42000000000007</v>
      </c>
      <c r="G43" s="240">
        <f>ROUND(G44*G45/1000,2)</f>
        <v>121.25</v>
      </c>
      <c r="H43" s="241">
        <f>I43-G43</f>
        <v>87.610000000000127</v>
      </c>
      <c r="I43" s="242">
        <f>I31-I37</f>
        <v>208.86000000000013</v>
      </c>
      <c r="J43" s="348">
        <f>I43/F43</f>
        <v>1.1026290782388346</v>
      </c>
      <c r="K43" s="240">
        <f>ROUND(K44*K45/1000,2)</f>
        <v>127.67</v>
      </c>
      <c r="L43" s="241">
        <f>M43-K43</f>
        <v>97.889999999999944</v>
      </c>
      <c r="M43" s="242">
        <f>M31-M37</f>
        <v>225.55999999999995</v>
      </c>
      <c r="N43" s="348">
        <f>M43/I43</f>
        <v>1.079957866513453</v>
      </c>
      <c r="O43" s="240">
        <f>ROUND(O44*O45/1000,2)</f>
        <v>142.19</v>
      </c>
      <c r="P43" s="241">
        <f>Q43-O43</f>
        <v>97.570000000000221</v>
      </c>
      <c r="Q43" s="242">
        <f>Q31-Q37</f>
        <v>239.76000000000022</v>
      </c>
      <c r="R43" s="348">
        <f>Q43/M43</f>
        <v>1.06295442454336</v>
      </c>
      <c r="S43" s="240">
        <f>ROUND(S44*S45/1000,2)</f>
        <v>142.19</v>
      </c>
      <c r="T43" s="241">
        <f>U43-S43</f>
        <v>107.15000000000015</v>
      </c>
      <c r="U43" s="242">
        <f>U31-U37</f>
        <v>249.34000000000015</v>
      </c>
      <c r="V43" s="348">
        <f>U43/Q43</f>
        <v>1.0399566232899562</v>
      </c>
      <c r="W43" s="240">
        <f>ROUND(W44*W45/1000,2)</f>
        <v>153.78</v>
      </c>
      <c r="X43" s="241">
        <f>Y43-W43</f>
        <v>105.51999999999973</v>
      </c>
      <c r="Y43" s="242">
        <f>Y31-Y37</f>
        <v>259.29999999999973</v>
      </c>
      <c r="Z43" s="992">
        <f>Y43/U43</f>
        <v>1.0399454560038484</v>
      </c>
    </row>
    <row r="44" spans="1:26" ht="38.25" thickBot="1">
      <c r="B44" s="244" t="s">
        <v>183</v>
      </c>
      <c r="C44" s="245" t="s">
        <v>29</v>
      </c>
      <c r="D44" s="1546">
        <v>3490.15</v>
      </c>
      <c r="E44" s="1547">
        <v>2394.85</v>
      </c>
      <c r="F44" s="1252">
        <v>5885</v>
      </c>
      <c r="G44" s="981">
        <f>'[184]переменные на 5 лет'!D125</f>
        <v>3490.15</v>
      </c>
      <c r="H44" s="398">
        <f>'[184]переменные на 5 лет'!E125</f>
        <v>2394.85</v>
      </c>
      <c r="I44" s="982">
        <f>G44+H44</f>
        <v>5885</v>
      </c>
      <c r="J44" s="1255">
        <f t="shared" ref="J44:J45" si="27">I44/F44</f>
        <v>1</v>
      </c>
      <c r="K44" s="981">
        <f>G44</f>
        <v>3490.15</v>
      </c>
      <c r="L44" s="398">
        <f>H44</f>
        <v>2394.85</v>
      </c>
      <c r="M44" s="982">
        <f>K44+L44</f>
        <v>5885</v>
      </c>
      <c r="N44" s="1255">
        <f t="shared" ref="N44:N45" si="28">M44/I44</f>
        <v>1</v>
      </c>
      <c r="O44" s="981">
        <f>K44</f>
        <v>3490.15</v>
      </c>
      <c r="P44" s="398">
        <f>L44</f>
        <v>2394.85</v>
      </c>
      <c r="Q44" s="982">
        <f>O44+P44</f>
        <v>5885</v>
      </c>
      <c r="R44" s="1255">
        <f t="shared" ref="R44:R45" si="29">Q44/M44</f>
        <v>1</v>
      </c>
      <c r="S44" s="981">
        <f>O44</f>
        <v>3490.15</v>
      </c>
      <c r="T44" s="398">
        <f>P44</f>
        <v>2394.85</v>
      </c>
      <c r="U44" s="982">
        <f>S44+T44</f>
        <v>5885</v>
      </c>
      <c r="V44" s="1255">
        <f t="shared" ref="V44:V45" si="30">U44/Q44</f>
        <v>1</v>
      </c>
      <c r="W44" s="981">
        <f>S44</f>
        <v>3490.15</v>
      </c>
      <c r="X44" s="398">
        <f>T44</f>
        <v>2394.85</v>
      </c>
      <c r="Y44" s="982">
        <f>W44+X44</f>
        <v>5885</v>
      </c>
      <c r="Z44" s="1253">
        <f t="shared" ref="Z44:Z45" si="31">Y44/U44</f>
        <v>1</v>
      </c>
    </row>
    <row r="45" spans="1:26" s="1242" customFormat="1" ht="38.25" customHeight="1" thickBot="1">
      <c r="A45" s="1233"/>
      <c r="B45" s="1234" t="s">
        <v>4</v>
      </c>
      <c r="C45" s="1235" t="s">
        <v>19</v>
      </c>
      <c r="D45" s="1236">
        <v>30.44</v>
      </c>
      <c r="E45" s="1237">
        <v>34.74</v>
      </c>
      <c r="F45" s="1238">
        <v>32.19</v>
      </c>
      <c r="G45" s="1240">
        <v>34.74</v>
      </c>
      <c r="H45" s="1256">
        <f>ROUND(H43/H44*1000,2)</f>
        <v>36.58</v>
      </c>
      <c r="I45" s="1256">
        <f>ROUND(I43/I44*1000,2)</f>
        <v>35.49</v>
      </c>
      <c r="J45" s="1239">
        <f t="shared" si="27"/>
        <v>1.1025163094128614</v>
      </c>
      <c r="K45" s="1240">
        <f>H45</f>
        <v>36.58</v>
      </c>
      <c r="L45" s="1256">
        <f>ROUND(L43/L44*1000,2)</f>
        <v>40.880000000000003</v>
      </c>
      <c r="M45" s="1256">
        <f>ROUND(M43/M44*1000,2)</f>
        <v>38.33</v>
      </c>
      <c r="N45" s="1241">
        <f t="shared" si="28"/>
        <v>1.080022541561003</v>
      </c>
      <c r="O45" s="1240">
        <f>Q45</f>
        <v>40.74</v>
      </c>
      <c r="P45" s="1256">
        <f>ROUND(P43/P44*1000,2)</f>
        <v>40.74</v>
      </c>
      <c r="Q45" s="1256">
        <f>ROUND(Q43/Q44*1000,2)</f>
        <v>40.74</v>
      </c>
      <c r="R45" s="1241">
        <f t="shared" si="29"/>
        <v>1.0628750326115315</v>
      </c>
      <c r="S45" s="1240">
        <f>P45</f>
        <v>40.74</v>
      </c>
      <c r="T45" s="1256">
        <f>ROUND(T43/T44*1000,2)</f>
        <v>44.74</v>
      </c>
      <c r="U45" s="1256">
        <f>ROUND(U43/U44*1000,2)</f>
        <v>42.37</v>
      </c>
      <c r="V45" s="1241">
        <f t="shared" si="30"/>
        <v>1.0400098183603337</v>
      </c>
      <c r="W45" s="1240">
        <f>Y45</f>
        <v>44.06</v>
      </c>
      <c r="X45" s="1256">
        <f>ROUND(X43/X44*1000,2)</f>
        <v>44.06</v>
      </c>
      <c r="Y45" s="1256">
        <f>ROUND(Y43/Y44*1000,2)</f>
        <v>44.06</v>
      </c>
      <c r="Z45" s="1239">
        <f t="shared" si="31"/>
        <v>1.0398867122964364</v>
      </c>
    </row>
    <row r="46" spans="1:26" ht="18.75">
      <c r="B46" s="256" t="s">
        <v>160</v>
      </c>
      <c r="C46" s="237"/>
      <c r="D46" s="237"/>
      <c r="E46" s="255">
        <f>E45/D45</f>
        <v>1.1412614980289093</v>
      </c>
      <c r="F46" s="343"/>
      <c r="G46" s="363">
        <f>G45/E45</f>
        <v>1</v>
      </c>
      <c r="H46" s="255">
        <f>H45/G45</f>
        <v>1.0529648819804258</v>
      </c>
      <c r="I46" s="343"/>
      <c r="J46" s="343"/>
      <c r="K46" s="363">
        <f>K45/H45</f>
        <v>1</v>
      </c>
      <c r="L46" s="255">
        <f>L45/K45</f>
        <v>1.1175505740841991</v>
      </c>
      <c r="M46" s="237"/>
      <c r="N46" s="344"/>
      <c r="O46" s="363">
        <f>O45/L45</f>
        <v>0.99657534246575341</v>
      </c>
      <c r="P46" s="255">
        <f>P45/O45</f>
        <v>1</v>
      </c>
      <c r="Q46" s="237"/>
      <c r="R46" s="344"/>
      <c r="S46" s="363">
        <f>S45/P45</f>
        <v>1</v>
      </c>
      <c r="T46" s="255">
        <f>T45/S45</f>
        <v>1.0981836033382426</v>
      </c>
      <c r="U46" s="237"/>
      <c r="V46" s="344"/>
      <c r="W46" s="363">
        <f>W45/T45</f>
        <v>0.98480107286544483</v>
      </c>
      <c r="X46" s="255">
        <f>X45/W45</f>
        <v>1</v>
      </c>
      <c r="Y46" s="237"/>
      <c r="Z46" s="344"/>
    </row>
    <row r="47" spans="1:26" ht="18.75" outlineLevel="1">
      <c r="B47" s="256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</row>
    <row r="48" spans="1:26" ht="18.75" hidden="1" outlineLevel="1">
      <c r="B48" s="794" t="s">
        <v>270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2:26" ht="37.5" hidden="1" outlineLevel="1">
      <c r="B49" s="238" t="s">
        <v>161</v>
      </c>
      <c r="C49" s="239" t="s">
        <v>1</v>
      </c>
      <c r="D49" s="240"/>
      <c r="E49" s="241"/>
      <c r="F49" s="242"/>
      <c r="G49" s="240"/>
      <c r="H49" s="241"/>
      <c r="I49" s="242"/>
      <c r="J49" s="348" t="e">
        <f>I49/F49</f>
        <v>#DIV/0!</v>
      </c>
      <c r="K49" s="240"/>
      <c r="L49" s="241"/>
      <c r="M49" s="242"/>
      <c r="N49" s="348" t="e">
        <f>M49/I49</f>
        <v>#DIV/0!</v>
      </c>
      <c r="O49" s="240"/>
      <c r="P49" s="241"/>
      <c r="Q49" s="242"/>
      <c r="R49" s="348" t="e">
        <f>Q49/M49</f>
        <v>#DIV/0!</v>
      </c>
      <c r="S49" s="240"/>
      <c r="T49" s="241"/>
      <c r="U49" s="242"/>
      <c r="V49" s="348" t="e">
        <f>U49/Q49</f>
        <v>#DIV/0!</v>
      </c>
      <c r="W49" s="240"/>
      <c r="X49" s="241"/>
      <c r="Y49" s="242"/>
      <c r="Z49" s="243" t="e">
        <f>Y49/U49</f>
        <v>#DIV/0!</v>
      </c>
    </row>
    <row r="50" spans="2:26" ht="19.5" hidden="1" outlineLevel="1" thickBot="1">
      <c r="B50" s="244" t="s">
        <v>474</v>
      </c>
      <c r="C50" s="245" t="s">
        <v>29</v>
      </c>
      <c r="D50" s="1546"/>
      <c r="E50" s="1547"/>
      <c r="F50" s="1548"/>
      <c r="G50" s="1546"/>
      <c r="H50" s="1547"/>
      <c r="I50" s="1548"/>
      <c r="J50" s="1255" t="e">
        <f>I50/F50</f>
        <v>#DIV/0!</v>
      </c>
      <c r="K50" s="791"/>
      <c r="L50" s="398"/>
      <c r="M50" s="792"/>
      <c r="N50" s="1255" t="e">
        <f t="shared" ref="N50:N51" si="32">M50/I50</f>
        <v>#DIV/0!</v>
      </c>
      <c r="O50" s="791"/>
      <c r="P50" s="398"/>
      <c r="Q50" s="792"/>
      <c r="R50" s="1255" t="e">
        <f t="shared" ref="R50:R51" si="33">Q50/M50</f>
        <v>#DIV/0!</v>
      </c>
      <c r="S50" s="791"/>
      <c r="T50" s="398"/>
      <c r="U50" s="792"/>
      <c r="V50" s="1255" t="e">
        <f>U50/Q50</f>
        <v>#DIV/0!</v>
      </c>
      <c r="W50" s="397"/>
      <c r="X50" s="398"/>
      <c r="Y50" s="1544"/>
      <c r="Z50" s="1545" t="e">
        <f>Y50/U50</f>
        <v>#DIV/0!</v>
      </c>
    </row>
    <row r="51" spans="2:26" ht="38.25" hidden="1" outlineLevel="1" thickBot="1">
      <c r="B51" s="250" t="s">
        <v>4</v>
      </c>
      <c r="C51" s="251" t="s">
        <v>19</v>
      </c>
      <c r="D51" s="341"/>
      <c r="E51" s="252"/>
      <c r="F51" s="253"/>
      <c r="G51" s="252"/>
      <c r="H51" s="252"/>
      <c r="I51" s="253"/>
      <c r="J51" s="342" t="e">
        <f>I51/F51</f>
        <v>#DIV/0!</v>
      </c>
      <c r="K51" s="341"/>
      <c r="L51" s="252"/>
      <c r="M51" s="253"/>
      <c r="N51" s="342" t="e">
        <f t="shared" si="32"/>
        <v>#DIV/0!</v>
      </c>
      <c r="O51" s="789"/>
      <c r="P51" s="788"/>
      <c r="Q51" s="790"/>
      <c r="R51" s="342" t="e">
        <f t="shared" si="33"/>
        <v>#DIV/0!</v>
      </c>
      <c r="S51" s="341"/>
      <c r="T51" s="252"/>
      <c r="U51" s="253"/>
      <c r="V51" s="342" t="e">
        <f t="shared" ref="V51" si="34">U51/Q51</f>
        <v>#DIV/0!</v>
      </c>
      <c r="W51" s="341"/>
      <c r="X51" s="252"/>
      <c r="Y51" s="253"/>
      <c r="Z51" s="254" t="e">
        <f>Y51/U51</f>
        <v>#DIV/0!</v>
      </c>
    </row>
    <row r="52" spans="2:26" ht="18.75" hidden="1" outlineLevel="1">
      <c r="B52" s="256" t="s">
        <v>160</v>
      </c>
      <c r="C52" s="237"/>
      <c r="D52" s="237"/>
      <c r="E52" s="255" t="e">
        <f>E51/D51</f>
        <v>#DIV/0!</v>
      </c>
      <c r="F52" s="343"/>
      <c r="G52" s="363" t="e">
        <f>G51/E51</f>
        <v>#DIV/0!</v>
      </c>
      <c r="H52" s="255" t="e">
        <f>H51/G51</f>
        <v>#DIV/0!</v>
      </c>
      <c r="I52" s="237"/>
      <c r="J52" s="344"/>
      <c r="K52" s="363" t="e">
        <f>K51/H51</f>
        <v>#DIV/0!</v>
      </c>
      <c r="L52" s="255" t="e">
        <f>L51/K51</f>
        <v>#DIV/0!</v>
      </c>
      <c r="M52" s="237"/>
      <c r="N52" s="237"/>
      <c r="O52" s="363" t="e">
        <f>O51/L51</f>
        <v>#DIV/0!</v>
      </c>
      <c r="P52" s="255" t="e">
        <f>P51/O51</f>
        <v>#DIV/0!</v>
      </c>
      <c r="Q52" s="237"/>
      <c r="R52" s="237"/>
      <c r="S52" s="363" t="e">
        <f>S51/P51</f>
        <v>#DIV/0!</v>
      </c>
      <c r="T52" s="255" t="e">
        <f>T51/S51</f>
        <v>#DIV/0!</v>
      </c>
      <c r="U52" s="237"/>
      <c r="V52" s="237"/>
      <c r="W52" s="363" t="e">
        <f>W51/T51</f>
        <v>#DIV/0!</v>
      </c>
      <c r="X52" s="255" t="e">
        <f>X51/W51</f>
        <v>#DIV/0!</v>
      </c>
      <c r="Y52" s="237"/>
      <c r="Z52" s="237"/>
    </row>
    <row r="53" spans="2:26" ht="18.75" hidden="1" outlineLevel="1">
      <c r="B53" s="256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</row>
    <row r="54" spans="2:26" ht="18.75" hidden="1">
      <c r="B54" s="793" t="s">
        <v>446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2:26" ht="37.5" hidden="1">
      <c r="B55" s="238" t="s">
        <v>161</v>
      </c>
      <c r="C55" s="239" t="s">
        <v>1</v>
      </c>
      <c r="D55" s="240"/>
      <c r="E55" s="241"/>
      <c r="F55" s="242"/>
      <c r="G55" s="240"/>
      <c r="H55" s="241"/>
      <c r="I55" s="781"/>
      <c r="J55" s="243" t="e">
        <f>I55/F55</f>
        <v>#DIV/0!</v>
      </c>
      <c r="K55" s="240"/>
      <c r="L55" s="787"/>
      <c r="M55" s="242"/>
      <c r="N55" s="348" t="e">
        <f>M55/I55</f>
        <v>#DIV/0!</v>
      </c>
      <c r="O55" s="240"/>
      <c r="P55" s="241"/>
      <c r="Q55" s="242"/>
      <c r="R55" s="348" t="e">
        <f>Q55/M55</f>
        <v>#DIV/0!</v>
      </c>
      <c r="S55" s="240"/>
      <c r="T55" s="241"/>
      <c r="U55" s="242"/>
      <c r="V55" s="348" t="e">
        <f>U55/Q55</f>
        <v>#DIV/0!</v>
      </c>
      <c r="W55" s="240"/>
      <c r="X55" s="241"/>
      <c r="Y55" s="242"/>
      <c r="Z55" s="243" t="e">
        <f>Y55/U55</f>
        <v>#DIV/0!</v>
      </c>
    </row>
    <row r="56" spans="2:26" ht="19.5" hidden="1" thickBot="1">
      <c r="B56" s="244" t="s">
        <v>474</v>
      </c>
      <c r="C56" s="245" t="s">
        <v>29</v>
      </c>
      <c r="D56" s="1546"/>
      <c r="E56" s="1547"/>
      <c r="F56" s="1548"/>
      <c r="G56" s="397"/>
      <c r="H56" s="398"/>
      <c r="I56" s="1549"/>
      <c r="J56" s="1545" t="e">
        <f t="shared" ref="J56:J57" si="35">I56/F56</f>
        <v>#DIV/0!</v>
      </c>
      <c r="K56" s="791"/>
      <c r="L56" s="398"/>
      <c r="M56" s="792"/>
      <c r="N56" s="1255" t="e">
        <f t="shared" ref="N56:N57" si="36">M56/I56</f>
        <v>#DIV/0!</v>
      </c>
      <c r="O56" s="791"/>
      <c r="P56" s="398"/>
      <c r="Q56" s="792"/>
      <c r="R56" s="1255" t="e">
        <f t="shared" ref="R56:R57" si="37">Q56/M56</f>
        <v>#DIV/0!</v>
      </c>
      <c r="S56" s="791"/>
      <c r="T56" s="398"/>
      <c r="U56" s="792"/>
      <c r="V56" s="1255" t="e">
        <f t="shared" ref="V56:V57" si="38">U56/Q56</f>
        <v>#DIV/0!</v>
      </c>
      <c r="W56" s="397"/>
      <c r="X56" s="398"/>
      <c r="Y56" s="1544"/>
      <c r="Z56" s="1545" t="e">
        <f t="shared" ref="Z56:Z57" si="39">Y56/U56</f>
        <v>#DIV/0!</v>
      </c>
    </row>
    <row r="57" spans="2:26" ht="38.25" hidden="1" customHeight="1" thickBot="1">
      <c r="B57" s="250" t="s">
        <v>4</v>
      </c>
      <c r="C57" s="251" t="s">
        <v>19</v>
      </c>
      <c r="D57" s="341"/>
      <c r="E57" s="252"/>
      <c r="F57" s="253"/>
      <c r="G57" s="341"/>
      <c r="H57" s="252"/>
      <c r="I57" s="783"/>
      <c r="J57" s="254" t="e">
        <f t="shared" si="35"/>
        <v>#DIV/0!</v>
      </c>
      <c r="K57" s="789"/>
      <c r="L57" s="788"/>
      <c r="M57" s="790"/>
      <c r="N57" s="342" t="e">
        <f t="shared" si="36"/>
        <v>#DIV/0!</v>
      </c>
      <c r="O57" s="341"/>
      <c r="P57" s="252"/>
      <c r="Q57" s="253"/>
      <c r="R57" s="342" t="e">
        <f t="shared" si="37"/>
        <v>#DIV/0!</v>
      </c>
      <c r="S57" s="341"/>
      <c r="T57" s="252"/>
      <c r="U57" s="253"/>
      <c r="V57" s="342" t="e">
        <f t="shared" si="38"/>
        <v>#DIV/0!</v>
      </c>
      <c r="W57" s="341"/>
      <c r="X57" s="252"/>
      <c r="Y57" s="253"/>
      <c r="Z57" s="254" t="e">
        <f t="shared" si="39"/>
        <v>#DIV/0!</v>
      </c>
    </row>
    <row r="58" spans="2:26" ht="18.75" hidden="1">
      <c r="B58" s="256" t="s">
        <v>160</v>
      </c>
      <c r="C58" s="237"/>
      <c r="D58" s="237"/>
      <c r="E58" s="255" t="e">
        <f>E57/D57</f>
        <v>#DIV/0!</v>
      </c>
      <c r="F58" s="343"/>
      <c r="G58" s="363" t="e">
        <f>G57/E57</f>
        <v>#DIV/0!</v>
      </c>
      <c r="H58" s="255" t="e">
        <f>H57/G57</f>
        <v>#DIV/0!</v>
      </c>
      <c r="I58" s="343"/>
      <c r="J58" s="343"/>
      <c r="K58" s="363" t="e">
        <f>K57/H57</f>
        <v>#DIV/0!</v>
      </c>
      <c r="L58" s="255" t="e">
        <f>L57/K57</f>
        <v>#DIV/0!</v>
      </c>
      <c r="M58" s="237"/>
      <c r="N58" s="344"/>
      <c r="O58" s="363" t="e">
        <f>O57/L57</f>
        <v>#DIV/0!</v>
      </c>
      <c r="P58" s="255" t="e">
        <f>P57/O57</f>
        <v>#DIV/0!</v>
      </c>
      <c r="Q58" s="237"/>
      <c r="R58" s="344"/>
      <c r="S58" s="363" t="e">
        <f>S57/P57</f>
        <v>#DIV/0!</v>
      </c>
      <c r="T58" s="255" t="e">
        <f>T57/S57</f>
        <v>#DIV/0!</v>
      </c>
      <c r="U58" s="237"/>
      <c r="V58" s="344"/>
      <c r="W58" s="363" t="e">
        <f>W57/T57</f>
        <v>#DIV/0!</v>
      </c>
      <c r="X58" s="255" t="e">
        <f>X57/W57</f>
        <v>#DIV/0!</v>
      </c>
      <c r="Y58" s="237"/>
      <c r="Z58" s="344"/>
    </row>
    <row r="59" spans="2:26" ht="18.75" hidden="1">
      <c r="B59" s="256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</row>
    <row r="60" spans="2:26" ht="18.75" hidden="1">
      <c r="B60" s="793" t="s">
        <v>447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spans="2:26" ht="37.5" hidden="1">
      <c r="B61" s="238" t="s">
        <v>161</v>
      </c>
      <c r="C61" s="239" t="s">
        <v>1</v>
      </c>
      <c r="D61" s="240"/>
      <c r="E61" s="241"/>
      <c r="F61" s="242"/>
      <c r="G61" s="240"/>
      <c r="H61" s="241"/>
      <c r="I61" s="781"/>
      <c r="J61" s="243" t="e">
        <f>I61/F61</f>
        <v>#DIV/0!</v>
      </c>
      <c r="K61" s="240"/>
      <c r="L61" s="787"/>
      <c r="M61" s="242"/>
      <c r="N61" s="348" t="e">
        <f>M61/I61</f>
        <v>#DIV/0!</v>
      </c>
      <c r="O61" s="240"/>
      <c r="P61" s="241"/>
      <c r="Q61" s="242"/>
      <c r="R61" s="348" t="e">
        <f>Q61/M61</f>
        <v>#DIV/0!</v>
      </c>
      <c r="S61" s="240"/>
      <c r="T61" s="241"/>
      <c r="U61" s="242"/>
      <c r="V61" s="348" t="e">
        <f>U61/Q61</f>
        <v>#DIV/0!</v>
      </c>
      <c r="W61" s="240"/>
      <c r="X61" s="241"/>
      <c r="Y61" s="242"/>
      <c r="Z61" s="243" t="e">
        <f>Y61/U61</f>
        <v>#DIV/0!</v>
      </c>
    </row>
    <row r="62" spans="2:26" ht="19.5" hidden="1" thickBot="1">
      <c r="B62" s="244" t="s">
        <v>474</v>
      </c>
      <c r="C62" s="245" t="s">
        <v>29</v>
      </c>
      <c r="D62" s="1546"/>
      <c r="E62" s="1547"/>
      <c r="F62" s="1548"/>
      <c r="G62" s="397"/>
      <c r="H62" s="398"/>
      <c r="I62" s="1549"/>
      <c r="J62" s="1545" t="e">
        <f t="shared" ref="J62:J63" si="40">I62/F62</f>
        <v>#DIV/0!</v>
      </c>
      <c r="K62" s="791"/>
      <c r="L62" s="398"/>
      <c r="M62" s="792"/>
      <c r="N62" s="1255" t="e">
        <f t="shared" ref="N62:N63" si="41">M62/I62</f>
        <v>#DIV/0!</v>
      </c>
      <c r="O62" s="791"/>
      <c r="P62" s="398"/>
      <c r="Q62" s="792"/>
      <c r="R62" s="1255" t="e">
        <f t="shared" ref="R62:R63" si="42">Q62/M62</f>
        <v>#DIV/0!</v>
      </c>
      <c r="S62" s="791"/>
      <c r="T62" s="398"/>
      <c r="U62" s="792"/>
      <c r="V62" s="1255" t="e">
        <f t="shared" ref="V62:V63" si="43">U62/Q62</f>
        <v>#DIV/0!</v>
      </c>
      <c r="W62" s="397"/>
      <c r="X62" s="398"/>
      <c r="Y62" s="1544"/>
      <c r="Z62" s="1545" t="e">
        <f t="shared" ref="Z62:Z63" si="44">Y62/U62</f>
        <v>#DIV/0!</v>
      </c>
    </row>
    <row r="63" spans="2:26" ht="38.25" hidden="1" customHeight="1" thickBot="1">
      <c r="B63" s="250" t="s">
        <v>4</v>
      </c>
      <c r="C63" s="251" t="s">
        <v>19</v>
      </c>
      <c r="D63" s="341"/>
      <c r="E63" s="252"/>
      <c r="F63" s="253"/>
      <c r="G63" s="341"/>
      <c r="H63" s="252"/>
      <c r="I63" s="783"/>
      <c r="J63" s="254" t="e">
        <f t="shared" si="40"/>
        <v>#DIV/0!</v>
      </c>
      <c r="K63" s="789"/>
      <c r="L63" s="788"/>
      <c r="M63" s="790"/>
      <c r="N63" s="342" t="e">
        <f t="shared" si="41"/>
        <v>#DIV/0!</v>
      </c>
      <c r="O63" s="341"/>
      <c r="P63" s="252"/>
      <c r="Q63" s="253"/>
      <c r="R63" s="342" t="e">
        <f t="shared" si="42"/>
        <v>#DIV/0!</v>
      </c>
      <c r="S63" s="341"/>
      <c r="T63" s="252"/>
      <c r="U63" s="253"/>
      <c r="V63" s="342" t="e">
        <f t="shared" si="43"/>
        <v>#DIV/0!</v>
      </c>
      <c r="W63" s="341"/>
      <c r="X63" s="252"/>
      <c r="Y63" s="253"/>
      <c r="Z63" s="254" t="e">
        <f t="shared" si="44"/>
        <v>#DIV/0!</v>
      </c>
    </row>
    <row r="64" spans="2:26" ht="18.75" hidden="1">
      <c r="B64" s="256" t="s">
        <v>160</v>
      </c>
      <c r="C64" s="237"/>
      <c r="D64" s="237"/>
      <c r="E64" s="255" t="e">
        <f>E63/D63</f>
        <v>#DIV/0!</v>
      </c>
      <c r="F64" s="343"/>
      <c r="G64" s="363" t="e">
        <f>G63/E63</f>
        <v>#DIV/0!</v>
      </c>
      <c r="H64" s="255" t="e">
        <f>H63/G63</f>
        <v>#DIV/0!</v>
      </c>
      <c r="I64" s="343"/>
      <c r="J64" s="343"/>
      <c r="K64" s="363" t="e">
        <f>K63/H63</f>
        <v>#DIV/0!</v>
      </c>
      <c r="L64" s="255" t="e">
        <f>L63/K63</f>
        <v>#DIV/0!</v>
      </c>
      <c r="M64" s="237"/>
      <c r="N64" s="344"/>
      <c r="O64" s="363" t="e">
        <f>O63/L63</f>
        <v>#DIV/0!</v>
      </c>
      <c r="P64" s="255" t="e">
        <f>P63/O63</f>
        <v>#DIV/0!</v>
      </c>
      <c r="Q64" s="237"/>
      <c r="R64" s="344"/>
      <c r="S64" s="363" t="e">
        <f>S63/P63</f>
        <v>#DIV/0!</v>
      </c>
      <c r="T64" s="255" t="e">
        <f>T63/S63</f>
        <v>#DIV/0!</v>
      </c>
      <c r="U64" s="237"/>
      <c r="V64" s="344"/>
      <c r="W64" s="363" t="e">
        <f>W63/T63</f>
        <v>#DIV/0!</v>
      </c>
      <c r="X64" s="255" t="e">
        <f>X63/W63</f>
        <v>#DIV/0!</v>
      </c>
      <c r="Y64" s="237"/>
      <c r="Z64" s="344"/>
    </row>
    <row r="65" spans="2:26" ht="18.75" outlineLevel="1">
      <c r="B65" s="256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</row>
    <row r="66" spans="2:26" ht="18.75" hidden="1" outlineLevel="1">
      <c r="B66" s="795" t="s">
        <v>477</v>
      </c>
      <c r="C66" s="796"/>
      <c r="D66" s="796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2:26" ht="18.75" hidden="1" outlineLevel="1">
      <c r="B67" s="794" t="s">
        <v>449</v>
      </c>
      <c r="C67" s="797"/>
      <c r="D67" s="797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2:26" ht="37.5" hidden="1">
      <c r="B68" s="238" t="s">
        <v>161</v>
      </c>
      <c r="C68" s="239" t="s">
        <v>21</v>
      </c>
      <c r="D68" s="240"/>
      <c r="E68" s="241"/>
      <c r="F68" s="242"/>
      <c r="G68" s="240"/>
      <c r="H68" s="241"/>
      <c r="I68" s="781"/>
      <c r="J68" s="243" t="e">
        <f>I68/F68</f>
        <v>#DIV/0!</v>
      </c>
      <c r="K68" s="240"/>
      <c r="L68" s="787"/>
      <c r="M68" s="242"/>
      <c r="N68" s="348" t="e">
        <f>M68/I68</f>
        <v>#DIV/0!</v>
      </c>
      <c r="O68" s="240"/>
      <c r="P68" s="241"/>
      <c r="Q68" s="242"/>
      <c r="R68" s="348" t="e">
        <f>Q68/M68</f>
        <v>#DIV/0!</v>
      </c>
      <c r="S68" s="240"/>
      <c r="T68" s="241"/>
      <c r="U68" s="242"/>
      <c r="V68" s="348" t="e">
        <f>U68/Q68</f>
        <v>#DIV/0!</v>
      </c>
      <c r="W68" s="240"/>
      <c r="X68" s="241"/>
      <c r="Y68" s="242"/>
      <c r="Z68" s="243" t="e">
        <f>Y68/U68</f>
        <v>#DIV/0!</v>
      </c>
    </row>
    <row r="69" spans="2:26" ht="19.5" hidden="1" thickBot="1">
      <c r="B69" s="244" t="s">
        <v>227</v>
      </c>
      <c r="C69" s="245" t="s">
        <v>13</v>
      </c>
      <c r="D69" s="1546"/>
      <c r="E69" s="1547"/>
      <c r="F69" s="1548"/>
      <c r="G69" s="397"/>
      <c r="H69" s="398"/>
      <c r="I69" s="1549"/>
      <c r="J69" s="1545" t="e">
        <f t="shared" ref="J69:J70" si="45">I69/F69</f>
        <v>#DIV/0!</v>
      </c>
      <c r="K69" s="791"/>
      <c r="L69" s="398"/>
      <c r="M69" s="792"/>
      <c r="N69" s="1255" t="e">
        <f t="shared" ref="N69:N70" si="46">M69/I69</f>
        <v>#DIV/0!</v>
      </c>
      <c r="O69" s="791"/>
      <c r="P69" s="398"/>
      <c r="Q69" s="792"/>
      <c r="R69" s="1255" t="e">
        <f t="shared" ref="R69:R70" si="47">Q69/M69</f>
        <v>#DIV/0!</v>
      </c>
      <c r="S69" s="791"/>
      <c r="T69" s="398"/>
      <c r="U69" s="792"/>
      <c r="V69" s="1255" t="e">
        <f t="shared" ref="V69:V70" si="48">U69/Q69</f>
        <v>#DIV/0!</v>
      </c>
      <c r="W69" s="397"/>
      <c r="X69" s="398"/>
      <c r="Y69" s="1544"/>
      <c r="Z69" s="1545" t="e">
        <f t="shared" ref="Z69:Z70" si="49">Y69/U69</f>
        <v>#DIV/0!</v>
      </c>
    </row>
    <row r="70" spans="2:26" ht="38.25" hidden="1" customHeight="1" thickBot="1">
      <c r="B70" s="250" t="s">
        <v>220</v>
      </c>
      <c r="C70" s="251" t="s">
        <v>12</v>
      </c>
      <c r="D70" s="341"/>
      <c r="E70" s="252"/>
      <c r="F70" s="253"/>
      <c r="G70" s="341"/>
      <c r="H70" s="252"/>
      <c r="I70" s="783"/>
      <c r="J70" s="254" t="e">
        <f t="shared" si="45"/>
        <v>#DIV/0!</v>
      </c>
      <c r="K70" s="789"/>
      <c r="L70" s="788"/>
      <c r="M70" s="790"/>
      <c r="N70" s="342" t="e">
        <f t="shared" si="46"/>
        <v>#DIV/0!</v>
      </c>
      <c r="O70" s="341"/>
      <c r="P70" s="252"/>
      <c r="Q70" s="253"/>
      <c r="R70" s="342" t="e">
        <f t="shared" si="47"/>
        <v>#DIV/0!</v>
      </c>
      <c r="S70" s="341"/>
      <c r="T70" s="252"/>
      <c r="U70" s="253"/>
      <c r="V70" s="342" t="e">
        <f t="shared" si="48"/>
        <v>#DIV/0!</v>
      </c>
      <c r="W70" s="341"/>
      <c r="X70" s="252"/>
      <c r="Y70" s="253"/>
      <c r="Z70" s="254" t="e">
        <f t="shared" si="49"/>
        <v>#DIV/0!</v>
      </c>
    </row>
    <row r="71" spans="2:26" ht="18.75" hidden="1">
      <c r="B71" s="256" t="s">
        <v>160</v>
      </c>
      <c r="C71" s="237"/>
      <c r="D71" s="237"/>
      <c r="E71" s="255" t="e">
        <f>E70/D70</f>
        <v>#DIV/0!</v>
      </c>
      <c r="F71" s="343"/>
      <c r="G71" s="363" t="e">
        <f>G70/E70</f>
        <v>#DIV/0!</v>
      </c>
      <c r="H71" s="255" t="e">
        <f>H70/G70</f>
        <v>#DIV/0!</v>
      </c>
      <c r="I71" s="343"/>
      <c r="J71" s="343"/>
      <c r="K71" s="363" t="e">
        <f>K70/H70</f>
        <v>#DIV/0!</v>
      </c>
      <c r="L71" s="255" t="e">
        <f>L70/K70</f>
        <v>#DIV/0!</v>
      </c>
      <c r="M71" s="237"/>
      <c r="N71" s="344"/>
      <c r="O71" s="363" t="e">
        <f>O70/L70</f>
        <v>#DIV/0!</v>
      </c>
      <c r="P71" s="255" t="e">
        <f>P70/O70</f>
        <v>#DIV/0!</v>
      </c>
      <c r="Q71" s="237"/>
      <c r="R71" s="344"/>
      <c r="S71" s="363" t="e">
        <f>S70/P70</f>
        <v>#DIV/0!</v>
      </c>
      <c r="T71" s="255" t="e">
        <f>T70/S70</f>
        <v>#DIV/0!</v>
      </c>
      <c r="U71" s="237"/>
      <c r="V71" s="344"/>
      <c r="W71" s="363" t="e">
        <f>W70/T70</f>
        <v>#DIV/0!</v>
      </c>
      <c r="X71" s="255" t="e">
        <f>X70/W70</f>
        <v>#DIV/0!</v>
      </c>
      <c r="Y71" s="237"/>
      <c r="Z71" s="344"/>
    </row>
    <row r="72" spans="2:26" ht="18.75" hidden="1">
      <c r="B72" s="256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344"/>
    </row>
    <row r="73" spans="2:26" ht="18.75" hidden="1" outlineLevel="1">
      <c r="B73" s="794" t="s">
        <v>475</v>
      </c>
      <c r="C73" s="79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2:26" ht="37.5" hidden="1" outlineLevel="1">
      <c r="B74" s="238" t="s">
        <v>161</v>
      </c>
      <c r="C74" s="239" t="s">
        <v>1</v>
      </c>
      <c r="D74" s="240"/>
      <c r="E74" s="241"/>
      <c r="F74" s="242"/>
      <c r="G74" s="240"/>
      <c r="H74" s="241"/>
      <c r="I74" s="242"/>
      <c r="J74" s="348" t="e">
        <f>I74/F74</f>
        <v>#DIV/0!</v>
      </c>
      <c r="K74" s="240"/>
      <c r="L74" s="241"/>
      <c r="M74" s="242"/>
      <c r="N74" s="348" t="e">
        <f>M74/I74</f>
        <v>#DIV/0!</v>
      </c>
      <c r="O74" s="240"/>
      <c r="P74" s="241"/>
      <c r="Q74" s="242"/>
      <c r="R74" s="348" t="e">
        <f>Q74/M74</f>
        <v>#DIV/0!</v>
      </c>
      <c r="S74" s="240"/>
      <c r="T74" s="241"/>
      <c r="U74" s="242"/>
      <c r="V74" s="348" t="e">
        <f>U74/Q74</f>
        <v>#DIV/0!</v>
      </c>
      <c r="W74" s="240"/>
      <c r="X74" s="241"/>
      <c r="Y74" s="242"/>
      <c r="Z74" s="243" t="e">
        <f>Y74/U74</f>
        <v>#DIV/0!</v>
      </c>
    </row>
    <row r="75" spans="2:26" ht="38.25" hidden="1" outlineLevel="1" thickBot="1">
      <c r="B75" s="244" t="s">
        <v>183</v>
      </c>
      <c r="C75" s="245" t="s">
        <v>29</v>
      </c>
      <c r="D75" s="1546"/>
      <c r="E75" s="1547"/>
      <c r="F75" s="1548"/>
      <c r="G75" s="1546"/>
      <c r="H75" s="1547"/>
      <c r="I75" s="1548"/>
      <c r="J75" s="1255" t="e">
        <f>I75/F75</f>
        <v>#DIV/0!</v>
      </c>
      <c r="K75" s="791"/>
      <c r="L75" s="398"/>
      <c r="M75" s="792"/>
      <c r="N75" s="1255" t="e">
        <f t="shared" ref="N75:N76" si="50">M75/I75</f>
        <v>#DIV/0!</v>
      </c>
      <c r="O75" s="791"/>
      <c r="P75" s="398"/>
      <c r="Q75" s="792"/>
      <c r="R75" s="1255" t="e">
        <f t="shared" ref="R75:R76" si="51">Q75/M75</f>
        <v>#DIV/0!</v>
      </c>
      <c r="S75" s="791"/>
      <c r="T75" s="398"/>
      <c r="U75" s="792"/>
      <c r="V75" s="1255" t="e">
        <f>U75/Q75</f>
        <v>#DIV/0!</v>
      </c>
      <c r="W75" s="397"/>
      <c r="X75" s="398"/>
      <c r="Y75" s="1544"/>
      <c r="Z75" s="1545" t="e">
        <f>Y75/U75</f>
        <v>#DIV/0!</v>
      </c>
    </row>
    <row r="76" spans="2:26" ht="38.25" hidden="1" outlineLevel="1" thickBot="1">
      <c r="B76" s="250" t="s">
        <v>4</v>
      </c>
      <c r="C76" s="251" t="s">
        <v>19</v>
      </c>
      <c r="D76" s="341"/>
      <c r="E76" s="252"/>
      <c r="F76" s="253"/>
      <c r="G76" s="252"/>
      <c r="H76" s="252"/>
      <c r="I76" s="253"/>
      <c r="J76" s="342" t="e">
        <f>I76/F76</f>
        <v>#DIV/0!</v>
      </c>
      <c r="K76" s="341"/>
      <c r="L76" s="252"/>
      <c r="M76" s="253"/>
      <c r="N76" s="342" t="e">
        <f t="shared" si="50"/>
        <v>#DIV/0!</v>
      </c>
      <c r="O76" s="789"/>
      <c r="P76" s="788"/>
      <c r="Q76" s="790"/>
      <c r="R76" s="342" t="e">
        <f t="shared" si="51"/>
        <v>#DIV/0!</v>
      </c>
      <c r="S76" s="341"/>
      <c r="T76" s="252"/>
      <c r="U76" s="253"/>
      <c r="V76" s="342" t="e">
        <f t="shared" ref="V76" si="52">U76/Q76</f>
        <v>#DIV/0!</v>
      </c>
      <c r="W76" s="341"/>
      <c r="X76" s="252"/>
      <c r="Y76" s="253"/>
      <c r="Z76" s="254" t="e">
        <f>Y76/U76</f>
        <v>#DIV/0!</v>
      </c>
    </row>
    <row r="77" spans="2:26" ht="18.75" hidden="1" outlineLevel="1">
      <c r="B77" s="256" t="s">
        <v>160</v>
      </c>
      <c r="C77" s="237"/>
      <c r="D77" s="237"/>
      <c r="E77" s="255" t="e">
        <f>E76/D76</f>
        <v>#DIV/0!</v>
      </c>
      <c r="F77" s="343"/>
      <c r="G77" s="363" t="e">
        <f>G76/E76</f>
        <v>#DIV/0!</v>
      </c>
      <c r="H77" s="255" t="e">
        <f>H76/G76</f>
        <v>#DIV/0!</v>
      </c>
      <c r="I77" s="237"/>
      <c r="J77" s="344"/>
      <c r="K77" s="363" t="e">
        <f>K76/H76</f>
        <v>#DIV/0!</v>
      </c>
      <c r="L77" s="255" t="e">
        <f>L76/K76</f>
        <v>#DIV/0!</v>
      </c>
      <c r="M77" s="237"/>
      <c r="N77" s="237"/>
      <c r="O77" s="363" t="e">
        <f>O76/L76</f>
        <v>#DIV/0!</v>
      </c>
      <c r="P77" s="255" t="e">
        <f>P76/O76</f>
        <v>#DIV/0!</v>
      </c>
      <c r="Q77" s="237"/>
      <c r="R77" s="237"/>
      <c r="S77" s="363" t="e">
        <f>S76/P76</f>
        <v>#DIV/0!</v>
      </c>
      <c r="T77" s="255" t="e">
        <f>T76/S76</f>
        <v>#DIV/0!</v>
      </c>
      <c r="U77" s="237"/>
      <c r="V77" s="237"/>
      <c r="W77" s="363" t="e">
        <f>W76/T76</f>
        <v>#DIV/0!</v>
      </c>
      <c r="X77" s="255" t="e">
        <f>X76/W76</f>
        <v>#DIV/0!</v>
      </c>
      <c r="Y77" s="237"/>
      <c r="Z77" s="237"/>
    </row>
    <row r="78" spans="2:26" ht="18.75" hidden="1" outlineLevel="1">
      <c r="B78" s="256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</row>
    <row r="79" spans="2:26" ht="18.75" hidden="1">
      <c r="B79" s="793" t="s">
        <v>446</v>
      </c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spans="2:26" ht="37.5" hidden="1">
      <c r="B80" s="238" t="s">
        <v>161</v>
      </c>
      <c r="C80" s="239" t="s">
        <v>1</v>
      </c>
      <c r="D80" s="240"/>
      <c r="E80" s="241"/>
      <c r="F80" s="242"/>
      <c r="G80" s="240"/>
      <c r="H80" s="241"/>
      <c r="I80" s="781"/>
      <c r="J80" s="243" t="e">
        <f>I80/F80</f>
        <v>#DIV/0!</v>
      </c>
      <c r="K80" s="240"/>
      <c r="L80" s="787"/>
      <c r="M80" s="242"/>
      <c r="N80" s="348" t="e">
        <f>M80/I80</f>
        <v>#DIV/0!</v>
      </c>
      <c r="O80" s="240"/>
      <c r="P80" s="241"/>
      <c r="Q80" s="242"/>
      <c r="R80" s="348" t="e">
        <f>Q80/M80</f>
        <v>#DIV/0!</v>
      </c>
      <c r="S80" s="240"/>
      <c r="T80" s="241"/>
      <c r="U80" s="242"/>
      <c r="V80" s="348" t="e">
        <f>U80/Q80</f>
        <v>#DIV/0!</v>
      </c>
      <c r="W80" s="240"/>
      <c r="X80" s="241"/>
      <c r="Y80" s="242"/>
      <c r="Z80" s="243" t="e">
        <f>Y80/U80</f>
        <v>#DIV/0!</v>
      </c>
    </row>
    <row r="81" spans="2:26" ht="38.25" hidden="1" thickBot="1">
      <c r="B81" s="244" t="s">
        <v>183</v>
      </c>
      <c r="C81" s="245" t="s">
        <v>29</v>
      </c>
      <c r="D81" s="1546"/>
      <c r="E81" s="1547"/>
      <c r="F81" s="1548"/>
      <c r="G81" s="397"/>
      <c r="H81" s="398"/>
      <c r="I81" s="1549"/>
      <c r="J81" s="1545" t="e">
        <f t="shared" ref="J81:J82" si="53">I81/F81</f>
        <v>#DIV/0!</v>
      </c>
      <c r="K81" s="791"/>
      <c r="L81" s="398"/>
      <c r="M81" s="792"/>
      <c r="N81" s="1255" t="e">
        <f t="shared" ref="N81:N82" si="54">M81/I81</f>
        <v>#DIV/0!</v>
      </c>
      <c r="O81" s="791"/>
      <c r="P81" s="398"/>
      <c r="Q81" s="792"/>
      <c r="R81" s="1255" t="e">
        <f t="shared" ref="R81:R82" si="55">Q81/M81</f>
        <v>#DIV/0!</v>
      </c>
      <c r="S81" s="791"/>
      <c r="T81" s="398"/>
      <c r="U81" s="792"/>
      <c r="V81" s="1255" t="e">
        <f t="shared" ref="V81:V82" si="56">U81/Q81</f>
        <v>#DIV/0!</v>
      </c>
      <c r="W81" s="397"/>
      <c r="X81" s="398"/>
      <c r="Y81" s="1544"/>
      <c r="Z81" s="1545" t="e">
        <f t="shared" ref="Z81:Z82" si="57">Y81/U81</f>
        <v>#DIV/0!</v>
      </c>
    </row>
    <row r="82" spans="2:26" ht="38.25" hidden="1" customHeight="1" thickBot="1">
      <c r="B82" s="250" t="s">
        <v>4</v>
      </c>
      <c r="C82" s="251" t="s">
        <v>19</v>
      </c>
      <c r="D82" s="341"/>
      <c r="E82" s="252"/>
      <c r="F82" s="253"/>
      <c r="G82" s="341"/>
      <c r="H82" s="252"/>
      <c r="I82" s="783"/>
      <c r="J82" s="254" t="e">
        <f t="shared" si="53"/>
        <v>#DIV/0!</v>
      </c>
      <c r="K82" s="789"/>
      <c r="L82" s="788"/>
      <c r="M82" s="790"/>
      <c r="N82" s="342" t="e">
        <f t="shared" si="54"/>
        <v>#DIV/0!</v>
      </c>
      <c r="O82" s="341"/>
      <c r="P82" s="252"/>
      <c r="Q82" s="253"/>
      <c r="R82" s="342" t="e">
        <f t="shared" si="55"/>
        <v>#DIV/0!</v>
      </c>
      <c r="S82" s="341"/>
      <c r="T82" s="252"/>
      <c r="U82" s="253"/>
      <c r="V82" s="342" t="e">
        <f t="shared" si="56"/>
        <v>#DIV/0!</v>
      </c>
      <c r="W82" s="341"/>
      <c r="X82" s="252"/>
      <c r="Y82" s="253"/>
      <c r="Z82" s="254" t="e">
        <f t="shared" si="57"/>
        <v>#DIV/0!</v>
      </c>
    </row>
    <row r="83" spans="2:26" ht="18.75" hidden="1">
      <c r="B83" s="256" t="s">
        <v>160</v>
      </c>
      <c r="C83" s="237"/>
      <c r="D83" s="237"/>
      <c r="E83" s="255" t="e">
        <f>E82/D82</f>
        <v>#DIV/0!</v>
      </c>
      <c r="F83" s="343"/>
      <c r="G83" s="363" t="e">
        <f>G82/E82</f>
        <v>#DIV/0!</v>
      </c>
      <c r="H83" s="255" t="e">
        <f>H82/G82</f>
        <v>#DIV/0!</v>
      </c>
      <c r="I83" s="343"/>
      <c r="J83" s="343"/>
      <c r="K83" s="363" t="e">
        <f>K82/H82</f>
        <v>#DIV/0!</v>
      </c>
      <c r="L83" s="255" t="e">
        <f>L82/K82</f>
        <v>#DIV/0!</v>
      </c>
      <c r="M83" s="237"/>
      <c r="N83" s="344"/>
      <c r="O83" s="363" t="e">
        <f>O82/L82</f>
        <v>#DIV/0!</v>
      </c>
      <c r="P83" s="255" t="e">
        <f>P82/O82</f>
        <v>#DIV/0!</v>
      </c>
      <c r="Q83" s="237"/>
      <c r="R83" s="344"/>
      <c r="S83" s="363" t="e">
        <f>S82/P82</f>
        <v>#DIV/0!</v>
      </c>
      <c r="T83" s="255" t="e">
        <f>T82/S82</f>
        <v>#DIV/0!</v>
      </c>
      <c r="U83" s="237"/>
      <c r="V83" s="344"/>
      <c r="W83" s="363" t="e">
        <f>W82/T82</f>
        <v>#DIV/0!</v>
      </c>
      <c r="X83" s="255" t="e">
        <f>X82/W82</f>
        <v>#DIV/0!</v>
      </c>
      <c r="Y83" s="237"/>
      <c r="Z83" s="344"/>
    </row>
    <row r="84" spans="2:26" ht="18.75" hidden="1">
      <c r="B84" s="256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</row>
    <row r="85" spans="2:26" ht="18.75" hidden="1">
      <c r="B85" s="793" t="s">
        <v>447</v>
      </c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spans="2:26" ht="37.5" hidden="1">
      <c r="B86" s="238" t="s">
        <v>161</v>
      </c>
      <c r="C86" s="239" t="s">
        <v>1</v>
      </c>
      <c r="D86" s="240"/>
      <c r="E86" s="241"/>
      <c r="F86" s="242"/>
      <c r="G86" s="240"/>
      <c r="H86" s="241"/>
      <c r="I86" s="781"/>
      <c r="J86" s="243" t="e">
        <f>I86/F86</f>
        <v>#DIV/0!</v>
      </c>
      <c r="K86" s="240"/>
      <c r="L86" s="787"/>
      <c r="M86" s="242"/>
      <c r="N86" s="348" t="e">
        <f>M86/I86</f>
        <v>#DIV/0!</v>
      </c>
      <c r="O86" s="240"/>
      <c r="P86" s="241"/>
      <c r="Q86" s="242"/>
      <c r="R86" s="348" t="e">
        <f>Q86/M86</f>
        <v>#DIV/0!</v>
      </c>
      <c r="S86" s="240"/>
      <c r="T86" s="241"/>
      <c r="U86" s="242"/>
      <c r="V86" s="348" t="e">
        <f>U86/Q86</f>
        <v>#DIV/0!</v>
      </c>
      <c r="W86" s="240"/>
      <c r="X86" s="241"/>
      <c r="Y86" s="242"/>
      <c r="Z86" s="243" t="e">
        <f>Y86/U86</f>
        <v>#DIV/0!</v>
      </c>
    </row>
    <row r="87" spans="2:26" ht="38.25" hidden="1" thickBot="1">
      <c r="B87" s="244" t="s">
        <v>183</v>
      </c>
      <c r="C87" s="245" t="s">
        <v>29</v>
      </c>
      <c r="D87" s="1546"/>
      <c r="E87" s="1547"/>
      <c r="F87" s="1548"/>
      <c r="G87" s="397"/>
      <c r="H87" s="398"/>
      <c r="I87" s="1549"/>
      <c r="J87" s="1545" t="e">
        <f t="shared" ref="J87:J88" si="58">I87/F87</f>
        <v>#DIV/0!</v>
      </c>
      <c r="K87" s="791"/>
      <c r="L87" s="398"/>
      <c r="M87" s="792"/>
      <c r="N87" s="1255" t="e">
        <f t="shared" ref="N87:N88" si="59">M87/I87</f>
        <v>#DIV/0!</v>
      </c>
      <c r="O87" s="791"/>
      <c r="P87" s="398"/>
      <c r="Q87" s="792"/>
      <c r="R87" s="1255" t="e">
        <f t="shared" ref="R87:R88" si="60">Q87/M87</f>
        <v>#DIV/0!</v>
      </c>
      <c r="S87" s="791"/>
      <c r="T87" s="398"/>
      <c r="U87" s="792"/>
      <c r="V87" s="1255" t="e">
        <f t="shared" ref="V87:V88" si="61">U87/Q87</f>
        <v>#DIV/0!</v>
      </c>
      <c r="W87" s="397"/>
      <c r="X87" s="398"/>
      <c r="Y87" s="1544"/>
      <c r="Z87" s="1545" t="e">
        <f t="shared" ref="Z87:Z88" si="62">Y87/U87</f>
        <v>#DIV/0!</v>
      </c>
    </row>
    <row r="88" spans="2:26" ht="38.25" hidden="1" customHeight="1" thickBot="1">
      <c r="B88" s="250" t="s">
        <v>4</v>
      </c>
      <c r="C88" s="251" t="s">
        <v>19</v>
      </c>
      <c r="D88" s="341"/>
      <c r="E88" s="252"/>
      <c r="F88" s="253"/>
      <c r="G88" s="341"/>
      <c r="H88" s="252"/>
      <c r="I88" s="783"/>
      <c r="J88" s="254" t="e">
        <f t="shared" si="58"/>
        <v>#DIV/0!</v>
      </c>
      <c r="K88" s="789"/>
      <c r="L88" s="788"/>
      <c r="M88" s="790"/>
      <c r="N88" s="342" t="e">
        <f t="shared" si="59"/>
        <v>#DIV/0!</v>
      </c>
      <c r="O88" s="341"/>
      <c r="P88" s="252"/>
      <c r="Q88" s="253"/>
      <c r="R88" s="342" t="e">
        <f t="shared" si="60"/>
        <v>#DIV/0!</v>
      </c>
      <c r="S88" s="341"/>
      <c r="T88" s="252"/>
      <c r="U88" s="253"/>
      <c r="V88" s="342" t="e">
        <f t="shared" si="61"/>
        <v>#DIV/0!</v>
      </c>
      <c r="W88" s="341"/>
      <c r="X88" s="252"/>
      <c r="Y88" s="253"/>
      <c r="Z88" s="254" t="e">
        <f t="shared" si="62"/>
        <v>#DIV/0!</v>
      </c>
    </row>
    <row r="89" spans="2:26" ht="18.75" hidden="1">
      <c r="B89" s="256" t="s">
        <v>160</v>
      </c>
      <c r="C89" s="237"/>
      <c r="D89" s="237"/>
      <c r="E89" s="255" t="e">
        <f>E88/D88</f>
        <v>#DIV/0!</v>
      </c>
      <c r="F89" s="343"/>
      <c r="G89" s="363" t="e">
        <f>G88/E88</f>
        <v>#DIV/0!</v>
      </c>
      <c r="H89" s="255" t="e">
        <f>H88/G88</f>
        <v>#DIV/0!</v>
      </c>
      <c r="I89" s="343"/>
      <c r="J89" s="343"/>
      <c r="K89" s="363" t="e">
        <f>K88/H88</f>
        <v>#DIV/0!</v>
      </c>
      <c r="L89" s="255" t="e">
        <f>L88/K88</f>
        <v>#DIV/0!</v>
      </c>
      <c r="M89" s="237"/>
      <c r="N89" s="344"/>
      <c r="O89" s="363" t="e">
        <f>O88/L88</f>
        <v>#DIV/0!</v>
      </c>
      <c r="P89" s="255" t="e">
        <f>P88/O88</f>
        <v>#DIV/0!</v>
      </c>
      <c r="Q89" s="237"/>
      <c r="R89" s="344"/>
      <c r="S89" s="363" t="e">
        <f>S88/P88</f>
        <v>#DIV/0!</v>
      </c>
      <c r="T89" s="255" t="e">
        <f>T88/S88</f>
        <v>#DIV/0!</v>
      </c>
      <c r="U89" s="237"/>
      <c r="V89" s="344"/>
      <c r="W89" s="363" t="e">
        <f>W88/T88</f>
        <v>#DIV/0!</v>
      </c>
      <c r="X89" s="255" t="e">
        <f>X88/W88</f>
        <v>#DIV/0!</v>
      </c>
      <c r="Y89" s="237"/>
      <c r="Z89" s="344"/>
    </row>
    <row r="90" spans="2:26" ht="18.75" outlineLevel="1">
      <c r="B90" s="256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</row>
    <row r="91" spans="2:26" ht="19.5" outlineLevel="1" thickBot="1">
      <c r="B91" s="346" t="s">
        <v>476</v>
      </c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2:26" ht="37.5" outlineLevel="1">
      <c r="B92" s="238" t="s">
        <v>72</v>
      </c>
      <c r="C92" s="347" t="s">
        <v>1</v>
      </c>
      <c r="D92" s="240"/>
      <c r="E92" s="241"/>
      <c r="F92" s="781"/>
      <c r="G92" s="240">
        <f>G31+G12</f>
        <v>18975.150000000001</v>
      </c>
      <c r="H92" s="241">
        <f>H31+H12</f>
        <v>13753.858999999999</v>
      </c>
      <c r="I92" s="242">
        <f>I31+I12</f>
        <v>32729.009000000002</v>
      </c>
      <c r="J92" s="348"/>
      <c r="K92" s="240">
        <f>K31+K12</f>
        <v>19920.915547499997</v>
      </c>
      <c r="L92" s="241">
        <f>L31+L12</f>
        <v>13754.074452500001</v>
      </c>
      <c r="M92" s="242">
        <f>M31+M12</f>
        <v>33674.99</v>
      </c>
      <c r="N92" s="348">
        <f>M92/I92</f>
        <v>1.0289034415921361</v>
      </c>
      <c r="O92" s="240">
        <f>O31+O12</f>
        <v>20044.135899999997</v>
      </c>
      <c r="P92" s="241">
        <f>P31+P12</f>
        <v>14508.6541</v>
      </c>
      <c r="Q92" s="242">
        <f>Q31+Q12</f>
        <v>34552.79</v>
      </c>
      <c r="R92" s="348">
        <f>Q92/M92</f>
        <v>1.0260668228854708</v>
      </c>
      <c r="S92" s="240">
        <f>S31+S12</f>
        <v>21144.41</v>
      </c>
      <c r="T92" s="241">
        <f>T31+T12</f>
        <v>14651.539999999995</v>
      </c>
      <c r="U92" s="242">
        <f>U31+U12</f>
        <v>35795.949999999997</v>
      </c>
      <c r="V92" s="348">
        <f>U92/Q92</f>
        <v>1.035978570760856</v>
      </c>
      <c r="W92" s="240">
        <f>W31+W12</f>
        <v>21350.268374933337</v>
      </c>
      <c r="X92" s="241">
        <f>X31+X12</f>
        <v>15560.801625066657</v>
      </c>
      <c r="Y92" s="242">
        <f>Y31+Y12</f>
        <v>36911.069999999992</v>
      </c>
      <c r="Z92" s="992">
        <f>Y92/U92</f>
        <v>1.0311521275451552</v>
      </c>
    </row>
    <row r="93" spans="2:26" ht="38.25" outlineLevel="1" thickBot="1">
      <c r="B93" s="1550" t="s">
        <v>184</v>
      </c>
      <c r="C93" s="1551" t="s">
        <v>13</v>
      </c>
      <c r="D93" s="1546"/>
      <c r="E93" s="1547"/>
      <c r="F93" s="1252"/>
      <c r="G93" s="981">
        <f>[184]индексы!E89</f>
        <v>15859</v>
      </c>
      <c r="H93" s="398">
        <f>[184]индексы!F89</f>
        <v>10882</v>
      </c>
      <c r="I93" s="982">
        <f>G93+H93</f>
        <v>26741</v>
      </c>
      <c r="J93" s="1255"/>
      <c r="K93" s="981">
        <f>G93</f>
        <v>15859</v>
      </c>
      <c r="L93" s="398">
        <f>H93</f>
        <v>10882</v>
      </c>
      <c r="M93" s="982">
        <f>K93+L93</f>
        <v>26741</v>
      </c>
      <c r="N93" s="1255">
        <f t="shared" ref="N93:N94" si="63">M93/I93</f>
        <v>1</v>
      </c>
      <c r="O93" s="981">
        <f>K93</f>
        <v>15859</v>
      </c>
      <c r="P93" s="398">
        <f>L93</f>
        <v>10882</v>
      </c>
      <c r="Q93" s="982">
        <f>O93+P93</f>
        <v>26741</v>
      </c>
      <c r="R93" s="1255">
        <f t="shared" ref="R93:R94" si="64">Q93/M93</f>
        <v>1</v>
      </c>
      <c r="S93" s="981">
        <f>O93</f>
        <v>15859</v>
      </c>
      <c r="T93" s="398">
        <f>P93</f>
        <v>10882</v>
      </c>
      <c r="U93" s="982">
        <f>S93+T93</f>
        <v>26741</v>
      </c>
      <c r="V93" s="1255">
        <f t="shared" ref="V93:V94" si="65">U93/Q93</f>
        <v>1</v>
      </c>
      <c r="W93" s="981">
        <f>S93</f>
        <v>15859</v>
      </c>
      <c r="X93" s="398">
        <f>T93</f>
        <v>10882</v>
      </c>
      <c r="Y93" s="982">
        <f>W93+X93</f>
        <v>26741</v>
      </c>
      <c r="Z93" s="1253">
        <f t="shared" ref="Z93:Z94" si="66">Y93/U93</f>
        <v>1</v>
      </c>
    </row>
    <row r="94" spans="2:26" ht="38.25" outlineLevel="1" thickBot="1">
      <c r="B94" s="250" t="s">
        <v>4</v>
      </c>
      <c r="C94" s="340" t="s">
        <v>12</v>
      </c>
      <c r="D94" s="341"/>
      <c r="E94" s="252"/>
      <c r="F94" s="253"/>
      <c r="G94" s="789">
        <f>ROUND(G92/G93*1000,2)</f>
        <v>1196.49</v>
      </c>
      <c r="H94" s="788">
        <f>ROUND(H92/H93*1000,2)</f>
        <v>1263.9100000000001</v>
      </c>
      <c r="I94" s="790">
        <f>ROUND(I92/I93*1000,2)</f>
        <v>1223.93</v>
      </c>
      <c r="J94" s="342"/>
      <c r="K94" s="789">
        <f>ROUND(K92/K93*1000,2)</f>
        <v>1256.1300000000001</v>
      </c>
      <c r="L94" s="788">
        <f>ROUND(L92/L93*1000,2)</f>
        <v>1263.93</v>
      </c>
      <c r="M94" s="790">
        <f>ROUND(M92/M93*1000,2)</f>
        <v>1259.3</v>
      </c>
      <c r="N94" s="342">
        <f t="shared" si="63"/>
        <v>1.02889871152762</v>
      </c>
      <c r="O94" s="789">
        <f>ROUND(O92/O93*1000,2)</f>
        <v>1263.9000000000001</v>
      </c>
      <c r="P94" s="788">
        <f>ROUND(P92/P93*1000,2)</f>
        <v>1333.27</v>
      </c>
      <c r="Q94" s="790">
        <f>ROUND(Q92/Q93*1000,2)</f>
        <v>1292.1300000000001</v>
      </c>
      <c r="R94" s="342">
        <f t="shared" si="64"/>
        <v>1.026070038910506</v>
      </c>
      <c r="S94" s="789">
        <f>ROUND(S92/S93*1000,2)</f>
        <v>1333.28</v>
      </c>
      <c r="T94" s="788">
        <f>ROUND(T92/T93*1000,2)</f>
        <v>1346.4</v>
      </c>
      <c r="U94" s="790">
        <f>ROUND(U92/U93*1000,2)</f>
        <v>1338.62</v>
      </c>
      <c r="V94" s="342">
        <f t="shared" si="65"/>
        <v>1.035979351922794</v>
      </c>
      <c r="W94" s="789">
        <f>ROUND(W92/W93*1000,2)</f>
        <v>1346.26</v>
      </c>
      <c r="X94" s="788">
        <f>ROUND(X92/X93*1000,2)</f>
        <v>1429.96</v>
      </c>
      <c r="Y94" s="790">
        <f>ROUND(Y92/Y93*1000,2)</f>
        <v>1380.32</v>
      </c>
      <c r="Z94" s="254">
        <f t="shared" si="66"/>
        <v>1.0311514843644949</v>
      </c>
    </row>
    <row r="95" spans="2:26" ht="18.75" outlineLevel="1">
      <c r="B95" s="256" t="s">
        <v>160</v>
      </c>
      <c r="C95" s="237"/>
      <c r="D95" s="237"/>
      <c r="E95" s="255"/>
      <c r="F95" s="343"/>
      <c r="G95" s="363"/>
      <c r="H95" s="255">
        <f>H94/G94</f>
        <v>1.0563481516769886</v>
      </c>
      <c r="I95" s="237"/>
      <c r="J95" s="344"/>
      <c r="K95" s="363">
        <f>K94/H94</f>
        <v>0.99384449842156486</v>
      </c>
      <c r="L95" s="255">
        <f>L94/K94</f>
        <v>1.0062095483747702</v>
      </c>
      <c r="M95" s="237"/>
      <c r="N95" s="237"/>
      <c r="O95" s="363">
        <f>O94/L94</f>
        <v>0.99997626450831933</v>
      </c>
      <c r="P95" s="255">
        <f>P94/O94</f>
        <v>1.0548856713347574</v>
      </c>
      <c r="Q95" s="237"/>
      <c r="R95" s="237"/>
      <c r="S95" s="363">
        <f>S94/P94</f>
        <v>1.000007500356267</v>
      </c>
      <c r="T95" s="255">
        <f>T94/S94</f>
        <v>1.0098403936157447</v>
      </c>
      <c r="U95" s="237"/>
      <c r="V95" s="237"/>
      <c r="W95" s="363">
        <f>W94/T94</f>
        <v>0.99989601901366598</v>
      </c>
      <c r="X95" s="255">
        <f>X94/W94</f>
        <v>1.0621722401319211</v>
      </c>
      <c r="Y95" s="237"/>
      <c r="Z95" s="237"/>
    </row>
    <row r="96" spans="2:26" ht="18.75" hidden="1" outlineLevel="1">
      <c r="B96" s="256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</row>
    <row r="97" spans="1:27" ht="18.75" hidden="1" outlineLevel="1">
      <c r="B97" s="256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</row>
    <row r="98" spans="1:27" hidden="1">
      <c r="B98" s="345"/>
      <c r="C98" s="345"/>
      <c r="D98" s="345"/>
      <c r="E98" s="345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</row>
    <row r="99" spans="1:27" s="380" customFormat="1" ht="18.75" hidden="1">
      <c r="A99" s="402"/>
      <c r="B99" s="403" t="s">
        <v>228</v>
      </c>
      <c r="C99" s="403"/>
      <c r="D99" s="404"/>
      <c r="E99" s="404"/>
      <c r="F99" s="404"/>
      <c r="G99" s="404"/>
      <c r="H99" s="404"/>
      <c r="I99" s="404"/>
      <c r="J99" s="404"/>
      <c r="K99" s="404"/>
      <c r="O99" s="404"/>
      <c r="P99" s="404"/>
      <c r="Q99" s="403"/>
      <c r="R99" s="403"/>
    </row>
    <row r="100" spans="1:27" ht="18.75" hidden="1">
      <c r="A100" s="405">
        <v>1</v>
      </c>
      <c r="B100" s="406" t="s">
        <v>229</v>
      </c>
      <c r="C100" s="406"/>
      <c r="D100" s="407"/>
      <c r="L100" s="57"/>
      <c r="M100" s="57"/>
      <c r="N100" s="57"/>
    </row>
    <row r="101" spans="1:27" ht="18.75" hidden="1">
      <c r="A101" s="405">
        <v>2</v>
      </c>
      <c r="B101" s="406" t="s">
        <v>230</v>
      </c>
      <c r="C101" s="406"/>
      <c r="D101" s="407"/>
    </row>
    <row r="103" spans="1:27" ht="16.5" thickBot="1"/>
    <row r="104" spans="1:27" ht="31.5" customHeight="1">
      <c r="B104" s="406"/>
      <c r="C104" s="406"/>
      <c r="D104" s="1552" t="s">
        <v>521</v>
      </c>
      <c r="E104" s="1652" t="s">
        <v>522</v>
      </c>
      <c r="F104" s="1653"/>
      <c r="G104" s="1653"/>
      <c r="I104" s="1552" t="s">
        <v>537</v>
      </c>
      <c r="J104" s="1652" t="s">
        <v>538</v>
      </c>
      <c r="K104" s="1653"/>
      <c r="L104" s="1653"/>
      <c r="N104" s="1552" t="s">
        <v>537</v>
      </c>
      <c r="O104" s="1652" t="s">
        <v>538</v>
      </c>
      <c r="P104" s="1653"/>
      <c r="Q104" s="1653"/>
      <c r="S104" s="1552" t="s">
        <v>537</v>
      </c>
      <c r="T104" s="1652" t="s">
        <v>538</v>
      </c>
      <c r="U104" s="1653"/>
      <c r="V104" s="1653"/>
      <c r="X104" s="1552" t="s">
        <v>537</v>
      </c>
      <c r="Y104" s="1652" t="s">
        <v>538</v>
      </c>
      <c r="Z104" s="1653"/>
      <c r="AA104" s="1653"/>
    </row>
    <row r="105" spans="1:27" ht="108" customHeight="1">
      <c r="B105" s="406"/>
      <c r="C105" s="406"/>
      <c r="D105" s="1648" t="s">
        <v>523</v>
      </c>
      <c r="E105" s="1194" t="s">
        <v>524</v>
      </c>
      <c r="F105" s="1195" t="s">
        <v>525</v>
      </c>
      <c r="G105" s="1646" t="s">
        <v>526</v>
      </c>
      <c r="I105" s="1648" t="s">
        <v>523</v>
      </c>
      <c r="J105" s="1194" t="s">
        <v>524</v>
      </c>
      <c r="K105" s="1195" t="s">
        <v>525</v>
      </c>
      <c r="L105" s="1646" t="s">
        <v>526</v>
      </c>
      <c r="N105" s="1648" t="s">
        <v>523</v>
      </c>
      <c r="O105" s="1194" t="s">
        <v>524</v>
      </c>
      <c r="P105" s="1195" t="s">
        <v>525</v>
      </c>
      <c r="Q105" s="1646" t="s">
        <v>526</v>
      </c>
      <c r="S105" s="1648" t="s">
        <v>523</v>
      </c>
      <c r="T105" s="1194" t="s">
        <v>524</v>
      </c>
      <c r="U105" s="1195" t="s">
        <v>525</v>
      </c>
      <c r="V105" s="1646" t="s">
        <v>526</v>
      </c>
      <c r="X105" s="1648" t="s">
        <v>523</v>
      </c>
      <c r="Y105" s="1194" t="s">
        <v>524</v>
      </c>
      <c r="Z105" s="1195" t="s">
        <v>525</v>
      </c>
      <c r="AA105" s="1646" t="s">
        <v>526</v>
      </c>
    </row>
    <row r="106" spans="1:27" ht="15.75" customHeight="1">
      <c r="D106" s="1648"/>
      <c r="E106" s="1639" t="s">
        <v>527</v>
      </c>
      <c r="F106" s="1641" t="s">
        <v>528</v>
      </c>
      <c r="G106" s="1646"/>
      <c r="I106" s="1648"/>
      <c r="J106" s="1639" t="s">
        <v>527</v>
      </c>
      <c r="K106" s="1641" t="s">
        <v>528</v>
      </c>
      <c r="L106" s="1646"/>
      <c r="N106" s="1648"/>
      <c r="O106" s="1639" t="s">
        <v>527</v>
      </c>
      <c r="P106" s="1641" t="s">
        <v>528</v>
      </c>
      <c r="Q106" s="1646"/>
      <c r="S106" s="1648"/>
      <c r="T106" s="1639" t="s">
        <v>527</v>
      </c>
      <c r="U106" s="1641" t="s">
        <v>528</v>
      </c>
      <c r="V106" s="1646"/>
      <c r="X106" s="1648"/>
      <c r="Y106" s="1639" t="s">
        <v>527</v>
      </c>
      <c r="Z106" s="1641" t="s">
        <v>528</v>
      </c>
      <c r="AA106" s="1646"/>
    </row>
    <row r="107" spans="1:27" ht="16.5" customHeight="1" thickBot="1">
      <c r="D107" s="1649"/>
      <c r="E107" s="1640"/>
      <c r="F107" s="1642"/>
      <c r="G107" s="1647"/>
      <c r="I107" s="1649"/>
      <c r="J107" s="1640"/>
      <c r="K107" s="1642"/>
      <c r="L107" s="1647"/>
      <c r="N107" s="1649"/>
      <c r="O107" s="1640"/>
      <c r="P107" s="1642"/>
      <c r="Q107" s="1647"/>
      <c r="S107" s="1649"/>
      <c r="T107" s="1640"/>
      <c r="U107" s="1642"/>
      <c r="V107" s="1647"/>
      <c r="X107" s="1649"/>
      <c r="Y107" s="1640"/>
      <c r="Z107" s="1642"/>
      <c r="AA107" s="1647"/>
    </row>
    <row r="108" spans="1:27" ht="28.5">
      <c r="B108" s="1643" t="s">
        <v>529</v>
      </c>
      <c r="C108" s="1196" t="s">
        <v>530</v>
      </c>
      <c r="D108" s="1197">
        <v>1193.3399999999999</v>
      </c>
      <c r="E108" s="1198">
        <f>D108</f>
        <v>1193.3399999999999</v>
      </c>
      <c r="F108" s="1199">
        <f>ROUND(F113/F111*1000,2)</f>
        <v>1099.42</v>
      </c>
      <c r="G108" s="1200"/>
      <c r="I108" s="1197">
        <f>I110/1.2</f>
        <v>1260.7850130296301</v>
      </c>
      <c r="J108" s="1198">
        <f>I108</f>
        <v>1260.7850130296301</v>
      </c>
      <c r="K108" s="1199">
        <f>K113/K111*1000</f>
        <v>1157.8860927152316</v>
      </c>
      <c r="L108" s="1200"/>
      <c r="N108" s="1197">
        <f>N110/1.2</f>
        <v>1260.204719197284</v>
      </c>
      <c r="O108" s="1198">
        <f>N108</f>
        <v>1260.204719197284</v>
      </c>
      <c r="P108" s="1199">
        <f>P113/P111*1000</f>
        <v>1150.1039735099337</v>
      </c>
      <c r="Q108" s="1200"/>
      <c r="S108" s="1197">
        <f>S110/1.2</f>
        <v>1329.7867001254704</v>
      </c>
      <c r="T108" s="1198">
        <f>ROUND(S108,2)</f>
        <v>1329.79</v>
      </c>
      <c r="U108" s="1199">
        <f>U113/U111*1000</f>
        <v>1215.2781456953644</v>
      </c>
      <c r="V108" s="1200"/>
      <c r="X108" s="1197">
        <f>X110/1.2</f>
        <v>1342.2583333333334</v>
      </c>
      <c r="Y108" s="1198">
        <f>X108</f>
        <v>1342.2583333333334</v>
      </c>
      <c r="Z108" s="1199">
        <f>Z113/Z111*1000</f>
        <v>1223.1839983399561</v>
      </c>
      <c r="AA108" s="1200"/>
    </row>
    <row r="109" spans="1:27" ht="30.75">
      <c r="B109" s="1644"/>
      <c r="C109" s="1201" t="s">
        <v>531</v>
      </c>
      <c r="D109" s="1553">
        <v>24.91</v>
      </c>
      <c r="E109" s="1203"/>
      <c r="F109" s="1204"/>
      <c r="G109" s="1205">
        <f>D109</f>
        <v>24.91</v>
      </c>
      <c r="I109" s="1553">
        <f>L109</f>
        <v>27.29</v>
      </c>
      <c r="J109" s="1203"/>
      <c r="K109" s="1204"/>
      <c r="L109" s="1205">
        <f>K39</f>
        <v>27.29</v>
      </c>
      <c r="N109" s="1553">
        <f>Q109</f>
        <v>29.2</v>
      </c>
      <c r="O109" s="1203"/>
      <c r="P109" s="1204"/>
      <c r="Q109" s="1205">
        <f>O39</f>
        <v>29.2</v>
      </c>
      <c r="S109" s="1553">
        <f>V109</f>
        <v>30.37</v>
      </c>
      <c r="T109" s="1203"/>
      <c r="U109" s="1204"/>
      <c r="V109" s="1205">
        <f>S39</f>
        <v>30.37</v>
      </c>
      <c r="X109" s="1553">
        <f>AA109</f>
        <v>31.58</v>
      </c>
      <c r="Y109" s="1203"/>
      <c r="Z109" s="1204"/>
      <c r="AA109" s="1205">
        <f>W39</f>
        <v>31.58</v>
      </c>
    </row>
    <row r="110" spans="1:27" ht="42.75">
      <c r="B110" s="1644"/>
      <c r="C110" s="1201" t="s">
        <v>532</v>
      </c>
      <c r="D110" s="1554">
        <v>1408.1412</v>
      </c>
      <c r="E110" s="1229">
        <f>ROUND(E108*1.2,2)</f>
        <v>1432.01</v>
      </c>
      <c r="F110" s="1204"/>
      <c r="G110" s="1207"/>
      <c r="I110" s="1554">
        <f>(H18+H37)/H19*1000*1.2</f>
        <v>1512.9420156355561</v>
      </c>
      <c r="J110" s="1232">
        <f>ROUND(J108*1.2,2)</f>
        <v>1512.94</v>
      </c>
      <c r="K110" s="1204"/>
      <c r="L110" s="1207"/>
      <c r="N110" s="1554">
        <f>(L18+L37)/L19*1000*1.2</f>
        <v>1512.2456630367408</v>
      </c>
      <c r="O110" s="1232">
        <f>ROUND(O108*1.2,2)</f>
        <v>1512.25</v>
      </c>
      <c r="P110" s="1204"/>
      <c r="Q110" s="1207"/>
      <c r="S110" s="1554">
        <f>(P18+P37)/P19*1000*1.2</f>
        <v>1595.7440401505644</v>
      </c>
      <c r="T110" s="1232">
        <f>ROUND(T108*1.2,2)</f>
        <v>1595.75</v>
      </c>
      <c r="U110" s="1204"/>
      <c r="V110" s="1207"/>
      <c r="X110" s="1554">
        <f>ROUND((T18+T37)/T19*1000*1.2,2)</f>
        <v>1610.71</v>
      </c>
      <c r="Y110" s="1232">
        <f>ROUND(Y108*1.2,2)</f>
        <v>1610.71</v>
      </c>
      <c r="Z110" s="1204"/>
      <c r="AA110" s="1207"/>
    </row>
    <row r="111" spans="1:27" ht="28.5">
      <c r="B111" s="1644"/>
      <c r="C111" s="1208" t="s">
        <v>533</v>
      </c>
      <c r="D111" s="1555"/>
      <c r="E111" s="1210">
        <f>F111</f>
        <v>15100</v>
      </c>
      <c r="F111" s="1211">
        <f>[184]индексы!E91</f>
        <v>15100</v>
      </c>
      <c r="G111" s="1211"/>
      <c r="I111" s="1555"/>
      <c r="J111" s="1210">
        <f>K111</f>
        <v>15100</v>
      </c>
      <c r="K111" s="1211">
        <f>F111</f>
        <v>15100</v>
      </c>
      <c r="L111" s="1211"/>
      <c r="N111" s="1555"/>
      <c r="O111" s="1210">
        <f>P111</f>
        <v>15100</v>
      </c>
      <c r="P111" s="1211">
        <f>K111</f>
        <v>15100</v>
      </c>
      <c r="Q111" s="1211"/>
      <c r="S111" s="1555"/>
      <c r="T111" s="1210">
        <f>U111</f>
        <v>15100</v>
      </c>
      <c r="U111" s="1211">
        <f>P111</f>
        <v>15100</v>
      </c>
      <c r="V111" s="1211"/>
      <c r="X111" s="1555"/>
      <c r="Y111" s="1210">
        <f>Z111</f>
        <v>15100</v>
      </c>
      <c r="Z111" s="1211">
        <f>U111</f>
        <v>15100</v>
      </c>
      <c r="AA111" s="1211"/>
    </row>
    <row r="112" spans="1:27" ht="30.75">
      <c r="B112" s="1644"/>
      <c r="C112" s="1208" t="s">
        <v>534</v>
      </c>
      <c r="D112" s="1555"/>
      <c r="E112" s="1210"/>
      <c r="F112" s="1211"/>
      <c r="G112" s="1211">
        <f>ROUND([184]индексы!E82/[184]индексы!G82*96003,2)</f>
        <v>56935.48</v>
      </c>
      <c r="I112" s="1555"/>
      <c r="J112" s="1210"/>
      <c r="K112" s="1211"/>
      <c r="L112" s="1211">
        <f>G112</f>
        <v>56935.48</v>
      </c>
      <c r="N112" s="1555"/>
      <c r="O112" s="1210"/>
      <c r="P112" s="1211"/>
      <c r="Q112" s="1211">
        <f>L112</f>
        <v>56935.48</v>
      </c>
      <c r="S112" s="1555"/>
      <c r="T112" s="1210"/>
      <c r="U112" s="1211"/>
      <c r="V112" s="1211">
        <f>Q112</f>
        <v>56935.48</v>
      </c>
      <c r="X112" s="1555"/>
      <c r="Y112" s="1210"/>
      <c r="Z112" s="1211"/>
      <c r="AA112" s="1211">
        <f>V112</f>
        <v>56935.48</v>
      </c>
    </row>
    <row r="113" spans="2:27" ht="29.25" thickBot="1">
      <c r="B113" s="1645"/>
      <c r="C113" s="1212" t="s">
        <v>535</v>
      </c>
      <c r="D113" s="1213"/>
      <c r="E113" s="1214">
        <f>ROUND(E108*E111/1000,2)</f>
        <v>18019.43</v>
      </c>
      <c r="F113" s="1215">
        <f>E113-G113</f>
        <v>16601.170000000002</v>
      </c>
      <c r="G113" s="1215">
        <f>ROUND(G109*G112/1000,2)</f>
        <v>1418.26</v>
      </c>
      <c r="I113" s="1213"/>
      <c r="J113" s="1214">
        <f>ROUND(J108*J111/1000,2)</f>
        <v>19037.849999999999</v>
      </c>
      <c r="K113" s="1215">
        <f>J113-L113</f>
        <v>17484.079999999998</v>
      </c>
      <c r="L113" s="1215">
        <f>ROUND(L109*L112/1000,2)</f>
        <v>1553.77</v>
      </c>
      <c r="N113" s="1213"/>
      <c r="O113" s="1214">
        <f>ROUND(O108*O111/1000,2)</f>
        <v>19029.09</v>
      </c>
      <c r="P113" s="1215">
        <f>O113-Q113</f>
        <v>17366.57</v>
      </c>
      <c r="Q113" s="1215">
        <f>ROUND(Q109*Q112/1000,2)</f>
        <v>1662.52</v>
      </c>
      <c r="S113" s="1213"/>
      <c r="T113" s="1214">
        <f>ROUND(T108*T111/1000,2)</f>
        <v>20079.830000000002</v>
      </c>
      <c r="U113" s="1215">
        <f>T113-V113</f>
        <v>18350.7</v>
      </c>
      <c r="V113" s="1215">
        <f>ROUND(V109*V112/1000,2)</f>
        <v>1729.13</v>
      </c>
      <c r="X113" s="1213"/>
      <c r="Y113" s="1214">
        <f>Y108*Y111/1000</f>
        <v>20268.100833333338</v>
      </c>
      <c r="Z113" s="1215">
        <f>Y113-AA113</f>
        <v>18470.078374933339</v>
      </c>
      <c r="AA113" s="1215">
        <f>AA109*AA112/1000</f>
        <v>1798.0224584000002</v>
      </c>
    </row>
    <row r="114" spans="2:27" ht="28.5">
      <c r="B114" s="1643" t="s">
        <v>536</v>
      </c>
      <c r="C114" s="1196" t="s">
        <v>530</v>
      </c>
      <c r="D114" s="1554">
        <v>1099.428413894505</v>
      </c>
      <c r="E114" s="1198">
        <f>E118/E116*1000</f>
        <v>1259.1802516469038</v>
      </c>
      <c r="F114" s="1216">
        <f>ROUND(D114,2)</f>
        <v>1099.43</v>
      </c>
      <c r="G114" s="1217"/>
      <c r="I114" s="1554"/>
      <c r="J114" s="1198"/>
      <c r="K114" s="1216"/>
      <c r="L114" s="1217"/>
      <c r="N114" s="1554"/>
      <c r="O114" s="1198"/>
      <c r="P114" s="1216"/>
      <c r="Q114" s="1217"/>
      <c r="S114" s="1554"/>
      <c r="T114" s="1198"/>
      <c r="U114" s="1216"/>
      <c r="V114" s="1217"/>
      <c r="X114" s="1554"/>
      <c r="Y114" s="1198"/>
      <c r="Z114" s="1216"/>
      <c r="AA114" s="1217"/>
    </row>
    <row r="115" spans="2:27" ht="30.75">
      <c r="B115" s="1644"/>
      <c r="C115" s="1201" t="s">
        <v>531</v>
      </c>
      <c r="D115" s="1554">
        <v>34.74</v>
      </c>
      <c r="E115" s="1203"/>
      <c r="F115" s="1218"/>
      <c r="G115" s="1219">
        <f>D115</f>
        <v>34.74</v>
      </c>
      <c r="I115" s="1554"/>
      <c r="J115" s="1203"/>
      <c r="K115" s="1218"/>
      <c r="L115" s="1219"/>
      <c r="N115" s="1554"/>
      <c r="O115" s="1203"/>
      <c r="P115" s="1218"/>
      <c r="Q115" s="1219"/>
      <c r="S115" s="1554"/>
      <c r="T115" s="1203"/>
      <c r="U115" s="1218"/>
      <c r="V115" s="1219"/>
      <c r="X115" s="1554"/>
      <c r="Y115" s="1203"/>
      <c r="Z115" s="1218"/>
      <c r="AA115" s="1219"/>
    </row>
    <row r="116" spans="2:27" ht="28.5">
      <c r="B116" s="1644"/>
      <c r="C116" s="1208" t="s">
        <v>533</v>
      </c>
      <c r="D116" s="1555"/>
      <c r="E116" s="1210">
        <f>F116</f>
        <v>759</v>
      </c>
      <c r="F116" s="1220">
        <f>[184]индексы!E90</f>
        <v>759</v>
      </c>
      <c r="G116" s="1221"/>
      <c r="I116" s="1555"/>
      <c r="J116" s="1210"/>
      <c r="K116" s="1220"/>
      <c r="L116" s="1221"/>
      <c r="N116" s="1555"/>
      <c r="O116" s="1210"/>
      <c r="P116" s="1220"/>
      <c r="Q116" s="1221"/>
      <c r="S116" s="1555"/>
      <c r="T116" s="1210"/>
      <c r="U116" s="1220"/>
      <c r="V116" s="1221"/>
      <c r="X116" s="1555"/>
      <c r="Y116" s="1210"/>
      <c r="Z116" s="1220"/>
      <c r="AA116" s="1221"/>
    </row>
    <row r="117" spans="2:27" ht="30.75">
      <c r="B117" s="1644"/>
      <c r="C117" s="1208" t="s">
        <v>534</v>
      </c>
      <c r="D117" s="1555"/>
      <c r="E117" s="1222"/>
      <c r="F117" s="1220"/>
      <c r="G117" s="1223">
        <f>ROUND([184]индексы!E82/[184]индексы!G82*5885,2)</f>
        <v>3490.15</v>
      </c>
      <c r="H117" s="57"/>
      <c r="I117" s="1555"/>
      <c r="J117" s="1222"/>
      <c r="K117" s="1220"/>
      <c r="L117" s="1223"/>
      <c r="N117" s="1555"/>
      <c r="O117" s="1222"/>
      <c r="P117" s="1220"/>
      <c r="Q117" s="1223"/>
      <c r="S117" s="1555"/>
      <c r="T117" s="1222"/>
      <c r="U117" s="1220"/>
      <c r="V117" s="1223"/>
      <c r="X117" s="1555"/>
      <c r="Y117" s="1222"/>
      <c r="Z117" s="1220"/>
      <c r="AA117" s="1223"/>
    </row>
    <row r="118" spans="2:27" ht="29.25" thickBot="1">
      <c r="B118" s="1645"/>
      <c r="C118" s="1212" t="s">
        <v>535</v>
      </c>
      <c r="D118" s="1213"/>
      <c r="E118" s="1224">
        <f>F118+G118</f>
        <v>955.71781099999998</v>
      </c>
      <c r="F118" s="1225">
        <f>ROUND(F114*F116/1000,2)</f>
        <v>834.47</v>
      </c>
      <c r="G118" s="1226">
        <f>G115*G117/1000</f>
        <v>121.24781100000001</v>
      </c>
      <c r="I118" s="1213"/>
      <c r="J118" s="1224"/>
      <c r="K118" s="1225"/>
      <c r="L118" s="1226"/>
      <c r="N118" s="1213"/>
      <c r="O118" s="1224"/>
      <c r="P118" s="1225"/>
      <c r="Q118" s="1226"/>
      <c r="S118" s="1213"/>
      <c r="T118" s="1224"/>
      <c r="U118" s="1225"/>
      <c r="V118" s="1226"/>
      <c r="X118" s="1213"/>
      <c r="Y118" s="1224"/>
      <c r="Z118" s="1225"/>
      <c r="AA118" s="1226"/>
    </row>
    <row r="123" spans="2:27">
      <c r="K123">
        <v>16706.84</v>
      </c>
    </row>
  </sheetData>
  <mergeCells count="40">
    <mergeCell ref="B3:B4"/>
    <mergeCell ref="C3:C4"/>
    <mergeCell ref="D3:F3"/>
    <mergeCell ref="G3:I3"/>
    <mergeCell ref="J3:J4"/>
    <mergeCell ref="Z3:Z4"/>
    <mergeCell ref="E104:G104"/>
    <mergeCell ref="J104:L104"/>
    <mergeCell ref="O104:Q104"/>
    <mergeCell ref="T104:V104"/>
    <mergeCell ref="Y104:AA104"/>
    <mergeCell ref="N3:N4"/>
    <mergeCell ref="O3:Q3"/>
    <mergeCell ref="R3:R4"/>
    <mergeCell ref="S3:U3"/>
    <mergeCell ref="V3:V4"/>
    <mergeCell ref="W3:Y3"/>
    <mergeCell ref="K3:M3"/>
    <mergeCell ref="B114:B118"/>
    <mergeCell ref="S105:S107"/>
    <mergeCell ref="V105:V107"/>
    <mergeCell ref="X105:X107"/>
    <mergeCell ref="AA105:AA107"/>
    <mergeCell ref="E106:E107"/>
    <mergeCell ref="F106:F107"/>
    <mergeCell ref="J106:J107"/>
    <mergeCell ref="K106:K107"/>
    <mergeCell ref="O106:O107"/>
    <mergeCell ref="P106:P107"/>
    <mergeCell ref="D105:D107"/>
    <mergeCell ref="G105:G107"/>
    <mergeCell ref="I105:I107"/>
    <mergeCell ref="L105:L107"/>
    <mergeCell ref="N105:N107"/>
    <mergeCell ref="T106:T107"/>
    <mergeCell ref="U106:U107"/>
    <mergeCell ref="Y106:Y107"/>
    <mergeCell ref="Z106:Z107"/>
    <mergeCell ref="B108:B113"/>
    <mergeCell ref="Q105:Q107"/>
  </mergeCells>
  <pageMargins left="0.23622047244094491" right="0.23622047244094491" top="0.74803149606299213" bottom="0.74803149606299213" header="0.31496062992125984" footer="0.31496062992125984"/>
  <pageSetup paperSize="8" scale="46" orientation="landscape" blackAndWhite="1" horizontalDpi="300" verticalDpi="300" r:id="rId1"/>
  <colBreaks count="1" manualBreakCount="1">
    <brk id="14" max="8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A123"/>
  <sheetViews>
    <sheetView view="pageBreakPreview" zoomScale="55" zoomScaleNormal="60" zoomScaleSheetLayoutView="55" workbookViewId="0">
      <pane ySplit="4" topLeftCell="A5" activePane="bottomLeft" state="frozen"/>
      <selection pane="bottomLeft" activeCell="S26" sqref="S26"/>
    </sheetView>
  </sheetViews>
  <sheetFormatPr defaultRowHeight="15.75" outlineLevelRow="1" outlineLevelCol="1"/>
  <cols>
    <col min="1" max="1" width="2.375" style="257" customWidth="1"/>
    <col min="2" max="2" width="30.75" customWidth="1"/>
    <col min="3" max="3" width="13.625" customWidth="1"/>
    <col min="4" max="9" width="15.375" customWidth="1" outlineLevel="1"/>
    <col min="10" max="10" width="13.25" customWidth="1" outlineLevel="1"/>
    <col min="11" max="13" width="15.375" customWidth="1"/>
    <col min="14" max="14" width="13" customWidth="1"/>
    <col min="15" max="17" width="15.375" customWidth="1"/>
    <col min="18" max="18" width="13" customWidth="1"/>
    <col min="19" max="21" width="15.375" customWidth="1"/>
    <col min="22" max="22" width="13" customWidth="1"/>
    <col min="23" max="25" width="15.375" customWidth="1"/>
    <col min="26" max="26" width="13" customWidth="1"/>
    <col min="27" max="27" width="22.25" customWidth="1"/>
  </cols>
  <sheetData>
    <row r="1" spans="1:26" s="355" customFormat="1" ht="23.25">
      <c r="A1" s="350"/>
      <c r="B1" s="351" t="s">
        <v>498</v>
      </c>
      <c r="C1" s="352"/>
      <c r="D1" s="353"/>
      <c r="E1" s="354"/>
      <c r="F1" s="354"/>
      <c r="G1" s="353"/>
      <c r="H1" s="354"/>
      <c r="I1" s="354"/>
      <c r="J1" s="354"/>
      <c r="K1" s="353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</row>
    <row r="2" spans="1:26" ht="19.5" thickBot="1">
      <c r="B2" s="335"/>
      <c r="C2" s="335"/>
      <c r="D2" s="335"/>
      <c r="E2" s="335"/>
      <c r="F2" s="335"/>
      <c r="G2" s="233"/>
      <c r="H2" s="233"/>
      <c r="I2" s="233"/>
      <c r="J2" s="233"/>
      <c r="K2" s="1230"/>
      <c r="L2" s="233"/>
      <c r="M2" s="233"/>
      <c r="N2" s="233"/>
      <c r="O2" s="336"/>
      <c r="P2" s="336"/>
      <c r="Q2" s="336"/>
      <c r="R2" s="233"/>
      <c r="S2" s="336"/>
      <c r="T2" s="336"/>
      <c r="U2" s="336"/>
      <c r="V2" s="233"/>
      <c r="W2" s="336"/>
      <c r="X2" s="336"/>
      <c r="Y2" s="336"/>
      <c r="Z2" s="233"/>
    </row>
    <row r="3" spans="1:26" ht="18.75" customHeight="1">
      <c r="B3" s="1663" t="s">
        <v>82</v>
      </c>
      <c r="C3" s="1665" t="s">
        <v>159</v>
      </c>
      <c r="D3" s="1656" t="s">
        <v>256</v>
      </c>
      <c r="E3" s="1657"/>
      <c r="F3" s="1658"/>
      <c r="G3" s="1662" t="s">
        <v>175</v>
      </c>
      <c r="H3" s="1657"/>
      <c r="I3" s="1658"/>
      <c r="J3" s="1654" t="s">
        <v>180</v>
      </c>
      <c r="K3" s="1662" t="s">
        <v>177</v>
      </c>
      <c r="L3" s="1657"/>
      <c r="M3" s="1658"/>
      <c r="N3" s="1654" t="s">
        <v>181</v>
      </c>
      <c r="O3" s="1656" t="s">
        <v>179</v>
      </c>
      <c r="P3" s="1657"/>
      <c r="Q3" s="1658"/>
      <c r="R3" s="1654" t="s">
        <v>182</v>
      </c>
      <c r="S3" s="1659" t="s">
        <v>236</v>
      </c>
      <c r="T3" s="1660"/>
      <c r="U3" s="1661"/>
      <c r="V3" s="1650" t="s">
        <v>237</v>
      </c>
      <c r="W3" s="1659" t="s">
        <v>254</v>
      </c>
      <c r="X3" s="1660"/>
      <c r="Y3" s="1661"/>
      <c r="Z3" s="1650" t="s">
        <v>255</v>
      </c>
    </row>
    <row r="4" spans="1:26" ht="32.25" customHeight="1" thickBot="1">
      <c r="B4" s="1664"/>
      <c r="C4" s="1666"/>
      <c r="D4" s="234" t="s">
        <v>185</v>
      </c>
      <c r="E4" s="235" t="s">
        <v>186</v>
      </c>
      <c r="F4" s="236" t="s">
        <v>187</v>
      </c>
      <c r="G4" s="234" t="s">
        <v>188</v>
      </c>
      <c r="H4" s="235" t="s">
        <v>189</v>
      </c>
      <c r="I4" s="236" t="s">
        <v>190</v>
      </c>
      <c r="J4" s="1655"/>
      <c r="K4" s="234" t="s">
        <v>191</v>
      </c>
      <c r="L4" s="235" t="s">
        <v>192</v>
      </c>
      <c r="M4" s="236" t="s">
        <v>193</v>
      </c>
      <c r="N4" s="1655"/>
      <c r="O4" s="234" t="s">
        <v>194</v>
      </c>
      <c r="P4" s="235" t="s">
        <v>195</v>
      </c>
      <c r="Q4" s="236" t="s">
        <v>196</v>
      </c>
      <c r="R4" s="1655"/>
      <c r="S4" s="234" t="s">
        <v>238</v>
      </c>
      <c r="T4" s="235" t="s">
        <v>239</v>
      </c>
      <c r="U4" s="236" t="s">
        <v>240</v>
      </c>
      <c r="V4" s="1651"/>
      <c r="W4" s="234" t="s">
        <v>257</v>
      </c>
      <c r="X4" s="235" t="s">
        <v>258</v>
      </c>
      <c r="Y4" s="236" t="s">
        <v>259</v>
      </c>
      <c r="Z4" s="1651"/>
    </row>
    <row r="5" spans="1:26" ht="32.25" customHeight="1" thickBot="1">
      <c r="B5" s="918" t="s">
        <v>519</v>
      </c>
      <c r="C5" s="918"/>
      <c r="D5" s="919"/>
      <c r="E5" s="919"/>
      <c r="F5" s="919"/>
      <c r="G5" s="919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</row>
    <row r="6" spans="1:26" ht="37.5">
      <c r="B6" s="238" t="s">
        <v>161</v>
      </c>
      <c r="C6" s="347" t="s">
        <v>21</v>
      </c>
      <c r="D6" s="240">
        <v>17914.43</v>
      </c>
      <c r="E6" s="241">
        <v>13020.216451300003</v>
      </c>
      <c r="F6" s="781">
        <f>D6+E6</f>
        <v>30934.646451300003</v>
      </c>
      <c r="G6" s="240">
        <f>G12+G31</f>
        <v>18975.150000000001</v>
      </c>
      <c r="H6" s="241">
        <f>H12+H31</f>
        <v>13753.858999999999</v>
      </c>
      <c r="I6" s="242">
        <f>'[185]Кальк.2019-2023 (ДИ)'!P99</f>
        <v>32729.009000000002</v>
      </c>
      <c r="J6" s="348">
        <f>I6/F6</f>
        <v>1.05800494767331</v>
      </c>
      <c r="K6" s="240">
        <f>K12+K31</f>
        <v>19920.91</v>
      </c>
      <c r="L6" s="241">
        <f>L12+L31</f>
        <v>13754.079999999998</v>
      </c>
      <c r="M6" s="242">
        <f>'[185]Кальк.2019-2023 (ДИ)'!AB99</f>
        <v>33674.99</v>
      </c>
      <c r="N6" s="348">
        <f>M6/I6</f>
        <v>1.0289034415921361</v>
      </c>
      <c r="O6" s="240">
        <f>O12+O31</f>
        <v>20044.189999999999</v>
      </c>
      <c r="P6" s="241">
        <f>P12+P31</f>
        <v>14508.599999999999</v>
      </c>
      <c r="Q6" s="242">
        <f>'[185]Кальк.2019-2023 (ДИ)'!AN99</f>
        <v>34552.79</v>
      </c>
      <c r="R6" s="348">
        <f>Q6/M6</f>
        <v>1.0260668228854708</v>
      </c>
      <c r="S6" s="240">
        <f>S12+S31</f>
        <v>21144.41</v>
      </c>
      <c r="T6" s="241">
        <f>T12+T31</f>
        <v>14651.539999999995</v>
      </c>
      <c r="U6" s="242">
        <f>'[185]Кальк.2019-2023 (ДИ)'!AZ99</f>
        <v>35795.949999999997</v>
      </c>
      <c r="V6" s="348">
        <f>U6/Q6</f>
        <v>1.035978570760856</v>
      </c>
      <c r="W6" s="240">
        <f>W12+W31</f>
        <v>21350.149999999998</v>
      </c>
      <c r="X6" s="241">
        <f>Y6-W6</f>
        <v>15560.919999999995</v>
      </c>
      <c r="Y6" s="242">
        <f>'[185]Кальк.2019-2023 (ДИ)'!BL99</f>
        <v>36911.069999999992</v>
      </c>
      <c r="Z6" s="243">
        <f>Y6/U6</f>
        <v>1.0311521275451552</v>
      </c>
    </row>
    <row r="7" spans="1:26" ht="19.5" thickBot="1">
      <c r="B7" s="244" t="s">
        <v>227</v>
      </c>
      <c r="C7" s="980" t="s">
        <v>13</v>
      </c>
      <c r="D7" s="981">
        <v>15859</v>
      </c>
      <c r="E7" s="398">
        <v>10882</v>
      </c>
      <c r="F7" s="991">
        <f>D7+E7</f>
        <v>26741</v>
      </c>
      <c r="G7" s="981">
        <f>G13</f>
        <v>15859</v>
      </c>
      <c r="H7" s="398">
        <f>H13</f>
        <v>10882</v>
      </c>
      <c r="I7" s="982">
        <f>G7+H7</f>
        <v>26741</v>
      </c>
      <c r="J7" s="1255">
        <f t="shared" ref="J7:J8" si="0">I7/F7</f>
        <v>1</v>
      </c>
      <c r="K7" s="981">
        <f>K13</f>
        <v>15859</v>
      </c>
      <c r="L7" s="398">
        <f>L13</f>
        <v>10882</v>
      </c>
      <c r="M7" s="982">
        <f>K7+L7</f>
        <v>26741</v>
      </c>
      <c r="N7" s="1255">
        <f t="shared" ref="N7:N8" si="1">M7/I7</f>
        <v>1</v>
      </c>
      <c r="O7" s="981">
        <f>O13</f>
        <v>15859</v>
      </c>
      <c r="P7" s="398">
        <f>P13</f>
        <v>10882</v>
      </c>
      <c r="Q7" s="982">
        <f>O7+P7</f>
        <v>26741</v>
      </c>
      <c r="R7" s="1255">
        <f t="shared" ref="R7:R8" si="2">Q7/M7</f>
        <v>1</v>
      </c>
      <c r="S7" s="981">
        <f>S13</f>
        <v>15859</v>
      </c>
      <c r="T7" s="398">
        <f>T13</f>
        <v>10882</v>
      </c>
      <c r="U7" s="982">
        <f>S7+T7</f>
        <v>26741</v>
      </c>
      <c r="V7" s="1255">
        <f t="shared" ref="V7:V8" si="3">U7/Q7</f>
        <v>1</v>
      </c>
      <c r="W7" s="397">
        <f>[185]индексы!Q82</f>
        <v>15859</v>
      </c>
      <c r="X7" s="398">
        <f>[185]индексы!R82</f>
        <v>10882</v>
      </c>
      <c r="Y7" s="1544">
        <f>[185]индексы!S82</f>
        <v>26741</v>
      </c>
      <c r="Z7" s="1545">
        <f t="shared" ref="Z7:Z8" si="4">Y7/U7</f>
        <v>1</v>
      </c>
    </row>
    <row r="8" spans="1:26" s="72" customFormat="1" ht="38.25" customHeight="1" thickBot="1">
      <c r="A8" s="996"/>
      <c r="B8" s="250" t="s">
        <v>220</v>
      </c>
      <c r="C8" s="251" t="s">
        <v>12</v>
      </c>
      <c r="D8" s="997">
        <f>ROUND(D6/D7*1000,2)</f>
        <v>1129.6099999999999</v>
      </c>
      <c r="E8" s="998">
        <f>ROUND(E6/E7*1000,2)</f>
        <v>1196.49</v>
      </c>
      <c r="F8" s="998">
        <f>ROUND(F6/F7*1000,2)</f>
        <v>1156.82</v>
      </c>
      <c r="G8" s="998">
        <f>ROUND(G6*1000/G7,2)</f>
        <v>1196.49</v>
      </c>
      <c r="H8" s="998">
        <f>ROUND(H6*1000/H7,2)</f>
        <v>1263.9100000000001</v>
      </c>
      <c r="I8" s="998">
        <f>ROUND(I6*1000/I7,2)</f>
        <v>1223.93</v>
      </c>
      <c r="J8" s="254">
        <f t="shared" si="0"/>
        <v>1.058012482495116</v>
      </c>
      <c r="K8" s="998">
        <f>ROUND(K6*1000/K7,2)</f>
        <v>1256.1300000000001</v>
      </c>
      <c r="L8" s="998">
        <f>ROUND(L6*1000/L7,2)</f>
        <v>1263.93</v>
      </c>
      <c r="M8" s="998">
        <f>ROUND(M6*1000/M7,2)</f>
        <v>1259.3</v>
      </c>
      <c r="N8" s="342">
        <f t="shared" si="1"/>
        <v>1.02889871152762</v>
      </c>
      <c r="O8" s="998">
        <f>ROUND(O6*1000/O7,2)</f>
        <v>1263.9000000000001</v>
      </c>
      <c r="P8" s="998">
        <f>ROUND(P6*1000/P7,2)</f>
        <v>1333.27</v>
      </c>
      <c r="Q8" s="790">
        <f>ROUND(Q6*1000/Q7,3)</f>
        <v>1292.1279999999999</v>
      </c>
      <c r="R8" s="342">
        <f t="shared" si="2"/>
        <v>1.026068450726594</v>
      </c>
      <c r="S8" s="998">
        <f>ROUND(S6*1000/S7,2)</f>
        <v>1333.28</v>
      </c>
      <c r="T8" s="998">
        <f>ROUND(T6*1000/T7,2)</f>
        <v>1346.4</v>
      </c>
      <c r="U8" s="790">
        <f>ROUND(U6*1000/U7,3)</f>
        <v>1338.617</v>
      </c>
      <c r="V8" s="342">
        <f t="shared" si="3"/>
        <v>1.0359786336957331</v>
      </c>
      <c r="W8" s="998">
        <f>ROUND(W6*1000/W7,2)</f>
        <v>1346.25</v>
      </c>
      <c r="X8" s="1000">
        <f>ROUND(X6*1000/X7,2)</f>
        <v>1429.97</v>
      </c>
      <c r="Y8" s="253">
        <f>ROUND(Y6*1000/Y7,2)</f>
        <v>1380.32</v>
      </c>
      <c r="Z8" s="254">
        <f t="shared" si="4"/>
        <v>1.0311537952976841</v>
      </c>
    </row>
    <row r="9" spans="1:26" ht="18.75">
      <c r="B9" s="256" t="s">
        <v>160</v>
      </c>
      <c r="C9" s="237"/>
      <c r="D9" s="237"/>
      <c r="E9" s="255">
        <f>E8/D8</f>
        <v>1.0592062747319873</v>
      </c>
      <c r="F9" s="343"/>
      <c r="G9" s="363">
        <f>G8/E8</f>
        <v>1</v>
      </c>
      <c r="H9" s="255">
        <f>H8/G8</f>
        <v>1.0563481516769886</v>
      </c>
      <c r="I9" s="343"/>
      <c r="J9" s="343"/>
      <c r="K9" s="363">
        <f>K8/H8</f>
        <v>0.99384449842156486</v>
      </c>
      <c r="L9" s="255">
        <f>L8/K8</f>
        <v>1.0062095483747702</v>
      </c>
      <c r="M9" s="343"/>
      <c r="N9" s="344"/>
      <c r="O9" s="363">
        <f>O8/L8</f>
        <v>0.99997626450831933</v>
      </c>
      <c r="P9" s="255">
        <f>P8/O8</f>
        <v>1.0548856713347574</v>
      </c>
      <c r="Q9" s="237"/>
      <c r="R9" s="344"/>
      <c r="S9" s="363">
        <f>S8/P8</f>
        <v>1.000007500356267</v>
      </c>
      <c r="T9" s="255">
        <f>T8/S8</f>
        <v>1.0098403936157447</v>
      </c>
      <c r="U9" s="237"/>
      <c r="V9" s="344"/>
      <c r="W9" s="363">
        <f>W8/T8</f>
        <v>0.99988859180035639</v>
      </c>
      <c r="X9" s="255">
        <f>X8/W8</f>
        <v>1.0621875580315692</v>
      </c>
      <c r="Y9" s="237"/>
      <c r="Z9" s="344"/>
    </row>
    <row r="10" spans="1:26" ht="18.75">
      <c r="B10" s="802"/>
      <c r="C10" s="802"/>
      <c r="D10" s="803"/>
      <c r="E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</row>
    <row r="11" spans="1:26" ht="19.5" thickBot="1">
      <c r="B11" s="794" t="s">
        <v>520</v>
      </c>
      <c r="C11" s="58"/>
      <c r="D11" s="58"/>
      <c r="E11" s="58"/>
      <c r="F11" s="58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</row>
    <row r="12" spans="1:26" ht="37.5">
      <c r="B12" s="238" t="s">
        <v>161</v>
      </c>
      <c r="C12" s="347" t="s">
        <v>21</v>
      </c>
      <c r="D12" s="240">
        <v>16457.68</v>
      </c>
      <c r="E12" s="241">
        <v>11964.016451300002</v>
      </c>
      <c r="F12" s="242">
        <v>28421.696451300002</v>
      </c>
      <c r="G12" s="240">
        <f>G18+G24</f>
        <v>17435.640000000003</v>
      </c>
      <c r="H12" s="241">
        <f>I12-G12</f>
        <v>12600.098999999998</v>
      </c>
      <c r="I12" s="781">
        <f>'[185]Кальк.2019-2023 (ДИ)'!Q112+'[185]Кальк.2019-2023 (ДИ)'!R112</f>
        <v>30035.739000000001</v>
      </c>
      <c r="J12" s="243">
        <f>I12/F12</f>
        <v>1.0567890995340701</v>
      </c>
      <c r="K12" s="240">
        <f>ROUND(K13*K14/1000,2)</f>
        <v>18239.47</v>
      </c>
      <c r="L12" s="241">
        <f>M12-K12</f>
        <v>12515.419999999998</v>
      </c>
      <c r="M12" s="242">
        <f>'[185]Кальк.2019-2023 (ДИ)'!AC99+'[185]Кальк.2019-2023 (ДИ)'!AD99</f>
        <v>30754.89</v>
      </c>
      <c r="N12" s="348">
        <f>M12/I12</f>
        <v>1.0239431764938429</v>
      </c>
      <c r="O12" s="240">
        <f>ROUND(O13*O14/1000,2)</f>
        <v>18239.48</v>
      </c>
      <c r="P12" s="241">
        <f>Q12-O12</f>
        <v>13224.55</v>
      </c>
      <c r="Q12" s="242">
        <f>'[185]Кальк.2019-2023 (ДИ)'!AO99+'[185]Кальк.2019-2023 (ДИ)'!AP99</f>
        <v>31464.03</v>
      </c>
      <c r="R12" s="348">
        <f>Q12/M12</f>
        <v>1.0230577966625796</v>
      </c>
      <c r="S12" s="240">
        <f>S18+S24</f>
        <v>19273.09</v>
      </c>
      <c r="T12" s="241">
        <f>U12-S12</f>
        <v>13310.639999999996</v>
      </c>
      <c r="U12" s="242">
        <f>'[185]Кальк.2019-2023 (ДИ)'!BA99+'[185]Кальк.2019-2023 (ДИ)'!BB99</f>
        <v>32583.729999999996</v>
      </c>
      <c r="V12" s="348">
        <f>U12/Q12</f>
        <v>1.0355866683320603</v>
      </c>
      <c r="W12" s="240">
        <f>W18+W24</f>
        <v>19398.349999999999</v>
      </c>
      <c r="X12" s="241">
        <f>Y12-W12</f>
        <v>14172.409999999996</v>
      </c>
      <c r="Y12" s="242">
        <f>'[185]Кальк.2019-2023 (ДИ)'!BM99+'[185]Кальк.2019-2023 (ДИ)'!BN99</f>
        <v>33570.759999999995</v>
      </c>
      <c r="Z12" s="243">
        <f>Y12/U12</f>
        <v>1.0302921120448763</v>
      </c>
    </row>
    <row r="13" spans="1:26" ht="19.5" thickBot="1">
      <c r="B13" s="244" t="s">
        <v>227</v>
      </c>
      <c r="C13" s="980" t="s">
        <v>13</v>
      </c>
      <c r="D13" s="1546">
        <v>15859</v>
      </c>
      <c r="E13" s="1547">
        <v>10882</v>
      </c>
      <c r="F13" s="1548">
        <v>26741</v>
      </c>
      <c r="G13" s="397">
        <f>[185]индексы!E89</f>
        <v>15859</v>
      </c>
      <c r="H13" s="398">
        <f>[185]индексы!F89</f>
        <v>10882</v>
      </c>
      <c r="I13" s="1549">
        <f>G13+H13</f>
        <v>26741</v>
      </c>
      <c r="J13" s="1545">
        <f t="shared" ref="J13" si="5">I13/F13</f>
        <v>1</v>
      </c>
      <c r="K13" s="397">
        <f>[185]индексы!H89</f>
        <v>15859</v>
      </c>
      <c r="L13" s="398">
        <f>[185]индексы!I89</f>
        <v>10882</v>
      </c>
      <c r="M13" s="1231">
        <f>K13+L13</f>
        <v>26741</v>
      </c>
      <c r="N13" s="1255">
        <f t="shared" ref="N13:N14" si="6">M13/I13</f>
        <v>1</v>
      </c>
      <c r="O13" s="397">
        <f>[185]индексы!K89</f>
        <v>15859</v>
      </c>
      <c r="P13" s="398">
        <f>[185]индексы!L89</f>
        <v>10882</v>
      </c>
      <c r="Q13" s="1231">
        <f>O13+P13</f>
        <v>26741</v>
      </c>
      <c r="R13" s="1255">
        <f t="shared" ref="R13:R14" si="7">Q13/M13</f>
        <v>1</v>
      </c>
      <c r="S13" s="397">
        <f>[185]индексы!N89</f>
        <v>15859</v>
      </c>
      <c r="T13" s="398">
        <f>[185]индексы!O89</f>
        <v>10882</v>
      </c>
      <c r="U13" s="1231">
        <f>S13+T13</f>
        <v>26741</v>
      </c>
      <c r="V13" s="1255">
        <f t="shared" ref="V13:V14" si="8">U13/Q13</f>
        <v>1</v>
      </c>
      <c r="W13" s="397">
        <f>[185]индексы!Q89</f>
        <v>15859</v>
      </c>
      <c r="X13" s="398">
        <f>[185]индексы!R89</f>
        <v>10882</v>
      </c>
      <c r="Y13" s="1231">
        <f>W13+X13</f>
        <v>26741</v>
      </c>
      <c r="Z13" s="1545">
        <f t="shared" ref="Z13:Z14" si="9">Y13/U13</f>
        <v>1</v>
      </c>
    </row>
    <row r="14" spans="1:26" ht="38.25" customHeight="1" thickBot="1">
      <c r="B14" s="250" t="s">
        <v>220</v>
      </c>
      <c r="C14" s="251" t="s">
        <v>12</v>
      </c>
      <c r="D14" s="341">
        <v>1037.75</v>
      </c>
      <c r="E14" s="252">
        <v>1099.43</v>
      </c>
      <c r="F14" s="252">
        <v>1062.8499999999999</v>
      </c>
      <c r="G14" s="252">
        <f>ROUND(G12/G13*1000,3)</f>
        <v>1099.4159999999999</v>
      </c>
      <c r="H14" s="252">
        <f>ROUND(H12/H13*1000,2)</f>
        <v>1157.8800000000001</v>
      </c>
      <c r="I14" s="990">
        <f>ROUND(I12*1000/I13,3)</f>
        <v>1123.2090000000001</v>
      </c>
      <c r="J14" s="254">
        <f>I14/F14</f>
        <v>1.0567897633720658</v>
      </c>
      <c r="K14" s="341">
        <f>M14</f>
        <v>1150.1020000000001</v>
      </c>
      <c r="L14" s="252">
        <f>L12*1000/L13</f>
        <v>1150.102922256938</v>
      </c>
      <c r="M14" s="994">
        <f>ROUND(M12*1000/M13,3)</f>
        <v>1150.1020000000001</v>
      </c>
      <c r="N14" s="342">
        <f t="shared" si="6"/>
        <v>1.0239430061546873</v>
      </c>
      <c r="O14" s="341">
        <f>L14</f>
        <v>1150.102922256938</v>
      </c>
      <c r="P14" s="252">
        <f>ROUND(P12*1000/P13,2)</f>
        <v>1215.27</v>
      </c>
      <c r="Q14" s="994">
        <f>ROUND(Q12*1000/Q13,3)</f>
        <v>1176.6210000000001</v>
      </c>
      <c r="R14" s="342">
        <f t="shared" si="7"/>
        <v>1.0230579548596559</v>
      </c>
      <c r="S14" s="252">
        <f>ROUND(S12/S13*1000,3)</f>
        <v>1215.278</v>
      </c>
      <c r="T14" s="252">
        <f>ROUND(T12*1000/T13,2)</f>
        <v>1223.18</v>
      </c>
      <c r="U14" s="994">
        <f>ROUND(U12*1000/U13,3)</f>
        <v>1218.4929999999999</v>
      </c>
      <c r="V14" s="342">
        <f t="shared" si="8"/>
        <v>1.0355866502467659</v>
      </c>
      <c r="W14" s="252">
        <f>ROUND(W12/W13*1000,3)</f>
        <v>1223.1759999999999</v>
      </c>
      <c r="X14" s="252">
        <f>ROUND(X12*1000/X13,2)</f>
        <v>1302.3699999999999</v>
      </c>
      <c r="Y14" s="994">
        <f>ROUND(Y12*1000/Y13,3)</f>
        <v>1255.404</v>
      </c>
      <c r="Z14" s="254">
        <f t="shared" si="9"/>
        <v>1.0302923365173211</v>
      </c>
    </row>
    <row r="15" spans="1:26" ht="18.75">
      <c r="B15" s="256" t="s">
        <v>160</v>
      </c>
      <c r="C15" s="237"/>
      <c r="D15" s="237"/>
      <c r="E15" s="255">
        <f>E14/D14</f>
        <v>1.059436280414358</v>
      </c>
      <c r="F15" s="343"/>
      <c r="G15" s="363">
        <f>G14/E14</f>
        <v>0.99998726612881206</v>
      </c>
      <c r="H15" s="255">
        <f>H14/G14</f>
        <v>1.0531773232334258</v>
      </c>
      <c r="I15" s="343"/>
      <c r="J15" s="343"/>
      <c r="K15" s="363">
        <f>K14/H14</f>
        <v>0.99328255086882922</v>
      </c>
      <c r="L15" s="255">
        <f>L14/K14</f>
        <v>1.0000008018914304</v>
      </c>
      <c r="M15" s="343"/>
      <c r="N15" s="344"/>
      <c r="O15" s="363">
        <f>O14/L14</f>
        <v>1</v>
      </c>
      <c r="P15" s="255">
        <f>P14/O14</f>
        <v>1.056661953014761</v>
      </c>
      <c r="Q15" s="237"/>
      <c r="R15" s="344"/>
      <c r="S15" s="363">
        <f>S14/P14</f>
        <v>1.0000065828992735</v>
      </c>
      <c r="T15" s="255">
        <f>T14/S14</f>
        <v>1.0065022159538806</v>
      </c>
      <c r="U15" s="237"/>
      <c r="V15" s="344"/>
      <c r="W15" s="363">
        <f>W14/T14</f>
        <v>0.99999672983534715</v>
      </c>
      <c r="X15" s="255">
        <f>X14/W14</f>
        <v>1.0647445666036612</v>
      </c>
      <c r="Y15" s="237"/>
      <c r="Z15" s="344"/>
    </row>
    <row r="16" spans="1:26" ht="18.75">
      <c r="B16" s="256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344"/>
    </row>
    <row r="17" spans="2:26" ht="19.5" thickBot="1">
      <c r="B17" s="793" t="s">
        <v>446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</row>
    <row r="18" spans="2:26" ht="37.5">
      <c r="B18" s="238" t="s">
        <v>161</v>
      </c>
      <c r="C18" s="239" t="s">
        <v>21</v>
      </c>
      <c r="D18" s="240"/>
      <c r="E18" s="241"/>
      <c r="F18" s="242"/>
      <c r="G18" s="240">
        <v>16601.170000000002</v>
      </c>
      <c r="H18" s="241">
        <f>H12-H24</f>
        <v>11996.843519999999</v>
      </c>
      <c r="I18" s="781">
        <f>G18+H18</f>
        <v>28598.01352</v>
      </c>
      <c r="J18" s="243"/>
      <c r="K18" s="240">
        <f>ROUND(K19*K20/1000,2)</f>
        <v>17366.54</v>
      </c>
      <c r="L18" s="241">
        <f>M18-K18</f>
        <v>11916.218959504135</v>
      </c>
      <c r="M18" s="242">
        <f>M12-M24</f>
        <v>29282.758959504135</v>
      </c>
      <c r="N18" s="348">
        <f>M18/I18</f>
        <v>1.0239438113079169</v>
      </c>
      <c r="O18" s="240">
        <f>ROUND(O19*O20/1000,2)-0.03</f>
        <v>17366.48</v>
      </c>
      <c r="P18" s="241">
        <f>Q18-O18</f>
        <v>12591.46</v>
      </c>
      <c r="Q18" s="242">
        <f>Q12-Q24</f>
        <v>29957.94</v>
      </c>
      <c r="R18" s="348">
        <f>Q18/M18</f>
        <v>1.0230572891519405</v>
      </c>
      <c r="S18" s="240">
        <v>18350.7</v>
      </c>
      <c r="T18" s="241">
        <f>U18-S18</f>
        <v>12673.359999999997</v>
      </c>
      <c r="U18" s="242">
        <f>U12-U24</f>
        <v>31024.059999999998</v>
      </c>
      <c r="V18" s="348">
        <f>U18/Q18</f>
        <v>1.0355872266250616</v>
      </c>
      <c r="W18" s="240">
        <v>18469.96</v>
      </c>
      <c r="X18" s="241">
        <f>Y18-W18</f>
        <v>13493.879999999997</v>
      </c>
      <c r="Y18" s="242">
        <f>Y12-Y24</f>
        <v>31963.839999999997</v>
      </c>
      <c r="Z18" s="243">
        <f>Y18/U18</f>
        <v>1.0302919733909746</v>
      </c>
    </row>
    <row r="19" spans="2:26" ht="19.5" thickBot="1">
      <c r="B19" s="244" t="s">
        <v>227</v>
      </c>
      <c r="C19" s="245" t="s">
        <v>13</v>
      </c>
      <c r="D19" s="1546"/>
      <c r="E19" s="1547"/>
      <c r="F19" s="1548"/>
      <c r="G19" s="397">
        <f>[185]индексы!E91</f>
        <v>15100</v>
      </c>
      <c r="H19" s="398">
        <f>[185]индексы!F91</f>
        <v>10361</v>
      </c>
      <c r="I19" s="1549">
        <f>G19+H19</f>
        <v>25461</v>
      </c>
      <c r="J19" s="1545"/>
      <c r="K19" s="397">
        <f>G19</f>
        <v>15100</v>
      </c>
      <c r="L19" s="398">
        <f>H19</f>
        <v>10361</v>
      </c>
      <c r="M19" s="1231">
        <f>K19+L19</f>
        <v>25461</v>
      </c>
      <c r="N19" s="1255">
        <f t="shared" ref="N19:N20" si="10">M19/I19</f>
        <v>1</v>
      </c>
      <c r="O19" s="397">
        <f>K19</f>
        <v>15100</v>
      </c>
      <c r="P19" s="398">
        <f>L19</f>
        <v>10361</v>
      </c>
      <c r="Q19" s="1231">
        <f>O19+P19</f>
        <v>25461</v>
      </c>
      <c r="R19" s="1255">
        <f t="shared" ref="R19:R20" si="11">Q19/M19</f>
        <v>1</v>
      </c>
      <c r="S19" s="791">
        <f>O19</f>
        <v>15100</v>
      </c>
      <c r="T19" s="398">
        <f>P19</f>
        <v>10361</v>
      </c>
      <c r="U19" s="792">
        <f>S19+T19</f>
        <v>25461</v>
      </c>
      <c r="V19" s="1255">
        <f t="shared" ref="V19:V20" si="12">U19/Q19</f>
        <v>1</v>
      </c>
      <c r="W19" s="791">
        <f>S19</f>
        <v>15100</v>
      </c>
      <c r="X19" s="398">
        <f>T19</f>
        <v>10361</v>
      </c>
      <c r="Y19" s="792">
        <f>W19+X19</f>
        <v>25461</v>
      </c>
      <c r="Z19" s="1545">
        <f t="shared" ref="Z19:Z20" si="13">Y19/U19</f>
        <v>1</v>
      </c>
    </row>
    <row r="20" spans="2:26" ht="38.25" customHeight="1" thickBot="1">
      <c r="B20" s="250" t="s">
        <v>220</v>
      </c>
      <c r="C20" s="251" t="s">
        <v>12</v>
      </c>
      <c r="D20" s="341"/>
      <c r="E20" s="252"/>
      <c r="F20" s="253"/>
      <c r="G20" s="252">
        <f>ROUND(G18/G19*1000,2)</f>
        <v>1099.42</v>
      </c>
      <c r="H20" s="252">
        <f>ROUND(H18/H19*1000,2)</f>
        <v>1157.8800000000001</v>
      </c>
      <c r="I20" s="252">
        <f>ROUND(I18/I19*1000,2)</f>
        <v>1123.21</v>
      </c>
      <c r="J20" s="254"/>
      <c r="K20" s="252">
        <f>M14</f>
        <v>1150.1020000000001</v>
      </c>
      <c r="L20" s="252">
        <f>ROUND(L18/L19*1000,2)</f>
        <v>1150.0999999999999</v>
      </c>
      <c r="M20" s="994">
        <f>ROUND(M18/M19*1000,2)</f>
        <v>1150.0999999999999</v>
      </c>
      <c r="N20" s="342">
        <f t="shared" si="10"/>
        <v>1.0239403139217065</v>
      </c>
      <c r="O20" s="341">
        <f>L20</f>
        <v>1150.0999999999999</v>
      </c>
      <c r="P20" s="252">
        <f>ROUND(P18/P19*1000,2)</f>
        <v>1215.27</v>
      </c>
      <c r="Q20" s="994">
        <f>ROUND(Q18/Q19*1000,2)</f>
        <v>1176.6199999999999</v>
      </c>
      <c r="R20" s="342">
        <f t="shared" si="11"/>
        <v>1.0230588644465699</v>
      </c>
      <c r="S20" s="252">
        <f>ROUND(S18/S19*1000,2)</f>
        <v>1215.28</v>
      </c>
      <c r="T20" s="252">
        <f>ROUND(T18/T19*1000,2)</f>
        <v>1223.18</v>
      </c>
      <c r="U20" s="994">
        <f>ROUND(U18/U19*1000,2)</f>
        <v>1218.49</v>
      </c>
      <c r="V20" s="342">
        <f t="shared" si="12"/>
        <v>1.0355849807074502</v>
      </c>
      <c r="W20" s="252">
        <f>ROUND(W18/W19*1000,2)</f>
        <v>1223.18</v>
      </c>
      <c r="X20" s="252">
        <f>ROUND(X18/X19*1000,2)</f>
        <v>1302.3699999999999</v>
      </c>
      <c r="Y20" s="994">
        <f>ROUND(Y18/Y19*1000,2)</f>
        <v>1255.4000000000001</v>
      </c>
      <c r="Z20" s="254">
        <f t="shared" si="13"/>
        <v>1.0302915904110825</v>
      </c>
    </row>
    <row r="21" spans="2:26" ht="18.75">
      <c r="B21" s="256" t="s">
        <v>160</v>
      </c>
      <c r="C21" s="237"/>
      <c r="D21" s="237"/>
      <c r="E21" s="255"/>
      <c r="F21" s="343"/>
      <c r="G21" s="363"/>
      <c r="H21" s="255">
        <f>H20/G20</f>
        <v>1.0531734914773245</v>
      </c>
      <c r="I21" s="343"/>
      <c r="J21" s="343"/>
      <c r="K21" s="363">
        <f>K20/H20</f>
        <v>0.99328255086882922</v>
      </c>
      <c r="L21" s="255">
        <f>L20/K20</f>
        <v>0.99999826102380474</v>
      </c>
      <c r="M21" s="343"/>
      <c r="N21" s="344"/>
      <c r="O21" s="363">
        <f>O20/L20</f>
        <v>1</v>
      </c>
      <c r="P21" s="255">
        <f>P20/O20</f>
        <v>1.0566646378575777</v>
      </c>
      <c r="Q21" s="237"/>
      <c r="R21" s="344"/>
      <c r="S21" s="363">
        <f>S20/P20</f>
        <v>1.0000082286240917</v>
      </c>
      <c r="T21" s="255">
        <f>T20/S20</f>
        <v>1.0065005595418341</v>
      </c>
      <c r="U21" s="237"/>
      <c r="V21" s="344"/>
      <c r="W21" s="363">
        <f>W20/T20</f>
        <v>1</v>
      </c>
      <c r="X21" s="255">
        <f>X20/W20</f>
        <v>1.0647410847136152</v>
      </c>
      <c r="Y21" s="237"/>
      <c r="Z21" s="344"/>
    </row>
    <row r="22" spans="2:26" ht="18.75">
      <c r="B22" s="256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2:26" ht="19.5" thickBot="1">
      <c r="B23" s="793" t="s">
        <v>447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</row>
    <row r="24" spans="2:26" ht="37.5">
      <c r="B24" s="238" t="s">
        <v>161</v>
      </c>
      <c r="C24" s="239" t="s">
        <v>21</v>
      </c>
      <c r="D24" s="240"/>
      <c r="E24" s="241"/>
      <c r="F24" s="242"/>
      <c r="G24" s="240">
        <f>ROUND(G25*G26/1000,2)</f>
        <v>834.47</v>
      </c>
      <c r="H24" s="241">
        <f>H25*H26/1000</f>
        <v>603.25548000000015</v>
      </c>
      <c r="I24" s="781">
        <f>G24+H24</f>
        <v>1437.7254800000001</v>
      </c>
      <c r="J24" s="243"/>
      <c r="K24" s="240">
        <f>K25*K26/1000</f>
        <v>872.9274180000001</v>
      </c>
      <c r="L24" s="241">
        <f>L25*L26/1000</f>
        <v>599.20362249586458</v>
      </c>
      <c r="M24" s="242">
        <f>K24+L24</f>
        <v>1472.1310404958647</v>
      </c>
      <c r="N24" s="348">
        <f>M24/I24</f>
        <v>1.0239305493117259</v>
      </c>
      <c r="O24" s="240">
        <f>ROUND(O25*O26/1000,2)</f>
        <v>872.93</v>
      </c>
      <c r="P24" s="241">
        <f>ROUND(P25*P26/1000,2)</f>
        <v>633.16</v>
      </c>
      <c r="Q24" s="242">
        <f>O24+P24</f>
        <v>1506.09</v>
      </c>
      <c r="R24" s="348">
        <f>Q24/M24</f>
        <v>1.0230678917636957</v>
      </c>
      <c r="S24" s="240">
        <f>ROUND(S25*S26/1000,2)</f>
        <v>922.39</v>
      </c>
      <c r="T24" s="241">
        <f>ROUND(T25*T26/1000,2)</f>
        <v>637.28</v>
      </c>
      <c r="U24" s="242">
        <f>S24+T24</f>
        <v>1559.67</v>
      </c>
      <c r="V24" s="348">
        <f>U24/Q24</f>
        <v>1.0355755632133539</v>
      </c>
      <c r="W24" s="240">
        <f>ROUND(W25*W26/1000,2)</f>
        <v>928.39</v>
      </c>
      <c r="X24" s="241">
        <f>ROUND(X25*X26/1000,2)</f>
        <v>678.53</v>
      </c>
      <c r="Y24" s="242">
        <f>W24+X24</f>
        <v>1606.92</v>
      </c>
      <c r="Z24" s="243">
        <f>Y24/U24</f>
        <v>1.0302948700686683</v>
      </c>
    </row>
    <row r="25" spans="2:26" ht="19.5" thickBot="1">
      <c r="B25" s="244" t="s">
        <v>227</v>
      </c>
      <c r="C25" s="245" t="s">
        <v>13</v>
      </c>
      <c r="D25" s="1546"/>
      <c r="E25" s="1547"/>
      <c r="F25" s="1548"/>
      <c r="G25" s="397">
        <f>[185]индексы!E90</f>
        <v>759</v>
      </c>
      <c r="H25" s="398">
        <f>[185]индексы!F90</f>
        <v>521</v>
      </c>
      <c r="I25" s="1549">
        <f>G25+H25</f>
        <v>1280</v>
      </c>
      <c r="J25" s="1545"/>
      <c r="K25" s="397">
        <f>G25</f>
        <v>759</v>
      </c>
      <c r="L25" s="398">
        <f>H25</f>
        <v>521</v>
      </c>
      <c r="M25" s="1231">
        <f>K25+L25</f>
        <v>1280</v>
      </c>
      <c r="N25" s="1255">
        <f t="shared" ref="N25:N26" si="14">M25/I25</f>
        <v>1</v>
      </c>
      <c r="O25" s="397">
        <f>K25</f>
        <v>759</v>
      </c>
      <c r="P25" s="398">
        <f>L25</f>
        <v>521</v>
      </c>
      <c r="Q25" s="1231">
        <f>O25+P25</f>
        <v>1280</v>
      </c>
      <c r="R25" s="1255">
        <f t="shared" ref="R25:R26" si="15">Q25/M25</f>
        <v>1</v>
      </c>
      <c r="S25" s="791">
        <f>O25</f>
        <v>759</v>
      </c>
      <c r="T25" s="398">
        <f>P25</f>
        <v>521</v>
      </c>
      <c r="U25" s="1231">
        <f>S25+T25</f>
        <v>1280</v>
      </c>
      <c r="V25" s="1255">
        <f t="shared" ref="V25:V26" si="16">U25/Q25</f>
        <v>1</v>
      </c>
      <c r="W25" s="397">
        <f>S25</f>
        <v>759</v>
      </c>
      <c r="X25" s="398">
        <f>T25</f>
        <v>521</v>
      </c>
      <c r="Y25" s="1231">
        <f>W25+X25</f>
        <v>1280</v>
      </c>
      <c r="Z25" s="1545">
        <f t="shared" ref="Z25:Z26" si="17">Y25/U25</f>
        <v>1</v>
      </c>
    </row>
    <row r="26" spans="2:26" ht="38.25" customHeight="1" thickBot="1">
      <c r="B26" s="250" t="s">
        <v>220</v>
      </c>
      <c r="C26" s="251" t="s">
        <v>12</v>
      </c>
      <c r="D26" s="341"/>
      <c r="E26" s="252"/>
      <c r="F26" s="253"/>
      <c r="G26" s="341">
        <v>1099.43</v>
      </c>
      <c r="H26" s="252">
        <f>ROUND(H14,2)</f>
        <v>1157.8800000000001</v>
      </c>
      <c r="I26" s="252">
        <f>ROUND(I24/I25*1000,2)</f>
        <v>1123.22</v>
      </c>
      <c r="J26" s="254"/>
      <c r="K26" s="341">
        <f>M14</f>
        <v>1150.1020000000001</v>
      </c>
      <c r="L26" s="252">
        <f>L14</f>
        <v>1150.102922256938</v>
      </c>
      <c r="M26" s="994">
        <f>ROUND(M24/M25*1000,2)</f>
        <v>1150.0999999999999</v>
      </c>
      <c r="N26" s="342">
        <f t="shared" si="14"/>
        <v>1.0239311978063068</v>
      </c>
      <c r="O26" s="341">
        <f>L26</f>
        <v>1150.102922256938</v>
      </c>
      <c r="P26" s="252">
        <f>P14</f>
        <v>1215.27</v>
      </c>
      <c r="Q26" s="994">
        <f>ROUND(Q24/Q25*1000,2)</f>
        <v>1176.6300000000001</v>
      </c>
      <c r="R26" s="342">
        <f t="shared" si="15"/>
        <v>1.0230675593426661</v>
      </c>
      <c r="S26" s="341">
        <f>P26</f>
        <v>1215.27</v>
      </c>
      <c r="T26" s="252">
        <f>T14</f>
        <v>1223.18</v>
      </c>
      <c r="U26" s="994">
        <f>ROUND(U24/U25*1000,2)</f>
        <v>1218.49</v>
      </c>
      <c r="V26" s="342">
        <f t="shared" si="16"/>
        <v>1.0355761794276874</v>
      </c>
      <c r="W26" s="341">
        <f>T26</f>
        <v>1223.18</v>
      </c>
      <c r="X26" s="252">
        <f>X14</f>
        <v>1302.3699999999999</v>
      </c>
      <c r="Y26" s="994">
        <f>ROUND(Y24/Y25*1000,2)</f>
        <v>1255.4100000000001</v>
      </c>
      <c r="Z26" s="254">
        <f t="shared" si="17"/>
        <v>1.0302997972900887</v>
      </c>
    </row>
    <row r="27" spans="2:26" ht="18.75">
      <c r="B27" s="256" t="s">
        <v>160</v>
      </c>
      <c r="C27" s="237"/>
      <c r="D27" s="237"/>
      <c r="E27" s="255"/>
      <c r="F27" s="343"/>
      <c r="G27" s="363"/>
      <c r="H27" s="255">
        <f>H26/G26</f>
        <v>1.0531639122090539</v>
      </c>
      <c r="I27" s="343"/>
      <c r="J27" s="343"/>
      <c r="K27" s="363">
        <f>K26/H26</f>
        <v>0.99328255086882922</v>
      </c>
      <c r="L27" s="255">
        <f>L26/K26</f>
        <v>1.0000008018914304</v>
      </c>
      <c r="M27" s="343"/>
      <c r="N27" s="344"/>
      <c r="O27" s="363">
        <f>O26/L26</f>
        <v>1</v>
      </c>
      <c r="P27" s="255">
        <f>P26/O26</f>
        <v>1.056661953014761</v>
      </c>
      <c r="Q27" s="237"/>
      <c r="R27" s="344"/>
      <c r="S27" s="363">
        <f>S26/P26</f>
        <v>1</v>
      </c>
      <c r="T27" s="255">
        <f>T26/S26</f>
        <v>1.0065088416565866</v>
      </c>
      <c r="U27" s="237"/>
      <c r="V27" s="344"/>
      <c r="W27" s="363">
        <f>W26/T26</f>
        <v>1</v>
      </c>
      <c r="X27" s="255">
        <f>X26/W26</f>
        <v>1.0647410847136152</v>
      </c>
      <c r="Y27" s="237"/>
      <c r="Z27" s="344"/>
    </row>
    <row r="28" spans="2:26" ht="18.75">
      <c r="B28" s="256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</row>
    <row r="29" spans="2:26" ht="18.75" outlineLevel="1">
      <c r="B29" s="795" t="s">
        <v>448</v>
      </c>
      <c r="C29" s="796"/>
      <c r="D29" s="796"/>
      <c r="E29" s="58"/>
      <c r="F29" s="58"/>
      <c r="G29" s="58"/>
      <c r="H29" s="58"/>
      <c r="I29" s="58"/>
      <c r="J29" s="58"/>
      <c r="K29" s="58"/>
      <c r="L29" s="58"/>
      <c r="M29" s="406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2:26" ht="19.5" outlineLevel="1" thickBot="1">
      <c r="B30" s="794" t="s">
        <v>267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2:26" ht="37.5" outlineLevel="1">
      <c r="B31" s="238" t="s">
        <v>161</v>
      </c>
      <c r="C31" s="239" t="s">
        <v>1</v>
      </c>
      <c r="D31" s="240">
        <f>D37+D43</f>
        <v>1456.75</v>
      </c>
      <c r="E31" s="241">
        <f>E37+E43</f>
        <v>1056.2</v>
      </c>
      <c r="F31" s="242">
        <f>D31+E31</f>
        <v>2512.9499999999998</v>
      </c>
      <c r="G31" s="240">
        <f>G37+G43</f>
        <v>1539.51</v>
      </c>
      <c r="H31" s="241">
        <f>H37+H43</f>
        <v>1153.7600000000002</v>
      </c>
      <c r="I31" s="242">
        <f>'[185]Кальк.2019-2023 (ДИ)'!T109</f>
        <v>2693.27</v>
      </c>
      <c r="J31" s="348">
        <f>I31/F31</f>
        <v>1.0717563023538073</v>
      </c>
      <c r="K31" s="240">
        <f>K37+K43</f>
        <v>1681.44</v>
      </c>
      <c r="L31" s="241">
        <f>L37+L43</f>
        <v>1238.6599999999999</v>
      </c>
      <c r="M31" s="242">
        <f>'[185]Кальк.2019-2023 (ДИ)'!AF99</f>
        <v>2920.1</v>
      </c>
      <c r="N31" s="348">
        <f>M31/I31</f>
        <v>1.0842210398511847</v>
      </c>
      <c r="O31" s="240">
        <f>O37+O43</f>
        <v>1804.71</v>
      </c>
      <c r="P31" s="241">
        <f>P37+P43</f>
        <v>1284.0500000000002</v>
      </c>
      <c r="Q31" s="242">
        <f>'[185]Кальк.2019-2023 (ДИ)'!AR99</f>
        <v>3088.76</v>
      </c>
      <c r="R31" s="348">
        <f>Q31/M31</f>
        <v>1.057758295948769</v>
      </c>
      <c r="S31" s="240">
        <f>S37+S43</f>
        <v>1871.3200000000002</v>
      </c>
      <c r="T31" s="241">
        <f>U31-S31</f>
        <v>1340.9</v>
      </c>
      <c r="U31" s="242">
        <f>'[185]Кальк.2019-2023 (ДИ)'!BD99</f>
        <v>3212.2200000000003</v>
      </c>
      <c r="V31" s="348">
        <f>U31/Q31</f>
        <v>1.0399707325917196</v>
      </c>
      <c r="W31" s="240">
        <f>W37+W43</f>
        <v>1951.8</v>
      </c>
      <c r="X31" s="241">
        <f>Y31-W31</f>
        <v>1388.51</v>
      </c>
      <c r="Y31" s="242">
        <f>'[185]Кальк.2019-2023 (ДИ)'!BP99</f>
        <v>3340.31</v>
      </c>
      <c r="Z31" s="243">
        <f>Y31/U31</f>
        <v>1.0398758491012445</v>
      </c>
    </row>
    <row r="32" spans="2:26" ht="38.25" outlineLevel="1" thickBot="1">
      <c r="B32" s="244" t="s">
        <v>183</v>
      </c>
      <c r="C32" s="245" t="s">
        <v>29</v>
      </c>
      <c r="D32" s="1546">
        <f>D38+D44</f>
        <v>60425.630000000005</v>
      </c>
      <c r="E32" s="1546">
        <f>E38+E44</f>
        <v>41462.369999999995</v>
      </c>
      <c r="F32" s="1548">
        <f>D32+E32</f>
        <v>101888</v>
      </c>
      <c r="G32" s="1546">
        <f>G38+G44</f>
        <v>60425.630000000005</v>
      </c>
      <c r="H32" s="1546">
        <f>H38+H44</f>
        <v>41462.369999999995</v>
      </c>
      <c r="I32" s="1548">
        <f>[185]индексы!G95</f>
        <v>101888</v>
      </c>
      <c r="J32" s="1255">
        <f>I32/F32</f>
        <v>1</v>
      </c>
      <c r="K32" s="791">
        <f>[185]индексы!H95</f>
        <v>60425.63</v>
      </c>
      <c r="L32" s="398">
        <f>[185]индексы!I95</f>
        <v>41462.370000000003</v>
      </c>
      <c r="M32" s="792">
        <f>[185]индексы!J95</f>
        <v>101888</v>
      </c>
      <c r="N32" s="1255">
        <f t="shared" ref="N32:N33" si="18">M32/I32</f>
        <v>1</v>
      </c>
      <c r="O32" s="791">
        <f>K32</f>
        <v>60425.63</v>
      </c>
      <c r="P32" s="398">
        <f>L32</f>
        <v>41462.370000000003</v>
      </c>
      <c r="Q32" s="792">
        <f>[185]индексы!M95</f>
        <v>101888</v>
      </c>
      <c r="R32" s="1255">
        <f t="shared" ref="R32:R33" si="19">Q32/M32</f>
        <v>1</v>
      </c>
      <c r="S32" s="791">
        <f>[185]индексы!N95</f>
        <v>60425.63</v>
      </c>
      <c r="T32" s="398">
        <f>[185]индексы!O95</f>
        <v>41462.370000000003</v>
      </c>
      <c r="U32" s="792">
        <f>[185]индексы!P95</f>
        <v>101888</v>
      </c>
      <c r="V32" s="1255">
        <f>U32/Q32</f>
        <v>1</v>
      </c>
      <c r="W32" s="397">
        <f>[185]индексы!Q95</f>
        <v>60425.63</v>
      </c>
      <c r="X32" s="398">
        <f>[185]индексы!R95</f>
        <v>41462.370000000003</v>
      </c>
      <c r="Y32" s="1544">
        <f>[185]индексы!S95</f>
        <v>101888</v>
      </c>
      <c r="Z32" s="1545">
        <f>Y32/U32</f>
        <v>1</v>
      </c>
    </row>
    <row r="33" spans="1:26" ht="38.25" outlineLevel="1" thickBot="1">
      <c r="B33" s="250" t="s">
        <v>4</v>
      </c>
      <c r="C33" s="251" t="s">
        <v>19</v>
      </c>
      <c r="D33" s="252">
        <f t="shared" ref="D33:I33" si="20">ROUND(D31/D32*1000,2)</f>
        <v>24.11</v>
      </c>
      <c r="E33" s="252">
        <f t="shared" si="20"/>
        <v>25.47</v>
      </c>
      <c r="F33" s="253">
        <f t="shared" si="20"/>
        <v>24.66</v>
      </c>
      <c r="G33" s="252">
        <f t="shared" si="20"/>
        <v>25.48</v>
      </c>
      <c r="H33" s="252">
        <f>ROUND(H31/H32*1000,2)</f>
        <v>27.83</v>
      </c>
      <c r="I33" s="253">
        <f t="shared" si="20"/>
        <v>26.43</v>
      </c>
      <c r="J33" s="342">
        <f>I33/F33</f>
        <v>1.0717761557177616</v>
      </c>
      <c r="K33" s="341">
        <f>H33</f>
        <v>27.83</v>
      </c>
      <c r="L33" s="252">
        <f>ROUND(L31/L32*1000,2)</f>
        <v>29.87</v>
      </c>
      <c r="M33" s="253">
        <f>ROUND(M31/M32*1000,2)</f>
        <v>28.66</v>
      </c>
      <c r="N33" s="342">
        <f t="shared" si="18"/>
        <v>1.0843738176314794</v>
      </c>
      <c r="O33" s="341">
        <f>L33</f>
        <v>29.87</v>
      </c>
      <c r="P33" s="252">
        <f>ROUND(P31/P32*1000,2)</f>
        <v>30.97</v>
      </c>
      <c r="Q33" s="790">
        <f>ROUND(Q31/Q32*1000,2)</f>
        <v>30.32</v>
      </c>
      <c r="R33" s="342">
        <f t="shared" si="19"/>
        <v>1.0579204466154919</v>
      </c>
      <c r="S33" s="341">
        <f>P33</f>
        <v>30.97</v>
      </c>
      <c r="T33" s="252">
        <f>ROUND(T31/T32*1000,2)</f>
        <v>32.340000000000003</v>
      </c>
      <c r="U33" s="253">
        <f>ROUND(U31/U32*1000,2)</f>
        <v>31.53</v>
      </c>
      <c r="V33" s="342">
        <f t="shared" ref="V33" si="21">U33/Q33</f>
        <v>1.0399076517150396</v>
      </c>
      <c r="W33" s="341">
        <f>T33</f>
        <v>32.340000000000003</v>
      </c>
      <c r="X33" s="252">
        <f>ROUND(X31/X32*1000,2)</f>
        <v>33.49</v>
      </c>
      <c r="Y33" s="253">
        <f>ROUND(Y31/Y32*1000,2)</f>
        <v>32.78</v>
      </c>
      <c r="Z33" s="254">
        <f>Y33/U33</f>
        <v>1.0396447827465904</v>
      </c>
    </row>
    <row r="34" spans="1:26" ht="18.75" outlineLevel="1">
      <c r="B34" s="256" t="s">
        <v>160</v>
      </c>
      <c r="C34" s="237"/>
      <c r="D34" s="237"/>
      <c r="E34" s="255">
        <f>E33/D33</f>
        <v>1.056408129406885</v>
      </c>
      <c r="F34" s="343"/>
      <c r="G34" s="363">
        <f>G33/E33</f>
        <v>1.0003926187671772</v>
      </c>
      <c r="H34" s="255">
        <f>H33/G33</f>
        <v>1.0922291993720565</v>
      </c>
      <c r="I34" s="237"/>
      <c r="J34" s="344"/>
      <c r="K34" s="363">
        <f>K33/H33</f>
        <v>1</v>
      </c>
      <c r="L34" s="255">
        <f>L33/K33</f>
        <v>1.0733021918792671</v>
      </c>
      <c r="M34" s="237"/>
      <c r="N34" s="237"/>
      <c r="O34" s="363">
        <f>O33/L33</f>
        <v>1</v>
      </c>
      <c r="P34" s="255">
        <f>P33/O33</f>
        <v>1.0368262470706393</v>
      </c>
      <c r="Q34" s="237"/>
      <c r="R34" s="237"/>
      <c r="S34" s="363">
        <f>S33/P33</f>
        <v>1</v>
      </c>
      <c r="T34" s="255">
        <f>T33/S33</f>
        <v>1.0442363577655798</v>
      </c>
      <c r="U34" s="237"/>
      <c r="V34" s="237"/>
      <c r="W34" s="363">
        <f>W33/T33</f>
        <v>1</v>
      </c>
      <c r="X34" s="255">
        <f>X33/W33</f>
        <v>1.0355596784168213</v>
      </c>
      <c r="Y34" s="237"/>
      <c r="Z34" s="237"/>
    </row>
    <row r="35" spans="1:26" ht="18.75" outlineLevel="1">
      <c r="B35" s="256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</row>
    <row r="36" spans="1:26" ht="19.5" thickBot="1">
      <c r="B36" s="793" t="s">
        <v>446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</row>
    <row r="37" spans="1:26" ht="37.5">
      <c r="B37" s="238" t="s">
        <v>161</v>
      </c>
      <c r="C37" s="239" t="s">
        <v>1</v>
      </c>
      <c r="D37" s="240">
        <v>1350.51</v>
      </c>
      <c r="E37" s="241">
        <v>973.02</v>
      </c>
      <c r="F37" s="781">
        <v>2323.5299999999997</v>
      </c>
      <c r="G37" s="240">
        <f>ROUND(G38*G39/1000,2)</f>
        <v>1418.26</v>
      </c>
      <c r="H37" s="241">
        <f>'[185]переменные на 5 лет'!E121</f>
        <v>1066.1500000000001</v>
      </c>
      <c r="I37" s="242">
        <f>G37+H37</f>
        <v>2484.41</v>
      </c>
      <c r="J37" s="348">
        <f>I37/F37</f>
        <v>1.0692394761419048</v>
      </c>
      <c r="K37" s="240">
        <f>ROUND(K38*K39/1000,2)</f>
        <v>1553.77</v>
      </c>
      <c r="L37" s="241">
        <f>ROUND(L38*L39/1000,2)</f>
        <v>1140.77</v>
      </c>
      <c r="M37" s="242">
        <f>K37+L37</f>
        <v>2694.54</v>
      </c>
      <c r="N37" s="348">
        <f>M37/I37</f>
        <v>1.0845794373714484</v>
      </c>
      <c r="O37" s="240">
        <f>ROUND(O38*O39/1000,2)</f>
        <v>1662.52</v>
      </c>
      <c r="P37" s="241">
        <f>ROUND(P38*P39/1000,2)</f>
        <v>1186.48</v>
      </c>
      <c r="Q37" s="242">
        <f>O37+P37</f>
        <v>2849</v>
      </c>
      <c r="R37" s="348">
        <f>Q37/M37</f>
        <v>1.0573233279149687</v>
      </c>
      <c r="S37" s="240">
        <f>ROUND(S38*S39/1000,2)</f>
        <v>1729.13</v>
      </c>
      <c r="T37" s="241">
        <f>ROUND(T38*T39/1000,2)</f>
        <v>1233.75</v>
      </c>
      <c r="U37" s="242">
        <f>S37+T37</f>
        <v>2962.88</v>
      </c>
      <c r="V37" s="348">
        <f>U37/Q37</f>
        <v>1.03997191997192</v>
      </c>
      <c r="W37" s="240">
        <f>ROUND(W38*W39/1000,2)</f>
        <v>1798.02</v>
      </c>
      <c r="X37" s="241">
        <f>ROUND(X38*X39/1000,2)+0.01</f>
        <v>1282.99</v>
      </c>
      <c r="Y37" s="242">
        <f>W37+X37</f>
        <v>3081.01</v>
      </c>
      <c r="Z37" s="992">
        <f>Y37/U37</f>
        <v>1.0398699913597582</v>
      </c>
    </row>
    <row r="38" spans="1:26" ht="38.25" thickBot="1">
      <c r="B38" s="244" t="s">
        <v>183</v>
      </c>
      <c r="C38" s="245" t="s">
        <v>29</v>
      </c>
      <c r="D38" s="1546">
        <v>56935.48</v>
      </c>
      <c r="E38" s="1547">
        <v>39067.519999999997</v>
      </c>
      <c r="F38" s="1252">
        <v>96003</v>
      </c>
      <c r="G38" s="981">
        <f>'[185]переменные на 5 лет'!D117</f>
        <v>56935.48</v>
      </c>
      <c r="H38" s="398">
        <f>'[185]переменные на 5 лет'!E117</f>
        <v>39067.519999999997</v>
      </c>
      <c r="I38" s="982">
        <f>G38+H38</f>
        <v>96003</v>
      </c>
      <c r="J38" s="1255">
        <f t="shared" ref="J38:J39" si="22">I38/F38</f>
        <v>1</v>
      </c>
      <c r="K38" s="981">
        <f>G38</f>
        <v>56935.48</v>
      </c>
      <c r="L38" s="398">
        <f>H38</f>
        <v>39067.519999999997</v>
      </c>
      <c r="M38" s="982">
        <f>K38+L38</f>
        <v>96003</v>
      </c>
      <c r="N38" s="1255">
        <f t="shared" ref="N38:N39" si="23">M38/I38</f>
        <v>1</v>
      </c>
      <c r="O38" s="981">
        <f>K38</f>
        <v>56935.48</v>
      </c>
      <c r="P38" s="398">
        <f>L38</f>
        <v>39067.519999999997</v>
      </c>
      <c r="Q38" s="982">
        <f>O38+P38</f>
        <v>96003</v>
      </c>
      <c r="R38" s="1255">
        <f t="shared" ref="R38:R39" si="24">Q38/M38</f>
        <v>1</v>
      </c>
      <c r="S38" s="981">
        <f>O38</f>
        <v>56935.48</v>
      </c>
      <c r="T38" s="398">
        <f>P38</f>
        <v>39067.519999999997</v>
      </c>
      <c r="U38" s="982">
        <f>S38+T38</f>
        <v>96003</v>
      </c>
      <c r="V38" s="1255">
        <f t="shared" ref="V38:V39" si="25">U38/Q38</f>
        <v>1</v>
      </c>
      <c r="W38" s="981">
        <f>S38</f>
        <v>56935.48</v>
      </c>
      <c r="X38" s="398">
        <f>T38</f>
        <v>39067.519999999997</v>
      </c>
      <c r="Y38" s="982">
        <f>W38+X38</f>
        <v>96003</v>
      </c>
      <c r="Z38" s="1253">
        <f t="shared" ref="Z38:Z39" si="26">Y38/U38</f>
        <v>1</v>
      </c>
    </row>
    <row r="39" spans="1:26" ht="38.25" customHeight="1" thickBot="1">
      <c r="B39" s="250" t="s">
        <v>4</v>
      </c>
      <c r="C39" s="251" t="s">
        <v>19</v>
      </c>
      <c r="D39" s="341">
        <v>23.72</v>
      </c>
      <c r="E39" s="252">
        <v>24.905999999999999</v>
      </c>
      <c r="F39" s="253">
        <v>24.2</v>
      </c>
      <c r="G39" s="789">
        <f>ROUND(E39,2)</f>
        <v>24.91</v>
      </c>
      <c r="H39" s="252">
        <f>ROUND(H37/H38*1000,2)</f>
        <v>27.29</v>
      </c>
      <c r="I39" s="1254">
        <f>I37/I38*1000</f>
        <v>25.878462131391725</v>
      </c>
      <c r="J39" s="254">
        <f t="shared" si="22"/>
        <v>1.0693579393137076</v>
      </c>
      <c r="K39" s="789">
        <f>H39</f>
        <v>27.29</v>
      </c>
      <c r="L39" s="788">
        <f>ROUND(K39*[185]индексы!I11,2)</f>
        <v>29.2</v>
      </c>
      <c r="M39" s="790">
        <f>M37/M38*1000</f>
        <v>28.067247898503172</v>
      </c>
      <c r="N39" s="342">
        <f t="shared" si="23"/>
        <v>1.0845794373714486</v>
      </c>
      <c r="O39" s="789">
        <f>L39</f>
        <v>29.2</v>
      </c>
      <c r="P39" s="788">
        <f>ROUND(O39*[185]индексы!J11,2)</f>
        <v>30.37</v>
      </c>
      <c r="Q39" s="790">
        <f>Q37/Q38*1000</f>
        <v>29.676155953459787</v>
      </c>
      <c r="R39" s="342">
        <f t="shared" si="24"/>
        <v>1.0573233279149687</v>
      </c>
      <c r="S39" s="789">
        <f>P39</f>
        <v>30.37</v>
      </c>
      <c r="T39" s="788">
        <f>ROUND(S39*[185]индексы!K11,2)</f>
        <v>31.58</v>
      </c>
      <c r="U39" s="790">
        <f>U37/U38*1000</f>
        <v>30.862368884305699</v>
      </c>
      <c r="V39" s="342">
        <f t="shared" si="25"/>
        <v>1.03997191997192</v>
      </c>
      <c r="W39" s="789">
        <f>T39</f>
        <v>31.58</v>
      </c>
      <c r="X39" s="788">
        <f>ROUND(W39*[185]индексы!L11,2)</f>
        <v>32.840000000000003</v>
      </c>
      <c r="Y39" s="790">
        <f>Y37/Y38*1000</f>
        <v>32.092851265064638</v>
      </c>
      <c r="Z39" s="254">
        <f t="shared" si="26"/>
        <v>1.0398699913597582</v>
      </c>
    </row>
    <row r="40" spans="1:26" ht="18.75">
      <c r="B40" s="256" t="s">
        <v>160</v>
      </c>
      <c r="C40" s="237"/>
      <c r="D40" s="237"/>
      <c r="E40" s="255">
        <f>E39/D39</f>
        <v>1.05</v>
      </c>
      <c r="F40" s="343"/>
      <c r="G40" s="363">
        <f>G39/E39</f>
        <v>1.0001606038705533</v>
      </c>
      <c r="H40" s="255">
        <f>H39/G39</f>
        <v>1.0955439582496989</v>
      </c>
      <c r="I40" s="343"/>
      <c r="J40" s="343"/>
      <c r="K40" s="363">
        <f>K39/H39</f>
        <v>1</v>
      </c>
      <c r="L40" s="255">
        <f>L39/K39</f>
        <v>1.0699890069622573</v>
      </c>
      <c r="M40" s="237"/>
      <c r="N40" s="344"/>
      <c r="O40" s="363">
        <f>O39/L39</f>
        <v>1</v>
      </c>
      <c r="P40" s="255">
        <f>P39/O39</f>
        <v>1.0400684931506849</v>
      </c>
      <c r="Q40" s="237"/>
      <c r="R40" s="344"/>
      <c r="S40" s="363">
        <f>S39/P39</f>
        <v>1</v>
      </c>
      <c r="T40" s="255">
        <f>T39/S39</f>
        <v>1.0398419492920645</v>
      </c>
      <c r="U40" s="237"/>
      <c r="V40" s="344"/>
      <c r="W40" s="363">
        <f>W39/T39</f>
        <v>1</v>
      </c>
      <c r="X40" s="255">
        <f>X39/W39</f>
        <v>1.039898670044332</v>
      </c>
      <c r="Y40" s="237"/>
      <c r="Z40" s="344"/>
    </row>
    <row r="41" spans="1:26" ht="18.75">
      <c r="B41" s="256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</row>
    <row r="42" spans="1:26" ht="19.5" thickBot="1">
      <c r="B42" s="793" t="s">
        <v>447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</row>
    <row r="43" spans="1:26" ht="37.5">
      <c r="B43" s="238" t="s">
        <v>161</v>
      </c>
      <c r="C43" s="239" t="s">
        <v>1</v>
      </c>
      <c r="D43" s="240">
        <v>106.24</v>
      </c>
      <c r="E43" s="241">
        <v>83.180000000000078</v>
      </c>
      <c r="F43" s="781">
        <v>189.42000000000007</v>
      </c>
      <c r="G43" s="240">
        <f>ROUND(G44*G45/1000,2)</f>
        <v>121.25</v>
      </c>
      <c r="H43" s="241">
        <f>I43-G43</f>
        <v>87.610000000000127</v>
      </c>
      <c r="I43" s="242">
        <f>I31-I37</f>
        <v>208.86000000000013</v>
      </c>
      <c r="J43" s="348">
        <f>I43/F43</f>
        <v>1.1026290782388346</v>
      </c>
      <c r="K43" s="240">
        <f>ROUND(K44*K45/1000,2)</f>
        <v>127.67</v>
      </c>
      <c r="L43" s="241">
        <f>M43-K43</f>
        <v>97.889999999999944</v>
      </c>
      <c r="M43" s="242">
        <f>M31-M37</f>
        <v>225.55999999999995</v>
      </c>
      <c r="N43" s="348">
        <f>M43/I43</f>
        <v>1.079957866513453</v>
      </c>
      <c r="O43" s="240">
        <f>ROUND(O44*O45/1000,2)</f>
        <v>142.19</v>
      </c>
      <c r="P43" s="241">
        <f>Q43-O43</f>
        <v>97.570000000000221</v>
      </c>
      <c r="Q43" s="242">
        <f>Q31-Q37</f>
        <v>239.76000000000022</v>
      </c>
      <c r="R43" s="348">
        <f>Q43/M43</f>
        <v>1.06295442454336</v>
      </c>
      <c r="S43" s="240">
        <f>ROUND(S44*S45/1000,2)</f>
        <v>142.19</v>
      </c>
      <c r="T43" s="241">
        <f>U43-S43</f>
        <v>107.15000000000015</v>
      </c>
      <c r="U43" s="242">
        <f>U31-U37</f>
        <v>249.34000000000015</v>
      </c>
      <c r="V43" s="348">
        <f>U43/Q43</f>
        <v>1.0399566232899562</v>
      </c>
      <c r="W43" s="240">
        <f>ROUND(W44*W45/1000,2)</f>
        <v>153.78</v>
      </c>
      <c r="X43" s="241">
        <f>Y43-W43</f>
        <v>105.51999999999973</v>
      </c>
      <c r="Y43" s="242">
        <f>Y31-Y37</f>
        <v>259.29999999999973</v>
      </c>
      <c r="Z43" s="992">
        <f>Y43/U43</f>
        <v>1.0399454560038484</v>
      </c>
    </row>
    <row r="44" spans="1:26" ht="38.25" thickBot="1">
      <c r="B44" s="244" t="s">
        <v>183</v>
      </c>
      <c r="C44" s="245" t="s">
        <v>29</v>
      </c>
      <c r="D44" s="1546">
        <v>3490.15</v>
      </c>
      <c r="E44" s="1547">
        <v>2394.85</v>
      </c>
      <c r="F44" s="1252">
        <v>5885</v>
      </c>
      <c r="G44" s="981">
        <f>'[185]переменные на 5 лет'!D125</f>
        <v>3490.15</v>
      </c>
      <c r="H44" s="398">
        <f>'[185]переменные на 5 лет'!E125</f>
        <v>2394.85</v>
      </c>
      <c r="I44" s="982">
        <f>G44+H44</f>
        <v>5885</v>
      </c>
      <c r="J44" s="1255">
        <f t="shared" ref="J44:J45" si="27">I44/F44</f>
        <v>1</v>
      </c>
      <c r="K44" s="981">
        <f>G44</f>
        <v>3490.15</v>
      </c>
      <c r="L44" s="398">
        <f>H44</f>
        <v>2394.85</v>
      </c>
      <c r="M44" s="982">
        <f>K44+L44</f>
        <v>5885</v>
      </c>
      <c r="N44" s="1255">
        <f t="shared" ref="N44:N45" si="28">M44/I44</f>
        <v>1</v>
      </c>
      <c r="O44" s="981">
        <f>K44</f>
        <v>3490.15</v>
      </c>
      <c r="P44" s="398">
        <f>L44</f>
        <v>2394.85</v>
      </c>
      <c r="Q44" s="982">
        <f>O44+P44</f>
        <v>5885</v>
      </c>
      <c r="R44" s="1255">
        <f t="shared" ref="R44:R45" si="29">Q44/M44</f>
        <v>1</v>
      </c>
      <c r="S44" s="981">
        <f>O44</f>
        <v>3490.15</v>
      </c>
      <c r="T44" s="398">
        <f>P44</f>
        <v>2394.85</v>
      </c>
      <c r="U44" s="982">
        <f>S44+T44</f>
        <v>5885</v>
      </c>
      <c r="V44" s="1255">
        <f t="shared" ref="V44:V45" si="30">U44/Q44</f>
        <v>1</v>
      </c>
      <c r="W44" s="981">
        <f>S44</f>
        <v>3490.15</v>
      </c>
      <c r="X44" s="398">
        <f>T44</f>
        <v>2394.85</v>
      </c>
      <c r="Y44" s="982">
        <f>W44+X44</f>
        <v>5885</v>
      </c>
      <c r="Z44" s="1253">
        <f t="shared" ref="Z44:Z45" si="31">Y44/U44</f>
        <v>1</v>
      </c>
    </row>
    <row r="45" spans="1:26" s="1242" customFormat="1" ht="38.25" customHeight="1" thickBot="1">
      <c r="A45" s="1233"/>
      <c r="B45" s="1234" t="s">
        <v>4</v>
      </c>
      <c r="C45" s="1235" t="s">
        <v>19</v>
      </c>
      <c r="D45" s="1236">
        <v>30.44</v>
      </c>
      <c r="E45" s="1237">
        <v>34.74</v>
      </c>
      <c r="F45" s="1238">
        <v>32.19</v>
      </c>
      <c r="G45" s="1240">
        <v>34.74</v>
      </c>
      <c r="H45" s="1256">
        <f>ROUND(H43/H44*1000,2)</f>
        <v>36.58</v>
      </c>
      <c r="I45" s="1256">
        <f>ROUND(I43/I44*1000,2)</f>
        <v>35.49</v>
      </c>
      <c r="J45" s="1239">
        <f t="shared" si="27"/>
        <v>1.1025163094128614</v>
      </c>
      <c r="K45" s="1240">
        <f>H45</f>
        <v>36.58</v>
      </c>
      <c r="L45" s="1256">
        <f>ROUND(L43/L44*1000,2)</f>
        <v>40.880000000000003</v>
      </c>
      <c r="M45" s="1256">
        <f>ROUND(M43/M44*1000,2)</f>
        <v>38.33</v>
      </c>
      <c r="N45" s="1241">
        <f t="shared" si="28"/>
        <v>1.080022541561003</v>
      </c>
      <c r="O45" s="1240">
        <f>Q45</f>
        <v>40.74</v>
      </c>
      <c r="P45" s="1256">
        <f>ROUND(P43/P44*1000,2)</f>
        <v>40.74</v>
      </c>
      <c r="Q45" s="1256">
        <f>ROUND(Q43/Q44*1000,2)</f>
        <v>40.74</v>
      </c>
      <c r="R45" s="1241">
        <f t="shared" si="29"/>
        <v>1.0628750326115315</v>
      </c>
      <c r="S45" s="1240">
        <f>P45</f>
        <v>40.74</v>
      </c>
      <c r="T45" s="1256">
        <f>ROUND(T43/T44*1000,2)</f>
        <v>44.74</v>
      </c>
      <c r="U45" s="1256">
        <f>ROUND(U43/U44*1000,2)</f>
        <v>42.37</v>
      </c>
      <c r="V45" s="1241">
        <f t="shared" si="30"/>
        <v>1.0400098183603337</v>
      </c>
      <c r="W45" s="1240">
        <f>Y45</f>
        <v>44.06</v>
      </c>
      <c r="X45" s="1256">
        <f>ROUND(X43/X44*1000,2)</f>
        <v>44.06</v>
      </c>
      <c r="Y45" s="1256">
        <f>ROUND(Y43/Y44*1000,2)</f>
        <v>44.06</v>
      </c>
      <c r="Z45" s="1239">
        <f t="shared" si="31"/>
        <v>1.0398867122964364</v>
      </c>
    </row>
    <row r="46" spans="1:26" ht="18.75">
      <c r="B46" s="256" t="s">
        <v>160</v>
      </c>
      <c r="C46" s="237"/>
      <c r="D46" s="237"/>
      <c r="E46" s="255">
        <f>E45/D45</f>
        <v>1.1412614980289093</v>
      </c>
      <c r="F46" s="343"/>
      <c r="G46" s="363">
        <f>G45/E45</f>
        <v>1</v>
      </c>
      <c r="H46" s="255">
        <f>H45/G45</f>
        <v>1.0529648819804258</v>
      </c>
      <c r="I46" s="343"/>
      <c r="J46" s="343"/>
      <c r="K46" s="363">
        <f>K45/H45</f>
        <v>1</v>
      </c>
      <c r="L46" s="255">
        <f>L45/K45</f>
        <v>1.1175505740841991</v>
      </c>
      <c r="M46" s="237"/>
      <c r="N46" s="344"/>
      <c r="O46" s="363">
        <f>O45/L45</f>
        <v>0.99657534246575341</v>
      </c>
      <c r="P46" s="255">
        <f>P45/O45</f>
        <v>1</v>
      </c>
      <c r="Q46" s="237"/>
      <c r="R46" s="344"/>
      <c r="S46" s="363">
        <f>S45/P45</f>
        <v>1</v>
      </c>
      <c r="T46" s="255">
        <f>T45/S45</f>
        <v>1.0981836033382426</v>
      </c>
      <c r="U46" s="237"/>
      <c r="V46" s="344"/>
      <c r="W46" s="363">
        <f>W45/T45</f>
        <v>0.98480107286544483</v>
      </c>
      <c r="X46" s="255">
        <f>X45/W45</f>
        <v>1</v>
      </c>
      <c r="Y46" s="237"/>
      <c r="Z46" s="344"/>
    </row>
    <row r="47" spans="1:26" ht="18.75" outlineLevel="1">
      <c r="B47" s="256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</row>
    <row r="48" spans="1:26" ht="18.75" hidden="1" outlineLevel="1">
      <c r="B48" s="794" t="s">
        <v>270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2:26" ht="37.5" hidden="1" outlineLevel="1">
      <c r="B49" s="238" t="s">
        <v>161</v>
      </c>
      <c r="C49" s="239" t="s">
        <v>1</v>
      </c>
      <c r="D49" s="240"/>
      <c r="E49" s="241"/>
      <c r="F49" s="242"/>
      <c r="G49" s="240"/>
      <c r="H49" s="241"/>
      <c r="I49" s="242"/>
      <c r="J49" s="348" t="e">
        <f>I49/F49</f>
        <v>#DIV/0!</v>
      </c>
      <c r="K49" s="240"/>
      <c r="L49" s="241"/>
      <c r="M49" s="242"/>
      <c r="N49" s="348" t="e">
        <f>M49/I49</f>
        <v>#DIV/0!</v>
      </c>
      <c r="O49" s="240"/>
      <c r="P49" s="241"/>
      <c r="Q49" s="242"/>
      <c r="R49" s="348" t="e">
        <f>Q49/M49</f>
        <v>#DIV/0!</v>
      </c>
      <c r="S49" s="240"/>
      <c r="T49" s="241"/>
      <c r="U49" s="242"/>
      <c r="V49" s="348" t="e">
        <f>U49/Q49</f>
        <v>#DIV/0!</v>
      </c>
      <c r="W49" s="240"/>
      <c r="X49" s="241"/>
      <c r="Y49" s="242"/>
      <c r="Z49" s="243" t="e">
        <f>Y49/U49</f>
        <v>#DIV/0!</v>
      </c>
    </row>
    <row r="50" spans="2:26" ht="19.5" hidden="1" outlineLevel="1" thickBot="1">
      <c r="B50" s="244" t="s">
        <v>474</v>
      </c>
      <c r="C50" s="245" t="s">
        <v>29</v>
      </c>
      <c r="D50" s="1546"/>
      <c r="E50" s="1547"/>
      <c r="F50" s="1548"/>
      <c r="G50" s="1546"/>
      <c r="H50" s="1547"/>
      <c r="I50" s="1548"/>
      <c r="J50" s="1255" t="e">
        <f>I50/F50</f>
        <v>#DIV/0!</v>
      </c>
      <c r="K50" s="791"/>
      <c r="L50" s="398"/>
      <c r="M50" s="792"/>
      <c r="N50" s="1255" t="e">
        <f t="shared" ref="N50:N51" si="32">M50/I50</f>
        <v>#DIV/0!</v>
      </c>
      <c r="O50" s="791"/>
      <c r="P50" s="398"/>
      <c r="Q50" s="792"/>
      <c r="R50" s="1255" t="e">
        <f t="shared" ref="R50:R51" si="33">Q50/M50</f>
        <v>#DIV/0!</v>
      </c>
      <c r="S50" s="791"/>
      <c r="T50" s="398"/>
      <c r="U50" s="792"/>
      <c r="V50" s="1255" t="e">
        <f>U50/Q50</f>
        <v>#DIV/0!</v>
      </c>
      <c r="W50" s="397"/>
      <c r="X50" s="398"/>
      <c r="Y50" s="1544"/>
      <c r="Z50" s="1545" t="e">
        <f>Y50/U50</f>
        <v>#DIV/0!</v>
      </c>
    </row>
    <row r="51" spans="2:26" ht="38.25" hidden="1" outlineLevel="1" thickBot="1">
      <c r="B51" s="250" t="s">
        <v>4</v>
      </c>
      <c r="C51" s="251" t="s">
        <v>19</v>
      </c>
      <c r="D51" s="341"/>
      <c r="E51" s="252"/>
      <c r="F51" s="253"/>
      <c r="G51" s="252"/>
      <c r="H51" s="252"/>
      <c r="I51" s="253"/>
      <c r="J51" s="342" t="e">
        <f>I51/F51</f>
        <v>#DIV/0!</v>
      </c>
      <c r="K51" s="341"/>
      <c r="L51" s="252"/>
      <c r="M51" s="253"/>
      <c r="N51" s="342" t="e">
        <f t="shared" si="32"/>
        <v>#DIV/0!</v>
      </c>
      <c r="O51" s="789"/>
      <c r="P51" s="788"/>
      <c r="Q51" s="790"/>
      <c r="R51" s="342" t="e">
        <f t="shared" si="33"/>
        <v>#DIV/0!</v>
      </c>
      <c r="S51" s="341"/>
      <c r="T51" s="252"/>
      <c r="U51" s="253"/>
      <c r="V51" s="342" t="e">
        <f t="shared" ref="V51" si="34">U51/Q51</f>
        <v>#DIV/0!</v>
      </c>
      <c r="W51" s="341"/>
      <c r="X51" s="252"/>
      <c r="Y51" s="253"/>
      <c r="Z51" s="254" t="e">
        <f>Y51/U51</f>
        <v>#DIV/0!</v>
      </c>
    </row>
    <row r="52" spans="2:26" ht="18.75" hidden="1" outlineLevel="1">
      <c r="B52" s="256" t="s">
        <v>160</v>
      </c>
      <c r="C52" s="237"/>
      <c r="D52" s="237"/>
      <c r="E52" s="255" t="e">
        <f>E51/D51</f>
        <v>#DIV/0!</v>
      </c>
      <c r="F52" s="343"/>
      <c r="G52" s="363" t="e">
        <f>G51/E51</f>
        <v>#DIV/0!</v>
      </c>
      <c r="H52" s="255" t="e">
        <f>H51/G51</f>
        <v>#DIV/0!</v>
      </c>
      <c r="I52" s="237"/>
      <c r="J52" s="344"/>
      <c r="K52" s="363" t="e">
        <f>K51/H51</f>
        <v>#DIV/0!</v>
      </c>
      <c r="L52" s="255" t="e">
        <f>L51/K51</f>
        <v>#DIV/0!</v>
      </c>
      <c r="M52" s="237"/>
      <c r="N52" s="237"/>
      <c r="O52" s="363" t="e">
        <f>O51/L51</f>
        <v>#DIV/0!</v>
      </c>
      <c r="P52" s="255" t="e">
        <f>P51/O51</f>
        <v>#DIV/0!</v>
      </c>
      <c r="Q52" s="237"/>
      <c r="R52" s="237"/>
      <c r="S52" s="363" t="e">
        <f>S51/P51</f>
        <v>#DIV/0!</v>
      </c>
      <c r="T52" s="255" t="e">
        <f>T51/S51</f>
        <v>#DIV/0!</v>
      </c>
      <c r="U52" s="237"/>
      <c r="V52" s="237"/>
      <c r="W52" s="363" t="e">
        <f>W51/T51</f>
        <v>#DIV/0!</v>
      </c>
      <c r="X52" s="255" t="e">
        <f>X51/W51</f>
        <v>#DIV/0!</v>
      </c>
      <c r="Y52" s="237"/>
      <c r="Z52" s="237"/>
    </row>
    <row r="53" spans="2:26" ht="18.75" hidden="1" outlineLevel="1">
      <c r="B53" s="256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</row>
    <row r="54" spans="2:26" ht="18.75" hidden="1">
      <c r="B54" s="793" t="s">
        <v>446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2:26" ht="37.5" hidden="1">
      <c r="B55" s="238" t="s">
        <v>161</v>
      </c>
      <c r="C55" s="239" t="s">
        <v>1</v>
      </c>
      <c r="D55" s="240"/>
      <c r="E55" s="241"/>
      <c r="F55" s="242"/>
      <c r="G55" s="240"/>
      <c r="H55" s="241"/>
      <c r="I55" s="781"/>
      <c r="J55" s="243" t="e">
        <f>I55/F55</f>
        <v>#DIV/0!</v>
      </c>
      <c r="K55" s="240"/>
      <c r="L55" s="787"/>
      <c r="M55" s="242"/>
      <c r="N55" s="348" t="e">
        <f>M55/I55</f>
        <v>#DIV/0!</v>
      </c>
      <c r="O55" s="240"/>
      <c r="P55" s="241"/>
      <c r="Q55" s="242"/>
      <c r="R55" s="348" t="e">
        <f>Q55/M55</f>
        <v>#DIV/0!</v>
      </c>
      <c r="S55" s="240"/>
      <c r="T55" s="241"/>
      <c r="U55" s="242"/>
      <c r="V55" s="348" t="e">
        <f>U55/Q55</f>
        <v>#DIV/0!</v>
      </c>
      <c r="W55" s="240"/>
      <c r="X55" s="241"/>
      <c r="Y55" s="242"/>
      <c r="Z55" s="243" t="e">
        <f>Y55/U55</f>
        <v>#DIV/0!</v>
      </c>
    </row>
    <row r="56" spans="2:26" ht="19.5" hidden="1" thickBot="1">
      <c r="B56" s="244" t="s">
        <v>474</v>
      </c>
      <c r="C56" s="245" t="s">
        <v>29</v>
      </c>
      <c r="D56" s="1546"/>
      <c r="E56" s="1547"/>
      <c r="F56" s="1548"/>
      <c r="G56" s="397"/>
      <c r="H56" s="398"/>
      <c r="I56" s="1549"/>
      <c r="J56" s="1545" t="e">
        <f t="shared" ref="J56:J57" si="35">I56/F56</f>
        <v>#DIV/0!</v>
      </c>
      <c r="K56" s="791"/>
      <c r="L56" s="398"/>
      <c r="M56" s="792"/>
      <c r="N56" s="1255" t="e">
        <f t="shared" ref="N56:N57" si="36">M56/I56</f>
        <v>#DIV/0!</v>
      </c>
      <c r="O56" s="791"/>
      <c r="P56" s="398"/>
      <c r="Q56" s="792"/>
      <c r="R56" s="1255" t="e">
        <f t="shared" ref="R56:R57" si="37">Q56/M56</f>
        <v>#DIV/0!</v>
      </c>
      <c r="S56" s="791"/>
      <c r="T56" s="398"/>
      <c r="U56" s="792"/>
      <c r="V56" s="1255" t="e">
        <f t="shared" ref="V56:V57" si="38">U56/Q56</f>
        <v>#DIV/0!</v>
      </c>
      <c r="W56" s="397"/>
      <c r="X56" s="398"/>
      <c r="Y56" s="1544"/>
      <c r="Z56" s="1545" t="e">
        <f t="shared" ref="Z56:Z57" si="39">Y56/U56</f>
        <v>#DIV/0!</v>
      </c>
    </row>
    <row r="57" spans="2:26" ht="38.25" hidden="1" customHeight="1" thickBot="1">
      <c r="B57" s="250" t="s">
        <v>4</v>
      </c>
      <c r="C57" s="251" t="s">
        <v>19</v>
      </c>
      <c r="D57" s="341"/>
      <c r="E57" s="252"/>
      <c r="F57" s="253"/>
      <c r="G57" s="341"/>
      <c r="H57" s="252"/>
      <c r="I57" s="783"/>
      <c r="J57" s="254" t="e">
        <f t="shared" si="35"/>
        <v>#DIV/0!</v>
      </c>
      <c r="K57" s="789"/>
      <c r="L57" s="788"/>
      <c r="M57" s="790"/>
      <c r="N57" s="342" t="e">
        <f t="shared" si="36"/>
        <v>#DIV/0!</v>
      </c>
      <c r="O57" s="341"/>
      <c r="P57" s="252"/>
      <c r="Q57" s="253"/>
      <c r="R57" s="342" t="e">
        <f t="shared" si="37"/>
        <v>#DIV/0!</v>
      </c>
      <c r="S57" s="341"/>
      <c r="T57" s="252"/>
      <c r="U57" s="253"/>
      <c r="V57" s="342" t="e">
        <f t="shared" si="38"/>
        <v>#DIV/0!</v>
      </c>
      <c r="W57" s="341"/>
      <c r="X57" s="252"/>
      <c r="Y57" s="253"/>
      <c r="Z57" s="254" t="e">
        <f t="shared" si="39"/>
        <v>#DIV/0!</v>
      </c>
    </row>
    <row r="58" spans="2:26" ht="18.75" hidden="1">
      <c r="B58" s="256" t="s">
        <v>160</v>
      </c>
      <c r="C58" s="237"/>
      <c r="D58" s="237"/>
      <c r="E58" s="255" t="e">
        <f>E57/D57</f>
        <v>#DIV/0!</v>
      </c>
      <c r="F58" s="343"/>
      <c r="G58" s="363" t="e">
        <f>G57/E57</f>
        <v>#DIV/0!</v>
      </c>
      <c r="H58" s="255" t="e">
        <f>H57/G57</f>
        <v>#DIV/0!</v>
      </c>
      <c r="I58" s="343"/>
      <c r="J58" s="343"/>
      <c r="K58" s="363" t="e">
        <f>K57/H57</f>
        <v>#DIV/0!</v>
      </c>
      <c r="L58" s="255" t="e">
        <f>L57/K57</f>
        <v>#DIV/0!</v>
      </c>
      <c r="M58" s="237"/>
      <c r="N58" s="344"/>
      <c r="O58" s="363" t="e">
        <f>O57/L57</f>
        <v>#DIV/0!</v>
      </c>
      <c r="P58" s="255" t="e">
        <f>P57/O57</f>
        <v>#DIV/0!</v>
      </c>
      <c r="Q58" s="237"/>
      <c r="R58" s="344"/>
      <c r="S58" s="363" t="e">
        <f>S57/P57</f>
        <v>#DIV/0!</v>
      </c>
      <c r="T58" s="255" t="e">
        <f>T57/S57</f>
        <v>#DIV/0!</v>
      </c>
      <c r="U58" s="237"/>
      <c r="V58" s="344"/>
      <c r="W58" s="363" t="e">
        <f>W57/T57</f>
        <v>#DIV/0!</v>
      </c>
      <c r="X58" s="255" t="e">
        <f>X57/W57</f>
        <v>#DIV/0!</v>
      </c>
      <c r="Y58" s="237"/>
      <c r="Z58" s="344"/>
    </row>
    <row r="59" spans="2:26" ht="18.75" hidden="1">
      <c r="B59" s="256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</row>
    <row r="60" spans="2:26" ht="18.75" hidden="1">
      <c r="B60" s="793" t="s">
        <v>447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spans="2:26" ht="37.5" hidden="1">
      <c r="B61" s="238" t="s">
        <v>161</v>
      </c>
      <c r="C61" s="239" t="s">
        <v>1</v>
      </c>
      <c r="D61" s="240"/>
      <c r="E61" s="241"/>
      <c r="F61" s="242"/>
      <c r="G61" s="240"/>
      <c r="H61" s="241"/>
      <c r="I61" s="781"/>
      <c r="J61" s="243" t="e">
        <f>I61/F61</f>
        <v>#DIV/0!</v>
      </c>
      <c r="K61" s="240"/>
      <c r="L61" s="787"/>
      <c r="M61" s="242"/>
      <c r="N61" s="348" t="e">
        <f>M61/I61</f>
        <v>#DIV/0!</v>
      </c>
      <c r="O61" s="240"/>
      <c r="P61" s="241"/>
      <c r="Q61" s="242"/>
      <c r="R61" s="348" t="e">
        <f>Q61/M61</f>
        <v>#DIV/0!</v>
      </c>
      <c r="S61" s="240"/>
      <c r="T61" s="241"/>
      <c r="U61" s="242"/>
      <c r="V61" s="348" t="e">
        <f>U61/Q61</f>
        <v>#DIV/0!</v>
      </c>
      <c r="W61" s="240"/>
      <c r="X61" s="241"/>
      <c r="Y61" s="242"/>
      <c r="Z61" s="243" t="e">
        <f>Y61/U61</f>
        <v>#DIV/0!</v>
      </c>
    </row>
    <row r="62" spans="2:26" ht="19.5" hidden="1" thickBot="1">
      <c r="B62" s="244" t="s">
        <v>474</v>
      </c>
      <c r="C62" s="245" t="s">
        <v>29</v>
      </c>
      <c r="D62" s="1546"/>
      <c r="E62" s="1547"/>
      <c r="F62" s="1548"/>
      <c r="G62" s="397"/>
      <c r="H62" s="398"/>
      <c r="I62" s="1549"/>
      <c r="J62" s="1545" t="e">
        <f t="shared" ref="J62:J63" si="40">I62/F62</f>
        <v>#DIV/0!</v>
      </c>
      <c r="K62" s="791"/>
      <c r="L62" s="398"/>
      <c r="M62" s="792"/>
      <c r="N62" s="1255" t="e">
        <f t="shared" ref="N62:N63" si="41">M62/I62</f>
        <v>#DIV/0!</v>
      </c>
      <c r="O62" s="791"/>
      <c r="P62" s="398"/>
      <c r="Q62" s="792"/>
      <c r="R62" s="1255" t="e">
        <f t="shared" ref="R62:R63" si="42">Q62/M62</f>
        <v>#DIV/0!</v>
      </c>
      <c r="S62" s="791"/>
      <c r="T62" s="398"/>
      <c r="U62" s="792"/>
      <c r="V62" s="1255" t="e">
        <f t="shared" ref="V62:V63" si="43">U62/Q62</f>
        <v>#DIV/0!</v>
      </c>
      <c r="W62" s="397"/>
      <c r="X62" s="398"/>
      <c r="Y62" s="1544"/>
      <c r="Z62" s="1545" t="e">
        <f t="shared" ref="Z62:Z63" si="44">Y62/U62</f>
        <v>#DIV/0!</v>
      </c>
    </row>
    <row r="63" spans="2:26" ht="38.25" hidden="1" customHeight="1" thickBot="1">
      <c r="B63" s="250" t="s">
        <v>4</v>
      </c>
      <c r="C63" s="251" t="s">
        <v>19</v>
      </c>
      <c r="D63" s="341"/>
      <c r="E63" s="252"/>
      <c r="F63" s="253"/>
      <c r="G63" s="341"/>
      <c r="H63" s="252"/>
      <c r="I63" s="783"/>
      <c r="J63" s="254" t="e">
        <f t="shared" si="40"/>
        <v>#DIV/0!</v>
      </c>
      <c r="K63" s="789"/>
      <c r="L63" s="788"/>
      <c r="M63" s="790"/>
      <c r="N63" s="342" t="e">
        <f t="shared" si="41"/>
        <v>#DIV/0!</v>
      </c>
      <c r="O63" s="341"/>
      <c r="P63" s="252"/>
      <c r="Q63" s="253"/>
      <c r="R63" s="342" t="e">
        <f t="shared" si="42"/>
        <v>#DIV/0!</v>
      </c>
      <c r="S63" s="341"/>
      <c r="T63" s="252"/>
      <c r="U63" s="253"/>
      <c r="V63" s="342" t="e">
        <f t="shared" si="43"/>
        <v>#DIV/0!</v>
      </c>
      <c r="W63" s="341"/>
      <c r="X63" s="252"/>
      <c r="Y63" s="253"/>
      <c r="Z63" s="254" t="e">
        <f t="shared" si="44"/>
        <v>#DIV/0!</v>
      </c>
    </row>
    <row r="64" spans="2:26" ht="18.75" hidden="1">
      <c r="B64" s="256" t="s">
        <v>160</v>
      </c>
      <c r="C64" s="237"/>
      <c r="D64" s="237"/>
      <c r="E64" s="255" t="e">
        <f>E63/D63</f>
        <v>#DIV/0!</v>
      </c>
      <c r="F64" s="343"/>
      <c r="G64" s="363" t="e">
        <f>G63/E63</f>
        <v>#DIV/0!</v>
      </c>
      <c r="H64" s="255" t="e">
        <f>H63/G63</f>
        <v>#DIV/0!</v>
      </c>
      <c r="I64" s="343"/>
      <c r="J64" s="343"/>
      <c r="K64" s="363" t="e">
        <f>K63/H63</f>
        <v>#DIV/0!</v>
      </c>
      <c r="L64" s="255" t="e">
        <f>L63/K63</f>
        <v>#DIV/0!</v>
      </c>
      <c r="M64" s="237"/>
      <c r="N64" s="344"/>
      <c r="O64" s="363" t="e">
        <f>O63/L63</f>
        <v>#DIV/0!</v>
      </c>
      <c r="P64" s="255" t="e">
        <f>P63/O63</f>
        <v>#DIV/0!</v>
      </c>
      <c r="Q64" s="237"/>
      <c r="R64" s="344"/>
      <c r="S64" s="363" t="e">
        <f>S63/P63</f>
        <v>#DIV/0!</v>
      </c>
      <c r="T64" s="255" t="e">
        <f>T63/S63</f>
        <v>#DIV/0!</v>
      </c>
      <c r="U64" s="237"/>
      <c r="V64" s="344"/>
      <c r="W64" s="363" t="e">
        <f>W63/T63</f>
        <v>#DIV/0!</v>
      </c>
      <c r="X64" s="255" t="e">
        <f>X63/W63</f>
        <v>#DIV/0!</v>
      </c>
      <c r="Y64" s="237"/>
      <c r="Z64" s="344"/>
    </row>
    <row r="65" spans="2:26" ht="18.75" outlineLevel="1">
      <c r="B65" s="256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</row>
    <row r="66" spans="2:26" ht="18.75" hidden="1" outlineLevel="1">
      <c r="B66" s="795" t="s">
        <v>477</v>
      </c>
      <c r="C66" s="796"/>
      <c r="D66" s="796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2:26" ht="18.75" hidden="1" outlineLevel="1">
      <c r="B67" s="794" t="s">
        <v>449</v>
      </c>
      <c r="C67" s="797"/>
      <c r="D67" s="797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2:26" ht="37.5" hidden="1">
      <c r="B68" s="238" t="s">
        <v>161</v>
      </c>
      <c r="C68" s="239" t="s">
        <v>21</v>
      </c>
      <c r="D68" s="240"/>
      <c r="E68" s="241"/>
      <c r="F68" s="242"/>
      <c r="G68" s="240"/>
      <c r="H68" s="241"/>
      <c r="I68" s="781"/>
      <c r="J68" s="243" t="e">
        <f>I68/F68</f>
        <v>#DIV/0!</v>
      </c>
      <c r="K68" s="240"/>
      <c r="L68" s="787"/>
      <c r="M68" s="242"/>
      <c r="N68" s="348" t="e">
        <f>M68/I68</f>
        <v>#DIV/0!</v>
      </c>
      <c r="O68" s="240"/>
      <c r="P68" s="241"/>
      <c r="Q68" s="242"/>
      <c r="R68" s="348" t="e">
        <f>Q68/M68</f>
        <v>#DIV/0!</v>
      </c>
      <c r="S68" s="240"/>
      <c r="T68" s="241"/>
      <c r="U68" s="242"/>
      <c r="V68" s="348" t="e">
        <f>U68/Q68</f>
        <v>#DIV/0!</v>
      </c>
      <c r="W68" s="240"/>
      <c r="X68" s="241"/>
      <c r="Y68" s="242"/>
      <c r="Z68" s="243" t="e">
        <f>Y68/U68</f>
        <v>#DIV/0!</v>
      </c>
    </row>
    <row r="69" spans="2:26" ht="19.5" hidden="1" thickBot="1">
      <c r="B69" s="244" t="s">
        <v>227</v>
      </c>
      <c r="C69" s="245" t="s">
        <v>13</v>
      </c>
      <c r="D69" s="1546"/>
      <c r="E69" s="1547"/>
      <c r="F69" s="1548"/>
      <c r="G69" s="397"/>
      <c r="H69" s="398"/>
      <c r="I69" s="1549"/>
      <c r="J69" s="1545" t="e">
        <f t="shared" ref="J69:J70" si="45">I69/F69</f>
        <v>#DIV/0!</v>
      </c>
      <c r="K69" s="791"/>
      <c r="L69" s="398"/>
      <c r="M69" s="792"/>
      <c r="N69" s="1255" t="e">
        <f t="shared" ref="N69:N70" si="46">M69/I69</f>
        <v>#DIV/0!</v>
      </c>
      <c r="O69" s="791"/>
      <c r="P69" s="398"/>
      <c r="Q69" s="792"/>
      <c r="R69" s="1255" t="e">
        <f t="shared" ref="R69:R70" si="47">Q69/M69</f>
        <v>#DIV/0!</v>
      </c>
      <c r="S69" s="791"/>
      <c r="T69" s="398"/>
      <c r="U69" s="792"/>
      <c r="V69" s="1255" t="e">
        <f t="shared" ref="V69:V70" si="48">U69/Q69</f>
        <v>#DIV/0!</v>
      </c>
      <c r="W69" s="397"/>
      <c r="X69" s="398"/>
      <c r="Y69" s="1544"/>
      <c r="Z69" s="1545" t="e">
        <f t="shared" ref="Z69:Z70" si="49">Y69/U69</f>
        <v>#DIV/0!</v>
      </c>
    </row>
    <row r="70" spans="2:26" ht="38.25" hidden="1" customHeight="1" thickBot="1">
      <c r="B70" s="250" t="s">
        <v>220</v>
      </c>
      <c r="C70" s="251" t="s">
        <v>12</v>
      </c>
      <c r="D70" s="341"/>
      <c r="E70" s="252"/>
      <c r="F70" s="253"/>
      <c r="G70" s="341"/>
      <c r="H70" s="252"/>
      <c r="I70" s="783"/>
      <c r="J70" s="254" t="e">
        <f t="shared" si="45"/>
        <v>#DIV/0!</v>
      </c>
      <c r="K70" s="789"/>
      <c r="L70" s="788"/>
      <c r="M70" s="790"/>
      <c r="N70" s="342" t="e">
        <f t="shared" si="46"/>
        <v>#DIV/0!</v>
      </c>
      <c r="O70" s="341"/>
      <c r="P70" s="252"/>
      <c r="Q70" s="253"/>
      <c r="R70" s="342" t="e">
        <f t="shared" si="47"/>
        <v>#DIV/0!</v>
      </c>
      <c r="S70" s="341"/>
      <c r="T70" s="252"/>
      <c r="U70" s="253"/>
      <c r="V70" s="342" t="e">
        <f t="shared" si="48"/>
        <v>#DIV/0!</v>
      </c>
      <c r="W70" s="341"/>
      <c r="X70" s="252"/>
      <c r="Y70" s="253"/>
      <c r="Z70" s="254" t="e">
        <f t="shared" si="49"/>
        <v>#DIV/0!</v>
      </c>
    </row>
    <row r="71" spans="2:26" ht="18.75" hidden="1">
      <c r="B71" s="256" t="s">
        <v>160</v>
      </c>
      <c r="C71" s="237"/>
      <c r="D71" s="237"/>
      <c r="E71" s="255" t="e">
        <f>E70/D70</f>
        <v>#DIV/0!</v>
      </c>
      <c r="F71" s="343"/>
      <c r="G71" s="363" t="e">
        <f>G70/E70</f>
        <v>#DIV/0!</v>
      </c>
      <c r="H71" s="255" t="e">
        <f>H70/G70</f>
        <v>#DIV/0!</v>
      </c>
      <c r="I71" s="343"/>
      <c r="J71" s="343"/>
      <c r="K71" s="363" t="e">
        <f>K70/H70</f>
        <v>#DIV/0!</v>
      </c>
      <c r="L71" s="255" t="e">
        <f>L70/K70</f>
        <v>#DIV/0!</v>
      </c>
      <c r="M71" s="237"/>
      <c r="N71" s="344"/>
      <c r="O71" s="363" t="e">
        <f>O70/L70</f>
        <v>#DIV/0!</v>
      </c>
      <c r="P71" s="255" t="e">
        <f>P70/O70</f>
        <v>#DIV/0!</v>
      </c>
      <c r="Q71" s="237"/>
      <c r="R71" s="344"/>
      <c r="S71" s="363" t="e">
        <f>S70/P70</f>
        <v>#DIV/0!</v>
      </c>
      <c r="T71" s="255" t="e">
        <f>T70/S70</f>
        <v>#DIV/0!</v>
      </c>
      <c r="U71" s="237"/>
      <c r="V71" s="344"/>
      <c r="W71" s="363" t="e">
        <f>W70/T70</f>
        <v>#DIV/0!</v>
      </c>
      <c r="X71" s="255" t="e">
        <f>X70/W70</f>
        <v>#DIV/0!</v>
      </c>
      <c r="Y71" s="237"/>
      <c r="Z71" s="344"/>
    </row>
    <row r="72" spans="2:26" ht="18.75" hidden="1">
      <c r="B72" s="256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344"/>
    </row>
    <row r="73" spans="2:26" ht="18.75" hidden="1" outlineLevel="1">
      <c r="B73" s="794" t="s">
        <v>475</v>
      </c>
      <c r="C73" s="79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2:26" ht="37.5" hidden="1" outlineLevel="1">
      <c r="B74" s="238" t="s">
        <v>161</v>
      </c>
      <c r="C74" s="239" t="s">
        <v>1</v>
      </c>
      <c r="D74" s="240"/>
      <c r="E74" s="241"/>
      <c r="F74" s="242"/>
      <c r="G74" s="240"/>
      <c r="H74" s="241"/>
      <c r="I74" s="242"/>
      <c r="J74" s="348" t="e">
        <f>I74/F74</f>
        <v>#DIV/0!</v>
      </c>
      <c r="K74" s="240"/>
      <c r="L74" s="241"/>
      <c r="M74" s="242"/>
      <c r="N74" s="348" t="e">
        <f>M74/I74</f>
        <v>#DIV/0!</v>
      </c>
      <c r="O74" s="240"/>
      <c r="P74" s="241"/>
      <c r="Q74" s="242"/>
      <c r="R74" s="348" t="e">
        <f>Q74/M74</f>
        <v>#DIV/0!</v>
      </c>
      <c r="S74" s="240"/>
      <c r="T74" s="241"/>
      <c r="U74" s="242"/>
      <c r="V74" s="348" t="e">
        <f>U74/Q74</f>
        <v>#DIV/0!</v>
      </c>
      <c r="W74" s="240"/>
      <c r="X74" s="241"/>
      <c r="Y74" s="242"/>
      <c r="Z74" s="243" t="e">
        <f>Y74/U74</f>
        <v>#DIV/0!</v>
      </c>
    </row>
    <row r="75" spans="2:26" ht="38.25" hidden="1" outlineLevel="1" thickBot="1">
      <c r="B75" s="244" t="s">
        <v>183</v>
      </c>
      <c r="C75" s="245" t="s">
        <v>29</v>
      </c>
      <c r="D75" s="1546"/>
      <c r="E75" s="1547"/>
      <c r="F75" s="1548"/>
      <c r="G75" s="1546"/>
      <c r="H75" s="1547"/>
      <c r="I75" s="1548"/>
      <c r="J75" s="1255" t="e">
        <f>I75/F75</f>
        <v>#DIV/0!</v>
      </c>
      <c r="K75" s="791"/>
      <c r="L75" s="398"/>
      <c r="M75" s="792"/>
      <c r="N75" s="1255" t="e">
        <f t="shared" ref="N75:N76" si="50">M75/I75</f>
        <v>#DIV/0!</v>
      </c>
      <c r="O75" s="791"/>
      <c r="P75" s="398"/>
      <c r="Q75" s="792"/>
      <c r="R75" s="1255" t="e">
        <f t="shared" ref="R75:R76" si="51">Q75/M75</f>
        <v>#DIV/0!</v>
      </c>
      <c r="S75" s="791"/>
      <c r="T75" s="398"/>
      <c r="U75" s="792"/>
      <c r="V75" s="1255" t="e">
        <f>U75/Q75</f>
        <v>#DIV/0!</v>
      </c>
      <c r="W75" s="397"/>
      <c r="X75" s="398"/>
      <c r="Y75" s="1544"/>
      <c r="Z75" s="1545" t="e">
        <f>Y75/U75</f>
        <v>#DIV/0!</v>
      </c>
    </row>
    <row r="76" spans="2:26" ht="38.25" hidden="1" outlineLevel="1" thickBot="1">
      <c r="B76" s="250" t="s">
        <v>4</v>
      </c>
      <c r="C76" s="251" t="s">
        <v>19</v>
      </c>
      <c r="D76" s="341"/>
      <c r="E76" s="252"/>
      <c r="F76" s="253"/>
      <c r="G76" s="252"/>
      <c r="H76" s="252"/>
      <c r="I76" s="253"/>
      <c r="J76" s="342" t="e">
        <f>I76/F76</f>
        <v>#DIV/0!</v>
      </c>
      <c r="K76" s="341"/>
      <c r="L76" s="252"/>
      <c r="M76" s="253"/>
      <c r="N76" s="342" t="e">
        <f t="shared" si="50"/>
        <v>#DIV/0!</v>
      </c>
      <c r="O76" s="789"/>
      <c r="P76" s="788"/>
      <c r="Q76" s="790"/>
      <c r="R76" s="342" t="e">
        <f t="shared" si="51"/>
        <v>#DIV/0!</v>
      </c>
      <c r="S76" s="341"/>
      <c r="T76" s="252"/>
      <c r="U76" s="253"/>
      <c r="V76" s="342" t="e">
        <f t="shared" ref="V76" si="52">U76/Q76</f>
        <v>#DIV/0!</v>
      </c>
      <c r="W76" s="341"/>
      <c r="X76" s="252"/>
      <c r="Y76" s="253"/>
      <c r="Z76" s="254" t="e">
        <f>Y76/U76</f>
        <v>#DIV/0!</v>
      </c>
    </row>
    <row r="77" spans="2:26" ht="18.75" hidden="1" outlineLevel="1">
      <c r="B77" s="256" t="s">
        <v>160</v>
      </c>
      <c r="C77" s="237"/>
      <c r="D77" s="237"/>
      <c r="E77" s="255" t="e">
        <f>E76/D76</f>
        <v>#DIV/0!</v>
      </c>
      <c r="F77" s="343"/>
      <c r="G77" s="363" t="e">
        <f>G76/E76</f>
        <v>#DIV/0!</v>
      </c>
      <c r="H77" s="255" t="e">
        <f>H76/G76</f>
        <v>#DIV/0!</v>
      </c>
      <c r="I77" s="237"/>
      <c r="J77" s="344"/>
      <c r="K77" s="363" t="e">
        <f>K76/H76</f>
        <v>#DIV/0!</v>
      </c>
      <c r="L77" s="255" t="e">
        <f>L76/K76</f>
        <v>#DIV/0!</v>
      </c>
      <c r="M77" s="237"/>
      <c r="N77" s="237"/>
      <c r="O77" s="363" t="e">
        <f>O76/L76</f>
        <v>#DIV/0!</v>
      </c>
      <c r="P77" s="255" t="e">
        <f>P76/O76</f>
        <v>#DIV/0!</v>
      </c>
      <c r="Q77" s="237"/>
      <c r="R77" s="237"/>
      <c r="S77" s="363" t="e">
        <f>S76/P76</f>
        <v>#DIV/0!</v>
      </c>
      <c r="T77" s="255" t="e">
        <f>T76/S76</f>
        <v>#DIV/0!</v>
      </c>
      <c r="U77" s="237"/>
      <c r="V77" s="237"/>
      <c r="W77" s="363" t="e">
        <f>W76/T76</f>
        <v>#DIV/0!</v>
      </c>
      <c r="X77" s="255" t="e">
        <f>X76/W76</f>
        <v>#DIV/0!</v>
      </c>
      <c r="Y77" s="237"/>
      <c r="Z77" s="237"/>
    </row>
    <row r="78" spans="2:26" ht="18.75" hidden="1" outlineLevel="1">
      <c r="B78" s="256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</row>
    <row r="79" spans="2:26" ht="18.75" hidden="1">
      <c r="B79" s="793" t="s">
        <v>446</v>
      </c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spans="2:26" ht="37.5" hidden="1">
      <c r="B80" s="238" t="s">
        <v>161</v>
      </c>
      <c r="C80" s="239" t="s">
        <v>1</v>
      </c>
      <c r="D80" s="240"/>
      <c r="E80" s="241"/>
      <c r="F80" s="242"/>
      <c r="G80" s="240"/>
      <c r="H80" s="241"/>
      <c r="I80" s="781"/>
      <c r="J80" s="243" t="e">
        <f>I80/F80</f>
        <v>#DIV/0!</v>
      </c>
      <c r="K80" s="240"/>
      <c r="L80" s="787"/>
      <c r="M80" s="242"/>
      <c r="N80" s="348" t="e">
        <f>M80/I80</f>
        <v>#DIV/0!</v>
      </c>
      <c r="O80" s="240"/>
      <c r="P80" s="241"/>
      <c r="Q80" s="242"/>
      <c r="R80" s="348" t="e">
        <f>Q80/M80</f>
        <v>#DIV/0!</v>
      </c>
      <c r="S80" s="240"/>
      <c r="T80" s="241"/>
      <c r="U80" s="242"/>
      <c r="V80" s="348" t="e">
        <f>U80/Q80</f>
        <v>#DIV/0!</v>
      </c>
      <c r="W80" s="240"/>
      <c r="X80" s="241"/>
      <c r="Y80" s="242"/>
      <c r="Z80" s="243" t="e">
        <f>Y80/U80</f>
        <v>#DIV/0!</v>
      </c>
    </row>
    <row r="81" spans="2:26" ht="38.25" hidden="1" thickBot="1">
      <c r="B81" s="244" t="s">
        <v>183</v>
      </c>
      <c r="C81" s="245" t="s">
        <v>29</v>
      </c>
      <c r="D81" s="1546"/>
      <c r="E81" s="1547"/>
      <c r="F81" s="1548"/>
      <c r="G81" s="397"/>
      <c r="H81" s="398"/>
      <c r="I81" s="1549"/>
      <c r="J81" s="1545" t="e">
        <f t="shared" ref="J81:J82" si="53">I81/F81</f>
        <v>#DIV/0!</v>
      </c>
      <c r="K81" s="791"/>
      <c r="L81" s="398"/>
      <c r="M81" s="792"/>
      <c r="N81" s="1255" t="e">
        <f t="shared" ref="N81:N82" si="54">M81/I81</f>
        <v>#DIV/0!</v>
      </c>
      <c r="O81" s="791"/>
      <c r="P81" s="398"/>
      <c r="Q81" s="792"/>
      <c r="R81" s="1255" t="e">
        <f t="shared" ref="R81:R82" si="55">Q81/M81</f>
        <v>#DIV/0!</v>
      </c>
      <c r="S81" s="791"/>
      <c r="T81" s="398"/>
      <c r="U81" s="792"/>
      <c r="V81" s="1255" t="e">
        <f t="shared" ref="V81:V82" si="56">U81/Q81</f>
        <v>#DIV/0!</v>
      </c>
      <c r="W81" s="397"/>
      <c r="X81" s="398"/>
      <c r="Y81" s="1544"/>
      <c r="Z81" s="1545" t="e">
        <f t="shared" ref="Z81:Z82" si="57">Y81/U81</f>
        <v>#DIV/0!</v>
      </c>
    </row>
    <row r="82" spans="2:26" ht="38.25" hidden="1" customHeight="1" thickBot="1">
      <c r="B82" s="250" t="s">
        <v>4</v>
      </c>
      <c r="C82" s="251" t="s">
        <v>19</v>
      </c>
      <c r="D82" s="341"/>
      <c r="E82" s="252"/>
      <c r="F82" s="253"/>
      <c r="G82" s="341"/>
      <c r="H82" s="252"/>
      <c r="I82" s="783"/>
      <c r="J82" s="254" t="e">
        <f t="shared" si="53"/>
        <v>#DIV/0!</v>
      </c>
      <c r="K82" s="789"/>
      <c r="L82" s="788"/>
      <c r="M82" s="790"/>
      <c r="N82" s="342" t="e">
        <f t="shared" si="54"/>
        <v>#DIV/0!</v>
      </c>
      <c r="O82" s="341"/>
      <c r="P82" s="252"/>
      <c r="Q82" s="253"/>
      <c r="R82" s="342" t="e">
        <f t="shared" si="55"/>
        <v>#DIV/0!</v>
      </c>
      <c r="S82" s="341"/>
      <c r="T82" s="252"/>
      <c r="U82" s="253"/>
      <c r="V82" s="342" t="e">
        <f t="shared" si="56"/>
        <v>#DIV/0!</v>
      </c>
      <c r="W82" s="341"/>
      <c r="X82" s="252"/>
      <c r="Y82" s="253"/>
      <c r="Z82" s="254" t="e">
        <f t="shared" si="57"/>
        <v>#DIV/0!</v>
      </c>
    </row>
    <row r="83" spans="2:26" ht="18.75" hidden="1">
      <c r="B83" s="256" t="s">
        <v>160</v>
      </c>
      <c r="C83" s="237"/>
      <c r="D83" s="237"/>
      <c r="E83" s="255" t="e">
        <f>E82/D82</f>
        <v>#DIV/0!</v>
      </c>
      <c r="F83" s="343"/>
      <c r="G83" s="363" t="e">
        <f>G82/E82</f>
        <v>#DIV/0!</v>
      </c>
      <c r="H83" s="255" t="e">
        <f>H82/G82</f>
        <v>#DIV/0!</v>
      </c>
      <c r="I83" s="343"/>
      <c r="J83" s="343"/>
      <c r="K83" s="363" t="e">
        <f>K82/H82</f>
        <v>#DIV/0!</v>
      </c>
      <c r="L83" s="255" t="e">
        <f>L82/K82</f>
        <v>#DIV/0!</v>
      </c>
      <c r="M83" s="237"/>
      <c r="N83" s="344"/>
      <c r="O83" s="363" t="e">
        <f>O82/L82</f>
        <v>#DIV/0!</v>
      </c>
      <c r="P83" s="255" t="e">
        <f>P82/O82</f>
        <v>#DIV/0!</v>
      </c>
      <c r="Q83" s="237"/>
      <c r="R83" s="344"/>
      <c r="S83" s="363" t="e">
        <f>S82/P82</f>
        <v>#DIV/0!</v>
      </c>
      <c r="T83" s="255" t="e">
        <f>T82/S82</f>
        <v>#DIV/0!</v>
      </c>
      <c r="U83" s="237"/>
      <c r="V83" s="344"/>
      <c r="W83" s="363" t="e">
        <f>W82/T82</f>
        <v>#DIV/0!</v>
      </c>
      <c r="X83" s="255" t="e">
        <f>X82/W82</f>
        <v>#DIV/0!</v>
      </c>
      <c r="Y83" s="237"/>
      <c r="Z83" s="344"/>
    </row>
    <row r="84" spans="2:26" ht="18.75" hidden="1">
      <c r="B84" s="256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</row>
    <row r="85" spans="2:26" ht="18.75" hidden="1">
      <c r="B85" s="793" t="s">
        <v>447</v>
      </c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spans="2:26" ht="37.5" hidden="1">
      <c r="B86" s="238" t="s">
        <v>161</v>
      </c>
      <c r="C86" s="239" t="s">
        <v>1</v>
      </c>
      <c r="D86" s="240"/>
      <c r="E86" s="241"/>
      <c r="F86" s="242"/>
      <c r="G86" s="240"/>
      <c r="H86" s="241"/>
      <c r="I86" s="781"/>
      <c r="J86" s="243" t="e">
        <f>I86/F86</f>
        <v>#DIV/0!</v>
      </c>
      <c r="K86" s="240"/>
      <c r="L86" s="787"/>
      <c r="M86" s="242"/>
      <c r="N86" s="348" t="e">
        <f>M86/I86</f>
        <v>#DIV/0!</v>
      </c>
      <c r="O86" s="240"/>
      <c r="P86" s="241"/>
      <c r="Q86" s="242"/>
      <c r="R86" s="348" t="e">
        <f>Q86/M86</f>
        <v>#DIV/0!</v>
      </c>
      <c r="S86" s="240"/>
      <c r="T86" s="241"/>
      <c r="U86" s="242"/>
      <c r="V86" s="348" t="e">
        <f>U86/Q86</f>
        <v>#DIV/0!</v>
      </c>
      <c r="W86" s="240"/>
      <c r="X86" s="241"/>
      <c r="Y86" s="242"/>
      <c r="Z86" s="243" t="e">
        <f>Y86/U86</f>
        <v>#DIV/0!</v>
      </c>
    </row>
    <row r="87" spans="2:26" ht="38.25" hidden="1" thickBot="1">
      <c r="B87" s="244" t="s">
        <v>183</v>
      </c>
      <c r="C87" s="245" t="s">
        <v>29</v>
      </c>
      <c r="D87" s="1546"/>
      <c r="E87" s="1547"/>
      <c r="F87" s="1548"/>
      <c r="G87" s="397"/>
      <c r="H87" s="398"/>
      <c r="I87" s="1549"/>
      <c r="J87" s="1545" t="e">
        <f t="shared" ref="J87:J88" si="58">I87/F87</f>
        <v>#DIV/0!</v>
      </c>
      <c r="K87" s="791"/>
      <c r="L87" s="398"/>
      <c r="M87" s="792"/>
      <c r="N87" s="1255" t="e">
        <f t="shared" ref="N87:N88" si="59">M87/I87</f>
        <v>#DIV/0!</v>
      </c>
      <c r="O87" s="791"/>
      <c r="P87" s="398"/>
      <c r="Q87" s="792"/>
      <c r="R87" s="1255" t="e">
        <f t="shared" ref="R87:R88" si="60">Q87/M87</f>
        <v>#DIV/0!</v>
      </c>
      <c r="S87" s="791"/>
      <c r="T87" s="398"/>
      <c r="U87" s="792"/>
      <c r="V87" s="1255" t="e">
        <f t="shared" ref="V87:V88" si="61">U87/Q87</f>
        <v>#DIV/0!</v>
      </c>
      <c r="W87" s="397"/>
      <c r="X87" s="398"/>
      <c r="Y87" s="1544"/>
      <c r="Z87" s="1545" t="e">
        <f t="shared" ref="Z87:Z88" si="62">Y87/U87</f>
        <v>#DIV/0!</v>
      </c>
    </row>
    <row r="88" spans="2:26" ht="38.25" hidden="1" customHeight="1" thickBot="1">
      <c r="B88" s="250" t="s">
        <v>4</v>
      </c>
      <c r="C88" s="251" t="s">
        <v>19</v>
      </c>
      <c r="D88" s="341"/>
      <c r="E88" s="252"/>
      <c r="F88" s="253"/>
      <c r="G88" s="341"/>
      <c r="H88" s="252"/>
      <c r="I88" s="783"/>
      <c r="J88" s="254" t="e">
        <f t="shared" si="58"/>
        <v>#DIV/0!</v>
      </c>
      <c r="K88" s="789"/>
      <c r="L88" s="788"/>
      <c r="M88" s="790"/>
      <c r="N88" s="342" t="e">
        <f t="shared" si="59"/>
        <v>#DIV/0!</v>
      </c>
      <c r="O88" s="341"/>
      <c r="P88" s="252"/>
      <c r="Q88" s="253"/>
      <c r="R88" s="342" t="e">
        <f t="shared" si="60"/>
        <v>#DIV/0!</v>
      </c>
      <c r="S88" s="341"/>
      <c r="T88" s="252"/>
      <c r="U88" s="253"/>
      <c r="V88" s="342" t="e">
        <f t="shared" si="61"/>
        <v>#DIV/0!</v>
      </c>
      <c r="W88" s="341"/>
      <c r="X88" s="252"/>
      <c r="Y88" s="253"/>
      <c r="Z88" s="254" t="e">
        <f t="shared" si="62"/>
        <v>#DIV/0!</v>
      </c>
    </row>
    <row r="89" spans="2:26" ht="18.75" hidden="1">
      <c r="B89" s="256" t="s">
        <v>160</v>
      </c>
      <c r="C89" s="237"/>
      <c r="D89" s="237"/>
      <c r="E89" s="255" t="e">
        <f>E88/D88</f>
        <v>#DIV/0!</v>
      </c>
      <c r="F89" s="343"/>
      <c r="G89" s="363" t="e">
        <f>G88/E88</f>
        <v>#DIV/0!</v>
      </c>
      <c r="H89" s="255" t="e">
        <f>H88/G88</f>
        <v>#DIV/0!</v>
      </c>
      <c r="I89" s="343"/>
      <c r="J89" s="343"/>
      <c r="K89" s="363" t="e">
        <f>K88/H88</f>
        <v>#DIV/0!</v>
      </c>
      <c r="L89" s="255" t="e">
        <f>L88/K88</f>
        <v>#DIV/0!</v>
      </c>
      <c r="M89" s="237"/>
      <c r="N89" s="344"/>
      <c r="O89" s="363" t="e">
        <f>O88/L88</f>
        <v>#DIV/0!</v>
      </c>
      <c r="P89" s="255" t="e">
        <f>P88/O88</f>
        <v>#DIV/0!</v>
      </c>
      <c r="Q89" s="237"/>
      <c r="R89" s="344"/>
      <c r="S89" s="363" t="e">
        <f>S88/P88</f>
        <v>#DIV/0!</v>
      </c>
      <c r="T89" s="255" t="e">
        <f>T88/S88</f>
        <v>#DIV/0!</v>
      </c>
      <c r="U89" s="237"/>
      <c r="V89" s="344"/>
      <c r="W89" s="363" t="e">
        <f>W88/T88</f>
        <v>#DIV/0!</v>
      </c>
      <c r="X89" s="255" t="e">
        <f>X88/W88</f>
        <v>#DIV/0!</v>
      </c>
      <c r="Y89" s="237"/>
      <c r="Z89" s="344"/>
    </row>
    <row r="90" spans="2:26" ht="18.75" outlineLevel="1">
      <c r="B90" s="256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</row>
    <row r="91" spans="2:26" ht="19.5" outlineLevel="1" thickBot="1">
      <c r="B91" s="346" t="s">
        <v>476</v>
      </c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2:26" ht="37.5" outlineLevel="1">
      <c r="B92" s="238" t="s">
        <v>72</v>
      </c>
      <c r="C92" s="347" t="s">
        <v>1</v>
      </c>
      <c r="D92" s="240"/>
      <c r="E92" s="241"/>
      <c r="F92" s="781"/>
      <c r="G92" s="240">
        <f>G31+G12</f>
        <v>18975.150000000001</v>
      </c>
      <c r="H92" s="241">
        <f>H31+H12</f>
        <v>13753.858999999999</v>
      </c>
      <c r="I92" s="242">
        <f>I31+I12</f>
        <v>32729.009000000002</v>
      </c>
      <c r="J92" s="348"/>
      <c r="K92" s="240">
        <f>K31+K12</f>
        <v>19920.91</v>
      </c>
      <c r="L92" s="241">
        <f>L31+L12</f>
        <v>13754.079999999998</v>
      </c>
      <c r="M92" s="242">
        <f>M31+M12</f>
        <v>33674.99</v>
      </c>
      <c r="N92" s="348">
        <f>M92/I92</f>
        <v>1.0289034415921361</v>
      </c>
      <c r="O92" s="240">
        <f>O31+O12</f>
        <v>20044.189999999999</v>
      </c>
      <c r="P92" s="241">
        <f>P31+P12</f>
        <v>14508.599999999999</v>
      </c>
      <c r="Q92" s="242">
        <f>Q31+Q12</f>
        <v>34552.79</v>
      </c>
      <c r="R92" s="348">
        <f>Q92/M92</f>
        <v>1.0260668228854708</v>
      </c>
      <c r="S92" s="240">
        <f>S31+S12</f>
        <v>21144.41</v>
      </c>
      <c r="T92" s="241">
        <f>T31+T12</f>
        <v>14651.539999999995</v>
      </c>
      <c r="U92" s="242">
        <f>U31+U12</f>
        <v>35795.949999999997</v>
      </c>
      <c r="V92" s="348">
        <f>U92/Q92</f>
        <v>1.035978570760856</v>
      </c>
      <c r="W92" s="240">
        <f>W31+W12</f>
        <v>21350.149999999998</v>
      </c>
      <c r="X92" s="241">
        <f>X31+X12</f>
        <v>15560.919999999996</v>
      </c>
      <c r="Y92" s="242">
        <f>Y31+Y12</f>
        <v>36911.069999999992</v>
      </c>
      <c r="Z92" s="992">
        <f>Y92/U92</f>
        <v>1.0311521275451552</v>
      </c>
    </row>
    <row r="93" spans="2:26" ht="38.25" outlineLevel="1" thickBot="1">
      <c r="B93" s="1550" t="s">
        <v>184</v>
      </c>
      <c r="C93" s="1551" t="s">
        <v>13</v>
      </c>
      <c r="D93" s="1546"/>
      <c r="E93" s="1547"/>
      <c r="F93" s="1252"/>
      <c r="G93" s="981">
        <f>[185]индексы!E89</f>
        <v>15859</v>
      </c>
      <c r="H93" s="398">
        <f>[185]индексы!F89</f>
        <v>10882</v>
      </c>
      <c r="I93" s="982">
        <f>G93+H93</f>
        <v>26741</v>
      </c>
      <c r="J93" s="1255"/>
      <c r="K93" s="981">
        <f>G93</f>
        <v>15859</v>
      </c>
      <c r="L93" s="398">
        <f>H93</f>
        <v>10882</v>
      </c>
      <c r="M93" s="982">
        <f>K93+L93</f>
        <v>26741</v>
      </c>
      <c r="N93" s="1255">
        <f t="shared" ref="N93:N94" si="63">M93/I93</f>
        <v>1</v>
      </c>
      <c r="O93" s="981">
        <f>K93</f>
        <v>15859</v>
      </c>
      <c r="P93" s="398">
        <f>L93</f>
        <v>10882</v>
      </c>
      <c r="Q93" s="982">
        <f>O93+P93</f>
        <v>26741</v>
      </c>
      <c r="R93" s="1255">
        <f t="shared" ref="R93:R94" si="64">Q93/M93</f>
        <v>1</v>
      </c>
      <c r="S93" s="981">
        <f>O93</f>
        <v>15859</v>
      </c>
      <c r="T93" s="398">
        <f>P93</f>
        <v>10882</v>
      </c>
      <c r="U93" s="982">
        <f>S93+T93</f>
        <v>26741</v>
      </c>
      <c r="V93" s="1255">
        <f t="shared" ref="V93:V94" si="65">U93/Q93</f>
        <v>1</v>
      </c>
      <c r="W93" s="981">
        <f>S93</f>
        <v>15859</v>
      </c>
      <c r="X93" s="398">
        <f>T93</f>
        <v>10882</v>
      </c>
      <c r="Y93" s="982">
        <f>W93+X93</f>
        <v>26741</v>
      </c>
      <c r="Z93" s="1253">
        <f t="shared" ref="Z93:Z94" si="66">Y93/U93</f>
        <v>1</v>
      </c>
    </row>
    <row r="94" spans="2:26" ht="38.25" outlineLevel="1" thickBot="1">
      <c r="B94" s="250" t="s">
        <v>4</v>
      </c>
      <c r="C94" s="340" t="s">
        <v>12</v>
      </c>
      <c r="D94" s="341"/>
      <c r="E94" s="252"/>
      <c r="F94" s="253"/>
      <c r="G94" s="789">
        <f>ROUND(G92/G93*1000,2)</f>
        <v>1196.49</v>
      </c>
      <c r="H94" s="788">
        <f>ROUND(H92/H93*1000,2)</f>
        <v>1263.9100000000001</v>
      </c>
      <c r="I94" s="790">
        <f>ROUND(I92/I93*1000,2)</f>
        <v>1223.93</v>
      </c>
      <c r="J94" s="342"/>
      <c r="K94" s="789">
        <f>ROUND(K92/K93*1000,2)</f>
        <v>1256.1300000000001</v>
      </c>
      <c r="L94" s="788">
        <f>ROUND(L92/L93*1000,2)</f>
        <v>1263.93</v>
      </c>
      <c r="M94" s="790">
        <f>ROUND(M92/M93*1000,2)</f>
        <v>1259.3</v>
      </c>
      <c r="N94" s="342">
        <f t="shared" si="63"/>
        <v>1.02889871152762</v>
      </c>
      <c r="O94" s="789">
        <f>ROUND(O92/O93*1000,2)</f>
        <v>1263.9000000000001</v>
      </c>
      <c r="P94" s="788">
        <f>ROUND(P92/P93*1000,2)</f>
        <v>1333.27</v>
      </c>
      <c r="Q94" s="790">
        <f>ROUND(Q92/Q93*1000,2)</f>
        <v>1292.1300000000001</v>
      </c>
      <c r="R94" s="342">
        <f t="shared" si="64"/>
        <v>1.026070038910506</v>
      </c>
      <c r="S94" s="789">
        <f>ROUND(S92/S93*1000,2)</f>
        <v>1333.28</v>
      </c>
      <c r="T94" s="788">
        <f>ROUND(T92/T93*1000,2)</f>
        <v>1346.4</v>
      </c>
      <c r="U94" s="790">
        <f>ROUND(U92/U93*1000,2)</f>
        <v>1338.62</v>
      </c>
      <c r="V94" s="342">
        <f t="shared" si="65"/>
        <v>1.035979351922794</v>
      </c>
      <c r="W94" s="789">
        <f>ROUND(W92/W93*1000,2)</f>
        <v>1346.25</v>
      </c>
      <c r="X94" s="788">
        <f>ROUND(X92/X93*1000,2)</f>
        <v>1429.97</v>
      </c>
      <c r="Y94" s="790">
        <f>ROUND(Y92/Y93*1000,2)</f>
        <v>1380.32</v>
      </c>
      <c r="Z94" s="254">
        <f t="shared" si="66"/>
        <v>1.0311514843644949</v>
      </c>
    </row>
    <row r="95" spans="2:26" ht="18.75" outlineLevel="1">
      <c r="B95" s="256" t="s">
        <v>160</v>
      </c>
      <c r="C95" s="237"/>
      <c r="D95" s="237"/>
      <c r="E95" s="255"/>
      <c r="F95" s="343"/>
      <c r="G95" s="363"/>
      <c r="H95" s="255">
        <f>H94/G94</f>
        <v>1.0563481516769886</v>
      </c>
      <c r="I95" s="237"/>
      <c r="J95" s="344"/>
      <c r="K95" s="363">
        <f>K94/H94</f>
        <v>0.99384449842156486</v>
      </c>
      <c r="L95" s="255">
        <f>L94/K94</f>
        <v>1.0062095483747702</v>
      </c>
      <c r="M95" s="237"/>
      <c r="N95" s="237"/>
      <c r="O95" s="363">
        <f>O94/L94</f>
        <v>0.99997626450831933</v>
      </c>
      <c r="P95" s="255">
        <f>P94/O94</f>
        <v>1.0548856713347574</v>
      </c>
      <c r="Q95" s="237"/>
      <c r="R95" s="237"/>
      <c r="S95" s="363">
        <f>S94/P94</f>
        <v>1.000007500356267</v>
      </c>
      <c r="T95" s="255">
        <f>T94/S94</f>
        <v>1.0098403936157447</v>
      </c>
      <c r="U95" s="237"/>
      <c r="V95" s="237"/>
      <c r="W95" s="363">
        <f>W94/T94</f>
        <v>0.99988859180035639</v>
      </c>
      <c r="X95" s="255">
        <f>X94/W94</f>
        <v>1.0621875580315692</v>
      </c>
      <c r="Y95" s="237"/>
      <c r="Z95" s="237"/>
    </row>
    <row r="96" spans="2:26" ht="18.75" hidden="1" outlineLevel="1">
      <c r="B96" s="256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</row>
    <row r="97" spans="1:27" ht="18.75" hidden="1" outlineLevel="1">
      <c r="B97" s="256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</row>
    <row r="98" spans="1:27" hidden="1">
      <c r="B98" s="345"/>
      <c r="C98" s="345"/>
      <c r="D98" s="345"/>
      <c r="E98" s="345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</row>
    <row r="99" spans="1:27" s="380" customFormat="1" ht="18.75" hidden="1">
      <c r="A99" s="402"/>
      <c r="B99" s="403" t="s">
        <v>228</v>
      </c>
      <c r="C99" s="403"/>
      <c r="D99" s="404"/>
      <c r="E99" s="404"/>
      <c r="F99" s="404"/>
      <c r="G99" s="404"/>
      <c r="H99" s="404"/>
      <c r="I99" s="404"/>
      <c r="J99" s="404"/>
      <c r="K99" s="404"/>
      <c r="O99" s="404"/>
      <c r="P99" s="404"/>
      <c r="Q99" s="403"/>
      <c r="R99" s="403"/>
    </row>
    <row r="100" spans="1:27" ht="18.75" hidden="1">
      <c r="A100" s="405">
        <v>1</v>
      </c>
      <c r="B100" s="406" t="s">
        <v>229</v>
      </c>
      <c r="C100" s="406"/>
      <c r="D100" s="407"/>
      <c r="L100" s="57"/>
      <c r="M100" s="57"/>
      <c r="N100" s="57"/>
    </row>
    <row r="101" spans="1:27" ht="18.75" hidden="1">
      <c r="A101" s="405">
        <v>2</v>
      </c>
      <c r="B101" s="406" t="s">
        <v>230</v>
      </c>
      <c r="C101" s="406"/>
      <c r="D101" s="407"/>
    </row>
    <row r="103" spans="1:27" ht="16.5" thickBot="1"/>
    <row r="104" spans="1:27" ht="31.5" customHeight="1">
      <c r="B104" s="406"/>
      <c r="C104" s="406"/>
      <c r="D104" s="1552" t="s">
        <v>521</v>
      </c>
      <c r="E104" s="1652" t="s">
        <v>522</v>
      </c>
      <c r="F104" s="1653"/>
      <c r="G104" s="1653"/>
      <c r="I104" s="1552" t="s">
        <v>537</v>
      </c>
      <c r="J104" s="1652" t="s">
        <v>538</v>
      </c>
      <c r="K104" s="1653"/>
      <c r="L104" s="1653"/>
      <c r="N104" s="1552" t="s">
        <v>537</v>
      </c>
      <c r="O104" s="1652" t="s">
        <v>538</v>
      </c>
      <c r="P104" s="1653"/>
      <c r="Q104" s="1653"/>
      <c r="S104" s="1552" t="s">
        <v>537</v>
      </c>
      <c r="T104" s="1652" t="s">
        <v>538</v>
      </c>
      <c r="U104" s="1653"/>
      <c r="V104" s="1653"/>
      <c r="X104" s="1552" t="s">
        <v>537</v>
      </c>
      <c r="Y104" s="1652" t="s">
        <v>538</v>
      </c>
      <c r="Z104" s="1653"/>
      <c r="AA104" s="1653"/>
    </row>
    <row r="105" spans="1:27" ht="108" customHeight="1">
      <c r="B105" s="406"/>
      <c r="C105" s="406"/>
      <c r="D105" s="1648" t="s">
        <v>523</v>
      </c>
      <c r="E105" s="1194" t="s">
        <v>524</v>
      </c>
      <c r="F105" s="1195" t="s">
        <v>525</v>
      </c>
      <c r="G105" s="1646" t="s">
        <v>526</v>
      </c>
      <c r="I105" s="1648" t="s">
        <v>523</v>
      </c>
      <c r="J105" s="1194" t="s">
        <v>524</v>
      </c>
      <c r="K105" s="1195" t="s">
        <v>525</v>
      </c>
      <c r="L105" s="1646" t="s">
        <v>526</v>
      </c>
      <c r="N105" s="1648" t="s">
        <v>523</v>
      </c>
      <c r="O105" s="1194" t="s">
        <v>524</v>
      </c>
      <c r="P105" s="1195" t="s">
        <v>525</v>
      </c>
      <c r="Q105" s="1646" t="s">
        <v>526</v>
      </c>
      <c r="S105" s="1648" t="s">
        <v>523</v>
      </c>
      <c r="T105" s="1194" t="s">
        <v>524</v>
      </c>
      <c r="U105" s="1195" t="s">
        <v>525</v>
      </c>
      <c r="V105" s="1646" t="s">
        <v>526</v>
      </c>
      <c r="X105" s="1648" t="s">
        <v>523</v>
      </c>
      <c r="Y105" s="1194" t="s">
        <v>524</v>
      </c>
      <c r="Z105" s="1195" t="s">
        <v>525</v>
      </c>
      <c r="AA105" s="1646" t="s">
        <v>526</v>
      </c>
    </row>
    <row r="106" spans="1:27" ht="15.75" customHeight="1">
      <c r="D106" s="1648"/>
      <c r="E106" s="1639" t="s">
        <v>527</v>
      </c>
      <c r="F106" s="1641" t="s">
        <v>528</v>
      </c>
      <c r="G106" s="1646"/>
      <c r="I106" s="1648"/>
      <c r="J106" s="1639" t="s">
        <v>527</v>
      </c>
      <c r="K106" s="1641" t="s">
        <v>528</v>
      </c>
      <c r="L106" s="1646"/>
      <c r="N106" s="1648"/>
      <c r="O106" s="1639" t="s">
        <v>527</v>
      </c>
      <c r="P106" s="1641" t="s">
        <v>528</v>
      </c>
      <c r="Q106" s="1646"/>
      <c r="S106" s="1648"/>
      <c r="T106" s="1639" t="s">
        <v>527</v>
      </c>
      <c r="U106" s="1641" t="s">
        <v>528</v>
      </c>
      <c r="V106" s="1646"/>
      <c r="X106" s="1648"/>
      <c r="Y106" s="1639" t="s">
        <v>527</v>
      </c>
      <c r="Z106" s="1641" t="s">
        <v>528</v>
      </c>
      <c r="AA106" s="1646"/>
    </row>
    <row r="107" spans="1:27" ht="16.5" customHeight="1" thickBot="1">
      <c r="D107" s="1649"/>
      <c r="E107" s="1640"/>
      <c r="F107" s="1642"/>
      <c r="G107" s="1647"/>
      <c r="I107" s="1649"/>
      <c r="J107" s="1640"/>
      <c r="K107" s="1642"/>
      <c r="L107" s="1647"/>
      <c r="N107" s="1649"/>
      <c r="O107" s="1640"/>
      <c r="P107" s="1642"/>
      <c r="Q107" s="1647"/>
      <c r="S107" s="1649"/>
      <c r="T107" s="1640"/>
      <c r="U107" s="1642"/>
      <c r="V107" s="1647"/>
      <c r="X107" s="1649"/>
      <c r="Y107" s="1640"/>
      <c r="Z107" s="1642"/>
      <c r="AA107" s="1647"/>
    </row>
    <row r="108" spans="1:27" ht="28.5">
      <c r="B108" s="1643" t="s">
        <v>529</v>
      </c>
      <c r="C108" s="1196" t="s">
        <v>530</v>
      </c>
      <c r="D108" s="1197">
        <v>1193.3399999999999</v>
      </c>
      <c r="E108" s="1198">
        <f>D108</f>
        <v>1193.3399999999999</v>
      </c>
      <c r="F108" s="1199">
        <f>ROUND(F113/F111*1000,2)</f>
        <v>1099.42</v>
      </c>
      <c r="G108" s="1200"/>
      <c r="I108" s="1197">
        <f>I110/1.2</f>
        <v>1260.7850130296301</v>
      </c>
      <c r="J108" s="1198">
        <f>I108</f>
        <v>1260.7850130296301</v>
      </c>
      <c r="K108" s="1199">
        <f>K113/K111*1000</f>
        <v>1157.8860927152316</v>
      </c>
      <c r="L108" s="1200"/>
      <c r="N108" s="1197">
        <f>N110/1.2</f>
        <v>1260.2054781878328</v>
      </c>
      <c r="O108" s="1198">
        <f>N108</f>
        <v>1260.2054781878328</v>
      </c>
      <c r="P108" s="1199">
        <f>P113/P111*1000</f>
        <v>1150.1046357615894</v>
      </c>
      <c r="Q108" s="1200"/>
      <c r="S108" s="1197">
        <f>S110/1.2</f>
        <v>1329.7886304410772</v>
      </c>
      <c r="T108" s="1198">
        <f>ROUND(S108,2)</f>
        <v>1329.79</v>
      </c>
      <c r="U108" s="1199">
        <f>U113/U111*1000</f>
        <v>1215.2781456953644</v>
      </c>
      <c r="V108" s="1200"/>
      <c r="X108" s="1197">
        <f>X110/1.2</f>
        <v>1342.2503311258279</v>
      </c>
      <c r="Y108" s="1198">
        <f>ROUND(X108,2)</f>
        <v>1342.25</v>
      </c>
      <c r="Z108" s="1199">
        <f>Z113/Z111*1000</f>
        <v>1223.1761589403973</v>
      </c>
      <c r="AA108" s="1200"/>
    </row>
    <row r="109" spans="1:27" ht="30.75">
      <c r="B109" s="1644"/>
      <c r="C109" s="1201" t="s">
        <v>531</v>
      </c>
      <c r="D109" s="1553">
        <v>24.91</v>
      </c>
      <c r="E109" s="1203"/>
      <c r="F109" s="1204"/>
      <c r="G109" s="1205">
        <f>D109</f>
        <v>24.91</v>
      </c>
      <c r="I109" s="1553">
        <f>L109</f>
        <v>27.29</v>
      </c>
      <c r="J109" s="1203"/>
      <c r="K109" s="1204"/>
      <c r="L109" s="1205">
        <f>K39</f>
        <v>27.29</v>
      </c>
      <c r="N109" s="1553">
        <f>Q109</f>
        <v>29.2</v>
      </c>
      <c r="O109" s="1203"/>
      <c r="P109" s="1204"/>
      <c r="Q109" s="1205">
        <f>O39</f>
        <v>29.2</v>
      </c>
      <c r="S109" s="1553">
        <f>V109</f>
        <v>30.37</v>
      </c>
      <c r="T109" s="1203"/>
      <c r="U109" s="1204"/>
      <c r="V109" s="1205">
        <f>S39</f>
        <v>30.37</v>
      </c>
      <c r="X109" s="1553">
        <f>AA109</f>
        <v>31.58</v>
      </c>
      <c r="Y109" s="1203"/>
      <c r="Z109" s="1204"/>
      <c r="AA109" s="1205">
        <f>W39</f>
        <v>31.58</v>
      </c>
    </row>
    <row r="110" spans="1:27" ht="42.75">
      <c r="B110" s="1644"/>
      <c r="C110" s="1201" t="s">
        <v>532</v>
      </c>
      <c r="D110" s="1554">
        <v>1408.1412</v>
      </c>
      <c r="E110" s="1229">
        <f>ROUND(E108*1.2,2)</f>
        <v>1432.01</v>
      </c>
      <c r="F110" s="1204"/>
      <c r="G110" s="1207"/>
      <c r="I110" s="1554">
        <f>(H18+H37)/H19*1000*1.2</f>
        <v>1512.9420156355561</v>
      </c>
      <c r="J110" s="1232">
        <f>ROUND(J108*1.2,2)</f>
        <v>1512.94</v>
      </c>
      <c r="K110" s="1204"/>
      <c r="L110" s="1207"/>
      <c r="N110" s="1554">
        <f>(L18+L37)/L19*1000*1.2</f>
        <v>1512.2465738253993</v>
      </c>
      <c r="O110" s="1232">
        <f>ROUND(O108*1.2,2)</f>
        <v>1512.25</v>
      </c>
      <c r="P110" s="1204"/>
      <c r="Q110" s="1207"/>
      <c r="S110" s="1554">
        <f>(P18+P37)/P19*1000*1.2</f>
        <v>1595.7463565292926</v>
      </c>
      <c r="T110" s="1232">
        <f>ROUND(T108*1.2,2)</f>
        <v>1595.75</v>
      </c>
      <c r="U110" s="1204"/>
      <c r="V110" s="1207"/>
      <c r="X110" s="1554">
        <f>(W18+W37)/W19*1000*1.2</f>
        <v>1610.7003973509934</v>
      </c>
      <c r="Y110" s="1232">
        <f>ROUND(Y108*1.2,2)</f>
        <v>1610.7</v>
      </c>
      <c r="Z110" s="1204"/>
      <c r="AA110" s="1207"/>
    </row>
    <row r="111" spans="1:27" ht="28.5">
      <c r="B111" s="1644"/>
      <c r="C111" s="1208" t="s">
        <v>533</v>
      </c>
      <c r="D111" s="1555"/>
      <c r="E111" s="1210">
        <f>F111</f>
        <v>15100</v>
      </c>
      <c r="F111" s="1211">
        <f>[185]индексы!E91</f>
        <v>15100</v>
      </c>
      <c r="G111" s="1211"/>
      <c r="I111" s="1555"/>
      <c r="J111" s="1210">
        <f>K111</f>
        <v>15100</v>
      </c>
      <c r="K111" s="1211">
        <f>F111</f>
        <v>15100</v>
      </c>
      <c r="L111" s="1211"/>
      <c r="N111" s="1555"/>
      <c r="O111" s="1210">
        <f>P111</f>
        <v>15100</v>
      </c>
      <c r="P111" s="1211">
        <f>K111</f>
        <v>15100</v>
      </c>
      <c r="Q111" s="1211"/>
      <c r="S111" s="1555"/>
      <c r="T111" s="1210">
        <f>U111</f>
        <v>15100</v>
      </c>
      <c r="U111" s="1211">
        <f>P111</f>
        <v>15100</v>
      </c>
      <c r="V111" s="1211"/>
      <c r="X111" s="1555"/>
      <c r="Y111" s="1210">
        <f>Z111</f>
        <v>15100</v>
      </c>
      <c r="Z111" s="1211">
        <f>U111</f>
        <v>15100</v>
      </c>
      <c r="AA111" s="1211"/>
    </row>
    <row r="112" spans="1:27" ht="30.75">
      <c r="B112" s="1644"/>
      <c r="C112" s="1208" t="s">
        <v>534</v>
      </c>
      <c r="D112" s="1555"/>
      <c r="E112" s="1210"/>
      <c r="F112" s="1211"/>
      <c r="G112" s="1211">
        <f>ROUND([185]индексы!E82/[185]индексы!G82*96003,2)</f>
        <v>56935.48</v>
      </c>
      <c r="I112" s="1555"/>
      <c r="J112" s="1210"/>
      <c r="K112" s="1211"/>
      <c r="L112" s="1211">
        <f>G112</f>
        <v>56935.48</v>
      </c>
      <c r="N112" s="1555"/>
      <c r="O112" s="1210"/>
      <c r="P112" s="1211"/>
      <c r="Q112" s="1211">
        <f>L112</f>
        <v>56935.48</v>
      </c>
      <c r="S112" s="1555"/>
      <c r="T112" s="1210"/>
      <c r="U112" s="1211"/>
      <c r="V112" s="1211">
        <f>Q112</f>
        <v>56935.48</v>
      </c>
      <c r="X112" s="1555"/>
      <c r="Y112" s="1210"/>
      <c r="Z112" s="1211"/>
      <c r="AA112" s="1211">
        <f>V112</f>
        <v>56935.48</v>
      </c>
    </row>
    <row r="113" spans="2:27" ht="29.25" thickBot="1">
      <c r="B113" s="1645"/>
      <c r="C113" s="1212" t="s">
        <v>535</v>
      </c>
      <c r="D113" s="1213"/>
      <c r="E113" s="1214">
        <f>ROUND(E108*E111/1000,2)</f>
        <v>18019.43</v>
      </c>
      <c r="F113" s="1215">
        <f>E113-G113</f>
        <v>16601.170000000002</v>
      </c>
      <c r="G113" s="1215">
        <f>ROUND(G109*G112/1000,2)</f>
        <v>1418.26</v>
      </c>
      <c r="I113" s="1213"/>
      <c r="J113" s="1214">
        <f>ROUND(J108*J111/1000,2)</f>
        <v>19037.849999999999</v>
      </c>
      <c r="K113" s="1215">
        <f>J113-L113</f>
        <v>17484.079999999998</v>
      </c>
      <c r="L113" s="1215">
        <f>ROUND(L109*L112/1000,2)</f>
        <v>1553.77</v>
      </c>
      <c r="N113" s="1213"/>
      <c r="O113" s="1214">
        <f>ROUND(O108*O111/1000,2)</f>
        <v>19029.099999999999</v>
      </c>
      <c r="P113" s="1215">
        <f>O113-Q113</f>
        <v>17366.579999999998</v>
      </c>
      <c r="Q113" s="1215">
        <f>ROUND(Q109*Q112/1000,2)</f>
        <v>1662.52</v>
      </c>
      <c r="S113" s="1213"/>
      <c r="T113" s="1214">
        <f>ROUND(T108*T111/1000,2)</f>
        <v>20079.830000000002</v>
      </c>
      <c r="U113" s="1215">
        <f>T113-V113</f>
        <v>18350.7</v>
      </c>
      <c r="V113" s="1215">
        <f>ROUND(V109*V112/1000,2)</f>
        <v>1729.13</v>
      </c>
      <c r="X113" s="1213"/>
      <c r="Y113" s="1214">
        <f>ROUND(Y108*Y111/1000,2)</f>
        <v>20267.98</v>
      </c>
      <c r="Z113" s="1215">
        <f>Y113-AA113</f>
        <v>18469.96</v>
      </c>
      <c r="AA113" s="1215">
        <f>ROUND(AA109*AA112/1000,2)</f>
        <v>1798.02</v>
      </c>
    </row>
    <row r="114" spans="2:27" ht="28.5">
      <c r="B114" s="1643" t="s">
        <v>536</v>
      </c>
      <c r="C114" s="1196" t="s">
        <v>530</v>
      </c>
      <c r="D114" s="1554">
        <v>1099.428413894505</v>
      </c>
      <c r="E114" s="1198">
        <f>E118/E116*1000</f>
        <v>1259.1802516469038</v>
      </c>
      <c r="F114" s="1216">
        <f>ROUND(D114,2)</f>
        <v>1099.43</v>
      </c>
      <c r="G114" s="1217"/>
      <c r="I114" s="1554"/>
      <c r="J114" s="1198"/>
      <c r="K114" s="1216"/>
      <c r="L114" s="1217"/>
      <c r="N114" s="1554"/>
      <c r="O114" s="1198"/>
      <c r="P114" s="1216"/>
      <c r="Q114" s="1217"/>
      <c r="S114" s="1554"/>
      <c r="T114" s="1198"/>
      <c r="U114" s="1216"/>
      <c r="V114" s="1217"/>
      <c r="X114" s="1554"/>
      <c r="Y114" s="1198"/>
      <c r="Z114" s="1216"/>
      <c r="AA114" s="1217"/>
    </row>
    <row r="115" spans="2:27" ht="30.75">
      <c r="B115" s="1644"/>
      <c r="C115" s="1201" t="s">
        <v>531</v>
      </c>
      <c r="D115" s="1554">
        <v>34.74</v>
      </c>
      <c r="E115" s="1203"/>
      <c r="F115" s="1218"/>
      <c r="G115" s="1219">
        <f>D115</f>
        <v>34.74</v>
      </c>
      <c r="I115" s="1554"/>
      <c r="J115" s="1203"/>
      <c r="K115" s="1218"/>
      <c r="L115" s="1219"/>
      <c r="N115" s="1554"/>
      <c r="O115" s="1203"/>
      <c r="P115" s="1218"/>
      <c r="Q115" s="1219"/>
      <c r="S115" s="1554"/>
      <c r="T115" s="1203"/>
      <c r="U115" s="1218"/>
      <c r="V115" s="1219"/>
      <c r="X115" s="1554"/>
      <c r="Y115" s="1203"/>
      <c r="Z115" s="1218"/>
      <c r="AA115" s="1219"/>
    </row>
    <row r="116" spans="2:27" ht="28.5">
      <c r="B116" s="1644"/>
      <c r="C116" s="1208" t="s">
        <v>533</v>
      </c>
      <c r="D116" s="1555"/>
      <c r="E116" s="1210">
        <f>F116</f>
        <v>759</v>
      </c>
      <c r="F116" s="1220">
        <f>[185]индексы!E90</f>
        <v>759</v>
      </c>
      <c r="G116" s="1221"/>
      <c r="I116" s="1555"/>
      <c r="J116" s="1210"/>
      <c r="K116" s="1220"/>
      <c r="L116" s="1221"/>
      <c r="N116" s="1555"/>
      <c r="O116" s="1210"/>
      <c r="P116" s="1220"/>
      <c r="Q116" s="1221"/>
      <c r="S116" s="1555"/>
      <c r="T116" s="1210"/>
      <c r="U116" s="1220"/>
      <c r="V116" s="1221"/>
      <c r="X116" s="1555"/>
      <c r="Y116" s="1210"/>
      <c r="Z116" s="1220"/>
      <c r="AA116" s="1221"/>
    </row>
    <row r="117" spans="2:27" ht="30.75">
      <c r="B117" s="1644"/>
      <c r="C117" s="1208" t="s">
        <v>534</v>
      </c>
      <c r="D117" s="1555"/>
      <c r="E117" s="1222"/>
      <c r="F117" s="1220"/>
      <c r="G117" s="1223">
        <f>ROUND([185]индексы!E82/[185]индексы!G82*5885,2)</f>
        <v>3490.15</v>
      </c>
      <c r="H117" s="57"/>
      <c r="I117" s="1555"/>
      <c r="J117" s="1222"/>
      <c r="K117" s="1220"/>
      <c r="L117" s="1223"/>
      <c r="N117" s="1555"/>
      <c r="O117" s="1222"/>
      <c r="P117" s="1220"/>
      <c r="Q117" s="1223"/>
      <c r="S117" s="1555"/>
      <c r="T117" s="1222"/>
      <c r="U117" s="1220"/>
      <c r="V117" s="1223"/>
      <c r="X117" s="1555"/>
      <c r="Y117" s="1222"/>
      <c r="Z117" s="1220"/>
      <c r="AA117" s="1223"/>
    </row>
    <row r="118" spans="2:27" ht="29.25" thickBot="1">
      <c r="B118" s="1645"/>
      <c r="C118" s="1212" t="s">
        <v>535</v>
      </c>
      <c r="D118" s="1213"/>
      <c r="E118" s="1224">
        <f>F118+G118</f>
        <v>955.71781099999998</v>
      </c>
      <c r="F118" s="1225">
        <f>ROUND(F114*F116/1000,2)</f>
        <v>834.47</v>
      </c>
      <c r="G118" s="1226">
        <f>G115*G117/1000</f>
        <v>121.24781100000001</v>
      </c>
      <c r="I118" s="1213"/>
      <c r="J118" s="1224"/>
      <c r="K118" s="1225"/>
      <c r="L118" s="1226"/>
      <c r="N118" s="1213"/>
      <c r="O118" s="1224"/>
      <c r="P118" s="1225"/>
      <c r="Q118" s="1226"/>
      <c r="S118" s="1213"/>
      <c r="T118" s="1224"/>
      <c r="U118" s="1225"/>
      <c r="V118" s="1226"/>
      <c r="X118" s="1213"/>
      <c r="Y118" s="1224"/>
      <c r="Z118" s="1225"/>
      <c r="AA118" s="1226"/>
    </row>
    <row r="123" spans="2:27">
      <c r="K123">
        <v>16706.84</v>
      </c>
    </row>
  </sheetData>
  <mergeCells count="40">
    <mergeCell ref="T106:T107"/>
    <mergeCell ref="U106:U107"/>
    <mergeCell ref="Y106:Y107"/>
    <mergeCell ref="Z106:Z107"/>
    <mergeCell ref="B108:B113"/>
    <mergeCell ref="Q105:Q107"/>
    <mergeCell ref="B114:B118"/>
    <mergeCell ref="S105:S107"/>
    <mergeCell ref="V105:V107"/>
    <mergeCell ref="X105:X107"/>
    <mergeCell ref="AA105:AA107"/>
    <mergeCell ref="E106:E107"/>
    <mergeCell ref="F106:F107"/>
    <mergeCell ref="J106:J107"/>
    <mergeCell ref="K106:K107"/>
    <mergeCell ref="O106:O107"/>
    <mergeCell ref="P106:P107"/>
    <mergeCell ref="D105:D107"/>
    <mergeCell ref="G105:G107"/>
    <mergeCell ref="I105:I107"/>
    <mergeCell ref="L105:L107"/>
    <mergeCell ref="N105:N107"/>
    <mergeCell ref="Z3:Z4"/>
    <mergeCell ref="E104:G104"/>
    <mergeCell ref="J104:L104"/>
    <mergeCell ref="O104:Q104"/>
    <mergeCell ref="T104:V104"/>
    <mergeCell ref="Y104:AA104"/>
    <mergeCell ref="N3:N4"/>
    <mergeCell ref="O3:Q3"/>
    <mergeCell ref="R3:R4"/>
    <mergeCell ref="S3:U3"/>
    <mergeCell ref="V3:V4"/>
    <mergeCell ref="W3:Y3"/>
    <mergeCell ref="K3:M3"/>
    <mergeCell ref="B3:B4"/>
    <mergeCell ref="C3:C4"/>
    <mergeCell ref="D3:F3"/>
    <mergeCell ref="G3:I3"/>
    <mergeCell ref="J3:J4"/>
  </mergeCells>
  <pageMargins left="0.23622047244094491" right="0.23622047244094491" top="0.74803149606299213" bottom="0.74803149606299213" header="0.31496062992125984" footer="0.31496062992125984"/>
  <pageSetup paperSize="9" scale="32" orientation="landscape" blackAndWhite="1" horizontalDpi="300" verticalDpi="300" r:id="rId1"/>
  <colBreaks count="1" manualBreakCount="1">
    <brk id="14" max="9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A123"/>
  <sheetViews>
    <sheetView view="pageBreakPreview" zoomScale="55" zoomScaleNormal="60" zoomScaleSheetLayoutView="55" workbookViewId="0">
      <pane ySplit="4" topLeftCell="A20" activePane="bottomLeft" state="frozen"/>
      <selection pane="bottomLeft" activeCell="Z109" sqref="Z109"/>
    </sheetView>
  </sheetViews>
  <sheetFormatPr defaultRowHeight="15.75" outlineLevelRow="1" outlineLevelCol="1"/>
  <cols>
    <col min="1" max="1" width="2.375" style="257" customWidth="1"/>
    <col min="2" max="2" width="30.75" customWidth="1"/>
    <col min="3" max="3" width="13.625" customWidth="1"/>
    <col min="4" max="9" width="15.375" customWidth="1" outlineLevel="1"/>
    <col min="10" max="10" width="13.25" customWidth="1" outlineLevel="1"/>
    <col min="11" max="13" width="15.375" customWidth="1"/>
    <col min="14" max="14" width="13" customWidth="1"/>
    <col min="15" max="17" width="15.375" customWidth="1"/>
    <col min="18" max="18" width="13" customWidth="1"/>
    <col min="19" max="21" width="15.375" customWidth="1"/>
    <col min="22" max="22" width="13" customWidth="1"/>
    <col min="23" max="25" width="15.375" customWidth="1"/>
    <col min="26" max="26" width="13" customWidth="1"/>
    <col min="27" max="27" width="22.25" customWidth="1"/>
  </cols>
  <sheetData>
    <row r="1" spans="1:26" s="355" customFormat="1" ht="23.25">
      <c r="A1" s="350"/>
      <c r="B1" s="351" t="s">
        <v>498</v>
      </c>
      <c r="C1" s="352"/>
      <c r="D1" s="353"/>
      <c r="E1" s="354"/>
      <c r="F1" s="354"/>
      <c r="G1" s="353"/>
      <c r="H1" s="354"/>
      <c r="I1" s="354"/>
      <c r="J1" s="354"/>
      <c r="K1" s="353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</row>
    <row r="2" spans="1:26" ht="19.5" thickBot="1">
      <c r="B2" s="335"/>
      <c r="C2" s="335"/>
      <c r="D2" s="335"/>
      <c r="E2" s="335"/>
      <c r="F2" s="335"/>
      <c r="G2" s="233"/>
      <c r="H2" s="233"/>
      <c r="I2" s="233"/>
      <c r="J2" s="233"/>
      <c r="K2" s="1230"/>
      <c r="L2" s="233"/>
      <c r="M2" s="233"/>
      <c r="N2" s="233"/>
      <c r="O2" s="336"/>
      <c r="P2" s="336"/>
      <c r="Q2" s="336"/>
      <c r="R2" s="233"/>
      <c r="S2" s="336"/>
      <c r="T2" s="336"/>
      <c r="U2" s="336"/>
      <c r="V2" s="233"/>
      <c r="W2" s="336"/>
      <c r="X2" s="336"/>
      <c r="Y2" s="336"/>
      <c r="Z2" s="233"/>
    </row>
    <row r="3" spans="1:26" ht="18.75" customHeight="1">
      <c r="B3" s="1663" t="s">
        <v>82</v>
      </c>
      <c r="C3" s="1665" t="s">
        <v>159</v>
      </c>
      <c r="D3" s="1656" t="s">
        <v>256</v>
      </c>
      <c r="E3" s="1657"/>
      <c r="F3" s="1658"/>
      <c r="G3" s="1662" t="s">
        <v>175</v>
      </c>
      <c r="H3" s="1657"/>
      <c r="I3" s="1658"/>
      <c r="J3" s="1654" t="s">
        <v>180</v>
      </c>
      <c r="K3" s="1662" t="s">
        <v>177</v>
      </c>
      <c r="L3" s="1657"/>
      <c r="M3" s="1658"/>
      <c r="N3" s="1654" t="s">
        <v>181</v>
      </c>
      <c r="O3" s="1656" t="s">
        <v>179</v>
      </c>
      <c r="P3" s="1657"/>
      <c r="Q3" s="1658"/>
      <c r="R3" s="1654" t="s">
        <v>182</v>
      </c>
      <c r="S3" s="1659" t="s">
        <v>236</v>
      </c>
      <c r="T3" s="1660"/>
      <c r="U3" s="1661"/>
      <c r="V3" s="1650" t="s">
        <v>237</v>
      </c>
      <c r="W3" s="1659" t="s">
        <v>254</v>
      </c>
      <c r="X3" s="1660"/>
      <c r="Y3" s="1661"/>
      <c r="Z3" s="1650" t="s">
        <v>255</v>
      </c>
    </row>
    <row r="4" spans="1:26" ht="32.25" customHeight="1" thickBot="1">
      <c r="B4" s="1664"/>
      <c r="C4" s="1666"/>
      <c r="D4" s="234" t="s">
        <v>185</v>
      </c>
      <c r="E4" s="235" t="s">
        <v>186</v>
      </c>
      <c r="F4" s="236" t="s">
        <v>187</v>
      </c>
      <c r="G4" s="234" t="s">
        <v>188</v>
      </c>
      <c r="H4" s="235" t="s">
        <v>189</v>
      </c>
      <c r="I4" s="236" t="s">
        <v>190</v>
      </c>
      <c r="J4" s="1655"/>
      <c r="K4" s="234" t="s">
        <v>191</v>
      </c>
      <c r="L4" s="235" t="s">
        <v>192</v>
      </c>
      <c r="M4" s="236" t="s">
        <v>193</v>
      </c>
      <c r="N4" s="1655"/>
      <c r="O4" s="234" t="s">
        <v>194</v>
      </c>
      <c r="P4" s="235" t="s">
        <v>195</v>
      </c>
      <c r="Q4" s="236" t="s">
        <v>196</v>
      </c>
      <c r="R4" s="1655"/>
      <c r="S4" s="234" t="s">
        <v>238</v>
      </c>
      <c r="T4" s="235" t="s">
        <v>239</v>
      </c>
      <c r="U4" s="236" t="s">
        <v>240</v>
      </c>
      <c r="V4" s="1651"/>
      <c r="W4" s="234" t="s">
        <v>257</v>
      </c>
      <c r="X4" s="235" t="s">
        <v>258</v>
      </c>
      <c r="Y4" s="236" t="s">
        <v>259</v>
      </c>
      <c r="Z4" s="1651"/>
    </row>
    <row r="5" spans="1:26" ht="32.25" customHeight="1" thickBot="1">
      <c r="B5" s="918" t="s">
        <v>519</v>
      </c>
      <c r="C5" s="918"/>
      <c r="D5" s="919"/>
      <c r="E5" s="919"/>
      <c r="F5" s="919"/>
      <c r="G5" s="919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</row>
    <row r="6" spans="1:26" ht="37.5">
      <c r="B6" s="238" t="s">
        <v>161</v>
      </c>
      <c r="C6" s="347" t="s">
        <v>21</v>
      </c>
      <c r="D6" s="240">
        <v>17914.43</v>
      </c>
      <c r="E6" s="241">
        <v>13020.216451300003</v>
      </c>
      <c r="F6" s="781">
        <f>D6+E6</f>
        <v>30934.646451300003</v>
      </c>
      <c r="G6" s="240">
        <f>G12+G31</f>
        <v>18975.150000000001</v>
      </c>
      <c r="H6" s="241">
        <f>H12+H31</f>
        <v>13753.858999999999</v>
      </c>
      <c r="I6" s="242">
        <f>'Кальк.2019-2023 (ДИ)'!P99</f>
        <v>32729.009000000002</v>
      </c>
      <c r="J6" s="348">
        <f>I6/F6</f>
        <v>1.05800494767331</v>
      </c>
      <c r="K6" s="240">
        <f>K12+K31</f>
        <v>19920.91</v>
      </c>
      <c r="L6" s="241">
        <f>L12+L31</f>
        <v>13754.079999999998</v>
      </c>
      <c r="M6" s="242">
        <f>'Кальк.2019-2023 (ДИ)'!AB99</f>
        <v>33674.99</v>
      </c>
      <c r="N6" s="348">
        <f>M6/I6</f>
        <v>1.0289034415921361</v>
      </c>
      <c r="O6" s="240">
        <f>O12+O31</f>
        <v>20044.189999999999</v>
      </c>
      <c r="P6" s="241">
        <f>P12+P31</f>
        <v>14508.599999999999</v>
      </c>
      <c r="Q6" s="242">
        <f>'Кальк.2019-2023 (ДИ)'!AN99</f>
        <v>34552.79</v>
      </c>
      <c r="R6" s="348">
        <f>Q6/M6</f>
        <v>1.0260668228854708</v>
      </c>
      <c r="S6" s="240">
        <f>S12+S31</f>
        <v>21144.29</v>
      </c>
      <c r="T6" s="241">
        <f>T12+T31</f>
        <v>14651.659999999994</v>
      </c>
      <c r="U6" s="242">
        <f>'Кальк.2019-2023 (ДИ)'!AZ99</f>
        <v>35795.949999999997</v>
      </c>
      <c r="V6" s="348">
        <f>U6/Q6</f>
        <v>1.035978570760856</v>
      </c>
      <c r="W6" s="240">
        <f>ROUND(W7*W8/1000,2)</f>
        <v>21352.720000000001</v>
      </c>
      <c r="X6" s="241">
        <f>Y6-W6</f>
        <v>15558.349999999991</v>
      </c>
      <c r="Y6" s="242">
        <f>'Кальк.2019-2023 (ДИ)'!BL99</f>
        <v>36911.069999999992</v>
      </c>
      <c r="Z6" s="243">
        <f>Y6/U6</f>
        <v>1.0311521275451552</v>
      </c>
    </row>
    <row r="7" spans="1:26" ht="19.5" thickBot="1">
      <c r="B7" s="244" t="s">
        <v>227</v>
      </c>
      <c r="C7" s="980" t="s">
        <v>13</v>
      </c>
      <c r="D7" s="981">
        <v>15859</v>
      </c>
      <c r="E7" s="398">
        <v>10882</v>
      </c>
      <c r="F7" s="991">
        <f>D7+E7</f>
        <v>26741</v>
      </c>
      <c r="G7" s="981">
        <f>G13</f>
        <v>15859</v>
      </c>
      <c r="H7" s="398">
        <f>H13</f>
        <v>10882</v>
      </c>
      <c r="I7" s="982">
        <f>G7+H7</f>
        <v>26741</v>
      </c>
      <c r="J7" s="1255">
        <f t="shared" ref="J7:J8" si="0">I7/F7</f>
        <v>1</v>
      </c>
      <c r="K7" s="981">
        <f>K13</f>
        <v>15859</v>
      </c>
      <c r="L7" s="398">
        <f>L13</f>
        <v>10882</v>
      </c>
      <c r="M7" s="982">
        <f>K7+L7</f>
        <v>26741</v>
      </c>
      <c r="N7" s="339">
        <f t="shared" ref="N7:N8" si="1">M7/I7</f>
        <v>1</v>
      </c>
      <c r="O7" s="981">
        <f>O13</f>
        <v>15859</v>
      </c>
      <c r="P7" s="398">
        <f>P13</f>
        <v>10882</v>
      </c>
      <c r="Q7" s="982">
        <f>O7+P7</f>
        <v>26741</v>
      </c>
      <c r="R7" s="339">
        <f t="shared" ref="R7:R8" si="2">Q7/M7</f>
        <v>1</v>
      </c>
      <c r="S7" s="981">
        <f>S13</f>
        <v>15859</v>
      </c>
      <c r="T7" s="398">
        <f>T13</f>
        <v>10882</v>
      </c>
      <c r="U7" s="982">
        <f>S7+T7</f>
        <v>26741</v>
      </c>
      <c r="V7" s="339">
        <f t="shared" ref="V7:V8" si="3">U7/Q7</f>
        <v>1</v>
      </c>
      <c r="W7" s="397">
        <f>индексы!Q82</f>
        <v>15859</v>
      </c>
      <c r="X7" s="398">
        <f>индексы!R82</f>
        <v>10882</v>
      </c>
      <c r="Y7" s="780">
        <f>индексы!S82</f>
        <v>26741</v>
      </c>
      <c r="Z7" s="249">
        <f t="shared" ref="Z7:Z8" si="4">Y7/U7</f>
        <v>1</v>
      </c>
    </row>
    <row r="8" spans="1:26" s="72" customFormat="1" ht="38.25" customHeight="1" thickBot="1">
      <c r="A8" s="996"/>
      <c r="B8" s="250" t="s">
        <v>220</v>
      </c>
      <c r="C8" s="251" t="s">
        <v>12</v>
      </c>
      <c r="D8" s="997">
        <f>ROUND(D6/D7*1000,2)</f>
        <v>1129.6099999999999</v>
      </c>
      <c r="E8" s="998">
        <f>ROUND(E6/E7*1000,2)</f>
        <v>1196.49</v>
      </c>
      <c r="F8" s="998">
        <f>ROUND(F6/F7*1000,2)</f>
        <v>1156.82</v>
      </c>
      <c r="G8" s="998">
        <f>ROUND(G6*1000/G7,2)</f>
        <v>1196.49</v>
      </c>
      <c r="H8" s="998">
        <f>ROUND(H6*1000/H7,2)</f>
        <v>1263.9100000000001</v>
      </c>
      <c r="I8" s="998">
        <f>ROUND(I6*1000/I7,2)</f>
        <v>1223.93</v>
      </c>
      <c r="J8" s="254">
        <f t="shared" si="0"/>
        <v>1.058012482495116</v>
      </c>
      <c r="K8" s="998">
        <f>ROUND(K6*1000/K7,2)</f>
        <v>1256.1300000000001</v>
      </c>
      <c r="L8" s="998">
        <f>ROUND(L6*1000/L7,2)</f>
        <v>1263.93</v>
      </c>
      <c r="M8" s="998">
        <f>ROUND(M6*1000/M7,2)</f>
        <v>1259.3</v>
      </c>
      <c r="N8" s="342">
        <f t="shared" si="1"/>
        <v>1.02889871152762</v>
      </c>
      <c r="O8" s="998">
        <f>ROUND(O6*1000/O7,2)</f>
        <v>1263.9000000000001</v>
      </c>
      <c r="P8" s="998">
        <f>ROUND(P6*1000/P7,2)</f>
        <v>1333.27</v>
      </c>
      <c r="Q8" s="790">
        <f>ROUND(Q6*1000/Q7,3)</f>
        <v>1292.1279999999999</v>
      </c>
      <c r="R8" s="342">
        <f t="shared" si="2"/>
        <v>1.026068450726594</v>
      </c>
      <c r="S8" s="998">
        <f>ROUND(S6*1000/S7,2)</f>
        <v>1333.27</v>
      </c>
      <c r="T8" s="998">
        <f>ROUND(T6*1000/T7,2)</f>
        <v>1346.41</v>
      </c>
      <c r="U8" s="790">
        <f>ROUND(U6*1000/U7,3)</f>
        <v>1338.617</v>
      </c>
      <c r="V8" s="342">
        <f t="shared" si="3"/>
        <v>1.0359786336957331</v>
      </c>
      <c r="W8" s="999">
        <f>T8</f>
        <v>1346.41</v>
      </c>
      <c r="X8" s="1000">
        <f>ROUND(X6*1000/X7,2)</f>
        <v>1429.73</v>
      </c>
      <c r="Y8" s="253">
        <f>ROUND(Y6*1000/Y7,2)</f>
        <v>1380.32</v>
      </c>
      <c r="Z8" s="254">
        <f t="shared" si="4"/>
        <v>1.0311537952976841</v>
      </c>
    </row>
    <row r="9" spans="1:26" ht="18.75">
      <c r="B9" s="256" t="s">
        <v>160</v>
      </c>
      <c r="C9" s="237"/>
      <c r="D9" s="237"/>
      <c r="E9" s="255">
        <f>E8/D8</f>
        <v>1.0592062747319873</v>
      </c>
      <c r="F9" s="343"/>
      <c r="G9" s="363">
        <f>G8/E8</f>
        <v>1</v>
      </c>
      <c r="H9" s="255">
        <f>H8/G8</f>
        <v>1.0563481516769886</v>
      </c>
      <c r="I9" s="343"/>
      <c r="J9" s="343"/>
      <c r="K9" s="363">
        <f>K8/H8</f>
        <v>0.99384449842156486</v>
      </c>
      <c r="L9" s="255">
        <f>L8/K8</f>
        <v>1.0062095483747702</v>
      </c>
      <c r="M9" s="343"/>
      <c r="N9" s="344"/>
      <c r="O9" s="363">
        <f>O8/L8</f>
        <v>0.99997626450831933</v>
      </c>
      <c r="P9" s="255">
        <f>P8/O8</f>
        <v>1.0548856713347574</v>
      </c>
      <c r="Q9" s="237"/>
      <c r="R9" s="344"/>
      <c r="S9" s="363">
        <f>S8/P8</f>
        <v>1</v>
      </c>
      <c r="T9" s="255">
        <f>T8/S8</f>
        <v>1.0098554681347365</v>
      </c>
      <c r="U9" s="237"/>
      <c r="V9" s="344"/>
      <c r="W9" s="363">
        <f>W8/T8</f>
        <v>1</v>
      </c>
      <c r="X9" s="255">
        <f>X8/W8</f>
        <v>1.0618830816764582</v>
      </c>
      <c r="Y9" s="237"/>
      <c r="Z9" s="344"/>
    </row>
    <row r="10" spans="1:26" ht="18.75">
      <c r="B10" s="802"/>
      <c r="C10" s="802"/>
      <c r="D10" s="803"/>
      <c r="E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</row>
    <row r="11" spans="1:26" ht="19.5" thickBot="1">
      <c r="B11" s="794" t="s">
        <v>520</v>
      </c>
      <c r="C11" s="58"/>
      <c r="D11" s="58"/>
      <c r="E11" s="58"/>
      <c r="F11" s="58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</row>
    <row r="12" spans="1:26" ht="37.5">
      <c r="B12" s="238" t="s">
        <v>161</v>
      </c>
      <c r="C12" s="347" t="s">
        <v>21</v>
      </c>
      <c r="D12" s="240">
        <v>16457.68</v>
      </c>
      <c r="E12" s="241">
        <v>11964.016451300002</v>
      </c>
      <c r="F12" s="242">
        <v>28421.696451300002</v>
      </c>
      <c r="G12" s="240">
        <f>G18+G24</f>
        <v>17435.640000000003</v>
      </c>
      <c r="H12" s="241">
        <f>I12-G12</f>
        <v>12600.098999999998</v>
      </c>
      <c r="I12" s="781">
        <f>'Кальк.2019-2023 (ДИ)'!Q112+'Кальк.2019-2023 (ДИ)'!R112</f>
        <v>30035.739000000001</v>
      </c>
      <c r="J12" s="243">
        <f>I12/F12</f>
        <v>1.0567890995340701</v>
      </c>
      <c r="K12" s="240">
        <f>ROUND(K13*K14/1000,2)</f>
        <v>18239.47</v>
      </c>
      <c r="L12" s="241">
        <f>M12-K12</f>
        <v>12515.419999999998</v>
      </c>
      <c r="M12" s="242">
        <f>'Кальк.2019-2023 (ДИ)'!AC99+'Кальк.2019-2023 (ДИ)'!AD99</f>
        <v>30754.89</v>
      </c>
      <c r="N12" s="348">
        <f>M12/I12</f>
        <v>1.0239431764938429</v>
      </c>
      <c r="O12" s="240">
        <f>ROUND(O13*O14/1000,2)</f>
        <v>18239.48</v>
      </c>
      <c r="P12" s="241">
        <f>Q12-O12</f>
        <v>13224.55</v>
      </c>
      <c r="Q12" s="242">
        <f>'Кальк.2019-2023 (ДИ)'!AO99+'Кальк.2019-2023 (ДИ)'!AP99</f>
        <v>31464.03</v>
      </c>
      <c r="R12" s="348">
        <f>Q12/M12</f>
        <v>1.0230577966625796</v>
      </c>
      <c r="S12" s="240">
        <f>ROUND(S13*S14/1000,2)</f>
        <v>19272.97</v>
      </c>
      <c r="T12" s="241">
        <f>U12-S12</f>
        <v>13310.759999999995</v>
      </c>
      <c r="U12" s="242">
        <f>'Кальк.2019-2023 (ДИ)'!BA99+'Кальк.2019-2023 (ДИ)'!BB99</f>
        <v>32583.729999999996</v>
      </c>
      <c r="V12" s="348">
        <f>U12/Q12</f>
        <v>1.0355866683320603</v>
      </c>
      <c r="W12" s="240">
        <f>ROUND(W13*W14/1000,2)</f>
        <v>19398.57</v>
      </c>
      <c r="X12" s="241">
        <f>Y12-W12</f>
        <v>14172.189999999995</v>
      </c>
      <c r="Y12" s="242">
        <f>'Кальк.2019-2023 (ДИ)'!BM99+'Кальк.2019-2023 (ДИ)'!BN99</f>
        <v>33570.759999999995</v>
      </c>
      <c r="Z12" s="243">
        <f>Y12/U12</f>
        <v>1.0302921120448763</v>
      </c>
    </row>
    <row r="13" spans="1:26" ht="19.5" thickBot="1">
      <c r="B13" s="244" t="s">
        <v>227</v>
      </c>
      <c r="C13" s="980" t="s">
        <v>13</v>
      </c>
      <c r="D13" s="246">
        <v>15859</v>
      </c>
      <c r="E13" s="247">
        <v>10882</v>
      </c>
      <c r="F13" s="248">
        <v>26741</v>
      </c>
      <c r="G13" s="397">
        <f>индексы!E89</f>
        <v>15859</v>
      </c>
      <c r="H13" s="398">
        <f>индексы!F89</f>
        <v>10882</v>
      </c>
      <c r="I13" s="782">
        <f>G13+H13</f>
        <v>26741</v>
      </c>
      <c r="J13" s="249">
        <f t="shared" ref="J13" si="5">I13/F13</f>
        <v>1</v>
      </c>
      <c r="K13" s="397">
        <f>индексы!H89</f>
        <v>15859</v>
      </c>
      <c r="L13" s="398">
        <f>индексы!I89</f>
        <v>10882</v>
      </c>
      <c r="M13" s="993">
        <f>K13+L13</f>
        <v>26741</v>
      </c>
      <c r="N13" s="339">
        <f t="shared" ref="N13:N14" si="6">M13/I13</f>
        <v>1</v>
      </c>
      <c r="O13" s="397">
        <f>индексы!K89</f>
        <v>15859</v>
      </c>
      <c r="P13" s="398">
        <f>индексы!L89</f>
        <v>10882</v>
      </c>
      <c r="Q13" s="993">
        <f>O13+P13</f>
        <v>26741</v>
      </c>
      <c r="R13" s="339">
        <f t="shared" ref="R13:R14" si="7">Q13/M13</f>
        <v>1</v>
      </c>
      <c r="S13" s="397">
        <f>индексы!N89</f>
        <v>15859</v>
      </c>
      <c r="T13" s="398">
        <f>индексы!O89</f>
        <v>10882</v>
      </c>
      <c r="U13" s="993">
        <f>S13+T13</f>
        <v>26741</v>
      </c>
      <c r="V13" s="339">
        <f t="shared" ref="V13:V14" si="8">U13/Q13</f>
        <v>1</v>
      </c>
      <c r="W13" s="397">
        <f>индексы!Q89</f>
        <v>15859</v>
      </c>
      <c r="X13" s="398">
        <f>индексы!R89</f>
        <v>10882</v>
      </c>
      <c r="Y13" s="993">
        <f>W13+X13</f>
        <v>26741</v>
      </c>
      <c r="Z13" s="249">
        <f t="shared" ref="Z13:Z14" si="9">Y13/U13</f>
        <v>1</v>
      </c>
    </row>
    <row r="14" spans="1:26" ht="38.25" customHeight="1" thickBot="1">
      <c r="B14" s="250" t="s">
        <v>220</v>
      </c>
      <c r="C14" s="251" t="s">
        <v>12</v>
      </c>
      <c r="D14" s="341">
        <v>1037.75</v>
      </c>
      <c r="E14" s="252">
        <v>1099.43</v>
      </c>
      <c r="F14" s="252">
        <v>1062.8499999999999</v>
      </c>
      <c r="G14" s="252">
        <f>ROUND(G12/G13*1000,3)</f>
        <v>1099.4159999999999</v>
      </c>
      <c r="H14" s="252">
        <f>ROUND(H12/H13*1000,2)</f>
        <v>1157.8800000000001</v>
      </c>
      <c r="I14" s="990">
        <f>ROUND(I12*1000/I13,3)</f>
        <v>1123.2090000000001</v>
      </c>
      <c r="J14" s="254">
        <f>I14/F14</f>
        <v>1.0567897633720658</v>
      </c>
      <c r="K14" s="341">
        <f>M14</f>
        <v>1150.1020000000001</v>
      </c>
      <c r="L14" s="252">
        <f>L12*1000/L13</f>
        <v>1150.102922256938</v>
      </c>
      <c r="M14" s="994">
        <f>ROUND(M12*1000/M13,3)</f>
        <v>1150.1020000000001</v>
      </c>
      <c r="N14" s="342">
        <f t="shared" si="6"/>
        <v>1.0239430061546873</v>
      </c>
      <c r="O14" s="341">
        <f>L14</f>
        <v>1150.102922256938</v>
      </c>
      <c r="P14" s="252">
        <f>ROUND(P12*1000/P13,2)</f>
        <v>1215.27</v>
      </c>
      <c r="Q14" s="994">
        <f>ROUND(Q12*1000/Q13,3)</f>
        <v>1176.6210000000001</v>
      </c>
      <c r="R14" s="342">
        <f t="shared" si="7"/>
        <v>1.0230579548596559</v>
      </c>
      <c r="S14" s="341">
        <f>P14</f>
        <v>1215.27</v>
      </c>
      <c r="T14" s="252">
        <f>ROUND(T12*1000/T13,2)</f>
        <v>1223.19</v>
      </c>
      <c r="U14" s="994">
        <f>ROUND(U12*1000/U13,3)</f>
        <v>1218.4929999999999</v>
      </c>
      <c r="V14" s="342">
        <f t="shared" si="8"/>
        <v>1.0355866502467659</v>
      </c>
      <c r="W14" s="341">
        <f>T14</f>
        <v>1223.19</v>
      </c>
      <c r="X14" s="252">
        <f>ROUND(X12*1000/X13,2)</f>
        <v>1302.3499999999999</v>
      </c>
      <c r="Y14" s="994">
        <f>ROUND(Y12*1000/Y13,3)</f>
        <v>1255.404</v>
      </c>
      <c r="Z14" s="254">
        <f t="shared" si="9"/>
        <v>1.0302923365173211</v>
      </c>
    </row>
    <row r="15" spans="1:26" ht="18.75">
      <c r="B15" s="256" t="s">
        <v>160</v>
      </c>
      <c r="C15" s="237"/>
      <c r="D15" s="237"/>
      <c r="E15" s="255">
        <f>E14/D14</f>
        <v>1.059436280414358</v>
      </c>
      <c r="F15" s="343"/>
      <c r="G15" s="363">
        <f>G14/E14</f>
        <v>0.99998726612881206</v>
      </c>
      <c r="H15" s="255">
        <f>H14/G14</f>
        <v>1.0531773232334258</v>
      </c>
      <c r="I15" s="343"/>
      <c r="J15" s="343"/>
      <c r="K15" s="363">
        <f>K14/H14</f>
        <v>0.99328255086882922</v>
      </c>
      <c r="L15" s="255">
        <f>L14/K14</f>
        <v>1.0000008018914304</v>
      </c>
      <c r="M15" s="343"/>
      <c r="N15" s="344"/>
      <c r="O15" s="363">
        <f>O14/L14</f>
        <v>1</v>
      </c>
      <c r="P15" s="255">
        <f>P14/O14</f>
        <v>1.056661953014761</v>
      </c>
      <c r="Q15" s="237"/>
      <c r="R15" s="344"/>
      <c r="S15" s="363">
        <f>S14/P14</f>
        <v>1</v>
      </c>
      <c r="T15" s="255">
        <f>T14/S14</f>
        <v>1.0065170702806785</v>
      </c>
      <c r="U15" s="237"/>
      <c r="V15" s="344"/>
      <c r="W15" s="363">
        <f>W14/T14</f>
        <v>1</v>
      </c>
      <c r="X15" s="255">
        <f>X14/W14</f>
        <v>1.0647160293985398</v>
      </c>
      <c r="Y15" s="237"/>
      <c r="Z15" s="344"/>
    </row>
    <row r="16" spans="1:26" ht="18.75">
      <c r="B16" s="256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344"/>
    </row>
    <row r="17" spans="2:26" ht="19.5" thickBot="1">
      <c r="B17" s="793" t="s">
        <v>446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</row>
    <row r="18" spans="2:26" ht="37.5">
      <c r="B18" s="238" t="s">
        <v>161</v>
      </c>
      <c r="C18" s="239" t="s">
        <v>21</v>
      </c>
      <c r="D18" s="240"/>
      <c r="E18" s="241"/>
      <c r="F18" s="242"/>
      <c r="G18" s="240">
        <v>16601.170000000002</v>
      </c>
      <c r="H18" s="241">
        <f>H12-H24</f>
        <v>11996.843519999999</v>
      </c>
      <c r="I18" s="781">
        <f>G18+H18</f>
        <v>28598.01352</v>
      </c>
      <c r="J18" s="243"/>
      <c r="K18" s="240">
        <f>ROUND(K19*K20/1000,2)</f>
        <v>17366.54</v>
      </c>
      <c r="L18" s="241">
        <f>M18-K18</f>
        <v>11916.218959504135</v>
      </c>
      <c r="M18" s="242">
        <f>M12-M24</f>
        <v>29282.758959504135</v>
      </c>
      <c r="N18" s="348">
        <f>M18/I18</f>
        <v>1.0239438113079169</v>
      </c>
      <c r="O18" s="240">
        <f>ROUND(O19*O20/1000,2)-0.03</f>
        <v>17366.48</v>
      </c>
      <c r="P18" s="241">
        <f>Q18-O18</f>
        <v>12591.46</v>
      </c>
      <c r="Q18" s="242">
        <f>Q12-Q24</f>
        <v>29957.94</v>
      </c>
      <c r="R18" s="348">
        <f>Q18/M18</f>
        <v>1.0230572891519405</v>
      </c>
      <c r="S18" s="240">
        <v>18350.7</v>
      </c>
      <c r="T18" s="241">
        <f>U18-S18</f>
        <v>12673.359999999997</v>
      </c>
      <c r="U18" s="242">
        <f>U12-U24</f>
        <v>31024.059999999998</v>
      </c>
      <c r="V18" s="348">
        <f>U18/Q18</f>
        <v>1.0355872266250616</v>
      </c>
      <c r="W18" s="240">
        <f>ROUND(W19*W20/1000,2)</f>
        <v>18470.02</v>
      </c>
      <c r="X18" s="241">
        <f>Y18-W18</f>
        <v>13493.819999999996</v>
      </c>
      <c r="Y18" s="242">
        <f>Y12-Y24</f>
        <v>31963.839999999997</v>
      </c>
      <c r="Z18" s="243">
        <f>Y18/U18</f>
        <v>1.0302919733909746</v>
      </c>
    </row>
    <row r="19" spans="2:26" ht="19.5" thickBot="1">
      <c r="B19" s="244" t="s">
        <v>227</v>
      </c>
      <c r="C19" s="245" t="s">
        <v>13</v>
      </c>
      <c r="D19" s="246"/>
      <c r="E19" s="247"/>
      <c r="F19" s="248"/>
      <c r="G19" s="397">
        <f>индексы!E91</f>
        <v>15100</v>
      </c>
      <c r="H19" s="398">
        <f>индексы!F91</f>
        <v>10361</v>
      </c>
      <c r="I19" s="782">
        <f>G19+H19</f>
        <v>25461</v>
      </c>
      <c r="J19" s="249"/>
      <c r="K19" s="397">
        <f>G19</f>
        <v>15100</v>
      </c>
      <c r="L19" s="398">
        <f>H19</f>
        <v>10361</v>
      </c>
      <c r="M19" s="1231">
        <f>K19+L19</f>
        <v>25461</v>
      </c>
      <c r="N19" s="339">
        <f t="shared" ref="N19:N20" si="10">M19/I19</f>
        <v>1</v>
      </c>
      <c r="O19" s="397">
        <f>K19</f>
        <v>15100</v>
      </c>
      <c r="P19" s="398">
        <f>L19</f>
        <v>10361</v>
      </c>
      <c r="Q19" s="1231">
        <f>O19+P19</f>
        <v>25461</v>
      </c>
      <c r="R19" s="339">
        <f t="shared" ref="R19:R20" si="11">Q19/M19</f>
        <v>1</v>
      </c>
      <c r="S19" s="791">
        <f>O19</f>
        <v>15100</v>
      </c>
      <c r="T19" s="398">
        <f>P19</f>
        <v>10361</v>
      </c>
      <c r="U19" s="792">
        <f>S19+T19</f>
        <v>25461</v>
      </c>
      <c r="V19" s="339">
        <f t="shared" ref="V19:V20" si="12">U19/Q19</f>
        <v>1</v>
      </c>
      <c r="W19" s="791">
        <f>S19</f>
        <v>15100</v>
      </c>
      <c r="X19" s="398">
        <f>T19</f>
        <v>10361</v>
      </c>
      <c r="Y19" s="792">
        <f>W19+X19</f>
        <v>25461</v>
      </c>
      <c r="Z19" s="249">
        <f t="shared" ref="Z19:Z20" si="13">Y19/U19</f>
        <v>1</v>
      </c>
    </row>
    <row r="20" spans="2:26" ht="38.25" customHeight="1" thickBot="1">
      <c r="B20" s="250" t="s">
        <v>220</v>
      </c>
      <c r="C20" s="251" t="s">
        <v>12</v>
      </c>
      <c r="D20" s="341"/>
      <c r="E20" s="252"/>
      <c r="F20" s="253"/>
      <c r="G20" s="252">
        <f>ROUND(G18/G19*1000,2)</f>
        <v>1099.42</v>
      </c>
      <c r="H20" s="252">
        <f>ROUND(H18/H19*1000,2)</f>
        <v>1157.8800000000001</v>
      </c>
      <c r="I20" s="252">
        <f>ROUND(I18/I19*1000,2)</f>
        <v>1123.21</v>
      </c>
      <c r="J20" s="254"/>
      <c r="K20" s="252">
        <f>M14</f>
        <v>1150.1020000000001</v>
      </c>
      <c r="L20" s="252">
        <f>ROUND(L18/L19*1000,2)</f>
        <v>1150.0999999999999</v>
      </c>
      <c r="M20" s="994">
        <f>ROUND(M18/M19*1000,2)</f>
        <v>1150.0999999999999</v>
      </c>
      <c r="N20" s="342">
        <f t="shared" si="10"/>
        <v>1.0239403139217065</v>
      </c>
      <c r="O20" s="341">
        <f>L20</f>
        <v>1150.0999999999999</v>
      </c>
      <c r="P20" s="252">
        <f>ROUND(P18/P19*1000,2)</f>
        <v>1215.27</v>
      </c>
      <c r="Q20" s="994">
        <f>ROUND(Q18/Q19*1000,2)</f>
        <v>1176.6199999999999</v>
      </c>
      <c r="R20" s="342">
        <f t="shared" si="11"/>
        <v>1.0230588644465699</v>
      </c>
      <c r="S20" s="252">
        <f>ROUND(S18/S19*1000,2)</f>
        <v>1215.28</v>
      </c>
      <c r="T20" s="252">
        <f>ROUND(T18/T19*1000,2)</f>
        <v>1223.18</v>
      </c>
      <c r="U20" s="994">
        <f>ROUND(U18/U19*1000,2)</f>
        <v>1218.49</v>
      </c>
      <c r="V20" s="342">
        <f t="shared" si="12"/>
        <v>1.0355849807074502</v>
      </c>
      <c r="W20" s="341">
        <f>T20</f>
        <v>1223.18</v>
      </c>
      <c r="X20" s="252">
        <f>ROUND(X18/X19*1000,2)</f>
        <v>1302.3699999999999</v>
      </c>
      <c r="Y20" s="994">
        <f>ROUND(Y18/Y19*1000,2)</f>
        <v>1255.4000000000001</v>
      </c>
      <c r="Z20" s="254">
        <f t="shared" si="13"/>
        <v>1.0302915904110825</v>
      </c>
    </row>
    <row r="21" spans="2:26" ht="18.75">
      <c r="B21" s="256" t="s">
        <v>160</v>
      </c>
      <c r="C21" s="237"/>
      <c r="D21" s="237"/>
      <c r="E21" s="255"/>
      <c r="F21" s="343"/>
      <c r="G21" s="363"/>
      <c r="H21" s="255">
        <f>H20/G20</f>
        <v>1.0531734914773245</v>
      </c>
      <c r="I21" s="343"/>
      <c r="J21" s="343"/>
      <c r="K21" s="363">
        <f>K20/H20</f>
        <v>0.99328255086882922</v>
      </c>
      <c r="L21" s="255">
        <f>L20/K20</f>
        <v>0.99999826102380474</v>
      </c>
      <c r="M21" s="343"/>
      <c r="N21" s="344"/>
      <c r="O21" s="363">
        <f>O20/L20</f>
        <v>1</v>
      </c>
      <c r="P21" s="255">
        <f>P20/O20</f>
        <v>1.0566646378575777</v>
      </c>
      <c r="Q21" s="237"/>
      <c r="R21" s="344"/>
      <c r="S21" s="363">
        <f>S20/P20</f>
        <v>1.0000082286240917</v>
      </c>
      <c r="T21" s="255">
        <f>T20/S20</f>
        <v>1.0065005595418341</v>
      </c>
      <c r="U21" s="237"/>
      <c r="V21" s="344"/>
      <c r="W21" s="363">
        <f>W20/T20</f>
        <v>1</v>
      </c>
      <c r="X21" s="255">
        <f>X20/W20</f>
        <v>1.0647410847136152</v>
      </c>
      <c r="Y21" s="237"/>
      <c r="Z21" s="344"/>
    </row>
    <row r="22" spans="2:26" ht="18.75">
      <c r="B22" s="256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2:26" ht="19.5" thickBot="1">
      <c r="B23" s="793" t="s">
        <v>447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</row>
    <row r="24" spans="2:26" ht="37.5">
      <c r="B24" s="238" t="s">
        <v>161</v>
      </c>
      <c r="C24" s="239" t="s">
        <v>21</v>
      </c>
      <c r="D24" s="240"/>
      <c r="E24" s="241"/>
      <c r="F24" s="242"/>
      <c r="G24" s="240">
        <f>ROUND(G25*G26/1000,2)</f>
        <v>834.47</v>
      </c>
      <c r="H24" s="241">
        <f>H25*H26/1000</f>
        <v>603.25548000000015</v>
      </c>
      <c r="I24" s="781">
        <f>G24+H24</f>
        <v>1437.7254800000001</v>
      </c>
      <c r="J24" s="243"/>
      <c r="K24" s="240">
        <f>K25*K26/1000</f>
        <v>872.9274180000001</v>
      </c>
      <c r="L24" s="241">
        <f>L25*L26/1000</f>
        <v>599.20362249586458</v>
      </c>
      <c r="M24" s="242">
        <f>K24+L24</f>
        <v>1472.1310404958647</v>
      </c>
      <c r="N24" s="348">
        <f>M24/I24</f>
        <v>1.0239305493117259</v>
      </c>
      <c r="O24" s="240">
        <f>ROUND(O25*O26/1000,2)</f>
        <v>872.93</v>
      </c>
      <c r="P24" s="241">
        <f>ROUND(P25*P26/1000,2)</f>
        <v>633.16</v>
      </c>
      <c r="Q24" s="242">
        <f>O24+P24</f>
        <v>1506.09</v>
      </c>
      <c r="R24" s="348">
        <f>Q24/M24</f>
        <v>1.0230678917636957</v>
      </c>
      <c r="S24" s="240">
        <f>ROUND(S25*S26/1000,2)</f>
        <v>922.39</v>
      </c>
      <c r="T24" s="241">
        <f>ROUND(T25*T26/1000,2)</f>
        <v>637.28</v>
      </c>
      <c r="U24" s="242">
        <f>S24+T24</f>
        <v>1559.67</v>
      </c>
      <c r="V24" s="348">
        <f>U24/Q24</f>
        <v>1.0355755632133539</v>
      </c>
      <c r="W24" s="240">
        <f>ROUND(W25*W26/1000,2)</f>
        <v>928.4</v>
      </c>
      <c r="X24" s="241">
        <f>ROUND(X25*X26/1000,2)</f>
        <v>678.52</v>
      </c>
      <c r="Y24" s="242">
        <f>W24+X24</f>
        <v>1606.92</v>
      </c>
      <c r="Z24" s="243">
        <f>Y24/U24</f>
        <v>1.0302948700686683</v>
      </c>
    </row>
    <row r="25" spans="2:26" ht="19.5" thickBot="1">
      <c r="B25" s="244" t="s">
        <v>227</v>
      </c>
      <c r="C25" s="245" t="s">
        <v>13</v>
      </c>
      <c r="D25" s="246"/>
      <c r="E25" s="247"/>
      <c r="F25" s="248"/>
      <c r="G25" s="397">
        <f>индексы!E90</f>
        <v>759</v>
      </c>
      <c r="H25" s="398">
        <f>индексы!F90</f>
        <v>521</v>
      </c>
      <c r="I25" s="782">
        <f>G25+H25</f>
        <v>1280</v>
      </c>
      <c r="J25" s="249"/>
      <c r="K25" s="397">
        <f>G25</f>
        <v>759</v>
      </c>
      <c r="L25" s="398">
        <f>H25</f>
        <v>521</v>
      </c>
      <c r="M25" s="1231">
        <f>K25+L25</f>
        <v>1280</v>
      </c>
      <c r="N25" s="339">
        <f t="shared" ref="N25:N26" si="14">M25/I25</f>
        <v>1</v>
      </c>
      <c r="O25" s="397">
        <f>K25</f>
        <v>759</v>
      </c>
      <c r="P25" s="398">
        <f>L25</f>
        <v>521</v>
      </c>
      <c r="Q25" s="1231">
        <f>O25+P25</f>
        <v>1280</v>
      </c>
      <c r="R25" s="339">
        <f t="shared" ref="R25:R26" si="15">Q25/M25</f>
        <v>1</v>
      </c>
      <c r="S25" s="791">
        <f>O25</f>
        <v>759</v>
      </c>
      <c r="T25" s="398">
        <f>P25</f>
        <v>521</v>
      </c>
      <c r="U25" s="1231">
        <f>S25+T25</f>
        <v>1280</v>
      </c>
      <c r="V25" s="339">
        <f t="shared" ref="V25:V26" si="16">U25/Q25</f>
        <v>1</v>
      </c>
      <c r="W25" s="397">
        <f>S25</f>
        <v>759</v>
      </c>
      <c r="X25" s="398">
        <f>T25</f>
        <v>521</v>
      </c>
      <c r="Y25" s="1231">
        <f>W25+X25</f>
        <v>1280</v>
      </c>
      <c r="Z25" s="249">
        <f t="shared" ref="Z25:Z26" si="17">Y25/U25</f>
        <v>1</v>
      </c>
    </row>
    <row r="26" spans="2:26" ht="38.25" customHeight="1" thickBot="1">
      <c r="B26" s="250" t="s">
        <v>220</v>
      </c>
      <c r="C26" s="251" t="s">
        <v>12</v>
      </c>
      <c r="D26" s="341"/>
      <c r="E26" s="252"/>
      <c r="F26" s="253"/>
      <c r="G26" s="341">
        <v>1099.43</v>
      </c>
      <c r="H26" s="252">
        <f>ROUND(H14,2)</f>
        <v>1157.8800000000001</v>
      </c>
      <c r="I26" s="252">
        <f>ROUND(I24/I25*1000,2)</f>
        <v>1123.22</v>
      </c>
      <c r="J26" s="254"/>
      <c r="K26" s="341">
        <f>M14</f>
        <v>1150.1020000000001</v>
      </c>
      <c r="L26" s="252">
        <f>L14</f>
        <v>1150.102922256938</v>
      </c>
      <c r="M26" s="994">
        <f>ROUND(M24/M25*1000,2)</f>
        <v>1150.0999999999999</v>
      </c>
      <c r="N26" s="342">
        <f t="shared" si="14"/>
        <v>1.0239311978063068</v>
      </c>
      <c r="O26" s="341">
        <f>L26</f>
        <v>1150.102922256938</v>
      </c>
      <c r="P26" s="252">
        <f>P14</f>
        <v>1215.27</v>
      </c>
      <c r="Q26" s="994">
        <f>ROUND(Q24/Q25*1000,2)</f>
        <v>1176.6300000000001</v>
      </c>
      <c r="R26" s="342">
        <f t="shared" si="15"/>
        <v>1.0230675593426661</v>
      </c>
      <c r="S26" s="341">
        <f>P26</f>
        <v>1215.27</v>
      </c>
      <c r="T26" s="252">
        <f>T14</f>
        <v>1223.19</v>
      </c>
      <c r="U26" s="994">
        <f>ROUND(U24/U25*1000,2)</f>
        <v>1218.49</v>
      </c>
      <c r="V26" s="342">
        <f t="shared" si="16"/>
        <v>1.0355761794276874</v>
      </c>
      <c r="W26" s="341">
        <f>T26</f>
        <v>1223.19</v>
      </c>
      <c r="X26" s="252">
        <f>X14</f>
        <v>1302.3499999999999</v>
      </c>
      <c r="Y26" s="994">
        <f>ROUND(Y24/Y25*1000,2)</f>
        <v>1255.4100000000001</v>
      </c>
      <c r="Z26" s="254">
        <f t="shared" si="17"/>
        <v>1.0302997972900887</v>
      </c>
    </row>
    <row r="27" spans="2:26" ht="18.75">
      <c r="B27" s="256" t="s">
        <v>160</v>
      </c>
      <c r="C27" s="237"/>
      <c r="D27" s="237"/>
      <c r="E27" s="255"/>
      <c r="F27" s="343"/>
      <c r="G27" s="363"/>
      <c r="H27" s="255">
        <f>H26/G26</f>
        <v>1.0531639122090539</v>
      </c>
      <c r="I27" s="343"/>
      <c r="J27" s="343"/>
      <c r="K27" s="363">
        <f>K26/H26</f>
        <v>0.99328255086882922</v>
      </c>
      <c r="L27" s="255">
        <f>L26/K26</f>
        <v>1.0000008018914304</v>
      </c>
      <c r="M27" s="343"/>
      <c r="N27" s="344"/>
      <c r="O27" s="363">
        <f>O26/L26</f>
        <v>1</v>
      </c>
      <c r="P27" s="255">
        <f>P26/O26</f>
        <v>1.056661953014761</v>
      </c>
      <c r="Q27" s="237"/>
      <c r="R27" s="344"/>
      <c r="S27" s="363">
        <f>S26/P26</f>
        <v>1</v>
      </c>
      <c r="T27" s="255">
        <f>T26/S26</f>
        <v>1.0065170702806785</v>
      </c>
      <c r="U27" s="237"/>
      <c r="V27" s="344"/>
      <c r="W27" s="363">
        <f>W26/T26</f>
        <v>1</v>
      </c>
      <c r="X27" s="255">
        <f>X26/W26</f>
        <v>1.0647160293985398</v>
      </c>
      <c r="Y27" s="237"/>
      <c r="Z27" s="344"/>
    </row>
    <row r="28" spans="2:26" ht="18.75">
      <c r="B28" s="256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</row>
    <row r="29" spans="2:26" ht="18.75" outlineLevel="1">
      <c r="B29" s="795" t="s">
        <v>448</v>
      </c>
      <c r="C29" s="796"/>
      <c r="D29" s="796"/>
      <c r="E29" s="58"/>
      <c r="F29" s="58"/>
      <c r="G29" s="58"/>
      <c r="H29" s="58"/>
      <c r="I29" s="58"/>
      <c r="J29" s="58"/>
      <c r="K29" s="58"/>
      <c r="L29" s="58"/>
      <c r="M29" s="406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2:26" ht="19.5" outlineLevel="1" thickBot="1">
      <c r="B30" s="794" t="s">
        <v>267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2:26" ht="37.5" outlineLevel="1">
      <c r="B31" s="238" t="s">
        <v>161</v>
      </c>
      <c r="C31" s="239" t="s">
        <v>1</v>
      </c>
      <c r="D31" s="240">
        <f>D37+D43</f>
        <v>1456.75</v>
      </c>
      <c r="E31" s="241">
        <f>E37+E43</f>
        <v>1056.2</v>
      </c>
      <c r="F31" s="242">
        <f>D31+E31</f>
        <v>2512.9499999999998</v>
      </c>
      <c r="G31" s="240">
        <f>G37+G43</f>
        <v>1539.51</v>
      </c>
      <c r="H31" s="241">
        <f>H37+H43</f>
        <v>1153.7600000000002</v>
      </c>
      <c r="I31" s="242">
        <f>'Кальк.2019-2023 (ДИ)'!T109</f>
        <v>2693.27</v>
      </c>
      <c r="J31" s="348">
        <f>I31/F31</f>
        <v>1.0717563023538073</v>
      </c>
      <c r="K31" s="240">
        <f>K37+K43</f>
        <v>1681.44</v>
      </c>
      <c r="L31" s="241">
        <f>L37+L43</f>
        <v>1238.6599999999999</v>
      </c>
      <c r="M31" s="242">
        <f>'Кальк.2019-2023 (ДИ)'!AF99</f>
        <v>2920.1</v>
      </c>
      <c r="N31" s="348">
        <f>M31/I31</f>
        <v>1.0842210398511847</v>
      </c>
      <c r="O31" s="240">
        <f>O37+O43</f>
        <v>1804.71</v>
      </c>
      <c r="P31" s="241">
        <f>P37+P43</f>
        <v>1284.0500000000002</v>
      </c>
      <c r="Q31" s="242">
        <f>'Кальк.2019-2023 (ДИ)'!AR99</f>
        <v>3088.76</v>
      </c>
      <c r="R31" s="348">
        <f>Q31/M31</f>
        <v>1.057758295948769</v>
      </c>
      <c r="S31" s="240">
        <f>S37+S43</f>
        <v>1871.3200000000002</v>
      </c>
      <c r="T31" s="241">
        <f>U31-S31</f>
        <v>1340.9</v>
      </c>
      <c r="U31" s="242">
        <f>'Кальк.2019-2023 (ДИ)'!BD99</f>
        <v>3212.2200000000003</v>
      </c>
      <c r="V31" s="348">
        <f>U31/Q31</f>
        <v>1.0399707325917196</v>
      </c>
      <c r="W31" s="240">
        <f>W37+W43</f>
        <v>1951.8</v>
      </c>
      <c r="X31" s="241">
        <f>Y31-W31</f>
        <v>1388.51</v>
      </c>
      <c r="Y31" s="242">
        <f>'Кальк.2019-2023 (ДИ)'!BP99</f>
        <v>3340.31</v>
      </c>
      <c r="Z31" s="243">
        <f>Y31/U31</f>
        <v>1.0398758491012445</v>
      </c>
    </row>
    <row r="32" spans="2:26" ht="38.25" outlineLevel="1" thickBot="1">
      <c r="B32" s="244" t="s">
        <v>183</v>
      </c>
      <c r="C32" s="245" t="s">
        <v>29</v>
      </c>
      <c r="D32" s="246">
        <f>D38+D44</f>
        <v>60425.630000000005</v>
      </c>
      <c r="E32" s="246">
        <f>E38+E44</f>
        <v>41462.369999999995</v>
      </c>
      <c r="F32" s="248">
        <f>D32+E32</f>
        <v>101888</v>
      </c>
      <c r="G32" s="246">
        <f>G38+G44</f>
        <v>60425.630000000005</v>
      </c>
      <c r="H32" s="246">
        <f>H38+H44</f>
        <v>41462.369999999995</v>
      </c>
      <c r="I32" s="248">
        <f>индексы!G95</f>
        <v>101888</v>
      </c>
      <c r="J32" s="339">
        <f>I32/F32</f>
        <v>1</v>
      </c>
      <c r="K32" s="791">
        <f>индексы!H95</f>
        <v>60425.63</v>
      </c>
      <c r="L32" s="398">
        <f>индексы!I95</f>
        <v>41462.370000000003</v>
      </c>
      <c r="M32" s="792">
        <f>индексы!J95</f>
        <v>101888</v>
      </c>
      <c r="N32" s="339">
        <f t="shared" ref="N32:N33" si="18">M32/I32</f>
        <v>1</v>
      </c>
      <c r="O32" s="791">
        <f>K32</f>
        <v>60425.63</v>
      </c>
      <c r="P32" s="398">
        <f>L32</f>
        <v>41462.370000000003</v>
      </c>
      <c r="Q32" s="792">
        <f>индексы!M95</f>
        <v>101888</v>
      </c>
      <c r="R32" s="339">
        <f t="shared" ref="R32:R33" si="19">Q32/M32</f>
        <v>1</v>
      </c>
      <c r="S32" s="791">
        <f>индексы!N95</f>
        <v>60425.63</v>
      </c>
      <c r="T32" s="398">
        <f>индексы!O95</f>
        <v>41462.370000000003</v>
      </c>
      <c r="U32" s="792">
        <f>индексы!P95</f>
        <v>101888</v>
      </c>
      <c r="V32" s="339">
        <f>U32/Q32</f>
        <v>1</v>
      </c>
      <c r="W32" s="397">
        <f>индексы!Q95</f>
        <v>60425.63</v>
      </c>
      <c r="X32" s="398">
        <f>индексы!R95</f>
        <v>41462.370000000003</v>
      </c>
      <c r="Y32" s="780">
        <f>индексы!S95</f>
        <v>101888</v>
      </c>
      <c r="Z32" s="249">
        <f>Y32/U32</f>
        <v>1</v>
      </c>
    </row>
    <row r="33" spans="1:26" ht="38.25" outlineLevel="1" thickBot="1">
      <c r="B33" s="250" t="s">
        <v>4</v>
      </c>
      <c r="C33" s="251" t="s">
        <v>19</v>
      </c>
      <c r="D33" s="252">
        <f t="shared" ref="D33:I33" si="20">ROUND(D31/D32*1000,2)</f>
        <v>24.11</v>
      </c>
      <c r="E33" s="252">
        <f t="shared" si="20"/>
        <v>25.47</v>
      </c>
      <c r="F33" s="253">
        <f t="shared" si="20"/>
        <v>24.66</v>
      </c>
      <c r="G33" s="252">
        <f t="shared" si="20"/>
        <v>25.48</v>
      </c>
      <c r="H33" s="252">
        <f>ROUND(H31/H32*1000,2)</f>
        <v>27.83</v>
      </c>
      <c r="I33" s="253">
        <f t="shared" si="20"/>
        <v>26.43</v>
      </c>
      <c r="J33" s="342">
        <f>I33/F33</f>
        <v>1.0717761557177616</v>
      </c>
      <c r="K33" s="341">
        <f>H33</f>
        <v>27.83</v>
      </c>
      <c r="L33" s="252">
        <f>ROUND(L31/L32*1000,2)</f>
        <v>29.87</v>
      </c>
      <c r="M33" s="253">
        <f>ROUND(M31/M32*1000,2)</f>
        <v>28.66</v>
      </c>
      <c r="N33" s="342">
        <f t="shared" si="18"/>
        <v>1.0843738176314794</v>
      </c>
      <c r="O33" s="341">
        <f>L33</f>
        <v>29.87</v>
      </c>
      <c r="P33" s="252">
        <f>ROUND(P31/P32*1000,2)</f>
        <v>30.97</v>
      </c>
      <c r="Q33" s="790">
        <f>ROUND(Q31/Q32*1000,2)</f>
        <v>30.32</v>
      </c>
      <c r="R33" s="342">
        <f t="shared" si="19"/>
        <v>1.0579204466154919</v>
      </c>
      <c r="S33" s="341">
        <f>P33</f>
        <v>30.97</v>
      </c>
      <c r="T33" s="252">
        <f>ROUND(T31/T32*1000,2)</f>
        <v>32.340000000000003</v>
      </c>
      <c r="U33" s="253">
        <f>ROUND(U31/U32*1000,2)</f>
        <v>31.53</v>
      </c>
      <c r="V33" s="342">
        <f t="shared" ref="V33" si="21">U33/Q33</f>
        <v>1.0399076517150396</v>
      </c>
      <c r="W33" s="341">
        <f>T33</f>
        <v>32.340000000000003</v>
      </c>
      <c r="X33" s="252">
        <f>ROUND(X31/X32*1000,2)</f>
        <v>33.49</v>
      </c>
      <c r="Y33" s="253">
        <f>ROUND(Y31/Y32*1000,2)</f>
        <v>32.78</v>
      </c>
      <c r="Z33" s="254">
        <f>Y33/U33</f>
        <v>1.0396447827465904</v>
      </c>
    </row>
    <row r="34" spans="1:26" ht="18.75" outlineLevel="1">
      <c r="B34" s="256" t="s">
        <v>160</v>
      </c>
      <c r="C34" s="237"/>
      <c r="D34" s="237"/>
      <c r="E34" s="255">
        <f>E33/D33</f>
        <v>1.056408129406885</v>
      </c>
      <c r="F34" s="343"/>
      <c r="G34" s="363">
        <f>G33/E33</f>
        <v>1.0003926187671772</v>
      </c>
      <c r="H34" s="255">
        <f>H33/G33</f>
        <v>1.0922291993720565</v>
      </c>
      <c r="I34" s="237"/>
      <c r="J34" s="344"/>
      <c r="K34" s="363">
        <f>K33/H33</f>
        <v>1</v>
      </c>
      <c r="L34" s="255">
        <f>L33/K33</f>
        <v>1.0733021918792671</v>
      </c>
      <c r="M34" s="237"/>
      <c r="N34" s="237"/>
      <c r="O34" s="363">
        <f>O33/L33</f>
        <v>1</v>
      </c>
      <c r="P34" s="255">
        <f>P33/O33</f>
        <v>1.0368262470706393</v>
      </c>
      <c r="Q34" s="237"/>
      <c r="R34" s="237"/>
      <c r="S34" s="363">
        <f>S33/P33</f>
        <v>1</v>
      </c>
      <c r="T34" s="255">
        <f>T33/S33</f>
        <v>1.0442363577655798</v>
      </c>
      <c r="U34" s="237"/>
      <c r="V34" s="237"/>
      <c r="W34" s="363">
        <f>W33/T33</f>
        <v>1</v>
      </c>
      <c r="X34" s="255">
        <f>X33/W33</f>
        <v>1.0355596784168213</v>
      </c>
      <c r="Y34" s="237"/>
      <c r="Z34" s="237"/>
    </row>
    <row r="35" spans="1:26" ht="18.75" outlineLevel="1">
      <c r="B35" s="256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</row>
    <row r="36" spans="1:26" ht="19.5" thickBot="1">
      <c r="B36" s="793" t="s">
        <v>446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</row>
    <row r="37" spans="1:26" ht="37.5">
      <c r="B37" s="238" t="s">
        <v>161</v>
      </c>
      <c r="C37" s="239" t="s">
        <v>1</v>
      </c>
      <c r="D37" s="240">
        <v>1350.51</v>
      </c>
      <c r="E37" s="241">
        <v>973.02</v>
      </c>
      <c r="F37" s="781">
        <v>2323.5299999999997</v>
      </c>
      <c r="G37" s="240">
        <f>ROUND(G38*G39/1000,2)</f>
        <v>1418.26</v>
      </c>
      <c r="H37" s="241">
        <f>'переменные на 5 лет'!E121</f>
        <v>1066.1500000000001</v>
      </c>
      <c r="I37" s="242">
        <f>G37+H37</f>
        <v>2484.41</v>
      </c>
      <c r="J37" s="348">
        <f>I37/F37</f>
        <v>1.0692394761419048</v>
      </c>
      <c r="K37" s="240">
        <f>ROUND(K38*K39/1000,2)</f>
        <v>1553.77</v>
      </c>
      <c r="L37" s="241">
        <f>ROUND(L38*L39/1000,2)</f>
        <v>1140.77</v>
      </c>
      <c r="M37" s="242">
        <f>K37+L37</f>
        <v>2694.54</v>
      </c>
      <c r="N37" s="348">
        <f>M37/I37</f>
        <v>1.0845794373714484</v>
      </c>
      <c r="O37" s="240">
        <f>ROUND(O38*O39/1000,2)</f>
        <v>1662.52</v>
      </c>
      <c r="P37" s="241">
        <f>ROUND(P38*P39/1000,2)</f>
        <v>1186.48</v>
      </c>
      <c r="Q37" s="242">
        <f>O37+P37</f>
        <v>2849</v>
      </c>
      <c r="R37" s="348">
        <f>Q37/M37</f>
        <v>1.0573233279149687</v>
      </c>
      <c r="S37" s="240">
        <f>ROUND(S38*S39/1000,2)</f>
        <v>1729.13</v>
      </c>
      <c r="T37" s="241">
        <f>ROUND(T38*T39/1000,2)</f>
        <v>1233.75</v>
      </c>
      <c r="U37" s="242">
        <f>S37+T37</f>
        <v>2962.88</v>
      </c>
      <c r="V37" s="348">
        <f>U37/Q37</f>
        <v>1.03997191997192</v>
      </c>
      <c r="W37" s="240">
        <f>ROUND(W38*W39/1000,2)</f>
        <v>1798.02</v>
      </c>
      <c r="X37" s="241">
        <f>ROUND(X38*X39/1000,2)+0.01</f>
        <v>1282.99</v>
      </c>
      <c r="Y37" s="242">
        <f>W37+X37</f>
        <v>3081.01</v>
      </c>
      <c r="Z37" s="992">
        <f>Y37/U37</f>
        <v>1.0398699913597582</v>
      </c>
    </row>
    <row r="38" spans="1:26" ht="38.25" thickBot="1">
      <c r="B38" s="244" t="s">
        <v>183</v>
      </c>
      <c r="C38" s="245" t="s">
        <v>29</v>
      </c>
      <c r="D38" s="246">
        <v>56935.48</v>
      </c>
      <c r="E38" s="247">
        <v>39067.519999999997</v>
      </c>
      <c r="F38" s="1252">
        <v>96003</v>
      </c>
      <c r="G38" s="981">
        <f>'переменные на 5 лет'!D117</f>
        <v>56935.48</v>
      </c>
      <c r="H38" s="398">
        <f>'переменные на 5 лет'!E117</f>
        <v>39067.519999999997</v>
      </c>
      <c r="I38" s="982">
        <f>G38+H38</f>
        <v>96003</v>
      </c>
      <c r="J38" s="1255">
        <f t="shared" ref="J38:J39" si="22">I38/F38</f>
        <v>1</v>
      </c>
      <c r="K38" s="981">
        <f>G38</f>
        <v>56935.48</v>
      </c>
      <c r="L38" s="398">
        <f>H38</f>
        <v>39067.519999999997</v>
      </c>
      <c r="M38" s="982">
        <f>K38+L38</f>
        <v>96003</v>
      </c>
      <c r="N38" s="339">
        <f t="shared" ref="N38:N39" si="23">M38/I38</f>
        <v>1</v>
      </c>
      <c r="O38" s="981">
        <f>K38</f>
        <v>56935.48</v>
      </c>
      <c r="P38" s="398">
        <f>L38</f>
        <v>39067.519999999997</v>
      </c>
      <c r="Q38" s="982">
        <f>O38+P38</f>
        <v>96003</v>
      </c>
      <c r="R38" s="339">
        <f t="shared" ref="R38:R39" si="24">Q38/M38</f>
        <v>1</v>
      </c>
      <c r="S38" s="981">
        <f>O38</f>
        <v>56935.48</v>
      </c>
      <c r="T38" s="398">
        <f>P38</f>
        <v>39067.519999999997</v>
      </c>
      <c r="U38" s="982">
        <f>S38+T38</f>
        <v>96003</v>
      </c>
      <c r="V38" s="339">
        <f t="shared" ref="V38:V39" si="25">U38/Q38</f>
        <v>1</v>
      </c>
      <c r="W38" s="981">
        <f>S38</f>
        <v>56935.48</v>
      </c>
      <c r="X38" s="398">
        <f>T38</f>
        <v>39067.519999999997</v>
      </c>
      <c r="Y38" s="982">
        <f>W38+X38</f>
        <v>96003</v>
      </c>
      <c r="Z38" s="1253">
        <f t="shared" ref="Z38:Z39" si="26">Y38/U38</f>
        <v>1</v>
      </c>
    </row>
    <row r="39" spans="1:26" ht="38.25" customHeight="1" thickBot="1">
      <c r="B39" s="250" t="s">
        <v>4</v>
      </c>
      <c r="C39" s="251" t="s">
        <v>19</v>
      </c>
      <c r="D39" s="341">
        <v>23.72</v>
      </c>
      <c r="E39" s="252">
        <v>24.905999999999999</v>
      </c>
      <c r="F39" s="253">
        <v>24.2</v>
      </c>
      <c r="G39" s="789">
        <f>ROUND(E39,2)</f>
        <v>24.91</v>
      </c>
      <c r="H39" s="252">
        <f>ROUND(H37/H38*1000,2)</f>
        <v>27.29</v>
      </c>
      <c r="I39" s="1254">
        <f>I37/I38*1000</f>
        <v>25.878462131391725</v>
      </c>
      <c r="J39" s="254">
        <f t="shared" si="22"/>
        <v>1.0693579393137076</v>
      </c>
      <c r="K39" s="789">
        <f>H39</f>
        <v>27.29</v>
      </c>
      <c r="L39" s="788">
        <f>ROUND(K39*индексы!I11,2)</f>
        <v>29.2</v>
      </c>
      <c r="M39" s="790">
        <f>M37/M38*1000</f>
        <v>28.067247898503172</v>
      </c>
      <c r="N39" s="342">
        <f t="shared" si="23"/>
        <v>1.0845794373714486</v>
      </c>
      <c r="O39" s="789">
        <f>L39</f>
        <v>29.2</v>
      </c>
      <c r="P39" s="788">
        <f>ROUND(O39*индексы!J11,2)</f>
        <v>30.37</v>
      </c>
      <c r="Q39" s="790">
        <f>Q37/Q38*1000</f>
        <v>29.676155953459787</v>
      </c>
      <c r="R39" s="342">
        <f t="shared" si="24"/>
        <v>1.0573233279149687</v>
      </c>
      <c r="S39" s="789">
        <f>P39</f>
        <v>30.37</v>
      </c>
      <c r="T39" s="788">
        <f>ROUND(S39*индексы!K11,2)</f>
        <v>31.58</v>
      </c>
      <c r="U39" s="790">
        <f>U37/U38*1000</f>
        <v>30.862368884305699</v>
      </c>
      <c r="V39" s="342">
        <f t="shared" si="25"/>
        <v>1.03997191997192</v>
      </c>
      <c r="W39" s="789">
        <f>T39</f>
        <v>31.58</v>
      </c>
      <c r="X39" s="788">
        <f>ROUND(W39*индексы!L11,2)</f>
        <v>32.840000000000003</v>
      </c>
      <c r="Y39" s="790">
        <f>Y37/Y38*1000</f>
        <v>32.092851265064638</v>
      </c>
      <c r="Z39" s="254">
        <f t="shared" si="26"/>
        <v>1.0398699913597582</v>
      </c>
    </row>
    <row r="40" spans="1:26" ht="18.75">
      <c r="B40" s="256" t="s">
        <v>160</v>
      </c>
      <c r="C40" s="237"/>
      <c r="D40" s="237"/>
      <c r="E40" s="255">
        <f>E39/D39</f>
        <v>1.05</v>
      </c>
      <c r="F40" s="343"/>
      <c r="G40" s="363">
        <f>G39/E39</f>
        <v>1.0001606038705533</v>
      </c>
      <c r="H40" s="255">
        <f>H39/G39</f>
        <v>1.0955439582496989</v>
      </c>
      <c r="I40" s="343"/>
      <c r="J40" s="343"/>
      <c r="K40" s="363">
        <f>K39/H39</f>
        <v>1</v>
      </c>
      <c r="L40" s="255">
        <f>L39/K39</f>
        <v>1.0699890069622573</v>
      </c>
      <c r="M40" s="237"/>
      <c r="N40" s="344"/>
      <c r="O40" s="363">
        <f>O39/L39</f>
        <v>1</v>
      </c>
      <c r="P40" s="255">
        <f>P39/O39</f>
        <v>1.0400684931506849</v>
      </c>
      <c r="Q40" s="237"/>
      <c r="R40" s="344"/>
      <c r="S40" s="363">
        <f>S39/P39</f>
        <v>1</v>
      </c>
      <c r="T40" s="255">
        <f>T39/S39</f>
        <v>1.0398419492920645</v>
      </c>
      <c r="U40" s="237"/>
      <c r="V40" s="344"/>
      <c r="W40" s="363">
        <f>W39/T39</f>
        <v>1</v>
      </c>
      <c r="X40" s="255">
        <f>X39/W39</f>
        <v>1.039898670044332</v>
      </c>
      <c r="Y40" s="237"/>
      <c r="Z40" s="344"/>
    </row>
    <row r="41" spans="1:26" ht="18.75">
      <c r="B41" s="256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</row>
    <row r="42" spans="1:26" ht="19.5" thickBot="1">
      <c r="B42" s="793" t="s">
        <v>447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</row>
    <row r="43" spans="1:26" ht="37.5">
      <c r="B43" s="238" t="s">
        <v>161</v>
      </c>
      <c r="C43" s="239" t="s">
        <v>1</v>
      </c>
      <c r="D43" s="240">
        <v>106.24</v>
      </c>
      <c r="E43" s="241">
        <v>83.180000000000078</v>
      </c>
      <c r="F43" s="781">
        <v>189.42000000000007</v>
      </c>
      <c r="G43" s="240">
        <f>ROUND(G44*G45/1000,2)</f>
        <v>121.25</v>
      </c>
      <c r="H43" s="241">
        <f>I43-G43</f>
        <v>87.610000000000127</v>
      </c>
      <c r="I43" s="242">
        <f>I31-I37</f>
        <v>208.86000000000013</v>
      </c>
      <c r="J43" s="348">
        <f>I43/F43</f>
        <v>1.1026290782388346</v>
      </c>
      <c r="K43" s="240">
        <f>ROUND(K44*K45/1000,2)</f>
        <v>127.67</v>
      </c>
      <c r="L43" s="241">
        <f>M43-K43</f>
        <v>97.889999999999944</v>
      </c>
      <c r="M43" s="242">
        <f>M31-M37</f>
        <v>225.55999999999995</v>
      </c>
      <c r="N43" s="348">
        <f>M43/I43</f>
        <v>1.079957866513453</v>
      </c>
      <c r="O43" s="240">
        <f>ROUND(O44*O45/1000,2)</f>
        <v>142.19</v>
      </c>
      <c r="P43" s="241">
        <f>Q43-O43</f>
        <v>97.570000000000221</v>
      </c>
      <c r="Q43" s="242">
        <f>Q31-Q37</f>
        <v>239.76000000000022</v>
      </c>
      <c r="R43" s="348">
        <f>Q43/M43</f>
        <v>1.06295442454336</v>
      </c>
      <c r="S43" s="240">
        <f>ROUND(S44*S45/1000,2)</f>
        <v>142.19</v>
      </c>
      <c r="T43" s="241">
        <f>U43-S43</f>
        <v>107.15000000000015</v>
      </c>
      <c r="U43" s="242">
        <f>U31-U37</f>
        <v>249.34000000000015</v>
      </c>
      <c r="V43" s="348">
        <f>U43/Q43</f>
        <v>1.0399566232899562</v>
      </c>
      <c r="W43" s="240">
        <f>ROUND(W44*W45/1000,2)</f>
        <v>153.78</v>
      </c>
      <c r="X43" s="241">
        <f>Y43-W43</f>
        <v>105.51999999999973</v>
      </c>
      <c r="Y43" s="242">
        <f>Y31-Y37</f>
        <v>259.29999999999973</v>
      </c>
      <c r="Z43" s="992">
        <f>Y43/U43</f>
        <v>1.0399454560038484</v>
      </c>
    </row>
    <row r="44" spans="1:26" ht="38.25" thickBot="1">
      <c r="B44" s="244" t="s">
        <v>183</v>
      </c>
      <c r="C44" s="245" t="s">
        <v>29</v>
      </c>
      <c r="D44" s="246">
        <v>3490.15</v>
      </c>
      <c r="E44" s="247">
        <v>2394.85</v>
      </c>
      <c r="F44" s="1252">
        <v>5885</v>
      </c>
      <c r="G44" s="981">
        <f>'переменные на 5 лет'!D125</f>
        <v>3490.15</v>
      </c>
      <c r="H44" s="398">
        <f>'переменные на 5 лет'!E125</f>
        <v>2394.85</v>
      </c>
      <c r="I44" s="982">
        <f>G44+H44</f>
        <v>5885</v>
      </c>
      <c r="J44" s="1255">
        <f t="shared" ref="J44:J45" si="27">I44/F44</f>
        <v>1</v>
      </c>
      <c r="K44" s="981">
        <f>G44</f>
        <v>3490.15</v>
      </c>
      <c r="L44" s="398">
        <f>H44</f>
        <v>2394.85</v>
      </c>
      <c r="M44" s="982">
        <f>K44+L44</f>
        <v>5885</v>
      </c>
      <c r="N44" s="339">
        <f t="shared" ref="N44:N45" si="28">M44/I44</f>
        <v>1</v>
      </c>
      <c r="O44" s="981">
        <f>K44</f>
        <v>3490.15</v>
      </c>
      <c r="P44" s="398">
        <f>L44</f>
        <v>2394.85</v>
      </c>
      <c r="Q44" s="982">
        <f>O44+P44</f>
        <v>5885</v>
      </c>
      <c r="R44" s="339">
        <f t="shared" ref="R44:R45" si="29">Q44/M44</f>
        <v>1</v>
      </c>
      <c r="S44" s="981">
        <f>O44</f>
        <v>3490.15</v>
      </c>
      <c r="T44" s="398">
        <f>P44</f>
        <v>2394.85</v>
      </c>
      <c r="U44" s="982">
        <f>S44+T44</f>
        <v>5885</v>
      </c>
      <c r="V44" s="339">
        <f t="shared" ref="V44:V45" si="30">U44/Q44</f>
        <v>1</v>
      </c>
      <c r="W44" s="981">
        <f>S44</f>
        <v>3490.15</v>
      </c>
      <c r="X44" s="398">
        <f>T44</f>
        <v>2394.85</v>
      </c>
      <c r="Y44" s="982">
        <f>W44+X44</f>
        <v>5885</v>
      </c>
      <c r="Z44" s="1253">
        <f t="shared" ref="Z44:Z45" si="31">Y44/U44</f>
        <v>1</v>
      </c>
    </row>
    <row r="45" spans="1:26" s="1242" customFormat="1" ht="38.25" customHeight="1" thickBot="1">
      <c r="A45" s="1233"/>
      <c r="B45" s="1234" t="s">
        <v>4</v>
      </c>
      <c r="C45" s="1235" t="s">
        <v>19</v>
      </c>
      <c r="D45" s="1236">
        <v>30.44</v>
      </c>
      <c r="E45" s="1237">
        <v>34.74</v>
      </c>
      <c r="F45" s="1238">
        <v>32.19</v>
      </c>
      <c r="G45" s="1240">
        <v>34.74</v>
      </c>
      <c r="H45" s="1256">
        <f>ROUND(H43/H44*1000,2)</f>
        <v>36.58</v>
      </c>
      <c r="I45" s="1256">
        <f>ROUND(I43/I44*1000,2)</f>
        <v>35.49</v>
      </c>
      <c r="J45" s="1239">
        <f t="shared" si="27"/>
        <v>1.1025163094128614</v>
      </c>
      <c r="K45" s="1240">
        <f>H45</f>
        <v>36.58</v>
      </c>
      <c r="L45" s="1256">
        <f>ROUND(L43/L44*1000,2)</f>
        <v>40.880000000000003</v>
      </c>
      <c r="M45" s="1256">
        <f>ROUND(M43/M44*1000,2)</f>
        <v>38.33</v>
      </c>
      <c r="N45" s="1241">
        <f t="shared" si="28"/>
        <v>1.080022541561003</v>
      </c>
      <c r="O45" s="1240">
        <f>Q45</f>
        <v>40.74</v>
      </c>
      <c r="P45" s="1256">
        <f>ROUND(P43/P44*1000,2)</f>
        <v>40.74</v>
      </c>
      <c r="Q45" s="1256">
        <f>ROUND(Q43/Q44*1000,2)</f>
        <v>40.74</v>
      </c>
      <c r="R45" s="1241">
        <f t="shared" si="29"/>
        <v>1.0628750326115315</v>
      </c>
      <c r="S45" s="1240">
        <f>P45</f>
        <v>40.74</v>
      </c>
      <c r="T45" s="1256">
        <f>ROUND(T43/T44*1000,2)</f>
        <v>44.74</v>
      </c>
      <c r="U45" s="1256">
        <f>ROUND(U43/U44*1000,2)</f>
        <v>42.37</v>
      </c>
      <c r="V45" s="1241">
        <f t="shared" si="30"/>
        <v>1.0400098183603337</v>
      </c>
      <c r="W45" s="1240">
        <f>Y45</f>
        <v>44.06</v>
      </c>
      <c r="X45" s="1256">
        <f>ROUND(X43/X44*1000,2)</f>
        <v>44.06</v>
      </c>
      <c r="Y45" s="1256">
        <f>ROUND(Y43/Y44*1000,2)</f>
        <v>44.06</v>
      </c>
      <c r="Z45" s="1239">
        <f t="shared" si="31"/>
        <v>1.0398867122964364</v>
      </c>
    </row>
    <row r="46" spans="1:26" ht="18.75">
      <c r="B46" s="256" t="s">
        <v>160</v>
      </c>
      <c r="C46" s="237"/>
      <c r="D46" s="237"/>
      <c r="E46" s="255">
        <f>E45/D45</f>
        <v>1.1412614980289093</v>
      </c>
      <c r="F46" s="343"/>
      <c r="G46" s="363">
        <f>G45/E45</f>
        <v>1</v>
      </c>
      <c r="H46" s="255">
        <f>H45/G45</f>
        <v>1.0529648819804258</v>
      </c>
      <c r="I46" s="343"/>
      <c r="J46" s="343"/>
      <c r="K46" s="363">
        <f>K45/H45</f>
        <v>1</v>
      </c>
      <c r="L46" s="255">
        <f>L45/K45</f>
        <v>1.1175505740841991</v>
      </c>
      <c r="M46" s="237"/>
      <c r="N46" s="344"/>
      <c r="O46" s="363">
        <f>O45/L45</f>
        <v>0.99657534246575341</v>
      </c>
      <c r="P46" s="255">
        <f>P45/O45</f>
        <v>1</v>
      </c>
      <c r="Q46" s="237"/>
      <c r="R46" s="344"/>
      <c r="S46" s="363">
        <f>S45/P45</f>
        <v>1</v>
      </c>
      <c r="T46" s="255">
        <f>T45/S45</f>
        <v>1.0981836033382426</v>
      </c>
      <c r="U46" s="237"/>
      <c r="V46" s="344"/>
      <c r="W46" s="363">
        <f>W45/T45</f>
        <v>0.98480107286544483</v>
      </c>
      <c r="X46" s="255">
        <f>X45/W45</f>
        <v>1</v>
      </c>
      <c r="Y46" s="237"/>
      <c r="Z46" s="344"/>
    </row>
    <row r="47" spans="1:26" ht="18.75" outlineLevel="1">
      <c r="B47" s="256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</row>
    <row r="48" spans="1:26" ht="19.5" hidden="1" outlineLevel="1" thickBot="1">
      <c r="B48" s="794" t="s">
        <v>270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2:26" ht="37.5" hidden="1" outlineLevel="1">
      <c r="B49" s="238" t="s">
        <v>161</v>
      </c>
      <c r="C49" s="239" t="s">
        <v>1</v>
      </c>
      <c r="D49" s="240"/>
      <c r="E49" s="241"/>
      <c r="F49" s="242"/>
      <c r="G49" s="240"/>
      <c r="H49" s="241"/>
      <c r="I49" s="242"/>
      <c r="J49" s="348" t="e">
        <f>I49/F49</f>
        <v>#DIV/0!</v>
      </c>
      <c r="K49" s="240"/>
      <c r="L49" s="241"/>
      <c r="M49" s="242"/>
      <c r="N49" s="348" t="e">
        <f>M49/I49</f>
        <v>#DIV/0!</v>
      </c>
      <c r="O49" s="240"/>
      <c r="P49" s="241"/>
      <c r="Q49" s="242"/>
      <c r="R49" s="348" t="e">
        <f>Q49/M49</f>
        <v>#DIV/0!</v>
      </c>
      <c r="S49" s="240"/>
      <c r="T49" s="241"/>
      <c r="U49" s="242"/>
      <c r="V49" s="348" t="e">
        <f>U49/Q49</f>
        <v>#DIV/0!</v>
      </c>
      <c r="W49" s="240"/>
      <c r="X49" s="241"/>
      <c r="Y49" s="242"/>
      <c r="Z49" s="243" t="e">
        <f>Y49/U49</f>
        <v>#DIV/0!</v>
      </c>
    </row>
    <row r="50" spans="2:26" ht="19.5" hidden="1" outlineLevel="1" thickBot="1">
      <c r="B50" s="244" t="s">
        <v>474</v>
      </c>
      <c r="C50" s="245" t="s">
        <v>29</v>
      </c>
      <c r="D50" s="246"/>
      <c r="E50" s="247"/>
      <c r="F50" s="248"/>
      <c r="G50" s="246"/>
      <c r="H50" s="247"/>
      <c r="I50" s="248"/>
      <c r="J50" s="339" t="e">
        <f>I50/F50</f>
        <v>#DIV/0!</v>
      </c>
      <c r="K50" s="791"/>
      <c r="L50" s="398"/>
      <c r="M50" s="792"/>
      <c r="N50" s="339" t="e">
        <f t="shared" ref="N50:N51" si="32">M50/I50</f>
        <v>#DIV/0!</v>
      </c>
      <c r="O50" s="791"/>
      <c r="P50" s="398"/>
      <c r="Q50" s="792"/>
      <c r="R50" s="339" t="e">
        <f t="shared" ref="R50:R51" si="33">Q50/M50</f>
        <v>#DIV/0!</v>
      </c>
      <c r="S50" s="791"/>
      <c r="T50" s="398"/>
      <c r="U50" s="792"/>
      <c r="V50" s="339" t="e">
        <f>U50/Q50</f>
        <v>#DIV/0!</v>
      </c>
      <c r="W50" s="397"/>
      <c r="X50" s="398"/>
      <c r="Y50" s="780"/>
      <c r="Z50" s="249" t="e">
        <f>Y50/U50</f>
        <v>#DIV/0!</v>
      </c>
    </row>
    <row r="51" spans="2:26" ht="38.25" hidden="1" outlineLevel="1" thickBot="1">
      <c r="B51" s="250" t="s">
        <v>4</v>
      </c>
      <c r="C51" s="251" t="s">
        <v>19</v>
      </c>
      <c r="D51" s="341"/>
      <c r="E51" s="252"/>
      <c r="F51" s="253"/>
      <c r="G51" s="252"/>
      <c r="H51" s="252"/>
      <c r="I51" s="253"/>
      <c r="J51" s="342" t="e">
        <f>I51/F51</f>
        <v>#DIV/0!</v>
      </c>
      <c r="K51" s="341"/>
      <c r="L51" s="252"/>
      <c r="M51" s="253"/>
      <c r="N51" s="342" t="e">
        <f t="shared" si="32"/>
        <v>#DIV/0!</v>
      </c>
      <c r="O51" s="789"/>
      <c r="P51" s="788"/>
      <c r="Q51" s="790"/>
      <c r="R51" s="342" t="e">
        <f t="shared" si="33"/>
        <v>#DIV/0!</v>
      </c>
      <c r="S51" s="341"/>
      <c r="T51" s="252"/>
      <c r="U51" s="253"/>
      <c r="V51" s="342" t="e">
        <f t="shared" ref="V51" si="34">U51/Q51</f>
        <v>#DIV/0!</v>
      </c>
      <c r="W51" s="341"/>
      <c r="X51" s="252"/>
      <c r="Y51" s="253"/>
      <c r="Z51" s="254" t="e">
        <f>Y51/U51</f>
        <v>#DIV/0!</v>
      </c>
    </row>
    <row r="52" spans="2:26" ht="18.75" hidden="1" outlineLevel="1">
      <c r="B52" s="256" t="s">
        <v>160</v>
      </c>
      <c r="C52" s="237"/>
      <c r="D52" s="237"/>
      <c r="E52" s="255" t="e">
        <f>E51/D51</f>
        <v>#DIV/0!</v>
      </c>
      <c r="F52" s="343"/>
      <c r="G52" s="363" t="e">
        <f>G51/E51</f>
        <v>#DIV/0!</v>
      </c>
      <c r="H52" s="255" t="e">
        <f>H51/G51</f>
        <v>#DIV/0!</v>
      </c>
      <c r="I52" s="237"/>
      <c r="J52" s="344"/>
      <c r="K52" s="363" t="e">
        <f>K51/H51</f>
        <v>#DIV/0!</v>
      </c>
      <c r="L52" s="255" t="e">
        <f>L51/K51</f>
        <v>#DIV/0!</v>
      </c>
      <c r="M52" s="237"/>
      <c r="N52" s="237"/>
      <c r="O52" s="363" t="e">
        <f>O51/L51</f>
        <v>#DIV/0!</v>
      </c>
      <c r="P52" s="255" t="e">
        <f>P51/O51</f>
        <v>#DIV/0!</v>
      </c>
      <c r="Q52" s="237"/>
      <c r="R52" s="237"/>
      <c r="S52" s="363" t="e">
        <f>S51/P51</f>
        <v>#DIV/0!</v>
      </c>
      <c r="T52" s="255" t="e">
        <f>T51/S51</f>
        <v>#DIV/0!</v>
      </c>
      <c r="U52" s="237"/>
      <c r="V52" s="237"/>
      <c r="W52" s="363" t="e">
        <f>W51/T51</f>
        <v>#DIV/0!</v>
      </c>
      <c r="X52" s="255" t="e">
        <f>X51/W51</f>
        <v>#DIV/0!</v>
      </c>
      <c r="Y52" s="237"/>
      <c r="Z52" s="237"/>
    </row>
    <row r="53" spans="2:26" ht="18.75" hidden="1" outlineLevel="1">
      <c r="B53" s="256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</row>
    <row r="54" spans="2:26" ht="19.5" hidden="1" thickBot="1">
      <c r="B54" s="793" t="s">
        <v>446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2:26" ht="37.5" hidden="1">
      <c r="B55" s="238" t="s">
        <v>161</v>
      </c>
      <c r="C55" s="239" t="s">
        <v>1</v>
      </c>
      <c r="D55" s="240"/>
      <c r="E55" s="241"/>
      <c r="F55" s="242"/>
      <c r="G55" s="240"/>
      <c r="H55" s="241"/>
      <c r="I55" s="781"/>
      <c r="J55" s="243" t="e">
        <f>I55/F55</f>
        <v>#DIV/0!</v>
      </c>
      <c r="K55" s="240"/>
      <c r="L55" s="787"/>
      <c r="M55" s="242"/>
      <c r="N55" s="348" t="e">
        <f>M55/I55</f>
        <v>#DIV/0!</v>
      </c>
      <c r="O55" s="240"/>
      <c r="P55" s="241"/>
      <c r="Q55" s="242"/>
      <c r="R55" s="348" t="e">
        <f>Q55/M55</f>
        <v>#DIV/0!</v>
      </c>
      <c r="S55" s="240"/>
      <c r="T55" s="241"/>
      <c r="U55" s="242"/>
      <c r="V55" s="348" t="e">
        <f>U55/Q55</f>
        <v>#DIV/0!</v>
      </c>
      <c r="W55" s="240"/>
      <c r="X55" s="241"/>
      <c r="Y55" s="242"/>
      <c r="Z55" s="243" t="e">
        <f>Y55/U55</f>
        <v>#DIV/0!</v>
      </c>
    </row>
    <row r="56" spans="2:26" ht="19.5" hidden="1" thickBot="1">
      <c r="B56" s="244" t="s">
        <v>474</v>
      </c>
      <c r="C56" s="245" t="s">
        <v>29</v>
      </c>
      <c r="D56" s="246"/>
      <c r="E56" s="247"/>
      <c r="F56" s="248"/>
      <c r="G56" s="397"/>
      <c r="H56" s="398"/>
      <c r="I56" s="782"/>
      <c r="J56" s="249" t="e">
        <f t="shared" ref="J56:J57" si="35">I56/F56</f>
        <v>#DIV/0!</v>
      </c>
      <c r="K56" s="791"/>
      <c r="L56" s="398"/>
      <c r="M56" s="792"/>
      <c r="N56" s="339" t="e">
        <f t="shared" ref="N56:N57" si="36">M56/I56</f>
        <v>#DIV/0!</v>
      </c>
      <c r="O56" s="791"/>
      <c r="P56" s="398"/>
      <c r="Q56" s="792"/>
      <c r="R56" s="339" t="e">
        <f t="shared" ref="R56:R57" si="37">Q56/M56</f>
        <v>#DIV/0!</v>
      </c>
      <c r="S56" s="791"/>
      <c r="T56" s="398"/>
      <c r="U56" s="792"/>
      <c r="V56" s="339" t="e">
        <f t="shared" ref="V56:V57" si="38">U56/Q56</f>
        <v>#DIV/0!</v>
      </c>
      <c r="W56" s="397"/>
      <c r="X56" s="398"/>
      <c r="Y56" s="780"/>
      <c r="Z56" s="249" t="e">
        <f t="shared" ref="Z56:Z57" si="39">Y56/U56</f>
        <v>#DIV/0!</v>
      </c>
    </row>
    <row r="57" spans="2:26" ht="38.25" hidden="1" customHeight="1" thickBot="1">
      <c r="B57" s="250" t="s">
        <v>4</v>
      </c>
      <c r="C57" s="251" t="s">
        <v>19</v>
      </c>
      <c r="D57" s="341"/>
      <c r="E57" s="252"/>
      <c r="F57" s="253"/>
      <c r="G57" s="341"/>
      <c r="H57" s="252"/>
      <c r="I57" s="783"/>
      <c r="J57" s="254" t="e">
        <f t="shared" si="35"/>
        <v>#DIV/0!</v>
      </c>
      <c r="K57" s="789"/>
      <c r="L57" s="788"/>
      <c r="M57" s="790"/>
      <c r="N57" s="342" t="e">
        <f t="shared" si="36"/>
        <v>#DIV/0!</v>
      </c>
      <c r="O57" s="341"/>
      <c r="P57" s="252"/>
      <c r="Q57" s="253"/>
      <c r="R57" s="342" t="e">
        <f t="shared" si="37"/>
        <v>#DIV/0!</v>
      </c>
      <c r="S57" s="341"/>
      <c r="T57" s="252"/>
      <c r="U57" s="253"/>
      <c r="V57" s="342" t="e">
        <f t="shared" si="38"/>
        <v>#DIV/0!</v>
      </c>
      <c r="W57" s="341"/>
      <c r="X57" s="252"/>
      <c r="Y57" s="253"/>
      <c r="Z57" s="254" t="e">
        <f t="shared" si="39"/>
        <v>#DIV/0!</v>
      </c>
    </row>
    <row r="58" spans="2:26" ht="18.75" hidden="1">
      <c r="B58" s="256" t="s">
        <v>160</v>
      </c>
      <c r="C58" s="237"/>
      <c r="D58" s="237"/>
      <c r="E58" s="255" t="e">
        <f>E57/D57</f>
        <v>#DIV/0!</v>
      </c>
      <c r="F58" s="343"/>
      <c r="G58" s="363" t="e">
        <f>G57/E57</f>
        <v>#DIV/0!</v>
      </c>
      <c r="H58" s="255" t="e">
        <f>H57/G57</f>
        <v>#DIV/0!</v>
      </c>
      <c r="I58" s="343"/>
      <c r="J58" s="343"/>
      <c r="K58" s="363" t="e">
        <f>K57/H57</f>
        <v>#DIV/0!</v>
      </c>
      <c r="L58" s="255" t="e">
        <f>L57/K57</f>
        <v>#DIV/0!</v>
      </c>
      <c r="M58" s="237"/>
      <c r="N58" s="344"/>
      <c r="O58" s="363" t="e">
        <f>O57/L57</f>
        <v>#DIV/0!</v>
      </c>
      <c r="P58" s="255" t="e">
        <f>P57/O57</f>
        <v>#DIV/0!</v>
      </c>
      <c r="Q58" s="237"/>
      <c r="R58" s="344"/>
      <c r="S58" s="363" t="e">
        <f>S57/P57</f>
        <v>#DIV/0!</v>
      </c>
      <c r="T58" s="255" t="e">
        <f>T57/S57</f>
        <v>#DIV/0!</v>
      </c>
      <c r="U58" s="237"/>
      <c r="V58" s="344"/>
      <c r="W58" s="363" t="e">
        <f>W57/T57</f>
        <v>#DIV/0!</v>
      </c>
      <c r="X58" s="255" t="e">
        <f>X57/W57</f>
        <v>#DIV/0!</v>
      </c>
      <c r="Y58" s="237"/>
      <c r="Z58" s="344"/>
    </row>
    <row r="59" spans="2:26" ht="18.75" hidden="1">
      <c r="B59" s="256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</row>
    <row r="60" spans="2:26" ht="19.5" hidden="1" thickBot="1">
      <c r="B60" s="793" t="s">
        <v>447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spans="2:26" ht="37.5" hidden="1">
      <c r="B61" s="238" t="s">
        <v>161</v>
      </c>
      <c r="C61" s="239" t="s">
        <v>1</v>
      </c>
      <c r="D61" s="240"/>
      <c r="E61" s="241"/>
      <c r="F61" s="242"/>
      <c r="G61" s="240"/>
      <c r="H61" s="241"/>
      <c r="I61" s="781"/>
      <c r="J61" s="243" t="e">
        <f>I61/F61</f>
        <v>#DIV/0!</v>
      </c>
      <c r="K61" s="240"/>
      <c r="L61" s="787"/>
      <c r="M61" s="242"/>
      <c r="N61" s="348" t="e">
        <f>M61/I61</f>
        <v>#DIV/0!</v>
      </c>
      <c r="O61" s="240"/>
      <c r="P61" s="241"/>
      <c r="Q61" s="242"/>
      <c r="R61" s="348" t="e">
        <f>Q61/M61</f>
        <v>#DIV/0!</v>
      </c>
      <c r="S61" s="240"/>
      <c r="T61" s="241"/>
      <c r="U61" s="242"/>
      <c r="V61" s="348" t="e">
        <f>U61/Q61</f>
        <v>#DIV/0!</v>
      </c>
      <c r="W61" s="240"/>
      <c r="X61" s="241"/>
      <c r="Y61" s="242"/>
      <c r="Z61" s="243" t="e">
        <f>Y61/U61</f>
        <v>#DIV/0!</v>
      </c>
    </row>
    <row r="62" spans="2:26" ht="19.5" hidden="1" thickBot="1">
      <c r="B62" s="244" t="s">
        <v>474</v>
      </c>
      <c r="C62" s="245" t="s">
        <v>29</v>
      </c>
      <c r="D62" s="246"/>
      <c r="E62" s="247"/>
      <c r="F62" s="248"/>
      <c r="G62" s="397"/>
      <c r="H62" s="398"/>
      <c r="I62" s="782"/>
      <c r="J62" s="249" t="e">
        <f t="shared" ref="J62:J63" si="40">I62/F62</f>
        <v>#DIV/0!</v>
      </c>
      <c r="K62" s="791"/>
      <c r="L62" s="398"/>
      <c r="M62" s="792"/>
      <c r="N62" s="339" t="e">
        <f t="shared" ref="N62:N63" si="41">M62/I62</f>
        <v>#DIV/0!</v>
      </c>
      <c r="O62" s="791"/>
      <c r="P62" s="398"/>
      <c r="Q62" s="792"/>
      <c r="R62" s="339" t="e">
        <f t="shared" ref="R62:R63" si="42">Q62/M62</f>
        <v>#DIV/0!</v>
      </c>
      <c r="S62" s="791"/>
      <c r="T62" s="398"/>
      <c r="U62" s="792"/>
      <c r="V62" s="339" t="e">
        <f t="shared" ref="V62:V63" si="43">U62/Q62</f>
        <v>#DIV/0!</v>
      </c>
      <c r="W62" s="397"/>
      <c r="X62" s="398"/>
      <c r="Y62" s="780"/>
      <c r="Z62" s="249" t="e">
        <f t="shared" ref="Z62:Z63" si="44">Y62/U62</f>
        <v>#DIV/0!</v>
      </c>
    </row>
    <row r="63" spans="2:26" ht="38.25" hidden="1" customHeight="1" thickBot="1">
      <c r="B63" s="250" t="s">
        <v>4</v>
      </c>
      <c r="C63" s="251" t="s">
        <v>19</v>
      </c>
      <c r="D63" s="341"/>
      <c r="E63" s="252"/>
      <c r="F63" s="253"/>
      <c r="G63" s="341"/>
      <c r="H63" s="252"/>
      <c r="I63" s="783"/>
      <c r="J63" s="254" t="e">
        <f t="shared" si="40"/>
        <v>#DIV/0!</v>
      </c>
      <c r="K63" s="789"/>
      <c r="L63" s="788"/>
      <c r="M63" s="790"/>
      <c r="N63" s="342" t="e">
        <f t="shared" si="41"/>
        <v>#DIV/0!</v>
      </c>
      <c r="O63" s="341"/>
      <c r="P63" s="252"/>
      <c r="Q63" s="253"/>
      <c r="R63" s="342" t="e">
        <f t="shared" si="42"/>
        <v>#DIV/0!</v>
      </c>
      <c r="S63" s="341"/>
      <c r="T63" s="252"/>
      <c r="U63" s="253"/>
      <c r="V63" s="342" t="e">
        <f t="shared" si="43"/>
        <v>#DIV/0!</v>
      </c>
      <c r="W63" s="341"/>
      <c r="X63" s="252"/>
      <c r="Y63" s="253"/>
      <c r="Z63" s="254" t="e">
        <f t="shared" si="44"/>
        <v>#DIV/0!</v>
      </c>
    </row>
    <row r="64" spans="2:26" ht="18.75" hidden="1">
      <c r="B64" s="256" t="s">
        <v>160</v>
      </c>
      <c r="C64" s="237"/>
      <c r="D64" s="237"/>
      <c r="E64" s="255" t="e">
        <f>E63/D63</f>
        <v>#DIV/0!</v>
      </c>
      <c r="F64" s="343"/>
      <c r="G64" s="363" t="e">
        <f>G63/E63</f>
        <v>#DIV/0!</v>
      </c>
      <c r="H64" s="255" t="e">
        <f>H63/G63</f>
        <v>#DIV/0!</v>
      </c>
      <c r="I64" s="343"/>
      <c r="J64" s="343"/>
      <c r="K64" s="363" t="e">
        <f>K63/H63</f>
        <v>#DIV/0!</v>
      </c>
      <c r="L64" s="255" t="e">
        <f>L63/K63</f>
        <v>#DIV/0!</v>
      </c>
      <c r="M64" s="237"/>
      <c r="N64" s="344"/>
      <c r="O64" s="363" t="e">
        <f>O63/L63</f>
        <v>#DIV/0!</v>
      </c>
      <c r="P64" s="255" t="e">
        <f>P63/O63</f>
        <v>#DIV/0!</v>
      </c>
      <c r="Q64" s="237"/>
      <c r="R64" s="344"/>
      <c r="S64" s="363" t="e">
        <f>S63/P63</f>
        <v>#DIV/0!</v>
      </c>
      <c r="T64" s="255" t="e">
        <f>T63/S63</f>
        <v>#DIV/0!</v>
      </c>
      <c r="U64" s="237"/>
      <c r="V64" s="344"/>
      <c r="W64" s="363" t="e">
        <f>W63/T63</f>
        <v>#DIV/0!</v>
      </c>
      <c r="X64" s="255" t="e">
        <f>X63/W63</f>
        <v>#DIV/0!</v>
      </c>
      <c r="Y64" s="237"/>
      <c r="Z64" s="344"/>
    </row>
    <row r="65" spans="2:26" ht="18.75" outlineLevel="1">
      <c r="B65" s="256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</row>
    <row r="66" spans="2:26" ht="18.75" hidden="1" outlineLevel="1">
      <c r="B66" s="795" t="s">
        <v>477</v>
      </c>
      <c r="C66" s="796"/>
      <c r="D66" s="796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2:26" ht="19.5" hidden="1" outlineLevel="1" thickBot="1">
      <c r="B67" s="794" t="s">
        <v>449</v>
      </c>
      <c r="C67" s="797"/>
      <c r="D67" s="797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2:26" ht="37.5" hidden="1">
      <c r="B68" s="238" t="s">
        <v>161</v>
      </c>
      <c r="C68" s="239" t="s">
        <v>21</v>
      </c>
      <c r="D68" s="240"/>
      <c r="E68" s="241"/>
      <c r="F68" s="242"/>
      <c r="G68" s="240"/>
      <c r="H68" s="241"/>
      <c r="I68" s="781"/>
      <c r="J68" s="243" t="e">
        <f>I68/F68</f>
        <v>#DIV/0!</v>
      </c>
      <c r="K68" s="240"/>
      <c r="L68" s="787"/>
      <c r="M68" s="242"/>
      <c r="N68" s="348" t="e">
        <f>M68/I68</f>
        <v>#DIV/0!</v>
      </c>
      <c r="O68" s="240"/>
      <c r="P68" s="241"/>
      <c r="Q68" s="242"/>
      <c r="R68" s="348" t="e">
        <f>Q68/M68</f>
        <v>#DIV/0!</v>
      </c>
      <c r="S68" s="240"/>
      <c r="T68" s="241"/>
      <c r="U68" s="242"/>
      <c r="V68" s="348" t="e">
        <f>U68/Q68</f>
        <v>#DIV/0!</v>
      </c>
      <c r="W68" s="240"/>
      <c r="X68" s="241"/>
      <c r="Y68" s="242"/>
      <c r="Z68" s="243" t="e">
        <f>Y68/U68</f>
        <v>#DIV/0!</v>
      </c>
    </row>
    <row r="69" spans="2:26" ht="19.5" hidden="1" thickBot="1">
      <c r="B69" s="244" t="s">
        <v>227</v>
      </c>
      <c r="C69" s="245" t="s">
        <v>13</v>
      </c>
      <c r="D69" s="246"/>
      <c r="E69" s="247"/>
      <c r="F69" s="248"/>
      <c r="G69" s="397"/>
      <c r="H69" s="398"/>
      <c r="I69" s="782"/>
      <c r="J69" s="249" t="e">
        <f t="shared" ref="J69:J70" si="45">I69/F69</f>
        <v>#DIV/0!</v>
      </c>
      <c r="K69" s="791"/>
      <c r="L69" s="398"/>
      <c r="M69" s="792"/>
      <c r="N69" s="339" t="e">
        <f t="shared" ref="N69:N70" si="46">M69/I69</f>
        <v>#DIV/0!</v>
      </c>
      <c r="O69" s="791"/>
      <c r="P69" s="398"/>
      <c r="Q69" s="792"/>
      <c r="R69" s="339" t="e">
        <f t="shared" ref="R69:R70" si="47">Q69/M69</f>
        <v>#DIV/0!</v>
      </c>
      <c r="S69" s="791"/>
      <c r="T69" s="398"/>
      <c r="U69" s="792"/>
      <c r="V69" s="339" t="e">
        <f t="shared" ref="V69:V70" si="48">U69/Q69</f>
        <v>#DIV/0!</v>
      </c>
      <c r="W69" s="397"/>
      <c r="X69" s="398"/>
      <c r="Y69" s="780"/>
      <c r="Z69" s="249" t="e">
        <f t="shared" ref="Z69:Z70" si="49">Y69/U69</f>
        <v>#DIV/0!</v>
      </c>
    </row>
    <row r="70" spans="2:26" ht="38.25" hidden="1" customHeight="1" thickBot="1">
      <c r="B70" s="250" t="s">
        <v>220</v>
      </c>
      <c r="C70" s="251" t="s">
        <v>12</v>
      </c>
      <c r="D70" s="341"/>
      <c r="E70" s="252"/>
      <c r="F70" s="253"/>
      <c r="G70" s="341"/>
      <c r="H70" s="252"/>
      <c r="I70" s="783"/>
      <c r="J70" s="254" t="e">
        <f t="shared" si="45"/>
        <v>#DIV/0!</v>
      </c>
      <c r="K70" s="789"/>
      <c r="L70" s="788"/>
      <c r="M70" s="790"/>
      <c r="N70" s="342" t="e">
        <f t="shared" si="46"/>
        <v>#DIV/0!</v>
      </c>
      <c r="O70" s="341"/>
      <c r="P70" s="252"/>
      <c r="Q70" s="253"/>
      <c r="R70" s="342" t="e">
        <f t="shared" si="47"/>
        <v>#DIV/0!</v>
      </c>
      <c r="S70" s="341"/>
      <c r="T70" s="252"/>
      <c r="U70" s="253"/>
      <c r="V70" s="342" t="e">
        <f t="shared" si="48"/>
        <v>#DIV/0!</v>
      </c>
      <c r="W70" s="341"/>
      <c r="X70" s="252"/>
      <c r="Y70" s="253"/>
      <c r="Z70" s="254" t="e">
        <f t="shared" si="49"/>
        <v>#DIV/0!</v>
      </c>
    </row>
    <row r="71" spans="2:26" ht="18.75" hidden="1">
      <c r="B71" s="256" t="s">
        <v>160</v>
      </c>
      <c r="C71" s="237"/>
      <c r="D71" s="237"/>
      <c r="E71" s="255" t="e">
        <f>E70/D70</f>
        <v>#DIV/0!</v>
      </c>
      <c r="F71" s="343"/>
      <c r="G71" s="363" t="e">
        <f>G70/E70</f>
        <v>#DIV/0!</v>
      </c>
      <c r="H71" s="255" t="e">
        <f>H70/G70</f>
        <v>#DIV/0!</v>
      </c>
      <c r="I71" s="343"/>
      <c r="J71" s="343"/>
      <c r="K71" s="363" t="e">
        <f>K70/H70</f>
        <v>#DIV/0!</v>
      </c>
      <c r="L71" s="255" t="e">
        <f>L70/K70</f>
        <v>#DIV/0!</v>
      </c>
      <c r="M71" s="237"/>
      <c r="N71" s="344"/>
      <c r="O71" s="363" t="e">
        <f>O70/L70</f>
        <v>#DIV/0!</v>
      </c>
      <c r="P71" s="255" t="e">
        <f>P70/O70</f>
        <v>#DIV/0!</v>
      </c>
      <c r="Q71" s="237"/>
      <c r="R71" s="344"/>
      <c r="S71" s="363" t="e">
        <f>S70/P70</f>
        <v>#DIV/0!</v>
      </c>
      <c r="T71" s="255" t="e">
        <f>T70/S70</f>
        <v>#DIV/0!</v>
      </c>
      <c r="U71" s="237"/>
      <c r="V71" s="344"/>
      <c r="W71" s="363" t="e">
        <f>W70/T70</f>
        <v>#DIV/0!</v>
      </c>
      <c r="X71" s="255" t="e">
        <f>X70/W70</f>
        <v>#DIV/0!</v>
      </c>
      <c r="Y71" s="237"/>
      <c r="Z71" s="344"/>
    </row>
    <row r="72" spans="2:26" ht="18.75" hidden="1">
      <c r="B72" s="256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344"/>
    </row>
    <row r="73" spans="2:26" ht="19.5" hidden="1" outlineLevel="1" thickBot="1">
      <c r="B73" s="794" t="s">
        <v>475</v>
      </c>
      <c r="C73" s="79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2:26" ht="37.5" hidden="1" outlineLevel="1">
      <c r="B74" s="238" t="s">
        <v>161</v>
      </c>
      <c r="C74" s="239" t="s">
        <v>1</v>
      </c>
      <c r="D74" s="240"/>
      <c r="E74" s="241"/>
      <c r="F74" s="242"/>
      <c r="G74" s="240"/>
      <c r="H74" s="241"/>
      <c r="I74" s="242"/>
      <c r="J74" s="348" t="e">
        <f>I74/F74</f>
        <v>#DIV/0!</v>
      </c>
      <c r="K74" s="240"/>
      <c r="L74" s="241"/>
      <c r="M74" s="242"/>
      <c r="N74" s="348" t="e">
        <f>M74/I74</f>
        <v>#DIV/0!</v>
      </c>
      <c r="O74" s="240"/>
      <c r="P74" s="241"/>
      <c r="Q74" s="242"/>
      <c r="R74" s="348" t="e">
        <f>Q74/M74</f>
        <v>#DIV/0!</v>
      </c>
      <c r="S74" s="240"/>
      <c r="T74" s="241"/>
      <c r="U74" s="242"/>
      <c r="V74" s="348" t="e">
        <f>U74/Q74</f>
        <v>#DIV/0!</v>
      </c>
      <c r="W74" s="240"/>
      <c r="X74" s="241"/>
      <c r="Y74" s="242"/>
      <c r="Z74" s="243" t="e">
        <f>Y74/U74</f>
        <v>#DIV/0!</v>
      </c>
    </row>
    <row r="75" spans="2:26" ht="38.25" hidden="1" outlineLevel="1" thickBot="1">
      <c r="B75" s="244" t="s">
        <v>183</v>
      </c>
      <c r="C75" s="245" t="s">
        <v>29</v>
      </c>
      <c r="D75" s="246"/>
      <c r="E75" s="247"/>
      <c r="F75" s="248"/>
      <c r="G75" s="246"/>
      <c r="H75" s="247"/>
      <c r="I75" s="248"/>
      <c r="J75" s="339" t="e">
        <f>I75/F75</f>
        <v>#DIV/0!</v>
      </c>
      <c r="K75" s="791"/>
      <c r="L75" s="398"/>
      <c r="M75" s="792"/>
      <c r="N75" s="339" t="e">
        <f t="shared" ref="N75:N76" si="50">M75/I75</f>
        <v>#DIV/0!</v>
      </c>
      <c r="O75" s="791"/>
      <c r="P75" s="398"/>
      <c r="Q75" s="792"/>
      <c r="R75" s="339" t="e">
        <f t="shared" ref="R75:R76" si="51">Q75/M75</f>
        <v>#DIV/0!</v>
      </c>
      <c r="S75" s="791"/>
      <c r="T75" s="398"/>
      <c r="U75" s="792"/>
      <c r="V75" s="339" t="e">
        <f>U75/Q75</f>
        <v>#DIV/0!</v>
      </c>
      <c r="W75" s="397"/>
      <c r="X75" s="398"/>
      <c r="Y75" s="780"/>
      <c r="Z75" s="249" t="e">
        <f>Y75/U75</f>
        <v>#DIV/0!</v>
      </c>
    </row>
    <row r="76" spans="2:26" ht="38.25" hidden="1" outlineLevel="1" thickBot="1">
      <c r="B76" s="250" t="s">
        <v>4</v>
      </c>
      <c r="C76" s="251" t="s">
        <v>19</v>
      </c>
      <c r="D76" s="341"/>
      <c r="E76" s="252"/>
      <c r="F76" s="253"/>
      <c r="G76" s="252"/>
      <c r="H76" s="252"/>
      <c r="I76" s="253"/>
      <c r="J76" s="342" t="e">
        <f>I76/F76</f>
        <v>#DIV/0!</v>
      </c>
      <c r="K76" s="341"/>
      <c r="L76" s="252"/>
      <c r="M76" s="253"/>
      <c r="N76" s="342" t="e">
        <f t="shared" si="50"/>
        <v>#DIV/0!</v>
      </c>
      <c r="O76" s="789"/>
      <c r="P76" s="788"/>
      <c r="Q76" s="790"/>
      <c r="R76" s="342" t="e">
        <f t="shared" si="51"/>
        <v>#DIV/0!</v>
      </c>
      <c r="S76" s="341"/>
      <c r="T76" s="252"/>
      <c r="U76" s="253"/>
      <c r="V76" s="342" t="e">
        <f t="shared" ref="V76" si="52">U76/Q76</f>
        <v>#DIV/0!</v>
      </c>
      <c r="W76" s="341"/>
      <c r="X76" s="252"/>
      <c r="Y76" s="253"/>
      <c r="Z76" s="254" t="e">
        <f>Y76/U76</f>
        <v>#DIV/0!</v>
      </c>
    </row>
    <row r="77" spans="2:26" ht="18.75" hidden="1" outlineLevel="1">
      <c r="B77" s="256" t="s">
        <v>160</v>
      </c>
      <c r="C77" s="237"/>
      <c r="D77" s="237"/>
      <c r="E77" s="255" t="e">
        <f>E76/D76</f>
        <v>#DIV/0!</v>
      </c>
      <c r="F77" s="343"/>
      <c r="G77" s="363" t="e">
        <f>G76/E76</f>
        <v>#DIV/0!</v>
      </c>
      <c r="H77" s="255" t="e">
        <f>H76/G76</f>
        <v>#DIV/0!</v>
      </c>
      <c r="I77" s="237"/>
      <c r="J77" s="344"/>
      <c r="K77" s="363" t="e">
        <f>K76/H76</f>
        <v>#DIV/0!</v>
      </c>
      <c r="L77" s="255" t="e">
        <f>L76/K76</f>
        <v>#DIV/0!</v>
      </c>
      <c r="M77" s="237"/>
      <c r="N77" s="237"/>
      <c r="O77" s="363" t="e">
        <f>O76/L76</f>
        <v>#DIV/0!</v>
      </c>
      <c r="P77" s="255" t="e">
        <f>P76/O76</f>
        <v>#DIV/0!</v>
      </c>
      <c r="Q77" s="237"/>
      <c r="R77" s="237"/>
      <c r="S77" s="363" t="e">
        <f>S76/P76</f>
        <v>#DIV/0!</v>
      </c>
      <c r="T77" s="255" t="e">
        <f>T76/S76</f>
        <v>#DIV/0!</v>
      </c>
      <c r="U77" s="237"/>
      <c r="V77" s="237"/>
      <c r="W77" s="363" t="e">
        <f>W76/T76</f>
        <v>#DIV/0!</v>
      </c>
      <c r="X77" s="255" t="e">
        <f>X76/W76</f>
        <v>#DIV/0!</v>
      </c>
      <c r="Y77" s="237"/>
      <c r="Z77" s="237"/>
    </row>
    <row r="78" spans="2:26" ht="18.75" hidden="1" outlineLevel="1">
      <c r="B78" s="256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</row>
    <row r="79" spans="2:26" ht="19.5" hidden="1" thickBot="1">
      <c r="B79" s="793" t="s">
        <v>446</v>
      </c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spans="2:26" ht="37.5" hidden="1">
      <c r="B80" s="238" t="s">
        <v>161</v>
      </c>
      <c r="C80" s="239" t="s">
        <v>1</v>
      </c>
      <c r="D80" s="240"/>
      <c r="E80" s="241"/>
      <c r="F80" s="242"/>
      <c r="G80" s="240"/>
      <c r="H80" s="241"/>
      <c r="I80" s="781"/>
      <c r="J80" s="243" t="e">
        <f>I80/F80</f>
        <v>#DIV/0!</v>
      </c>
      <c r="K80" s="240"/>
      <c r="L80" s="787"/>
      <c r="M80" s="242"/>
      <c r="N80" s="348" t="e">
        <f>M80/I80</f>
        <v>#DIV/0!</v>
      </c>
      <c r="O80" s="240"/>
      <c r="P80" s="241"/>
      <c r="Q80" s="242"/>
      <c r="R80" s="348" t="e">
        <f>Q80/M80</f>
        <v>#DIV/0!</v>
      </c>
      <c r="S80" s="240"/>
      <c r="T80" s="241"/>
      <c r="U80" s="242"/>
      <c r="V80" s="348" t="e">
        <f>U80/Q80</f>
        <v>#DIV/0!</v>
      </c>
      <c r="W80" s="240"/>
      <c r="X80" s="241"/>
      <c r="Y80" s="242"/>
      <c r="Z80" s="243" t="e">
        <f>Y80/U80</f>
        <v>#DIV/0!</v>
      </c>
    </row>
    <row r="81" spans="2:26" ht="38.25" hidden="1" thickBot="1">
      <c r="B81" s="244" t="s">
        <v>183</v>
      </c>
      <c r="C81" s="245" t="s">
        <v>29</v>
      </c>
      <c r="D81" s="246"/>
      <c r="E81" s="247"/>
      <c r="F81" s="248"/>
      <c r="G81" s="397"/>
      <c r="H81" s="398"/>
      <c r="I81" s="782"/>
      <c r="J81" s="249" t="e">
        <f t="shared" ref="J81:J82" si="53">I81/F81</f>
        <v>#DIV/0!</v>
      </c>
      <c r="K81" s="791"/>
      <c r="L81" s="398"/>
      <c r="M81" s="792"/>
      <c r="N81" s="339" t="e">
        <f t="shared" ref="N81:N82" si="54">M81/I81</f>
        <v>#DIV/0!</v>
      </c>
      <c r="O81" s="791"/>
      <c r="P81" s="398"/>
      <c r="Q81" s="792"/>
      <c r="R81" s="339" t="e">
        <f t="shared" ref="R81:R82" si="55">Q81/M81</f>
        <v>#DIV/0!</v>
      </c>
      <c r="S81" s="791"/>
      <c r="T81" s="398"/>
      <c r="U81" s="792"/>
      <c r="V81" s="339" t="e">
        <f t="shared" ref="V81:V82" si="56">U81/Q81</f>
        <v>#DIV/0!</v>
      </c>
      <c r="W81" s="397"/>
      <c r="X81" s="398"/>
      <c r="Y81" s="780"/>
      <c r="Z81" s="249" t="e">
        <f t="shared" ref="Z81:Z82" si="57">Y81/U81</f>
        <v>#DIV/0!</v>
      </c>
    </row>
    <row r="82" spans="2:26" ht="38.25" hidden="1" customHeight="1" thickBot="1">
      <c r="B82" s="250" t="s">
        <v>4</v>
      </c>
      <c r="C82" s="251" t="s">
        <v>19</v>
      </c>
      <c r="D82" s="341"/>
      <c r="E82" s="252"/>
      <c r="F82" s="253"/>
      <c r="G82" s="341"/>
      <c r="H82" s="252"/>
      <c r="I82" s="783"/>
      <c r="J82" s="254" t="e">
        <f t="shared" si="53"/>
        <v>#DIV/0!</v>
      </c>
      <c r="K82" s="789"/>
      <c r="L82" s="788"/>
      <c r="M82" s="790"/>
      <c r="N82" s="342" t="e">
        <f t="shared" si="54"/>
        <v>#DIV/0!</v>
      </c>
      <c r="O82" s="341"/>
      <c r="P82" s="252"/>
      <c r="Q82" s="253"/>
      <c r="R82" s="342" t="e">
        <f t="shared" si="55"/>
        <v>#DIV/0!</v>
      </c>
      <c r="S82" s="341"/>
      <c r="T82" s="252"/>
      <c r="U82" s="253"/>
      <c r="V82" s="342" t="e">
        <f t="shared" si="56"/>
        <v>#DIV/0!</v>
      </c>
      <c r="W82" s="341"/>
      <c r="X82" s="252"/>
      <c r="Y82" s="253"/>
      <c r="Z82" s="254" t="e">
        <f t="shared" si="57"/>
        <v>#DIV/0!</v>
      </c>
    </row>
    <row r="83" spans="2:26" ht="18.75" hidden="1">
      <c r="B83" s="256" t="s">
        <v>160</v>
      </c>
      <c r="C83" s="237"/>
      <c r="D83" s="237"/>
      <c r="E83" s="255" t="e">
        <f>E82/D82</f>
        <v>#DIV/0!</v>
      </c>
      <c r="F83" s="343"/>
      <c r="G83" s="363" t="e">
        <f>G82/E82</f>
        <v>#DIV/0!</v>
      </c>
      <c r="H83" s="255" t="e">
        <f>H82/G82</f>
        <v>#DIV/0!</v>
      </c>
      <c r="I83" s="343"/>
      <c r="J83" s="343"/>
      <c r="K83" s="363" t="e">
        <f>K82/H82</f>
        <v>#DIV/0!</v>
      </c>
      <c r="L83" s="255" t="e">
        <f>L82/K82</f>
        <v>#DIV/0!</v>
      </c>
      <c r="M83" s="237"/>
      <c r="N83" s="344"/>
      <c r="O83" s="363" t="e">
        <f>O82/L82</f>
        <v>#DIV/0!</v>
      </c>
      <c r="P83" s="255" t="e">
        <f>P82/O82</f>
        <v>#DIV/0!</v>
      </c>
      <c r="Q83" s="237"/>
      <c r="R83" s="344"/>
      <c r="S83" s="363" t="e">
        <f>S82/P82</f>
        <v>#DIV/0!</v>
      </c>
      <c r="T83" s="255" t="e">
        <f>T82/S82</f>
        <v>#DIV/0!</v>
      </c>
      <c r="U83" s="237"/>
      <c r="V83" s="344"/>
      <c r="W83" s="363" t="e">
        <f>W82/T82</f>
        <v>#DIV/0!</v>
      </c>
      <c r="X83" s="255" t="e">
        <f>X82/W82</f>
        <v>#DIV/0!</v>
      </c>
      <c r="Y83" s="237"/>
      <c r="Z83" s="344"/>
    </row>
    <row r="84" spans="2:26" ht="18.75" hidden="1">
      <c r="B84" s="256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</row>
    <row r="85" spans="2:26" ht="19.5" hidden="1" thickBot="1">
      <c r="B85" s="793" t="s">
        <v>447</v>
      </c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spans="2:26" ht="37.5" hidden="1">
      <c r="B86" s="238" t="s">
        <v>161</v>
      </c>
      <c r="C86" s="239" t="s">
        <v>1</v>
      </c>
      <c r="D86" s="240"/>
      <c r="E86" s="241"/>
      <c r="F86" s="242"/>
      <c r="G86" s="240"/>
      <c r="H86" s="241"/>
      <c r="I86" s="781"/>
      <c r="J86" s="243" t="e">
        <f>I86/F86</f>
        <v>#DIV/0!</v>
      </c>
      <c r="K86" s="240"/>
      <c r="L86" s="787"/>
      <c r="M86" s="242"/>
      <c r="N86" s="348" t="e">
        <f>M86/I86</f>
        <v>#DIV/0!</v>
      </c>
      <c r="O86" s="240"/>
      <c r="P86" s="241"/>
      <c r="Q86" s="242"/>
      <c r="R86" s="348" t="e">
        <f>Q86/M86</f>
        <v>#DIV/0!</v>
      </c>
      <c r="S86" s="240"/>
      <c r="T86" s="241"/>
      <c r="U86" s="242"/>
      <c r="V86" s="348" t="e">
        <f>U86/Q86</f>
        <v>#DIV/0!</v>
      </c>
      <c r="W86" s="240"/>
      <c r="X86" s="241"/>
      <c r="Y86" s="242"/>
      <c r="Z86" s="243" t="e">
        <f>Y86/U86</f>
        <v>#DIV/0!</v>
      </c>
    </row>
    <row r="87" spans="2:26" ht="38.25" hidden="1" thickBot="1">
      <c r="B87" s="244" t="s">
        <v>183</v>
      </c>
      <c r="C87" s="245" t="s">
        <v>29</v>
      </c>
      <c r="D87" s="246"/>
      <c r="E87" s="247"/>
      <c r="F87" s="248"/>
      <c r="G87" s="397"/>
      <c r="H87" s="398"/>
      <c r="I87" s="782"/>
      <c r="J87" s="249" t="e">
        <f t="shared" ref="J87:J88" si="58">I87/F87</f>
        <v>#DIV/0!</v>
      </c>
      <c r="K87" s="791"/>
      <c r="L87" s="398"/>
      <c r="M87" s="792"/>
      <c r="N87" s="339" t="e">
        <f t="shared" ref="N87:N88" si="59">M87/I87</f>
        <v>#DIV/0!</v>
      </c>
      <c r="O87" s="791"/>
      <c r="P87" s="398"/>
      <c r="Q87" s="792"/>
      <c r="R87" s="339" t="e">
        <f t="shared" ref="R87:R88" si="60">Q87/M87</f>
        <v>#DIV/0!</v>
      </c>
      <c r="S87" s="791"/>
      <c r="T87" s="398"/>
      <c r="U87" s="792"/>
      <c r="V87" s="339" t="e">
        <f t="shared" ref="V87:V88" si="61">U87/Q87</f>
        <v>#DIV/0!</v>
      </c>
      <c r="W87" s="397"/>
      <c r="X87" s="398"/>
      <c r="Y87" s="780"/>
      <c r="Z87" s="249" t="e">
        <f t="shared" ref="Z87:Z88" si="62">Y87/U87</f>
        <v>#DIV/0!</v>
      </c>
    </row>
    <row r="88" spans="2:26" ht="38.25" hidden="1" customHeight="1" thickBot="1">
      <c r="B88" s="250" t="s">
        <v>4</v>
      </c>
      <c r="C88" s="251" t="s">
        <v>19</v>
      </c>
      <c r="D88" s="341"/>
      <c r="E88" s="252"/>
      <c r="F88" s="253"/>
      <c r="G88" s="341"/>
      <c r="H88" s="252"/>
      <c r="I88" s="783"/>
      <c r="J88" s="254" t="e">
        <f t="shared" si="58"/>
        <v>#DIV/0!</v>
      </c>
      <c r="K88" s="789"/>
      <c r="L88" s="788"/>
      <c r="M88" s="790"/>
      <c r="N88" s="342" t="e">
        <f t="shared" si="59"/>
        <v>#DIV/0!</v>
      </c>
      <c r="O88" s="341"/>
      <c r="P88" s="252"/>
      <c r="Q88" s="253"/>
      <c r="R88" s="342" t="e">
        <f t="shared" si="60"/>
        <v>#DIV/0!</v>
      </c>
      <c r="S88" s="341"/>
      <c r="T88" s="252"/>
      <c r="U88" s="253"/>
      <c r="V88" s="342" t="e">
        <f t="shared" si="61"/>
        <v>#DIV/0!</v>
      </c>
      <c r="W88" s="341"/>
      <c r="X88" s="252"/>
      <c r="Y88" s="253"/>
      <c r="Z88" s="254" t="e">
        <f t="shared" si="62"/>
        <v>#DIV/0!</v>
      </c>
    </row>
    <row r="89" spans="2:26" ht="18.75" hidden="1">
      <c r="B89" s="256" t="s">
        <v>160</v>
      </c>
      <c r="C89" s="237"/>
      <c r="D89" s="237"/>
      <c r="E89" s="255" t="e">
        <f>E88/D88</f>
        <v>#DIV/0!</v>
      </c>
      <c r="F89" s="343"/>
      <c r="G89" s="363" t="e">
        <f>G88/E88</f>
        <v>#DIV/0!</v>
      </c>
      <c r="H89" s="255" t="e">
        <f>H88/G88</f>
        <v>#DIV/0!</v>
      </c>
      <c r="I89" s="343"/>
      <c r="J89" s="343"/>
      <c r="K89" s="363" t="e">
        <f>K88/H88</f>
        <v>#DIV/0!</v>
      </c>
      <c r="L89" s="255" t="e">
        <f>L88/K88</f>
        <v>#DIV/0!</v>
      </c>
      <c r="M89" s="237"/>
      <c r="N89" s="344"/>
      <c r="O89" s="363" t="e">
        <f>O88/L88</f>
        <v>#DIV/0!</v>
      </c>
      <c r="P89" s="255" t="e">
        <f>P88/O88</f>
        <v>#DIV/0!</v>
      </c>
      <c r="Q89" s="237"/>
      <c r="R89" s="344"/>
      <c r="S89" s="363" t="e">
        <f>S88/P88</f>
        <v>#DIV/0!</v>
      </c>
      <c r="T89" s="255" t="e">
        <f>T88/S88</f>
        <v>#DIV/0!</v>
      </c>
      <c r="U89" s="237"/>
      <c r="V89" s="344"/>
      <c r="W89" s="363" t="e">
        <f>W88/T88</f>
        <v>#DIV/0!</v>
      </c>
      <c r="X89" s="255" t="e">
        <f>X88/W88</f>
        <v>#DIV/0!</v>
      </c>
      <c r="Y89" s="237"/>
      <c r="Z89" s="344"/>
    </row>
    <row r="90" spans="2:26" ht="18.75" outlineLevel="1">
      <c r="B90" s="256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</row>
    <row r="91" spans="2:26" ht="19.5" outlineLevel="1" thickBot="1">
      <c r="B91" s="346" t="s">
        <v>476</v>
      </c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2:26" ht="37.5" outlineLevel="1">
      <c r="B92" s="238" t="s">
        <v>72</v>
      </c>
      <c r="C92" s="347" t="s">
        <v>1</v>
      </c>
      <c r="D92" s="240"/>
      <c r="E92" s="241"/>
      <c r="F92" s="781"/>
      <c r="G92" s="240">
        <f>G31+G12</f>
        <v>18975.150000000001</v>
      </c>
      <c r="H92" s="241">
        <f>H31+H12</f>
        <v>13753.858999999999</v>
      </c>
      <c r="I92" s="242">
        <f>I31+I12</f>
        <v>32729.009000000002</v>
      </c>
      <c r="J92" s="348"/>
      <c r="K92" s="240">
        <f>K31+K12</f>
        <v>19920.91</v>
      </c>
      <c r="L92" s="241">
        <f>L31+L12</f>
        <v>13754.079999999998</v>
      </c>
      <c r="M92" s="242">
        <f>M31+M12</f>
        <v>33674.99</v>
      </c>
      <c r="N92" s="348">
        <f>M92/I92</f>
        <v>1.0289034415921361</v>
      </c>
      <c r="O92" s="240">
        <f>O31+O12</f>
        <v>20044.189999999999</v>
      </c>
      <c r="P92" s="241">
        <f>P31+P12</f>
        <v>14508.599999999999</v>
      </c>
      <c r="Q92" s="242">
        <f>Q31+Q12</f>
        <v>34552.79</v>
      </c>
      <c r="R92" s="348">
        <f>Q92/M92</f>
        <v>1.0260668228854708</v>
      </c>
      <c r="S92" s="240">
        <f>S31+S12</f>
        <v>21144.29</v>
      </c>
      <c r="T92" s="241">
        <f>T31+T12</f>
        <v>14651.659999999994</v>
      </c>
      <c r="U92" s="242">
        <f>U31+U12</f>
        <v>35795.949999999997</v>
      </c>
      <c r="V92" s="348">
        <f>U92/Q92</f>
        <v>1.035978570760856</v>
      </c>
      <c r="W92" s="240">
        <f>W31+W12</f>
        <v>21350.37</v>
      </c>
      <c r="X92" s="241">
        <f>X31+X12</f>
        <v>15560.699999999995</v>
      </c>
      <c r="Y92" s="242">
        <f>Y31+Y12</f>
        <v>36911.069999999992</v>
      </c>
      <c r="Z92" s="992">
        <f>Y92/U92</f>
        <v>1.0311521275451552</v>
      </c>
    </row>
    <row r="93" spans="2:26" ht="38.25" outlineLevel="1" thickBot="1">
      <c r="B93" s="337" t="s">
        <v>184</v>
      </c>
      <c r="C93" s="338" t="s">
        <v>13</v>
      </c>
      <c r="D93" s="246"/>
      <c r="E93" s="247"/>
      <c r="F93" s="1252"/>
      <c r="G93" s="981">
        <f>индексы!E89</f>
        <v>15859</v>
      </c>
      <c r="H93" s="398">
        <f>индексы!F89</f>
        <v>10882</v>
      </c>
      <c r="I93" s="982">
        <f>G93+H93</f>
        <v>26741</v>
      </c>
      <c r="J93" s="339"/>
      <c r="K93" s="981">
        <f>G93</f>
        <v>15859</v>
      </c>
      <c r="L93" s="398">
        <f>H93</f>
        <v>10882</v>
      </c>
      <c r="M93" s="982">
        <f>K93+L93</f>
        <v>26741</v>
      </c>
      <c r="N93" s="339">
        <f t="shared" ref="N93:N94" si="63">M93/I93</f>
        <v>1</v>
      </c>
      <c r="O93" s="981">
        <f>K93</f>
        <v>15859</v>
      </c>
      <c r="P93" s="398">
        <f>L93</f>
        <v>10882</v>
      </c>
      <c r="Q93" s="982">
        <f>O93+P93</f>
        <v>26741</v>
      </c>
      <c r="R93" s="339">
        <f t="shared" ref="R93:R94" si="64">Q93/M93</f>
        <v>1</v>
      </c>
      <c r="S93" s="981">
        <f>O93</f>
        <v>15859</v>
      </c>
      <c r="T93" s="398">
        <f>P93</f>
        <v>10882</v>
      </c>
      <c r="U93" s="982">
        <f>S93+T93</f>
        <v>26741</v>
      </c>
      <c r="V93" s="339">
        <f t="shared" ref="V93:V94" si="65">U93/Q93</f>
        <v>1</v>
      </c>
      <c r="W93" s="981">
        <f>S93</f>
        <v>15859</v>
      </c>
      <c r="X93" s="398">
        <f>T93</f>
        <v>10882</v>
      </c>
      <c r="Y93" s="982">
        <f>W93+X93</f>
        <v>26741</v>
      </c>
      <c r="Z93" s="1253">
        <f t="shared" ref="Z93:Z94" si="66">Y93/U93</f>
        <v>1</v>
      </c>
    </row>
    <row r="94" spans="2:26" ht="38.25" outlineLevel="1" thickBot="1">
      <c r="B94" s="250" t="s">
        <v>4</v>
      </c>
      <c r="C94" s="340" t="s">
        <v>12</v>
      </c>
      <c r="D94" s="341"/>
      <c r="E94" s="252"/>
      <c r="F94" s="253"/>
      <c r="G94" s="789">
        <f>ROUND(G92/G93*1000,2)</f>
        <v>1196.49</v>
      </c>
      <c r="H94" s="788">
        <f>ROUND(H92/H93*1000,2)</f>
        <v>1263.9100000000001</v>
      </c>
      <c r="I94" s="790">
        <f>ROUND(I92/I93*1000,2)</f>
        <v>1223.93</v>
      </c>
      <c r="J94" s="342"/>
      <c r="K94" s="789">
        <f>ROUND(K92/K93*1000,2)</f>
        <v>1256.1300000000001</v>
      </c>
      <c r="L94" s="788">
        <f>ROUND(L92/L93*1000,2)</f>
        <v>1263.93</v>
      </c>
      <c r="M94" s="790">
        <f>ROUND(M92/M93*1000,2)</f>
        <v>1259.3</v>
      </c>
      <c r="N94" s="342">
        <f t="shared" si="63"/>
        <v>1.02889871152762</v>
      </c>
      <c r="O94" s="789">
        <f>ROUND(O92/O93*1000,2)</f>
        <v>1263.9000000000001</v>
      </c>
      <c r="P94" s="788">
        <f>ROUND(P92/P93*1000,2)</f>
        <v>1333.27</v>
      </c>
      <c r="Q94" s="790">
        <f>ROUND(Q92/Q93*1000,2)</f>
        <v>1292.1300000000001</v>
      </c>
      <c r="R94" s="342">
        <f t="shared" si="64"/>
        <v>1.026070038910506</v>
      </c>
      <c r="S94" s="789">
        <f>ROUND(S92/S93*1000,2)</f>
        <v>1333.27</v>
      </c>
      <c r="T94" s="788">
        <f>ROUND(T92/T93*1000,2)</f>
        <v>1346.41</v>
      </c>
      <c r="U94" s="790">
        <f>ROUND(U92/U93*1000,2)</f>
        <v>1338.62</v>
      </c>
      <c r="V94" s="342">
        <f t="shared" si="65"/>
        <v>1.035979351922794</v>
      </c>
      <c r="W94" s="789">
        <f>ROUND(W92/W93*1000,2)</f>
        <v>1346.26</v>
      </c>
      <c r="X94" s="788">
        <f>ROUND(X92/X93*1000,2)</f>
        <v>1429.95</v>
      </c>
      <c r="Y94" s="790">
        <f>ROUND(Y92/Y93*1000,2)</f>
        <v>1380.32</v>
      </c>
      <c r="Z94" s="254">
        <f t="shared" si="66"/>
        <v>1.0311514843644949</v>
      </c>
    </row>
    <row r="95" spans="2:26" ht="18.75" outlineLevel="1">
      <c r="B95" s="256" t="s">
        <v>160</v>
      </c>
      <c r="C95" s="237"/>
      <c r="D95" s="237"/>
      <c r="E95" s="255"/>
      <c r="F95" s="343"/>
      <c r="G95" s="363"/>
      <c r="H95" s="255">
        <f>H94/G94</f>
        <v>1.0563481516769886</v>
      </c>
      <c r="I95" s="237"/>
      <c r="J95" s="344"/>
      <c r="K95" s="363">
        <f>K94/H94</f>
        <v>0.99384449842156486</v>
      </c>
      <c r="L95" s="255">
        <f>L94/K94</f>
        <v>1.0062095483747702</v>
      </c>
      <c r="M95" s="237"/>
      <c r="N95" s="237"/>
      <c r="O95" s="363">
        <f>O94/L94</f>
        <v>0.99997626450831933</v>
      </c>
      <c r="P95" s="255">
        <f>P94/O94</f>
        <v>1.0548856713347574</v>
      </c>
      <c r="Q95" s="237"/>
      <c r="R95" s="237"/>
      <c r="S95" s="363">
        <f>S94/P94</f>
        <v>1</v>
      </c>
      <c r="T95" s="255">
        <f>T94/S94</f>
        <v>1.0098554681347365</v>
      </c>
      <c r="U95" s="237"/>
      <c r="V95" s="237"/>
      <c r="W95" s="363">
        <f>W94/T94</f>
        <v>0.99988859262780272</v>
      </c>
      <c r="X95" s="255">
        <f>X94/W94</f>
        <v>1.0621648121462421</v>
      </c>
      <c r="Y95" s="237"/>
      <c r="Z95" s="237"/>
    </row>
    <row r="96" spans="2:26" ht="18.75" hidden="1" outlineLevel="1">
      <c r="B96" s="256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</row>
    <row r="97" spans="1:27" ht="18.75" hidden="1" outlineLevel="1">
      <c r="B97" s="256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</row>
    <row r="98" spans="1:27" hidden="1">
      <c r="B98" s="345"/>
      <c r="C98" s="345"/>
      <c r="D98" s="345"/>
      <c r="E98" s="345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</row>
    <row r="99" spans="1:27" s="380" customFormat="1" ht="18.75" hidden="1">
      <c r="A99" s="402"/>
      <c r="B99" s="403" t="s">
        <v>228</v>
      </c>
      <c r="C99" s="403"/>
      <c r="D99" s="404"/>
      <c r="E99" s="404"/>
      <c r="F99" s="404"/>
      <c r="G99" s="404"/>
      <c r="H99" s="404"/>
      <c r="I99" s="404"/>
      <c r="J99" s="404"/>
      <c r="K99" s="404"/>
      <c r="O99" s="404"/>
      <c r="P99" s="404"/>
      <c r="Q99" s="403"/>
      <c r="R99" s="403"/>
    </row>
    <row r="100" spans="1:27" ht="18.75" hidden="1">
      <c r="A100" s="405">
        <v>1</v>
      </c>
      <c r="B100" s="406" t="s">
        <v>229</v>
      </c>
      <c r="C100" s="406"/>
      <c r="D100" s="407"/>
      <c r="L100" s="57"/>
      <c r="M100" s="57"/>
      <c r="N100" s="57"/>
    </row>
    <row r="101" spans="1:27" ht="18.75" hidden="1">
      <c r="A101" s="405">
        <v>2</v>
      </c>
      <c r="B101" s="406" t="s">
        <v>230</v>
      </c>
      <c r="C101" s="406"/>
      <c r="D101" s="407"/>
    </row>
    <row r="103" spans="1:27" ht="16.5" thickBot="1"/>
    <row r="104" spans="1:27" ht="31.5" customHeight="1">
      <c r="B104" s="406"/>
      <c r="C104" s="406"/>
      <c r="D104" s="1193" t="s">
        <v>521</v>
      </c>
      <c r="E104" s="1652" t="s">
        <v>522</v>
      </c>
      <c r="F104" s="1653"/>
      <c r="G104" s="1653"/>
      <c r="I104" s="1193" t="s">
        <v>537</v>
      </c>
      <c r="J104" s="1652" t="s">
        <v>538</v>
      </c>
      <c r="K104" s="1653"/>
      <c r="L104" s="1653"/>
      <c r="N104" s="1193" t="s">
        <v>537</v>
      </c>
      <c r="O104" s="1652" t="s">
        <v>538</v>
      </c>
      <c r="P104" s="1653"/>
      <c r="Q104" s="1653"/>
      <c r="S104" s="1193" t="s">
        <v>537</v>
      </c>
      <c r="T104" s="1652" t="s">
        <v>538</v>
      </c>
      <c r="U104" s="1653"/>
      <c r="V104" s="1653"/>
      <c r="X104" s="1193" t="s">
        <v>537</v>
      </c>
      <c r="Y104" s="1652" t="s">
        <v>538</v>
      </c>
      <c r="Z104" s="1653"/>
      <c r="AA104" s="1653"/>
    </row>
    <row r="105" spans="1:27" ht="108" customHeight="1">
      <c r="B105" s="406"/>
      <c r="C105" s="406"/>
      <c r="D105" s="1667" t="s">
        <v>523</v>
      </c>
      <c r="E105" s="1194" t="s">
        <v>524</v>
      </c>
      <c r="F105" s="1195" t="s">
        <v>525</v>
      </c>
      <c r="G105" s="1646" t="s">
        <v>526</v>
      </c>
      <c r="I105" s="1667" t="s">
        <v>523</v>
      </c>
      <c r="J105" s="1194" t="s">
        <v>524</v>
      </c>
      <c r="K105" s="1195" t="s">
        <v>525</v>
      </c>
      <c r="L105" s="1646" t="s">
        <v>526</v>
      </c>
      <c r="N105" s="1667" t="s">
        <v>523</v>
      </c>
      <c r="O105" s="1194" t="s">
        <v>524</v>
      </c>
      <c r="P105" s="1195" t="s">
        <v>525</v>
      </c>
      <c r="Q105" s="1646" t="s">
        <v>526</v>
      </c>
      <c r="S105" s="1667" t="s">
        <v>523</v>
      </c>
      <c r="T105" s="1194" t="s">
        <v>524</v>
      </c>
      <c r="U105" s="1195" t="s">
        <v>525</v>
      </c>
      <c r="V105" s="1646" t="s">
        <v>526</v>
      </c>
      <c r="X105" s="1667" t="s">
        <v>523</v>
      </c>
      <c r="Y105" s="1194" t="s">
        <v>524</v>
      </c>
      <c r="Z105" s="1195" t="s">
        <v>525</v>
      </c>
      <c r="AA105" s="1646" t="s">
        <v>526</v>
      </c>
    </row>
    <row r="106" spans="1:27" ht="15.75" customHeight="1">
      <c r="D106" s="1667"/>
      <c r="E106" s="1639" t="s">
        <v>527</v>
      </c>
      <c r="F106" s="1641" t="s">
        <v>528</v>
      </c>
      <c r="G106" s="1646"/>
      <c r="I106" s="1667"/>
      <c r="J106" s="1639" t="s">
        <v>527</v>
      </c>
      <c r="K106" s="1641" t="s">
        <v>528</v>
      </c>
      <c r="L106" s="1646"/>
      <c r="N106" s="1667"/>
      <c r="O106" s="1639" t="s">
        <v>527</v>
      </c>
      <c r="P106" s="1641" t="s">
        <v>528</v>
      </c>
      <c r="Q106" s="1646"/>
      <c r="S106" s="1667"/>
      <c r="T106" s="1639" t="s">
        <v>527</v>
      </c>
      <c r="U106" s="1641" t="s">
        <v>528</v>
      </c>
      <c r="V106" s="1646"/>
      <c r="X106" s="1667"/>
      <c r="Y106" s="1639" t="s">
        <v>527</v>
      </c>
      <c r="Z106" s="1641" t="s">
        <v>528</v>
      </c>
      <c r="AA106" s="1646"/>
    </row>
    <row r="107" spans="1:27" ht="16.5" customHeight="1" thickBot="1">
      <c r="D107" s="1649"/>
      <c r="E107" s="1640"/>
      <c r="F107" s="1642"/>
      <c r="G107" s="1647"/>
      <c r="I107" s="1649"/>
      <c r="J107" s="1640"/>
      <c r="K107" s="1642"/>
      <c r="L107" s="1647"/>
      <c r="N107" s="1649"/>
      <c r="O107" s="1640"/>
      <c r="P107" s="1642"/>
      <c r="Q107" s="1647"/>
      <c r="S107" s="1649"/>
      <c r="T107" s="1640"/>
      <c r="U107" s="1642"/>
      <c r="V107" s="1647"/>
      <c r="X107" s="1649"/>
      <c r="Y107" s="1640"/>
      <c r="Z107" s="1642"/>
      <c r="AA107" s="1647"/>
    </row>
    <row r="108" spans="1:27" ht="28.5">
      <c r="B108" s="1643" t="s">
        <v>529</v>
      </c>
      <c r="C108" s="1196" t="s">
        <v>530</v>
      </c>
      <c r="D108" s="1197">
        <v>1193.3399999999999</v>
      </c>
      <c r="E108" s="1198">
        <f>D108</f>
        <v>1193.3399999999999</v>
      </c>
      <c r="F108" s="1199">
        <f>ROUND(F113/F111*1000,2)</f>
        <v>1099.42</v>
      </c>
      <c r="G108" s="1200"/>
      <c r="I108" s="1197">
        <f>I110/1.2</f>
        <v>1260.7850130296301</v>
      </c>
      <c r="J108" s="1198">
        <f>I108</f>
        <v>1260.7850130296301</v>
      </c>
      <c r="K108" s="1199">
        <f>K113/K111*1000</f>
        <v>1157.8860927152316</v>
      </c>
      <c r="L108" s="1200"/>
      <c r="N108" s="1197">
        <f>N110/1.2</f>
        <v>1260.2054781878328</v>
      </c>
      <c r="O108" s="1198">
        <f>N108</f>
        <v>1260.2054781878328</v>
      </c>
      <c r="P108" s="1199">
        <f>P113/P111*1000</f>
        <v>1150.1046357615894</v>
      </c>
      <c r="Q108" s="1200"/>
      <c r="S108" s="1197">
        <f>S110/1.2</f>
        <v>1329.7886304410772</v>
      </c>
      <c r="T108" s="1198">
        <f>ROUND(S108,2)</f>
        <v>1329.79</v>
      </c>
      <c r="U108" s="1199">
        <f>U113/U111*1000</f>
        <v>1215.2781456953644</v>
      </c>
      <c r="V108" s="1200"/>
      <c r="X108" s="1197">
        <f>X110/1.2</f>
        <v>1342.2543046357616</v>
      </c>
      <c r="Y108" s="1198">
        <f>ROUND(X108,2)</f>
        <v>1342.25</v>
      </c>
      <c r="Z108" s="1199">
        <f>Z113/Z111*1000</f>
        <v>1223.1761589403973</v>
      </c>
      <c r="AA108" s="1200"/>
    </row>
    <row r="109" spans="1:27" ht="30.75">
      <c r="B109" s="1644"/>
      <c r="C109" s="1201" t="s">
        <v>531</v>
      </c>
      <c r="D109" s="1202">
        <v>24.91</v>
      </c>
      <c r="E109" s="1203"/>
      <c r="F109" s="1204"/>
      <c r="G109" s="1205">
        <f>D109</f>
        <v>24.91</v>
      </c>
      <c r="I109" s="1202">
        <f>L109</f>
        <v>27.29</v>
      </c>
      <c r="J109" s="1203"/>
      <c r="K109" s="1204"/>
      <c r="L109" s="1205">
        <f>K39</f>
        <v>27.29</v>
      </c>
      <c r="N109" s="1202">
        <f>Q109</f>
        <v>29.2</v>
      </c>
      <c r="O109" s="1203"/>
      <c r="P109" s="1204"/>
      <c r="Q109" s="1205">
        <f>O39</f>
        <v>29.2</v>
      </c>
      <c r="S109" s="1202">
        <f>V109</f>
        <v>30.37</v>
      </c>
      <c r="T109" s="1203"/>
      <c r="U109" s="1204"/>
      <c r="V109" s="1205">
        <f>S39</f>
        <v>30.37</v>
      </c>
      <c r="X109" s="1202">
        <f>AA109</f>
        <v>31.58</v>
      </c>
      <c r="Y109" s="1203"/>
      <c r="Z109" s="1204"/>
      <c r="AA109" s="1205">
        <f>W39</f>
        <v>31.58</v>
      </c>
    </row>
    <row r="110" spans="1:27" ht="42.75">
      <c r="B110" s="1644"/>
      <c r="C110" s="1201" t="s">
        <v>532</v>
      </c>
      <c r="D110" s="1206">
        <v>1408.1412</v>
      </c>
      <c r="E110" s="1229">
        <f>ROUND(E108*1.2,2)</f>
        <v>1432.01</v>
      </c>
      <c r="F110" s="1204"/>
      <c r="G110" s="1207"/>
      <c r="I110" s="1206">
        <f>(H18+H37)/H19*1000*1.2</f>
        <v>1512.9420156355561</v>
      </c>
      <c r="J110" s="1232">
        <f>ROUND(J108*1.2,2)</f>
        <v>1512.94</v>
      </c>
      <c r="K110" s="1204"/>
      <c r="L110" s="1207"/>
      <c r="N110" s="1206">
        <f>(L18+L37)/L19*1000*1.2</f>
        <v>1512.2465738253993</v>
      </c>
      <c r="O110" s="1232">
        <f>ROUND(O108*1.2,2)</f>
        <v>1512.25</v>
      </c>
      <c r="P110" s="1204"/>
      <c r="Q110" s="1207"/>
      <c r="S110" s="1206">
        <f>(P18+P37)/P19*1000*1.2</f>
        <v>1595.7463565292926</v>
      </c>
      <c r="T110" s="1232">
        <f>ROUND(T108*1.2,2)</f>
        <v>1595.75</v>
      </c>
      <c r="U110" s="1204"/>
      <c r="V110" s="1207"/>
      <c r="X110" s="1206">
        <f>(W18+W37)/W19*1000*1.2</f>
        <v>1610.7051655629139</v>
      </c>
      <c r="Y110" s="1232">
        <f>ROUND(Y108*1.2,2)</f>
        <v>1610.7</v>
      </c>
      <c r="Z110" s="1204"/>
      <c r="AA110" s="1207"/>
    </row>
    <row r="111" spans="1:27" ht="28.5">
      <c r="B111" s="1644"/>
      <c r="C111" s="1208" t="s">
        <v>533</v>
      </c>
      <c r="D111" s="1209"/>
      <c r="E111" s="1210">
        <f>F111</f>
        <v>15100</v>
      </c>
      <c r="F111" s="1211">
        <f>индексы!E91</f>
        <v>15100</v>
      </c>
      <c r="G111" s="1211"/>
      <c r="I111" s="1209"/>
      <c r="J111" s="1210">
        <f>K111</f>
        <v>15100</v>
      </c>
      <c r="K111" s="1211">
        <f>F111</f>
        <v>15100</v>
      </c>
      <c r="L111" s="1211"/>
      <c r="N111" s="1209"/>
      <c r="O111" s="1210">
        <f>P111</f>
        <v>15100</v>
      </c>
      <c r="P111" s="1211">
        <f>K111</f>
        <v>15100</v>
      </c>
      <c r="Q111" s="1211"/>
      <c r="S111" s="1209"/>
      <c r="T111" s="1210">
        <f>U111</f>
        <v>15100</v>
      </c>
      <c r="U111" s="1211">
        <f>P111</f>
        <v>15100</v>
      </c>
      <c r="V111" s="1211"/>
      <c r="X111" s="1209"/>
      <c r="Y111" s="1210">
        <f>Z111</f>
        <v>15100</v>
      </c>
      <c r="Z111" s="1211">
        <f>U111</f>
        <v>15100</v>
      </c>
      <c r="AA111" s="1211"/>
    </row>
    <row r="112" spans="1:27" ht="30.75">
      <c r="B112" s="1644"/>
      <c r="C112" s="1208" t="s">
        <v>534</v>
      </c>
      <c r="D112" s="1209"/>
      <c r="E112" s="1210"/>
      <c r="F112" s="1211"/>
      <c r="G112" s="1211">
        <f>ROUND(индексы!E82/индексы!G82*96003,2)</f>
        <v>56935.48</v>
      </c>
      <c r="I112" s="1209"/>
      <c r="J112" s="1210"/>
      <c r="K112" s="1211"/>
      <c r="L112" s="1211">
        <f>G112</f>
        <v>56935.48</v>
      </c>
      <c r="N112" s="1209"/>
      <c r="O112" s="1210"/>
      <c r="P112" s="1211"/>
      <c r="Q112" s="1211">
        <f>L112</f>
        <v>56935.48</v>
      </c>
      <c r="S112" s="1209"/>
      <c r="T112" s="1210"/>
      <c r="U112" s="1211"/>
      <c r="V112" s="1211">
        <f>Q112</f>
        <v>56935.48</v>
      </c>
      <c r="X112" s="1209"/>
      <c r="Y112" s="1210"/>
      <c r="Z112" s="1211"/>
      <c r="AA112" s="1211">
        <f>V112</f>
        <v>56935.48</v>
      </c>
    </row>
    <row r="113" spans="2:27" ht="29.25" thickBot="1">
      <c r="B113" s="1645"/>
      <c r="C113" s="1212" t="s">
        <v>535</v>
      </c>
      <c r="D113" s="1213"/>
      <c r="E113" s="1214">
        <f>ROUND(E108*E111/1000,2)</f>
        <v>18019.43</v>
      </c>
      <c r="F113" s="1215">
        <f>E113-G113</f>
        <v>16601.170000000002</v>
      </c>
      <c r="G113" s="1215">
        <f>ROUND(G109*G112/1000,2)</f>
        <v>1418.26</v>
      </c>
      <c r="I113" s="1213"/>
      <c r="J113" s="1214">
        <f>ROUND(J108*J111/1000,2)</f>
        <v>19037.849999999999</v>
      </c>
      <c r="K113" s="1215">
        <f>J113-L113</f>
        <v>17484.079999999998</v>
      </c>
      <c r="L113" s="1215">
        <f>ROUND(L109*L112/1000,2)</f>
        <v>1553.77</v>
      </c>
      <c r="N113" s="1213"/>
      <c r="O113" s="1214">
        <f>ROUND(O108*O111/1000,2)</f>
        <v>19029.099999999999</v>
      </c>
      <c r="P113" s="1215">
        <f>O113-Q113</f>
        <v>17366.579999999998</v>
      </c>
      <c r="Q113" s="1215">
        <f>ROUND(Q109*Q112/1000,2)</f>
        <v>1662.52</v>
      </c>
      <c r="S113" s="1213"/>
      <c r="T113" s="1214">
        <f>ROUND(T108*T111/1000,2)</f>
        <v>20079.830000000002</v>
      </c>
      <c r="U113" s="1215">
        <f>T113-V113</f>
        <v>18350.7</v>
      </c>
      <c r="V113" s="1215">
        <f>ROUND(V109*V112/1000,2)</f>
        <v>1729.13</v>
      </c>
      <c r="X113" s="1213"/>
      <c r="Y113" s="1214">
        <f>ROUND(Y108*Y111/1000,2)</f>
        <v>20267.98</v>
      </c>
      <c r="Z113" s="1215">
        <f>Y113-AA113</f>
        <v>18469.96</v>
      </c>
      <c r="AA113" s="1215">
        <f>ROUND(AA109*AA112/1000,2)</f>
        <v>1798.02</v>
      </c>
    </row>
    <row r="114" spans="2:27" ht="28.5">
      <c r="B114" s="1643" t="s">
        <v>536</v>
      </c>
      <c r="C114" s="1196" t="s">
        <v>530</v>
      </c>
      <c r="D114" s="1206">
        <v>1099.428413894505</v>
      </c>
      <c r="E114" s="1198">
        <f>E118/E116*1000</f>
        <v>1259.1802516469038</v>
      </c>
      <c r="F114" s="1216">
        <f>ROUND(D114,2)</f>
        <v>1099.43</v>
      </c>
      <c r="G114" s="1217"/>
      <c r="I114" s="1206"/>
      <c r="J114" s="1198"/>
      <c r="K114" s="1216"/>
      <c r="L114" s="1217"/>
      <c r="N114" s="1206"/>
      <c r="O114" s="1198"/>
      <c r="P114" s="1216"/>
      <c r="Q114" s="1217"/>
      <c r="S114" s="1206"/>
      <c r="T114" s="1198"/>
      <c r="U114" s="1216"/>
      <c r="V114" s="1217"/>
      <c r="X114" s="1206"/>
      <c r="Y114" s="1198"/>
      <c r="Z114" s="1216"/>
      <c r="AA114" s="1217"/>
    </row>
    <row r="115" spans="2:27" ht="30.75">
      <c r="B115" s="1644"/>
      <c r="C115" s="1201" t="s">
        <v>531</v>
      </c>
      <c r="D115" s="1206">
        <v>34.74</v>
      </c>
      <c r="E115" s="1203"/>
      <c r="F115" s="1218"/>
      <c r="G115" s="1219">
        <f>D115</f>
        <v>34.74</v>
      </c>
      <c r="I115" s="1206"/>
      <c r="J115" s="1203"/>
      <c r="K115" s="1218"/>
      <c r="L115" s="1219"/>
      <c r="N115" s="1206"/>
      <c r="O115" s="1203"/>
      <c r="P115" s="1218"/>
      <c r="Q115" s="1219"/>
      <c r="S115" s="1206"/>
      <c r="T115" s="1203"/>
      <c r="U115" s="1218"/>
      <c r="V115" s="1219"/>
      <c r="X115" s="1206"/>
      <c r="Y115" s="1203"/>
      <c r="Z115" s="1218"/>
      <c r="AA115" s="1219"/>
    </row>
    <row r="116" spans="2:27" ht="28.5">
      <c r="B116" s="1644"/>
      <c r="C116" s="1208" t="s">
        <v>533</v>
      </c>
      <c r="D116" s="1209"/>
      <c r="E116" s="1210">
        <f>F116</f>
        <v>759</v>
      </c>
      <c r="F116" s="1220">
        <f>индексы!E90</f>
        <v>759</v>
      </c>
      <c r="G116" s="1221"/>
      <c r="I116" s="1209"/>
      <c r="J116" s="1210"/>
      <c r="K116" s="1220"/>
      <c r="L116" s="1221"/>
      <c r="N116" s="1209"/>
      <c r="O116" s="1210"/>
      <c r="P116" s="1220"/>
      <c r="Q116" s="1221"/>
      <c r="S116" s="1209"/>
      <c r="T116" s="1210"/>
      <c r="U116" s="1220"/>
      <c r="V116" s="1221"/>
      <c r="X116" s="1209"/>
      <c r="Y116" s="1210"/>
      <c r="Z116" s="1220"/>
      <c r="AA116" s="1221"/>
    </row>
    <row r="117" spans="2:27" ht="30.75">
      <c r="B117" s="1644"/>
      <c r="C117" s="1208" t="s">
        <v>534</v>
      </c>
      <c r="D117" s="1209"/>
      <c r="E117" s="1222"/>
      <c r="F117" s="1220"/>
      <c r="G117" s="1223">
        <f>ROUND(индексы!E82/индексы!G82*5885,2)</f>
        <v>3490.15</v>
      </c>
      <c r="H117" s="57"/>
      <c r="I117" s="1209"/>
      <c r="J117" s="1222"/>
      <c r="K117" s="1220"/>
      <c r="L117" s="1223"/>
      <c r="N117" s="1209"/>
      <c r="O117" s="1222"/>
      <c r="P117" s="1220"/>
      <c r="Q117" s="1223"/>
      <c r="S117" s="1209"/>
      <c r="T117" s="1222"/>
      <c r="U117" s="1220"/>
      <c r="V117" s="1223"/>
      <c r="X117" s="1209"/>
      <c r="Y117" s="1222"/>
      <c r="Z117" s="1220"/>
      <c r="AA117" s="1223"/>
    </row>
    <row r="118" spans="2:27" ht="29.25" thickBot="1">
      <c r="B118" s="1645"/>
      <c r="C118" s="1212" t="s">
        <v>535</v>
      </c>
      <c r="D118" s="1213"/>
      <c r="E118" s="1224">
        <f>F118+G118</f>
        <v>955.71781099999998</v>
      </c>
      <c r="F118" s="1225">
        <f>ROUND(F114*F116/1000,2)</f>
        <v>834.47</v>
      </c>
      <c r="G118" s="1226">
        <f>G115*G117/1000</f>
        <v>121.24781100000001</v>
      </c>
      <c r="I118" s="1213"/>
      <c r="J118" s="1224"/>
      <c r="K118" s="1225"/>
      <c r="L118" s="1226"/>
      <c r="N118" s="1213"/>
      <c r="O118" s="1224"/>
      <c r="P118" s="1225"/>
      <c r="Q118" s="1226"/>
      <c r="S118" s="1213"/>
      <c r="T118" s="1224"/>
      <c r="U118" s="1225"/>
      <c r="V118" s="1226"/>
      <c r="X118" s="1213"/>
      <c r="Y118" s="1224"/>
      <c r="Z118" s="1225"/>
      <c r="AA118" s="1226"/>
    </row>
    <row r="123" spans="2:27">
      <c r="K123">
        <v>16706.84</v>
      </c>
    </row>
  </sheetData>
  <mergeCells count="40">
    <mergeCell ref="B108:B113"/>
    <mergeCell ref="B114:B118"/>
    <mergeCell ref="E104:G104"/>
    <mergeCell ref="D105:D107"/>
    <mergeCell ref="G105:G107"/>
    <mergeCell ref="E106:E107"/>
    <mergeCell ref="F106:F107"/>
    <mergeCell ref="B3:B4"/>
    <mergeCell ref="R3:R4"/>
    <mergeCell ref="C3:C4"/>
    <mergeCell ref="G3:I3"/>
    <mergeCell ref="K3:M3"/>
    <mergeCell ref="N3:N4"/>
    <mergeCell ref="O3:Q3"/>
    <mergeCell ref="D3:F3"/>
    <mergeCell ref="W3:Y3"/>
    <mergeCell ref="Z3:Z4"/>
    <mergeCell ref="J3:J4"/>
    <mergeCell ref="S3:U3"/>
    <mergeCell ref="V3:V4"/>
    <mergeCell ref="J104:L104"/>
    <mergeCell ref="I105:I107"/>
    <mergeCell ref="L105:L107"/>
    <mergeCell ref="J106:J107"/>
    <mergeCell ref="K106:K107"/>
    <mergeCell ref="O104:Q104"/>
    <mergeCell ref="N105:N107"/>
    <mergeCell ref="Q105:Q107"/>
    <mergeCell ref="O106:O107"/>
    <mergeCell ref="P106:P107"/>
    <mergeCell ref="T104:V104"/>
    <mergeCell ref="S105:S107"/>
    <mergeCell ref="V105:V107"/>
    <mergeCell ref="T106:T107"/>
    <mergeCell ref="U106:U107"/>
    <mergeCell ref="Y104:AA104"/>
    <mergeCell ref="X105:X107"/>
    <mergeCell ref="AA105:AA107"/>
    <mergeCell ref="Y106:Y107"/>
    <mergeCell ref="Z106:Z107"/>
  </mergeCells>
  <pageMargins left="0.23622047244094491" right="0.23622047244094491" top="0.74803149606299213" bottom="0.74803149606299213" header="0.31496062992125984" footer="0.31496062992125984"/>
  <pageSetup paperSize="9" scale="32" orientation="landscape" blackAndWhite="1" r:id="rId1"/>
  <colBreaks count="1" manualBreakCount="1">
    <brk id="14" max="9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79"/>
  <sheetViews>
    <sheetView zoomScale="80" zoomScaleNormal="80" workbookViewId="0">
      <selection activeCell="H7" sqref="H7"/>
    </sheetView>
  </sheetViews>
  <sheetFormatPr defaultRowHeight="15.75"/>
  <cols>
    <col min="2" max="2" width="4.875" customWidth="1"/>
    <col min="3" max="3" width="37.5" customWidth="1"/>
    <col min="4" max="4" width="12.875" style="293" customWidth="1"/>
    <col min="5" max="5" width="12.375" style="290" customWidth="1"/>
    <col min="6" max="6" width="11.5" customWidth="1"/>
    <col min="7" max="7" width="14.5" customWidth="1"/>
    <col min="8" max="8" width="12.75" customWidth="1"/>
    <col min="9" max="9" width="17.125" customWidth="1"/>
    <col min="10" max="10" width="10.875" customWidth="1"/>
    <col min="11" max="13" width="14.75" customWidth="1"/>
    <col min="15" max="15" width="12.375" bestFit="1" customWidth="1"/>
  </cols>
  <sheetData>
    <row r="1" spans="2:23">
      <c r="D1" s="289">
        <f>'Кальк.2019-2023 (ДИ)'!D21</f>
        <v>5281.12</v>
      </c>
      <c r="G1" s="289">
        <f>'Кальк.2019-2023 (ДИ)'!Q21</f>
        <v>3344.2069999999999</v>
      </c>
      <c r="H1" s="289">
        <f>'Кальк.2019-2023 (ДИ)'!R21</f>
        <v>2470.2220000000002</v>
      </c>
      <c r="I1" s="291"/>
      <c r="K1" s="317" t="e">
        <f>G1-K4</f>
        <v>#REF!</v>
      </c>
      <c r="L1" s="317" t="e">
        <f>H1-L4</f>
        <v>#REF!</v>
      </c>
    </row>
    <row r="2" spans="2:23" ht="31.5" customHeight="1">
      <c r="B2" s="1670" t="s">
        <v>83</v>
      </c>
      <c r="C2" s="1670" t="s">
        <v>10</v>
      </c>
      <c r="D2" s="1670" t="s">
        <v>169</v>
      </c>
      <c r="E2" s="1670" t="s">
        <v>170</v>
      </c>
      <c r="F2" s="1668" t="s">
        <v>171</v>
      </c>
      <c r="G2" s="1669"/>
      <c r="H2" s="1669"/>
      <c r="I2" s="1669"/>
      <c r="J2" s="1670" t="s">
        <v>172</v>
      </c>
      <c r="K2" s="1670"/>
      <c r="L2" s="1670"/>
      <c r="M2" s="1670"/>
    </row>
    <row r="3" spans="2:23" ht="22.5" customHeight="1">
      <c r="B3" s="1670"/>
      <c r="C3" s="1670"/>
      <c r="D3" s="1670"/>
      <c r="E3" s="1670"/>
      <c r="F3" s="292" t="s">
        <v>101</v>
      </c>
      <c r="G3" s="293" t="s">
        <v>91</v>
      </c>
      <c r="H3" s="293" t="s">
        <v>41</v>
      </c>
      <c r="I3" s="293" t="s">
        <v>84</v>
      </c>
      <c r="J3" s="293" t="s">
        <v>101</v>
      </c>
      <c r="K3" s="293" t="s">
        <v>91</v>
      </c>
      <c r="L3" s="293" t="s">
        <v>41</v>
      </c>
      <c r="M3" s="293" t="str">
        <f>I3</f>
        <v>Теплоноситель</v>
      </c>
    </row>
    <row r="4" spans="2:23" ht="27" customHeight="1">
      <c r="B4" s="1671" t="s">
        <v>163</v>
      </c>
      <c r="C4" s="1672"/>
      <c r="D4" s="294" t="e">
        <f t="shared" ref="D4:M4" si="0">SUM(D5,D6:D7,D11:D12,D19:D23)</f>
        <v>#REF!</v>
      </c>
      <c r="E4" s="294" t="e">
        <f t="shared" si="0"/>
        <v>#REF!</v>
      </c>
      <c r="F4" s="294" t="e">
        <f t="shared" si="0"/>
        <v>#REF!</v>
      </c>
      <c r="G4" s="294" t="e">
        <f t="shared" si="0"/>
        <v>#REF!</v>
      </c>
      <c r="H4" s="294" t="e">
        <f t="shared" si="0"/>
        <v>#REF!</v>
      </c>
      <c r="I4" s="294">
        <f t="shared" si="0"/>
        <v>0</v>
      </c>
      <c r="J4" s="294" t="e">
        <f t="shared" si="0"/>
        <v>#REF!</v>
      </c>
      <c r="K4" s="294" t="e">
        <f t="shared" si="0"/>
        <v>#REF!</v>
      </c>
      <c r="L4" s="294" t="e">
        <f t="shared" si="0"/>
        <v>#REF!</v>
      </c>
      <c r="M4" s="294" t="e">
        <f t="shared" si="0"/>
        <v>#REF!</v>
      </c>
    </row>
    <row r="5" spans="2:23">
      <c r="B5" s="295">
        <v>1</v>
      </c>
      <c r="C5" s="296" t="s">
        <v>113</v>
      </c>
      <c r="D5" s="297">
        <f>'Кальк.2019-2023 (ДИ)'!D22</f>
        <v>9.08</v>
      </c>
      <c r="E5" s="297">
        <f>'Кальк.2019-2023 (ДИ)'!J22</f>
        <v>52.27</v>
      </c>
      <c r="F5" s="298" t="e">
        <f t="shared" ref="F5:F15" si="1">G5+H5+I5</f>
        <v>#REF!</v>
      </c>
      <c r="G5" s="297"/>
      <c r="H5" s="297" t="e">
        <f>ROUND(#REF!*(1/2+1/2*индексы!$E$8),2)</f>
        <v>#REF!</v>
      </c>
      <c r="I5" s="297"/>
      <c r="J5" s="298" t="e">
        <f t="shared" ref="J5:J24" si="2">K5+L5+M5</f>
        <v>#REF!</v>
      </c>
      <c r="K5" s="297" t="e">
        <f>ROUND(G5*$D$36,2)</f>
        <v>#REF!</v>
      </c>
      <c r="L5" s="297" t="e">
        <f>ROUND(H5*$D$36,2)</f>
        <v>#REF!</v>
      </c>
      <c r="M5" s="297" t="e">
        <f>ROUND(I5*$D$36,2)</f>
        <v>#REF!</v>
      </c>
      <c r="N5" s="299"/>
      <c r="O5" s="317" t="e">
        <f>#REF!</f>
        <v>#REF!</v>
      </c>
      <c r="Q5" s="315" t="e">
        <f>J4/D4</f>
        <v>#REF!</v>
      </c>
      <c r="U5" s="57"/>
      <c r="W5" s="57"/>
    </row>
    <row r="6" spans="2:23">
      <c r="B6" s="295">
        <v>2</v>
      </c>
      <c r="C6" s="296" t="s">
        <v>114</v>
      </c>
      <c r="D6" s="297">
        <f>'Кальк.2019-2023 (ДИ)'!D26</f>
        <v>1884.13</v>
      </c>
      <c r="E6" s="297">
        <f>'Кальк.2019-2023 (ДИ)'!J26</f>
        <v>1939.9</v>
      </c>
      <c r="F6" s="298" t="e">
        <f t="shared" si="1"/>
        <v>#REF!</v>
      </c>
      <c r="G6" s="300"/>
      <c r="H6" s="297" t="e">
        <f>ROUND(#REF!*(1/2+1/2*индексы!$E$8),2)</f>
        <v>#REF!</v>
      </c>
      <c r="I6" s="297"/>
      <c r="J6" s="298" t="e">
        <f t="shared" si="2"/>
        <v>#REF!</v>
      </c>
      <c r="K6" s="297" t="e">
        <f t="shared" ref="K6:M6" si="3">ROUND(G6*$D$36,2)</f>
        <v>#REF!</v>
      </c>
      <c r="L6" s="297" t="e">
        <f t="shared" si="3"/>
        <v>#REF!</v>
      </c>
      <c r="M6" s="297" t="e">
        <f t="shared" si="3"/>
        <v>#REF!</v>
      </c>
      <c r="N6" s="299"/>
      <c r="O6" s="317" t="e">
        <f>#REF!</f>
        <v>#REF!</v>
      </c>
      <c r="U6" s="57"/>
    </row>
    <row r="7" spans="2:23">
      <c r="B7" s="295">
        <v>3</v>
      </c>
      <c r="C7" s="296" t="s">
        <v>115</v>
      </c>
      <c r="D7" s="298">
        <f t="shared" ref="D7:E7" si="4">SUM(D8:D10)</f>
        <v>1139.74</v>
      </c>
      <c r="E7" s="298">
        <f t="shared" si="4"/>
        <v>1580.02</v>
      </c>
      <c r="F7" s="298" t="e">
        <f t="shared" si="1"/>
        <v>#REF!</v>
      </c>
      <c r="G7" s="298" t="e">
        <f>SUM(G8:G10)</f>
        <v>#REF!</v>
      </c>
      <c r="H7" s="298" t="e">
        <f>SUM(H8:H10)</f>
        <v>#REF!</v>
      </c>
      <c r="I7" s="298"/>
      <c r="J7" s="298" t="e">
        <f t="shared" si="2"/>
        <v>#REF!</v>
      </c>
      <c r="K7" s="298" t="e">
        <f>SUM(K8:K10)</f>
        <v>#REF!</v>
      </c>
      <c r="L7" s="298" t="e">
        <f>SUM(L8:L10)</f>
        <v>#REF!</v>
      </c>
      <c r="M7" s="298" t="e">
        <f t="shared" ref="M7" si="5">SUM(M8:M10)</f>
        <v>#REF!</v>
      </c>
      <c r="N7" s="299"/>
      <c r="O7" s="317" t="e">
        <f>#REF!</f>
        <v>#REF!</v>
      </c>
      <c r="U7" s="57"/>
    </row>
    <row r="8" spans="2:23">
      <c r="B8" s="295"/>
      <c r="C8" s="301" t="str">
        <f>[186]Кальк_2014_ЭОР!B17</f>
        <v>основной производственный  персонал</v>
      </c>
      <c r="D8" s="297">
        <f>'Кальк.2019-2023 (ДИ)'!D31</f>
        <v>0</v>
      </c>
      <c r="E8" s="297">
        <f>'Кальк.2019-2023 (ДИ)'!J31</f>
        <v>0</v>
      </c>
      <c r="F8" s="298" t="e">
        <f t="shared" si="1"/>
        <v>#REF!</v>
      </c>
      <c r="G8" s="297" t="e">
        <f>ROUND(G27*G$31*12/1000,2)</f>
        <v>#REF!</v>
      </c>
      <c r="H8" s="297" t="e">
        <f>ROUND(H27*H$31*12/1000,2)</f>
        <v>#REF!</v>
      </c>
      <c r="I8" s="297"/>
      <c r="J8" s="298" t="e">
        <f t="shared" si="2"/>
        <v>#REF!</v>
      </c>
      <c r="K8" s="297" t="e">
        <f t="shared" ref="K8:K11" si="6">ROUND(G8*$D$36,2)</f>
        <v>#REF!</v>
      </c>
      <c r="L8" s="297" t="e">
        <f t="shared" ref="L8:L11" si="7">ROUND(H8*$D$36,2)</f>
        <v>#REF!</v>
      </c>
      <c r="M8" s="297" t="e">
        <f t="shared" ref="M8:M11" si="8">ROUND(I8*$D$36,2)</f>
        <v>#REF!</v>
      </c>
      <c r="N8" s="299"/>
    </row>
    <row r="9" spans="2:23">
      <c r="B9" s="295"/>
      <c r="C9" s="301" t="str">
        <f>[186]Кальк_2014_ЭОР!B19</f>
        <v>цеховый  персонал</v>
      </c>
      <c r="D9" s="297">
        <f>'Кальк.2019-2023 (ДИ)'!D32</f>
        <v>0</v>
      </c>
      <c r="E9" s="297">
        <f>'Кальк.2019-2023 (ДИ)'!J32</f>
        <v>0</v>
      </c>
      <c r="F9" s="298" t="e">
        <f t="shared" si="1"/>
        <v>#REF!</v>
      </c>
      <c r="G9" s="297" t="e">
        <f t="shared" ref="G9:H9" si="9">ROUND(G28*G$31*12/1000,2)</f>
        <v>#REF!</v>
      </c>
      <c r="H9" s="297" t="e">
        <f t="shared" si="9"/>
        <v>#REF!</v>
      </c>
      <c r="I9" s="297"/>
      <c r="J9" s="298" t="e">
        <f t="shared" si="2"/>
        <v>#REF!</v>
      </c>
      <c r="K9" s="297" t="e">
        <f t="shared" si="6"/>
        <v>#REF!</v>
      </c>
      <c r="L9" s="297" t="e">
        <f t="shared" si="7"/>
        <v>#REF!</v>
      </c>
      <c r="M9" s="297" t="e">
        <f t="shared" si="8"/>
        <v>#REF!</v>
      </c>
      <c r="N9" s="299"/>
      <c r="U9" s="57"/>
    </row>
    <row r="10" spans="2:23">
      <c r="B10" s="295"/>
      <c r="C10" s="301" t="str">
        <f>[186]Кальк_2014_ЭОР!B20</f>
        <v>административно-управленческий персонал</v>
      </c>
      <c r="D10" s="297">
        <f>'Кальк.2019-2023 (ДИ)'!D33</f>
        <v>1139.74</v>
      </c>
      <c r="E10" s="297">
        <f>'Кальк.2019-2023 (ДИ)'!J33</f>
        <v>1580.02</v>
      </c>
      <c r="F10" s="298" t="e">
        <f t="shared" si="1"/>
        <v>#REF!</v>
      </c>
      <c r="G10" s="297" t="e">
        <f t="shared" ref="G10:H10" si="10">ROUND(G29*G$31*12/1000,2)</f>
        <v>#REF!</v>
      </c>
      <c r="H10" s="297" t="e">
        <f t="shared" si="10"/>
        <v>#REF!</v>
      </c>
      <c r="I10" s="297"/>
      <c r="J10" s="298" t="e">
        <f t="shared" si="2"/>
        <v>#REF!</v>
      </c>
      <c r="K10" s="297" t="e">
        <f t="shared" si="6"/>
        <v>#REF!</v>
      </c>
      <c r="L10" s="297" t="e">
        <f t="shared" si="7"/>
        <v>#REF!</v>
      </c>
      <c r="M10" s="297" t="e">
        <f t="shared" si="8"/>
        <v>#REF!</v>
      </c>
      <c r="N10" s="299"/>
      <c r="U10" s="57"/>
    </row>
    <row r="11" spans="2:23" ht="38.25">
      <c r="B11" s="295">
        <v>4</v>
      </c>
      <c r="C11" s="296" t="s">
        <v>122</v>
      </c>
      <c r="D11" s="297">
        <f>'Кальк.2019-2023 (ДИ)'!D39</f>
        <v>1802.2199999999998</v>
      </c>
      <c r="E11" s="297">
        <f>'Кальк.2019-2023 (ДИ)'!J39</f>
        <v>1899.7858659985918</v>
      </c>
      <c r="F11" s="298">
        <f t="shared" si="1"/>
        <v>0</v>
      </c>
      <c r="G11" s="297">
        <v>0</v>
      </c>
      <c r="H11" s="297">
        <v>0</v>
      </c>
      <c r="I11" s="297"/>
      <c r="J11" s="298" t="e">
        <f t="shared" si="2"/>
        <v>#REF!</v>
      </c>
      <c r="K11" s="297" t="e">
        <f t="shared" si="6"/>
        <v>#REF!</v>
      </c>
      <c r="L11" s="297" t="e">
        <f t="shared" si="7"/>
        <v>#REF!</v>
      </c>
      <c r="M11" s="297" t="e">
        <f t="shared" si="8"/>
        <v>#REF!</v>
      </c>
      <c r="N11" s="299"/>
      <c r="Q11" s="57" t="e">
        <f>G1-K4</f>
        <v>#REF!</v>
      </c>
      <c r="U11" s="57"/>
    </row>
    <row r="12" spans="2:23" ht="25.5">
      <c r="B12" s="295">
        <v>5</v>
      </c>
      <c r="C12" s="296" t="s">
        <v>164</v>
      </c>
      <c r="D12" s="298" t="e">
        <f>SUM(D13:D18)</f>
        <v>#REF!</v>
      </c>
      <c r="E12" s="298" t="e">
        <f>SUM(E13:E18)</f>
        <v>#REF!</v>
      </c>
      <c r="F12" s="298" t="e">
        <f t="shared" si="1"/>
        <v>#REF!</v>
      </c>
      <c r="G12" s="298" t="e">
        <f t="shared" ref="G12:I12" si="11">SUM(G13:G18)</f>
        <v>#REF!</v>
      </c>
      <c r="H12" s="298" t="e">
        <f t="shared" si="11"/>
        <v>#REF!</v>
      </c>
      <c r="I12" s="298">
        <f t="shared" si="11"/>
        <v>0</v>
      </c>
      <c r="J12" s="298" t="e">
        <f t="shared" si="2"/>
        <v>#REF!</v>
      </c>
      <c r="K12" s="298" t="e">
        <f t="shared" ref="K12:M12" si="12">SUM(K13:K18)</f>
        <v>#REF!</v>
      </c>
      <c r="L12" s="298" t="e">
        <f t="shared" si="12"/>
        <v>#REF!</v>
      </c>
      <c r="M12" s="298" t="e">
        <f t="shared" si="12"/>
        <v>#REF!</v>
      </c>
      <c r="N12" s="299"/>
      <c r="U12" s="57"/>
    </row>
    <row r="13" spans="2:23" ht="27.75" customHeight="1">
      <c r="B13" s="302"/>
      <c r="C13" s="301" t="s">
        <v>85</v>
      </c>
      <c r="D13" s="297">
        <f>'Кальк.2019-2023 (ДИ)'!D43</f>
        <v>0</v>
      </c>
      <c r="E13" s="297">
        <f>'Кальк.2019-2023 (ДИ)'!J43</f>
        <v>10.19</v>
      </c>
      <c r="F13" s="298" t="e">
        <f t="shared" si="1"/>
        <v>#REF!</v>
      </c>
      <c r="G13" s="297" t="e">
        <f>ROUND(#REF!*(1/2+1/2*индексы!$E$8),2)</f>
        <v>#REF!</v>
      </c>
      <c r="H13" s="297" t="e">
        <f>ROUND(#REF!*(1/2+1/2*индексы!$E$8),2)</f>
        <v>#REF!</v>
      </c>
      <c r="I13" s="297"/>
      <c r="J13" s="298" t="e">
        <f t="shared" si="2"/>
        <v>#REF!</v>
      </c>
      <c r="K13" s="297" t="e">
        <f t="shared" ref="K13:K22" si="13">ROUND(G13*$D$36,2)</f>
        <v>#REF!</v>
      </c>
      <c r="L13" s="297" t="e">
        <f t="shared" ref="L13:L22" si="14">ROUND(H13*$D$36,2)</f>
        <v>#REF!</v>
      </c>
      <c r="M13" s="297" t="e">
        <f t="shared" ref="M13:M22" si="15">ROUND(I13*$D$36,2)</f>
        <v>#REF!</v>
      </c>
      <c r="N13" s="299"/>
      <c r="O13" s="317" t="e">
        <f>#REF!</f>
        <v>#REF!</v>
      </c>
      <c r="U13" s="57"/>
    </row>
    <row r="14" spans="2:23" ht="27.75" customHeight="1">
      <c r="B14" s="302"/>
      <c r="C14" s="301" t="s">
        <v>86</v>
      </c>
      <c r="D14" s="297">
        <f>'Кальк.2019-2023 (ДИ)'!D44</f>
        <v>0</v>
      </c>
      <c r="E14" s="297">
        <f>'Кальк.2019-2023 (ДИ)'!J44</f>
        <v>0</v>
      </c>
      <c r="F14" s="298" t="e">
        <f t="shared" si="1"/>
        <v>#REF!</v>
      </c>
      <c r="G14" s="297" t="e">
        <f>ROUND(#REF!*(1/2+1/2*индексы!$E$8),2)</f>
        <v>#REF!</v>
      </c>
      <c r="H14" s="297" t="e">
        <f>ROUND(#REF!*(1/2+1/2*индексы!$E$8),2)</f>
        <v>#REF!</v>
      </c>
      <c r="I14" s="297"/>
      <c r="J14" s="298" t="e">
        <f t="shared" si="2"/>
        <v>#REF!</v>
      </c>
      <c r="K14" s="297" t="e">
        <f t="shared" si="13"/>
        <v>#REF!</v>
      </c>
      <c r="L14" s="297" t="e">
        <f t="shared" si="14"/>
        <v>#REF!</v>
      </c>
      <c r="M14" s="297" t="e">
        <f t="shared" si="15"/>
        <v>#REF!</v>
      </c>
      <c r="N14" s="299"/>
      <c r="O14" s="317" t="e">
        <f>#REF!</f>
        <v>#REF!</v>
      </c>
      <c r="U14" s="57"/>
    </row>
    <row r="15" spans="2:23">
      <c r="B15" s="302"/>
      <c r="C15" s="301" t="s">
        <v>87</v>
      </c>
      <c r="D15" s="297">
        <f>'Кальк.2019-2023 (ДИ)'!D45</f>
        <v>0</v>
      </c>
      <c r="E15" s="297">
        <f>'Кальк.2019-2023 (ДИ)'!J45</f>
        <v>0</v>
      </c>
      <c r="F15" s="298" t="e">
        <f t="shared" si="1"/>
        <v>#REF!</v>
      </c>
      <c r="G15" s="297" t="e">
        <f>ROUND(#REF!*(1/2+1/2*индексы!$E$8),2)</f>
        <v>#REF!</v>
      </c>
      <c r="H15" s="297" t="e">
        <f>ROUND(#REF!*(1/2+1/2*индексы!$E$8),2)</f>
        <v>#REF!</v>
      </c>
      <c r="I15" s="297"/>
      <c r="J15" s="298" t="e">
        <f t="shared" si="2"/>
        <v>#REF!</v>
      </c>
      <c r="K15" s="297" t="e">
        <f t="shared" si="13"/>
        <v>#REF!</v>
      </c>
      <c r="L15" s="297" t="e">
        <f t="shared" si="14"/>
        <v>#REF!</v>
      </c>
      <c r="M15" s="297" t="e">
        <f t="shared" si="15"/>
        <v>#REF!</v>
      </c>
      <c r="N15" s="299"/>
      <c r="O15" s="317" t="e">
        <f>#REF!</f>
        <v>#REF!</v>
      </c>
    </row>
    <row r="16" spans="2:23">
      <c r="B16" s="302"/>
      <c r="C16" s="301" t="s">
        <v>88</v>
      </c>
      <c r="D16" s="297" t="e">
        <f>'Кальк.2019-2023 (ДИ)'!#REF!</f>
        <v>#REF!</v>
      </c>
      <c r="E16" s="297" t="e">
        <f>'Кальк.2019-2023 (ДИ)'!#REF!</f>
        <v>#REF!</v>
      </c>
      <c r="F16" s="298" t="e">
        <f t="shared" ref="F16:F17" si="16">G16+H16+I16</f>
        <v>#REF!</v>
      </c>
      <c r="G16" s="297" t="e">
        <f>ROUND(#REF!*(1/2+1/2*индексы!$E$8),2)</f>
        <v>#REF!</v>
      </c>
      <c r="H16" s="297" t="e">
        <f>ROUND(#REF!*(1/2+1/2*индексы!$E$8),2)</f>
        <v>#REF!</v>
      </c>
      <c r="I16" s="297"/>
      <c r="J16" s="298" t="e">
        <f t="shared" si="2"/>
        <v>#REF!</v>
      </c>
      <c r="K16" s="297" t="e">
        <f t="shared" si="13"/>
        <v>#REF!</v>
      </c>
      <c r="L16" s="297" t="e">
        <f t="shared" si="14"/>
        <v>#REF!</v>
      </c>
      <c r="M16" s="297" t="e">
        <f t="shared" si="15"/>
        <v>#REF!</v>
      </c>
      <c r="N16" s="299"/>
      <c r="O16" s="317" t="e">
        <f>#REF!</f>
        <v>#REF!</v>
      </c>
    </row>
    <row r="17" spans="2:16">
      <c r="B17" s="302"/>
      <c r="C17" s="301" t="s">
        <v>89</v>
      </c>
      <c r="D17" s="297" t="e">
        <f>'Кальк.2019-2023 (ДИ)'!#REF!</f>
        <v>#REF!</v>
      </c>
      <c r="E17" s="297" t="e">
        <f>'Кальк.2019-2023 (ДИ)'!#REF!</f>
        <v>#REF!</v>
      </c>
      <c r="F17" s="298" t="e">
        <f t="shared" si="16"/>
        <v>#REF!</v>
      </c>
      <c r="G17" s="297" t="e">
        <f>ROUND(#REF!*(1/2+1/2*индексы!$E$8),2)</f>
        <v>#REF!</v>
      </c>
      <c r="H17" s="297" t="e">
        <f>ROUND(#REF!*(1/2+1/2*индексы!$E$8),2)</f>
        <v>#REF!</v>
      </c>
      <c r="I17" s="297"/>
      <c r="J17" s="298" t="e">
        <f t="shared" si="2"/>
        <v>#REF!</v>
      </c>
      <c r="K17" s="297" t="e">
        <f t="shared" si="13"/>
        <v>#REF!</v>
      </c>
      <c r="L17" s="297" t="e">
        <f t="shared" si="14"/>
        <v>#REF!</v>
      </c>
      <c r="M17" s="297" t="e">
        <f t="shared" si="15"/>
        <v>#REF!</v>
      </c>
      <c r="N17" s="299"/>
      <c r="O17" s="317" t="e">
        <f>#REF!</f>
        <v>#REF!</v>
      </c>
    </row>
    <row r="18" spans="2:16" ht="25.5">
      <c r="B18" s="302"/>
      <c r="C18" s="301" t="s">
        <v>81</v>
      </c>
      <c r="D18" s="297" t="e">
        <f>'Кальк.2019-2023 (ДИ)'!#REF!</f>
        <v>#REF!</v>
      </c>
      <c r="E18" s="297" t="e">
        <f>'Кальк.2019-2023 (ДИ)'!#REF!</f>
        <v>#REF!</v>
      </c>
      <c r="F18" s="298" t="e">
        <f t="shared" ref="F18:F24" si="17">G18+H18+I18</f>
        <v>#REF!</v>
      </c>
      <c r="G18" s="297" t="e">
        <f>#REF!</f>
        <v>#REF!</v>
      </c>
      <c r="H18" s="297" t="e">
        <f>#REF!</f>
        <v>#REF!</v>
      </c>
      <c r="I18" s="297"/>
      <c r="J18" s="298" t="e">
        <f t="shared" si="2"/>
        <v>#REF!</v>
      </c>
      <c r="K18" s="297" t="e">
        <f t="shared" si="13"/>
        <v>#REF!</v>
      </c>
      <c r="L18" s="297" t="e">
        <f t="shared" si="14"/>
        <v>#REF!</v>
      </c>
      <c r="M18" s="297" t="e">
        <f t="shared" si="15"/>
        <v>#REF!</v>
      </c>
      <c r="N18" s="299"/>
      <c r="O18" s="317" t="e">
        <f>#REF!</f>
        <v>#REF!</v>
      </c>
    </row>
    <row r="19" spans="2:16">
      <c r="B19" s="302">
        <v>6</v>
      </c>
      <c r="C19" s="303" t="s">
        <v>124</v>
      </c>
      <c r="D19" s="297"/>
      <c r="E19" s="297"/>
      <c r="F19" s="298">
        <f t="shared" si="17"/>
        <v>0</v>
      </c>
      <c r="G19" s="297"/>
      <c r="H19" s="297"/>
      <c r="I19" s="297"/>
      <c r="J19" s="298" t="e">
        <f t="shared" si="2"/>
        <v>#REF!</v>
      </c>
      <c r="K19" s="297" t="e">
        <f t="shared" si="13"/>
        <v>#REF!</v>
      </c>
      <c r="L19" s="297" t="e">
        <f t="shared" si="14"/>
        <v>#REF!</v>
      </c>
      <c r="M19" s="297" t="e">
        <f t="shared" si="15"/>
        <v>#REF!</v>
      </c>
      <c r="N19" s="299"/>
      <c r="P19" s="316"/>
    </row>
    <row r="20" spans="2:16">
      <c r="B20" s="302" t="s">
        <v>37</v>
      </c>
      <c r="C20" s="303" t="s">
        <v>125</v>
      </c>
      <c r="D20" s="297"/>
      <c r="E20" s="297"/>
      <c r="F20" s="298">
        <f t="shared" si="17"/>
        <v>0</v>
      </c>
      <c r="G20" s="297"/>
      <c r="H20" s="297"/>
      <c r="I20" s="297"/>
      <c r="J20" s="298" t="e">
        <f t="shared" si="2"/>
        <v>#REF!</v>
      </c>
      <c r="K20" s="297" t="e">
        <f t="shared" si="13"/>
        <v>#REF!</v>
      </c>
      <c r="L20" s="297" t="e">
        <f t="shared" si="14"/>
        <v>#REF!</v>
      </c>
      <c r="M20" s="297" t="e">
        <f t="shared" si="15"/>
        <v>#REF!</v>
      </c>
      <c r="N20" s="299"/>
    </row>
    <row r="21" spans="2:16">
      <c r="B21" s="302" t="s">
        <v>60</v>
      </c>
      <c r="C21" s="303" t="s">
        <v>126</v>
      </c>
      <c r="D21" s="297"/>
      <c r="E21" s="297"/>
      <c r="F21" s="298">
        <f t="shared" si="17"/>
        <v>0</v>
      </c>
      <c r="G21" s="297"/>
      <c r="H21" s="297"/>
      <c r="I21" s="297"/>
      <c r="J21" s="298" t="e">
        <f t="shared" si="2"/>
        <v>#REF!</v>
      </c>
      <c r="K21" s="297" t="e">
        <f t="shared" si="13"/>
        <v>#REF!</v>
      </c>
      <c r="L21" s="297" t="e">
        <f t="shared" si="14"/>
        <v>#REF!</v>
      </c>
      <c r="M21" s="297" t="e">
        <f t="shared" si="15"/>
        <v>#REF!</v>
      </c>
      <c r="N21" s="299"/>
    </row>
    <row r="22" spans="2:16">
      <c r="B22" s="302" t="s">
        <v>73</v>
      </c>
      <c r="C22" s="303" t="s">
        <v>127</v>
      </c>
      <c r="D22" s="297">
        <f>'Кальк.2019-2023 (ДИ)'!D54</f>
        <v>38.31</v>
      </c>
      <c r="E22" s="297">
        <f>'Кальк.2019-2023 (ДИ)'!J54</f>
        <v>125.10000000000001</v>
      </c>
      <c r="F22" s="298" t="e">
        <f t="shared" si="17"/>
        <v>#REF!</v>
      </c>
      <c r="G22" s="297" t="e">
        <f>ROUND(#REF!*(1/2+1/2*индексы!$E$8),2)</f>
        <v>#REF!</v>
      </c>
      <c r="H22" s="297" t="e">
        <f>ROUND(#REF!*(1/2+1/2*индексы!$E$8),2)</f>
        <v>#REF!</v>
      </c>
      <c r="I22" s="297"/>
      <c r="J22" s="298" t="e">
        <f t="shared" si="2"/>
        <v>#REF!</v>
      </c>
      <c r="K22" s="297" t="e">
        <f t="shared" si="13"/>
        <v>#REF!</v>
      </c>
      <c r="L22" s="297" t="e">
        <f t="shared" si="14"/>
        <v>#REF!</v>
      </c>
      <c r="M22" s="297" t="e">
        <f t="shared" si="15"/>
        <v>#REF!</v>
      </c>
      <c r="N22" s="299"/>
    </row>
    <row r="23" spans="2:16" ht="25.5">
      <c r="B23" s="304" t="s">
        <v>74</v>
      </c>
      <c r="C23" s="303" t="s">
        <v>165</v>
      </c>
      <c r="D23" s="298">
        <f>D24</f>
        <v>0</v>
      </c>
      <c r="E23" s="298">
        <f>E24</f>
        <v>0</v>
      </c>
      <c r="F23" s="298">
        <f t="shared" si="17"/>
        <v>0</v>
      </c>
      <c r="G23" s="298">
        <f t="shared" ref="G23:I23" si="18">G24</f>
        <v>0</v>
      </c>
      <c r="H23" s="298">
        <f t="shared" si="18"/>
        <v>0</v>
      </c>
      <c r="I23" s="298">
        <f t="shared" si="18"/>
        <v>0</v>
      </c>
      <c r="J23" s="298" t="e">
        <f t="shared" si="2"/>
        <v>#REF!</v>
      </c>
      <c r="K23" s="298" t="e">
        <f t="shared" ref="K23:L23" si="19">K24</f>
        <v>#REF!</v>
      </c>
      <c r="L23" s="298" t="e">
        <f t="shared" si="19"/>
        <v>#REF!</v>
      </c>
      <c r="M23" s="298"/>
      <c r="N23" s="299"/>
    </row>
    <row r="24" spans="2:16">
      <c r="B24" s="304"/>
      <c r="C24" s="301" t="str">
        <f>'[187]Кальк_2014-2016'!B30</f>
        <v>услуги банка</v>
      </c>
      <c r="D24" s="297"/>
      <c r="E24" s="297"/>
      <c r="F24" s="298">
        <f t="shared" si="17"/>
        <v>0</v>
      </c>
      <c r="G24" s="297"/>
      <c r="H24" s="297"/>
      <c r="I24" s="297"/>
      <c r="J24" s="298" t="e">
        <f t="shared" si="2"/>
        <v>#REF!</v>
      </c>
      <c r="K24" s="297" t="e">
        <f>ROUND(G24*$D$36,2)</f>
        <v>#REF!</v>
      </c>
      <c r="L24" s="297" t="e">
        <f>ROUND(H24*$D$36,2)</f>
        <v>#REF!</v>
      </c>
      <c r="M24" s="297" t="e">
        <f>ROUND(I24*$D$36,2)</f>
        <v>#REF!</v>
      </c>
      <c r="N24" s="299"/>
    </row>
    <row r="25" spans="2:16" s="309" customFormat="1">
      <c r="B25" s="305"/>
      <c r="C25" s="306"/>
      <c r="D25" s="307"/>
      <c r="E25" s="307"/>
      <c r="F25" s="308"/>
      <c r="G25" s="308"/>
      <c r="H25" s="308"/>
      <c r="I25" s="308"/>
    </row>
    <row r="26" spans="2:16" s="309" customFormat="1">
      <c r="B26" s="305"/>
      <c r="C26" s="310" t="s">
        <v>33</v>
      </c>
      <c r="D26" s="307"/>
      <c r="E26" s="307"/>
      <c r="F26" s="308"/>
      <c r="G26" s="308"/>
      <c r="H26" s="308"/>
      <c r="I26" s="308"/>
    </row>
    <row r="27" spans="2:16">
      <c r="B27" s="311"/>
      <c r="C27" s="312" t="s">
        <v>6</v>
      </c>
      <c r="D27" s="297">
        <f>'Кальк.2019-2023 (ДИ)'!D35</f>
        <v>0</v>
      </c>
      <c r="E27" s="297">
        <f>'Кальк.2019-2023 (ДИ)'!J35</f>
        <v>0</v>
      </c>
      <c r="F27" s="298" t="e">
        <f>G27+H27</f>
        <v>#REF!</v>
      </c>
      <c r="G27" s="297" t="e">
        <f>#REF!</f>
        <v>#REF!</v>
      </c>
      <c r="H27" s="297" t="e">
        <f>#REF!</f>
        <v>#REF!</v>
      </c>
      <c r="I27" s="297"/>
      <c r="J27" s="298" t="e">
        <f>K27+L27</f>
        <v>#REF!</v>
      </c>
      <c r="K27" s="297" t="e">
        <f>G27</f>
        <v>#REF!</v>
      </c>
      <c r="L27" s="297" t="e">
        <f>H27</f>
        <v>#REF!</v>
      </c>
      <c r="M27" s="297"/>
    </row>
    <row r="28" spans="2:16">
      <c r="B28" s="311"/>
      <c r="C28" s="312" t="s">
        <v>40</v>
      </c>
      <c r="D28" s="297">
        <f>'Кальк.2019-2023 (ДИ)'!D36</f>
        <v>0</v>
      </c>
      <c r="E28" s="297">
        <f>'Кальк.2019-2023 (ДИ)'!J36</f>
        <v>0</v>
      </c>
      <c r="F28" s="298" t="e">
        <f t="shared" ref="F28:F30" si="20">G28+H28</f>
        <v>#REF!</v>
      </c>
      <c r="G28" s="297" t="e">
        <f>#REF!</f>
        <v>#REF!</v>
      </c>
      <c r="H28" s="297" t="e">
        <f>#REF!</f>
        <v>#REF!</v>
      </c>
      <c r="I28" s="297"/>
      <c r="J28" s="298" t="e">
        <f t="shared" ref="J28:J30" si="21">K28+L28</f>
        <v>#REF!</v>
      </c>
      <c r="K28" s="297" t="e">
        <f t="shared" ref="K28:L29" si="22">G28</f>
        <v>#REF!</v>
      </c>
      <c r="L28" s="297" t="e">
        <f t="shared" si="22"/>
        <v>#REF!</v>
      </c>
      <c r="M28" s="297"/>
    </row>
    <row r="29" spans="2:16">
      <c r="B29" s="311"/>
      <c r="C29" s="312" t="s">
        <v>59</v>
      </c>
      <c r="D29" s="297">
        <f>'Кальк.2019-2023 (ДИ)'!D37</f>
        <v>4.5</v>
      </c>
      <c r="E29" s="297">
        <f>'Кальк.2019-2023 (ДИ)'!J37</f>
        <v>6</v>
      </c>
      <c r="F29" s="298" t="e">
        <f t="shared" si="20"/>
        <v>#REF!</v>
      </c>
      <c r="G29" s="297" t="e">
        <f>#REF!</f>
        <v>#REF!</v>
      </c>
      <c r="H29" s="297" t="e">
        <f>#REF!</f>
        <v>#REF!</v>
      </c>
      <c r="I29" s="297"/>
      <c r="J29" s="298" t="e">
        <f t="shared" si="21"/>
        <v>#REF!</v>
      </c>
      <c r="K29" s="297" t="e">
        <f t="shared" si="22"/>
        <v>#REF!</v>
      </c>
      <c r="L29" s="297" t="e">
        <f t="shared" si="22"/>
        <v>#REF!</v>
      </c>
      <c r="M29" s="297"/>
    </row>
    <row r="30" spans="2:16">
      <c r="B30" s="311"/>
      <c r="C30" s="313" t="s">
        <v>7</v>
      </c>
      <c r="D30" s="298">
        <f>D27+D28+D29</f>
        <v>4.5</v>
      </c>
      <c r="E30" s="298">
        <f>E27+E28+E29</f>
        <v>6</v>
      </c>
      <c r="F30" s="298" t="e">
        <f t="shared" si="20"/>
        <v>#REF!</v>
      </c>
      <c r="G30" s="298" t="e">
        <f>SUM(G27:G29)</f>
        <v>#REF!</v>
      </c>
      <c r="H30" s="298" t="e">
        <f>SUM(H27:H29)</f>
        <v>#REF!</v>
      </c>
      <c r="I30" s="298"/>
      <c r="J30" s="298" t="e">
        <f t="shared" si="21"/>
        <v>#REF!</v>
      </c>
      <c r="K30" s="298" t="e">
        <f>SUM(K27:K29)</f>
        <v>#REF!</v>
      </c>
      <c r="L30" s="298" t="e">
        <f>SUM(L27:L29)</f>
        <v>#REF!</v>
      </c>
      <c r="M30" s="298"/>
    </row>
    <row r="31" spans="2:16">
      <c r="B31" s="311"/>
      <c r="C31" s="313" t="s">
        <v>8</v>
      </c>
      <c r="D31" s="297">
        <f>D7*1000/12/D30</f>
        <v>21106.296296296296</v>
      </c>
      <c r="E31" s="297">
        <f t="shared" ref="E31" si="23">E7*1000/12/E30</f>
        <v>21944.722222222223</v>
      </c>
      <c r="F31" s="297" t="e">
        <f>F7*1000/12/F30</f>
        <v>#REF!</v>
      </c>
      <c r="G31" s="297">
        <f>ROUND(D31*(1/2+1/2*индексы!$E$8),2)</f>
        <v>21855.57</v>
      </c>
      <c r="H31" s="297">
        <f>G31</f>
        <v>21855.57</v>
      </c>
      <c r="I31" s="297"/>
      <c r="J31" s="297" t="e">
        <f t="shared" ref="J31:L31" si="24">J7*1000/12/J30</f>
        <v>#REF!</v>
      </c>
      <c r="K31" s="297" t="e">
        <f t="shared" si="24"/>
        <v>#REF!</v>
      </c>
      <c r="L31" s="297" t="e">
        <f t="shared" si="24"/>
        <v>#REF!</v>
      </c>
      <c r="M31" s="297"/>
    </row>
    <row r="32" spans="2:16">
      <c r="D32"/>
      <c r="E32"/>
    </row>
    <row r="33" spans="3:7" ht="25.5">
      <c r="C33" s="303" t="s">
        <v>166</v>
      </c>
      <c r="D33" s="314" t="e">
        <f>#REF!/#REF!</f>
        <v>#REF!</v>
      </c>
      <c r="E33"/>
    </row>
    <row r="34" spans="3:7">
      <c r="C34" s="303" t="s">
        <v>167</v>
      </c>
      <c r="D34" s="314">
        <v>1.07</v>
      </c>
      <c r="E34"/>
    </row>
    <row r="35" spans="3:7" ht="25.5">
      <c r="C35" s="303" t="s">
        <v>173</v>
      </c>
      <c r="D35" s="297" t="e">
        <f>ROUND(D4*D33*D34,2)</f>
        <v>#REF!</v>
      </c>
      <c r="E35"/>
    </row>
    <row r="36" spans="3:7">
      <c r="C36" s="303" t="s">
        <v>168</v>
      </c>
      <c r="D36" s="314" t="e">
        <f>D35/F4</f>
        <v>#REF!</v>
      </c>
      <c r="E36" s="315"/>
    </row>
    <row r="37" spans="3:7">
      <c r="D37"/>
      <c r="E37"/>
    </row>
    <row r="38" spans="3:7">
      <c r="D38"/>
      <c r="E38"/>
      <c r="F38" t="s">
        <v>162</v>
      </c>
      <c r="G38">
        <v>50591.714285714283</v>
      </c>
    </row>
    <row r="39" spans="3:7">
      <c r="D39"/>
      <c r="E39"/>
    </row>
    <row r="40" spans="3:7">
      <c r="D40"/>
      <c r="E40"/>
    </row>
    <row r="41" spans="3:7">
      <c r="D41"/>
      <c r="E41"/>
    </row>
    <row r="42" spans="3:7">
      <c r="D42"/>
      <c r="E42"/>
    </row>
    <row r="43" spans="3:7">
      <c r="D43"/>
      <c r="E43"/>
    </row>
    <row r="44" spans="3:7">
      <c r="D44"/>
      <c r="E44"/>
    </row>
    <row r="45" spans="3:7">
      <c r="D45"/>
      <c r="E45"/>
    </row>
    <row r="46" spans="3:7">
      <c r="D46"/>
      <c r="E46"/>
    </row>
    <row r="47" spans="3:7">
      <c r="D47"/>
      <c r="E47"/>
    </row>
    <row r="48" spans="3:7">
      <c r="D48"/>
      <c r="E48"/>
    </row>
    <row r="49" spans="4:5">
      <c r="D49"/>
      <c r="E49"/>
    </row>
    <row r="50" spans="4:5">
      <c r="D50"/>
      <c r="E50"/>
    </row>
    <row r="51" spans="4:5">
      <c r="D51"/>
      <c r="E51"/>
    </row>
    <row r="52" spans="4:5">
      <c r="D52"/>
      <c r="E52"/>
    </row>
    <row r="53" spans="4:5">
      <c r="D53"/>
      <c r="E53"/>
    </row>
    <row r="54" spans="4:5">
      <c r="D54"/>
      <c r="E54"/>
    </row>
    <row r="55" spans="4:5">
      <c r="D55"/>
      <c r="E55"/>
    </row>
    <row r="56" spans="4:5">
      <c r="D56"/>
      <c r="E56"/>
    </row>
    <row r="57" spans="4:5">
      <c r="D57"/>
      <c r="E57"/>
    </row>
    <row r="58" spans="4:5">
      <c r="D58"/>
      <c r="E58"/>
    </row>
    <row r="59" spans="4:5">
      <c r="D59"/>
      <c r="E59"/>
    </row>
    <row r="60" spans="4:5">
      <c r="D60"/>
      <c r="E60"/>
    </row>
    <row r="61" spans="4:5">
      <c r="D61"/>
      <c r="E61"/>
    </row>
    <row r="62" spans="4:5">
      <c r="D62"/>
      <c r="E62"/>
    </row>
    <row r="63" spans="4:5">
      <c r="D63"/>
      <c r="E63"/>
    </row>
    <row r="64" spans="4:5">
      <c r="D64"/>
      <c r="E64"/>
    </row>
    <row r="65" spans="4:5">
      <c r="D65"/>
      <c r="E65"/>
    </row>
    <row r="66" spans="4:5">
      <c r="D66"/>
      <c r="E66"/>
    </row>
    <row r="67" spans="4:5">
      <c r="D67"/>
      <c r="E67"/>
    </row>
    <row r="68" spans="4:5">
      <c r="D68"/>
      <c r="E68"/>
    </row>
    <row r="69" spans="4:5">
      <c r="D69"/>
      <c r="E69"/>
    </row>
    <row r="70" spans="4:5">
      <c r="D70"/>
      <c r="E70"/>
    </row>
    <row r="71" spans="4:5">
      <c r="D71"/>
      <c r="E71"/>
    </row>
    <row r="72" spans="4:5">
      <c r="D72"/>
      <c r="E72"/>
    </row>
    <row r="73" spans="4:5">
      <c r="D73"/>
      <c r="E73"/>
    </row>
    <row r="74" spans="4:5">
      <c r="D74"/>
      <c r="E74"/>
    </row>
    <row r="75" spans="4:5">
      <c r="D75"/>
      <c r="E75"/>
    </row>
    <row r="76" spans="4:5">
      <c r="D76"/>
      <c r="E76"/>
    </row>
    <row r="77" spans="4:5">
      <c r="D77"/>
      <c r="E77"/>
    </row>
    <row r="78" spans="4:5">
      <c r="D78"/>
      <c r="E78"/>
    </row>
    <row r="79" spans="4:5">
      <c r="D79"/>
      <c r="E79"/>
    </row>
    <row r="80" spans="4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  <row r="87" spans="4:5">
      <c r="D87"/>
      <c r="E87"/>
    </row>
    <row r="88" spans="4:5">
      <c r="D88"/>
      <c r="E88"/>
    </row>
    <row r="89" spans="4:5">
      <c r="D89"/>
      <c r="E89"/>
    </row>
    <row r="90" spans="4:5">
      <c r="D90"/>
      <c r="E90"/>
    </row>
    <row r="91" spans="4:5">
      <c r="D91"/>
      <c r="E91"/>
    </row>
    <row r="92" spans="4:5">
      <c r="D92"/>
      <c r="E92"/>
    </row>
    <row r="93" spans="4:5">
      <c r="D93"/>
      <c r="E93"/>
    </row>
    <row r="94" spans="4:5">
      <c r="D94"/>
      <c r="E94"/>
    </row>
    <row r="95" spans="4:5">
      <c r="D95"/>
      <c r="E95"/>
    </row>
    <row r="96" spans="4:5">
      <c r="D96"/>
      <c r="E96"/>
    </row>
    <row r="97" spans="4:5">
      <c r="D97"/>
      <c r="E97"/>
    </row>
    <row r="98" spans="4:5">
      <c r="D98"/>
      <c r="E98"/>
    </row>
    <row r="99" spans="4:5">
      <c r="D99"/>
      <c r="E99"/>
    </row>
    <row r="100" spans="4:5">
      <c r="D100"/>
      <c r="E100"/>
    </row>
    <row r="101" spans="4:5">
      <c r="D101"/>
      <c r="E101"/>
    </row>
    <row r="102" spans="4:5">
      <c r="D102"/>
      <c r="E102"/>
    </row>
    <row r="103" spans="4:5">
      <c r="D103"/>
      <c r="E103"/>
    </row>
    <row r="104" spans="4:5">
      <c r="D104"/>
      <c r="E104"/>
    </row>
    <row r="105" spans="4:5">
      <c r="D105"/>
      <c r="E105"/>
    </row>
    <row r="106" spans="4:5">
      <c r="D106"/>
      <c r="E106"/>
    </row>
    <row r="107" spans="4:5">
      <c r="D107"/>
      <c r="E107"/>
    </row>
    <row r="108" spans="4:5">
      <c r="D108"/>
      <c r="E108"/>
    </row>
    <row r="109" spans="4:5">
      <c r="D109"/>
      <c r="E109"/>
    </row>
    <row r="110" spans="4:5">
      <c r="D110"/>
      <c r="E110"/>
    </row>
    <row r="111" spans="4:5">
      <c r="D111"/>
      <c r="E111"/>
    </row>
    <row r="112" spans="4:5">
      <c r="D112"/>
      <c r="E112"/>
    </row>
    <row r="113" spans="4:5">
      <c r="D113"/>
      <c r="E113"/>
    </row>
    <row r="114" spans="4:5">
      <c r="D114"/>
      <c r="E114"/>
    </row>
    <row r="115" spans="4:5">
      <c r="D115"/>
      <c r="E115"/>
    </row>
    <row r="116" spans="4:5">
      <c r="D116"/>
      <c r="E116"/>
    </row>
    <row r="117" spans="4:5">
      <c r="D117"/>
      <c r="E117"/>
    </row>
    <row r="118" spans="4:5">
      <c r="D118"/>
      <c r="E118"/>
    </row>
    <row r="119" spans="4:5">
      <c r="D119"/>
      <c r="E119"/>
    </row>
    <row r="120" spans="4:5">
      <c r="D120"/>
      <c r="E120"/>
    </row>
    <row r="121" spans="4:5">
      <c r="D121"/>
      <c r="E121"/>
    </row>
    <row r="122" spans="4:5">
      <c r="D122"/>
      <c r="E122"/>
    </row>
    <row r="123" spans="4:5">
      <c r="D123"/>
      <c r="E123"/>
    </row>
    <row r="124" spans="4:5">
      <c r="D124"/>
      <c r="E124"/>
    </row>
    <row r="125" spans="4:5">
      <c r="D125"/>
      <c r="E125"/>
    </row>
    <row r="126" spans="4:5">
      <c r="D126"/>
      <c r="E126"/>
    </row>
    <row r="127" spans="4:5">
      <c r="D127"/>
      <c r="E127"/>
    </row>
    <row r="128" spans="4:5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  <row r="132" spans="4:5">
      <c r="D132"/>
      <c r="E132"/>
    </row>
    <row r="133" spans="4:5">
      <c r="D133"/>
      <c r="E133"/>
    </row>
    <row r="134" spans="4:5">
      <c r="D134"/>
      <c r="E134"/>
    </row>
    <row r="135" spans="4:5">
      <c r="D135"/>
      <c r="E135"/>
    </row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  <row r="148" spans="4:5">
      <c r="D148"/>
      <c r="E148"/>
    </row>
    <row r="149" spans="4:5">
      <c r="D149"/>
      <c r="E149"/>
    </row>
    <row r="150" spans="4:5">
      <c r="D150"/>
      <c r="E150"/>
    </row>
    <row r="151" spans="4:5">
      <c r="D151"/>
      <c r="E151"/>
    </row>
    <row r="152" spans="4:5">
      <c r="D152"/>
      <c r="E152"/>
    </row>
    <row r="153" spans="4:5">
      <c r="D153"/>
      <c r="E153"/>
    </row>
    <row r="154" spans="4:5">
      <c r="D154"/>
      <c r="E154"/>
    </row>
    <row r="155" spans="4:5">
      <c r="D155"/>
      <c r="E155"/>
    </row>
    <row r="156" spans="4:5">
      <c r="D156"/>
      <c r="E156"/>
    </row>
    <row r="157" spans="4:5">
      <c r="D157"/>
      <c r="E157"/>
    </row>
    <row r="158" spans="4:5">
      <c r="D158"/>
      <c r="E158"/>
    </row>
    <row r="159" spans="4:5">
      <c r="D159"/>
      <c r="E159"/>
    </row>
    <row r="160" spans="4:5">
      <c r="D160"/>
      <c r="E160"/>
    </row>
    <row r="161" spans="4:5">
      <c r="D161"/>
      <c r="E161"/>
    </row>
    <row r="162" spans="4:5">
      <c r="D162"/>
      <c r="E162"/>
    </row>
    <row r="163" spans="4:5">
      <c r="D163"/>
      <c r="E163"/>
    </row>
    <row r="164" spans="4:5">
      <c r="D164"/>
      <c r="E164"/>
    </row>
    <row r="165" spans="4:5">
      <c r="D165"/>
      <c r="E165"/>
    </row>
    <row r="166" spans="4:5">
      <c r="D166"/>
      <c r="E166"/>
    </row>
    <row r="167" spans="4:5">
      <c r="D167"/>
      <c r="E167"/>
    </row>
    <row r="168" spans="4:5">
      <c r="D168"/>
      <c r="E168"/>
    </row>
    <row r="169" spans="4:5">
      <c r="D169"/>
      <c r="E169"/>
    </row>
    <row r="170" spans="4:5">
      <c r="D170"/>
      <c r="E170"/>
    </row>
    <row r="171" spans="4:5">
      <c r="D171"/>
      <c r="E171"/>
    </row>
    <row r="172" spans="4:5">
      <c r="D172"/>
      <c r="E172"/>
    </row>
    <row r="173" spans="4:5">
      <c r="D173"/>
      <c r="E173"/>
    </row>
    <row r="174" spans="4:5">
      <c r="D174"/>
      <c r="E174"/>
    </row>
    <row r="175" spans="4:5">
      <c r="D175"/>
      <c r="E175"/>
    </row>
    <row r="176" spans="4:5">
      <c r="D176"/>
      <c r="E176"/>
    </row>
    <row r="177" spans="4:5">
      <c r="D177"/>
      <c r="E177"/>
    </row>
    <row r="178" spans="4:5">
      <c r="D178"/>
      <c r="E178"/>
    </row>
    <row r="179" spans="4:5">
      <c r="D179"/>
      <c r="E179"/>
    </row>
    <row r="180" spans="4:5">
      <c r="D180"/>
      <c r="E180"/>
    </row>
    <row r="181" spans="4:5">
      <c r="D181"/>
      <c r="E181"/>
    </row>
    <row r="182" spans="4:5">
      <c r="D182"/>
      <c r="E182"/>
    </row>
    <row r="183" spans="4:5">
      <c r="D183"/>
      <c r="E183"/>
    </row>
    <row r="184" spans="4:5">
      <c r="D184"/>
      <c r="E184"/>
    </row>
    <row r="185" spans="4:5">
      <c r="D185"/>
      <c r="E185"/>
    </row>
    <row r="186" spans="4:5">
      <c r="D186"/>
      <c r="E186"/>
    </row>
    <row r="187" spans="4:5">
      <c r="D187"/>
      <c r="E187"/>
    </row>
    <row r="188" spans="4:5">
      <c r="D188"/>
      <c r="E188"/>
    </row>
    <row r="189" spans="4:5">
      <c r="D189"/>
      <c r="E189"/>
    </row>
    <row r="190" spans="4:5">
      <c r="D190"/>
      <c r="E190"/>
    </row>
    <row r="191" spans="4:5">
      <c r="D191"/>
      <c r="E191"/>
    </row>
    <row r="192" spans="4:5">
      <c r="D192"/>
      <c r="E192"/>
    </row>
    <row r="193" spans="4:5">
      <c r="D193"/>
      <c r="E193"/>
    </row>
    <row r="194" spans="4:5">
      <c r="D194"/>
      <c r="E194"/>
    </row>
    <row r="195" spans="4:5">
      <c r="D195"/>
      <c r="E195"/>
    </row>
    <row r="196" spans="4:5">
      <c r="D196"/>
      <c r="E196"/>
    </row>
    <row r="197" spans="4:5">
      <c r="D197"/>
      <c r="E197"/>
    </row>
    <row r="198" spans="4:5">
      <c r="D198"/>
      <c r="E198"/>
    </row>
    <row r="199" spans="4:5">
      <c r="D199"/>
      <c r="E199"/>
    </row>
    <row r="200" spans="4:5">
      <c r="D200"/>
      <c r="E200"/>
    </row>
    <row r="201" spans="4:5">
      <c r="D201"/>
      <c r="E201"/>
    </row>
    <row r="202" spans="4:5">
      <c r="D202"/>
      <c r="E202"/>
    </row>
    <row r="203" spans="4:5">
      <c r="D203"/>
      <c r="E203"/>
    </row>
    <row r="204" spans="4:5">
      <c r="D204"/>
      <c r="E204"/>
    </row>
    <row r="205" spans="4:5">
      <c r="D205"/>
      <c r="E205"/>
    </row>
    <row r="206" spans="4:5">
      <c r="D206"/>
      <c r="E206"/>
    </row>
    <row r="207" spans="4:5">
      <c r="D207"/>
      <c r="E207"/>
    </row>
    <row r="208" spans="4:5">
      <c r="D208"/>
      <c r="E208"/>
    </row>
    <row r="209" spans="4:5">
      <c r="D209"/>
      <c r="E209"/>
    </row>
    <row r="210" spans="4:5">
      <c r="D210"/>
      <c r="E210"/>
    </row>
    <row r="211" spans="4:5">
      <c r="D211"/>
      <c r="E211"/>
    </row>
    <row r="212" spans="4:5">
      <c r="D212"/>
      <c r="E212"/>
    </row>
    <row r="213" spans="4:5">
      <c r="D213"/>
      <c r="E213"/>
    </row>
    <row r="214" spans="4:5">
      <c r="D214"/>
      <c r="E214"/>
    </row>
    <row r="215" spans="4:5">
      <c r="D215"/>
      <c r="E215"/>
    </row>
    <row r="216" spans="4:5">
      <c r="D216"/>
      <c r="E216"/>
    </row>
    <row r="217" spans="4:5">
      <c r="D217"/>
      <c r="E217"/>
    </row>
    <row r="218" spans="4:5">
      <c r="D218"/>
      <c r="E218"/>
    </row>
    <row r="219" spans="4:5">
      <c r="D219"/>
      <c r="E219"/>
    </row>
    <row r="220" spans="4:5">
      <c r="D220"/>
      <c r="E220"/>
    </row>
    <row r="221" spans="4:5">
      <c r="D221"/>
      <c r="E221"/>
    </row>
    <row r="222" spans="4:5">
      <c r="D222"/>
      <c r="E222"/>
    </row>
    <row r="223" spans="4:5">
      <c r="D223"/>
      <c r="E223"/>
    </row>
    <row r="224" spans="4:5">
      <c r="D224"/>
      <c r="E224"/>
    </row>
    <row r="225" spans="4:5">
      <c r="D225"/>
      <c r="E225"/>
    </row>
    <row r="226" spans="4:5">
      <c r="D226"/>
      <c r="E226"/>
    </row>
    <row r="227" spans="4:5">
      <c r="D227"/>
      <c r="E227"/>
    </row>
    <row r="228" spans="4:5">
      <c r="D228"/>
      <c r="E228"/>
    </row>
    <row r="229" spans="4:5">
      <c r="D229"/>
      <c r="E229"/>
    </row>
    <row r="230" spans="4:5">
      <c r="D230"/>
      <c r="E230"/>
    </row>
    <row r="231" spans="4:5">
      <c r="D231"/>
      <c r="E231"/>
    </row>
    <row r="232" spans="4:5">
      <c r="D232"/>
      <c r="E232"/>
    </row>
    <row r="233" spans="4:5">
      <c r="D233"/>
      <c r="E233"/>
    </row>
    <row r="234" spans="4:5">
      <c r="D234"/>
      <c r="E234"/>
    </row>
    <row r="235" spans="4:5">
      <c r="D235"/>
      <c r="E235"/>
    </row>
    <row r="236" spans="4:5">
      <c r="D236"/>
      <c r="E236"/>
    </row>
    <row r="237" spans="4:5">
      <c r="D237"/>
      <c r="E237"/>
    </row>
    <row r="238" spans="4:5">
      <c r="D238"/>
      <c r="E238"/>
    </row>
    <row r="239" spans="4:5">
      <c r="D239"/>
      <c r="E239"/>
    </row>
    <row r="240" spans="4:5">
      <c r="D240"/>
      <c r="E240"/>
    </row>
    <row r="241" spans="4:5">
      <c r="D241"/>
      <c r="E241"/>
    </row>
    <row r="242" spans="4:5">
      <c r="D242"/>
      <c r="E242"/>
    </row>
    <row r="243" spans="4:5">
      <c r="D243"/>
      <c r="E243"/>
    </row>
    <row r="244" spans="4:5">
      <c r="D244"/>
      <c r="E244"/>
    </row>
    <row r="245" spans="4:5">
      <c r="D245"/>
      <c r="E245"/>
    </row>
    <row r="246" spans="4:5">
      <c r="D246"/>
      <c r="E246"/>
    </row>
    <row r="247" spans="4:5">
      <c r="D247"/>
      <c r="E247"/>
    </row>
    <row r="248" spans="4:5">
      <c r="D248"/>
      <c r="E248"/>
    </row>
    <row r="249" spans="4:5">
      <c r="D249"/>
      <c r="E249"/>
    </row>
    <row r="250" spans="4:5">
      <c r="D250"/>
      <c r="E250"/>
    </row>
    <row r="251" spans="4:5">
      <c r="D251"/>
      <c r="E251"/>
    </row>
    <row r="252" spans="4:5">
      <c r="D252"/>
      <c r="E252"/>
    </row>
    <row r="253" spans="4:5">
      <c r="D253"/>
      <c r="E253"/>
    </row>
    <row r="254" spans="4:5">
      <c r="D254"/>
      <c r="E254"/>
    </row>
    <row r="255" spans="4:5">
      <c r="D255"/>
      <c r="E255"/>
    </row>
    <row r="256" spans="4:5">
      <c r="D256"/>
      <c r="E256"/>
    </row>
    <row r="257" spans="4:5">
      <c r="D257"/>
      <c r="E257"/>
    </row>
    <row r="258" spans="4:5">
      <c r="D258"/>
      <c r="E258"/>
    </row>
    <row r="259" spans="4:5">
      <c r="D259"/>
      <c r="E259"/>
    </row>
    <row r="260" spans="4:5">
      <c r="D260"/>
      <c r="E260"/>
    </row>
    <row r="261" spans="4:5">
      <c r="D261"/>
      <c r="E261"/>
    </row>
    <row r="262" spans="4:5">
      <c r="D262"/>
      <c r="E262"/>
    </row>
    <row r="263" spans="4:5">
      <c r="D263"/>
      <c r="E263"/>
    </row>
    <row r="264" spans="4:5">
      <c r="D264"/>
      <c r="E264"/>
    </row>
    <row r="265" spans="4:5">
      <c r="D265"/>
      <c r="E265"/>
    </row>
    <row r="266" spans="4:5">
      <c r="D266"/>
      <c r="E266"/>
    </row>
    <row r="267" spans="4:5">
      <c r="D267"/>
      <c r="E267"/>
    </row>
    <row r="268" spans="4:5">
      <c r="D268"/>
      <c r="E268"/>
    </row>
    <row r="269" spans="4:5">
      <c r="D269"/>
      <c r="E269"/>
    </row>
    <row r="270" spans="4:5">
      <c r="D270"/>
      <c r="E270"/>
    </row>
    <row r="271" spans="4:5">
      <c r="D271"/>
      <c r="E271"/>
    </row>
    <row r="272" spans="4:5">
      <c r="D272"/>
      <c r="E272"/>
    </row>
    <row r="273" spans="4:5">
      <c r="D273"/>
      <c r="E273"/>
    </row>
    <row r="274" spans="4:5">
      <c r="D274"/>
      <c r="E274"/>
    </row>
    <row r="275" spans="4:5">
      <c r="D275"/>
      <c r="E275"/>
    </row>
    <row r="276" spans="4:5">
      <c r="D276"/>
      <c r="E276"/>
    </row>
    <row r="277" spans="4:5">
      <c r="D277"/>
      <c r="E277"/>
    </row>
    <row r="278" spans="4:5">
      <c r="D278"/>
      <c r="E278"/>
    </row>
    <row r="279" spans="4:5">
      <c r="D279"/>
      <c r="E279"/>
    </row>
    <row r="280" spans="4:5">
      <c r="D280"/>
      <c r="E280"/>
    </row>
    <row r="281" spans="4:5">
      <c r="D281"/>
      <c r="E281"/>
    </row>
    <row r="282" spans="4:5">
      <c r="D282"/>
      <c r="E282"/>
    </row>
    <row r="283" spans="4:5">
      <c r="D283"/>
      <c r="E283"/>
    </row>
    <row r="284" spans="4:5">
      <c r="D284"/>
      <c r="E284"/>
    </row>
    <row r="285" spans="4:5">
      <c r="D285"/>
      <c r="E285"/>
    </row>
    <row r="286" spans="4:5">
      <c r="D286"/>
      <c r="E286"/>
    </row>
    <row r="287" spans="4:5">
      <c r="D287"/>
      <c r="E287"/>
    </row>
    <row r="288" spans="4:5">
      <c r="D288"/>
      <c r="E288"/>
    </row>
    <row r="289" spans="4:5">
      <c r="D289"/>
      <c r="E289"/>
    </row>
    <row r="290" spans="4:5">
      <c r="D290"/>
      <c r="E290"/>
    </row>
    <row r="291" spans="4:5">
      <c r="D291"/>
      <c r="E291"/>
    </row>
    <row r="292" spans="4:5">
      <c r="D292"/>
      <c r="E292"/>
    </row>
    <row r="293" spans="4:5">
      <c r="D293"/>
      <c r="E293"/>
    </row>
    <row r="294" spans="4:5">
      <c r="D294"/>
      <c r="E294"/>
    </row>
    <row r="295" spans="4:5">
      <c r="D295"/>
      <c r="E295"/>
    </row>
    <row r="296" spans="4:5">
      <c r="D296"/>
      <c r="E296"/>
    </row>
    <row r="297" spans="4:5">
      <c r="D297"/>
      <c r="E297"/>
    </row>
    <row r="298" spans="4:5">
      <c r="D298"/>
      <c r="E298"/>
    </row>
    <row r="299" spans="4:5">
      <c r="D299"/>
      <c r="E299"/>
    </row>
    <row r="300" spans="4:5">
      <c r="D300"/>
      <c r="E300"/>
    </row>
    <row r="301" spans="4:5">
      <c r="D301"/>
      <c r="E301"/>
    </row>
    <row r="302" spans="4:5">
      <c r="D302"/>
      <c r="E302"/>
    </row>
    <row r="303" spans="4:5">
      <c r="D303"/>
      <c r="E303"/>
    </row>
    <row r="304" spans="4:5">
      <c r="D304"/>
      <c r="E304"/>
    </row>
    <row r="305" spans="4:5">
      <c r="D305"/>
      <c r="E305"/>
    </row>
    <row r="306" spans="4:5">
      <c r="D306"/>
      <c r="E306"/>
    </row>
    <row r="307" spans="4:5">
      <c r="D307"/>
      <c r="E307"/>
    </row>
    <row r="308" spans="4:5">
      <c r="D308"/>
      <c r="E308"/>
    </row>
    <row r="309" spans="4:5">
      <c r="D309"/>
      <c r="E309"/>
    </row>
    <row r="310" spans="4:5">
      <c r="D310"/>
      <c r="E310"/>
    </row>
    <row r="311" spans="4:5">
      <c r="D311"/>
      <c r="E311"/>
    </row>
    <row r="312" spans="4:5">
      <c r="D312"/>
      <c r="E312"/>
    </row>
    <row r="313" spans="4:5">
      <c r="D313"/>
      <c r="E313"/>
    </row>
    <row r="314" spans="4:5">
      <c r="D314"/>
      <c r="E314"/>
    </row>
    <row r="315" spans="4:5">
      <c r="D315"/>
      <c r="E315"/>
    </row>
    <row r="316" spans="4:5">
      <c r="D316"/>
      <c r="E316"/>
    </row>
    <row r="317" spans="4:5">
      <c r="D317"/>
      <c r="E317"/>
    </row>
    <row r="318" spans="4:5">
      <c r="D318"/>
      <c r="E318"/>
    </row>
    <row r="319" spans="4:5">
      <c r="D319"/>
      <c r="E319"/>
    </row>
    <row r="320" spans="4:5">
      <c r="D320"/>
      <c r="E320"/>
    </row>
    <row r="321" spans="4:5">
      <c r="D321"/>
      <c r="E321"/>
    </row>
    <row r="322" spans="4:5">
      <c r="D322"/>
      <c r="E322"/>
    </row>
    <row r="323" spans="4:5">
      <c r="D323"/>
      <c r="E323"/>
    </row>
    <row r="324" spans="4:5">
      <c r="D324"/>
      <c r="E324"/>
    </row>
    <row r="325" spans="4:5">
      <c r="D325"/>
      <c r="E325"/>
    </row>
    <row r="326" spans="4:5">
      <c r="D326"/>
      <c r="E326"/>
    </row>
    <row r="327" spans="4:5">
      <c r="D327"/>
      <c r="E327"/>
    </row>
    <row r="328" spans="4:5">
      <c r="D328"/>
      <c r="E328"/>
    </row>
    <row r="329" spans="4:5">
      <c r="D329"/>
      <c r="E329"/>
    </row>
    <row r="330" spans="4:5">
      <c r="D330"/>
      <c r="E330"/>
    </row>
    <row r="331" spans="4:5">
      <c r="D331"/>
      <c r="E331"/>
    </row>
    <row r="332" spans="4:5">
      <c r="D332"/>
      <c r="E332"/>
    </row>
    <row r="333" spans="4:5">
      <c r="D333"/>
      <c r="E333"/>
    </row>
    <row r="334" spans="4:5">
      <c r="D334"/>
      <c r="E334"/>
    </row>
    <row r="335" spans="4:5">
      <c r="D335"/>
      <c r="E335"/>
    </row>
    <row r="336" spans="4:5">
      <c r="D336"/>
      <c r="E336"/>
    </row>
    <row r="337" spans="4:5">
      <c r="D337"/>
      <c r="E337"/>
    </row>
    <row r="338" spans="4:5">
      <c r="D338"/>
      <c r="E338"/>
    </row>
    <row r="339" spans="4:5">
      <c r="D339"/>
      <c r="E339"/>
    </row>
    <row r="340" spans="4:5">
      <c r="D340"/>
      <c r="E340"/>
    </row>
    <row r="341" spans="4:5">
      <c r="D341"/>
      <c r="E341"/>
    </row>
    <row r="342" spans="4:5">
      <c r="D342"/>
      <c r="E342"/>
    </row>
    <row r="343" spans="4:5">
      <c r="D343"/>
      <c r="E343"/>
    </row>
    <row r="344" spans="4:5">
      <c r="D344"/>
      <c r="E344"/>
    </row>
    <row r="345" spans="4:5">
      <c r="D345"/>
      <c r="E345"/>
    </row>
    <row r="346" spans="4:5">
      <c r="D346"/>
      <c r="E346"/>
    </row>
    <row r="347" spans="4:5">
      <c r="D347"/>
      <c r="E347"/>
    </row>
    <row r="348" spans="4:5">
      <c r="D348"/>
      <c r="E348"/>
    </row>
    <row r="349" spans="4:5">
      <c r="D349"/>
      <c r="E349"/>
    </row>
    <row r="350" spans="4:5">
      <c r="D350"/>
      <c r="E350"/>
    </row>
    <row r="351" spans="4:5">
      <c r="D351"/>
      <c r="E351"/>
    </row>
    <row r="352" spans="4:5">
      <c r="D352"/>
      <c r="E352"/>
    </row>
    <row r="353" spans="4:5">
      <c r="D353"/>
      <c r="E353"/>
    </row>
    <row r="354" spans="4:5">
      <c r="D354"/>
      <c r="E354"/>
    </row>
    <row r="355" spans="4:5">
      <c r="D355"/>
      <c r="E355"/>
    </row>
    <row r="356" spans="4:5">
      <c r="D356"/>
      <c r="E356"/>
    </row>
    <row r="357" spans="4:5">
      <c r="D357"/>
      <c r="E357"/>
    </row>
    <row r="358" spans="4:5">
      <c r="D358"/>
      <c r="E358"/>
    </row>
    <row r="359" spans="4:5">
      <c r="D359"/>
      <c r="E359"/>
    </row>
    <row r="360" spans="4:5">
      <c r="D360"/>
      <c r="E360"/>
    </row>
    <row r="361" spans="4:5">
      <c r="D361"/>
      <c r="E361"/>
    </row>
    <row r="362" spans="4:5">
      <c r="D362"/>
      <c r="E362"/>
    </row>
    <row r="363" spans="4:5">
      <c r="D363"/>
      <c r="E363"/>
    </row>
    <row r="364" spans="4:5">
      <c r="D364"/>
      <c r="E364"/>
    </row>
    <row r="365" spans="4:5">
      <c r="D365"/>
      <c r="E365"/>
    </row>
    <row r="366" spans="4:5">
      <c r="D366"/>
      <c r="E366"/>
    </row>
    <row r="367" spans="4:5">
      <c r="D367"/>
      <c r="E367"/>
    </row>
    <row r="368" spans="4:5">
      <c r="D368"/>
      <c r="E368"/>
    </row>
    <row r="369" spans="4:5">
      <c r="D369"/>
      <c r="E369"/>
    </row>
    <row r="370" spans="4:5">
      <c r="D370"/>
      <c r="E370"/>
    </row>
    <row r="371" spans="4:5">
      <c r="D371"/>
      <c r="E371"/>
    </row>
    <row r="372" spans="4:5">
      <c r="D372"/>
      <c r="E372"/>
    </row>
    <row r="373" spans="4:5">
      <c r="D373"/>
      <c r="E373"/>
    </row>
    <row r="374" spans="4:5">
      <c r="D374"/>
      <c r="E374"/>
    </row>
    <row r="375" spans="4:5">
      <c r="D375"/>
      <c r="E375"/>
    </row>
    <row r="376" spans="4:5">
      <c r="D376"/>
      <c r="E376"/>
    </row>
    <row r="377" spans="4:5">
      <c r="D377"/>
      <c r="E377"/>
    </row>
    <row r="378" spans="4:5">
      <c r="D378"/>
      <c r="E378"/>
    </row>
    <row r="379" spans="4:5">
      <c r="D379"/>
      <c r="E379"/>
    </row>
    <row r="380" spans="4:5">
      <c r="D380"/>
      <c r="E380"/>
    </row>
    <row r="381" spans="4:5">
      <c r="D381"/>
      <c r="E381"/>
    </row>
    <row r="382" spans="4:5">
      <c r="D382"/>
      <c r="E382"/>
    </row>
    <row r="383" spans="4:5">
      <c r="D383"/>
      <c r="E383"/>
    </row>
    <row r="384" spans="4:5">
      <c r="D384"/>
      <c r="E384"/>
    </row>
    <row r="385" spans="4:5">
      <c r="D385"/>
      <c r="E385"/>
    </row>
    <row r="386" spans="4:5">
      <c r="D386"/>
      <c r="E386"/>
    </row>
    <row r="387" spans="4:5">
      <c r="D387"/>
      <c r="E387"/>
    </row>
    <row r="388" spans="4:5">
      <c r="D388"/>
      <c r="E388"/>
    </row>
    <row r="389" spans="4:5">
      <c r="D389"/>
      <c r="E389"/>
    </row>
    <row r="390" spans="4:5">
      <c r="D390"/>
      <c r="E390"/>
    </row>
    <row r="391" spans="4:5">
      <c r="D391"/>
      <c r="E391"/>
    </row>
    <row r="392" spans="4:5">
      <c r="D392"/>
      <c r="E392"/>
    </row>
    <row r="393" spans="4:5">
      <c r="D393"/>
      <c r="E393"/>
    </row>
    <row r="394" spans="4:5">
      <c r="D394"/>
      <c r="E394"/>
    </row>
    <row r="395" spans="4:5">
      <c r="D395"/>
      <c r="E395"/>
    </row>
    <row r="396" spans="4:5">
      <c r="D396"/>
      <c r="E396"/>
    </row>
    <row r="397" spans="4:5">
      <c r="D397"/>
      <c r="E397"/>
    </row>
    <row r="398" spans="4:5">
      <c r="D398"/>
      <c r="E398"/>
    </row>
    <row r="399" spans="4:5">
      <c r="D399"/>
      <c r="E399"/>
    </row>
    <row r="400" spans="4:5">
      <c r="D400"/>
      <c r="E400"/>
    </row>
    <row r="401" spans="4:5">
      <c r="D401"/>
      <c r="E401"/>
    </row>
    <row r="402" spans="4:5">
      <c r="D402"/>
      <c r="E402"/>
    </row>
    <row r="403" spans="4:5">
      <c r="D403"/>
      <c r="E403"/>
    </row>
    <row r="404" spans="4:5">
      <c r="D404"/>
      <c r="E404"/>
    </row>
    <row r="405" spans="4:5">
      <c r="D405"/>
      <c r="E405"/>
    </row>
    <row r="406" spans="4:5">
      <c r="D406"/>
      <c r="E406"/>
    </row>
    <row r="407" spans="4:5">
      <c r="D407"/>
      <c r="E407"/>
    </row>
    <row r="408" spans="4:5">
      <c r="D408"/>
      <c r="E408"/>
    </row>
    <row r="409" spans="4:5">
      <c r="D409"/>
      <c r="E409"/>
    </row>
    <row r="410" spans="4:5">
      <c r="D410"/>
      <c r="E410"/>
    </row>
    <row r="411" spans="4:5">
      <c r="D411"/>
      <c r="E411"/>
    </row>
    <row r="412" spans="4:5">
      <c r="D412"/>
      <c r="E412"/>
    </row>
    <row r="413" spans="4:5">
      <c r="D413"/>
      <c r="E413"/>
    </row>
    <row r="414" spans="4:5">
      <c r="D414"/>
      <c r="E414"/>
    </row>
    <row r="415" spans="4:5">
      <c r="D415"/>
      <c r="E415"/>
    </row>
    <row r="416" spans="4:5">
      <c r="D416"/>
      <c r="E416"/>
    </row>
    <row r="417" spans="4:5">
      <c r="D417"/>
      <c r="E417"/>
    </row>
    <row r="418" spans="4:5">
      <c r="D418"/>
      <c r="E418"/>
    </row>
    <row r="419" spans="4:5">
      <c r="D419"/>
      <c r="E419"/>
    </row>
    <row r="420" spans="4:5">
      <c r="D420"/>
      <c r="E420"/>
    </row>
    <row r="421" spans="4:5">
      <c r="D421"/>
      <c r="E421"/>
    </row>
    <row r="422" spans="4:5">
      <c r="D422"/>
      <c r="E422"/>
    </row>
    <row r="423" spans="4:5">
      <c r="D423"/>
      <c r="E423"/>
    </row>
    <row r="424" spans="4:5">
      <c r="D424"/>
      <c r="E424"/>
    </row>
    <row r="425" spans="4:5">
      <c r="D425"/>
      <c r="E425"/>
    </row>
    <row r="426" spans="4:5">
      <c r="D426"/>
      <c r="E426"/>
    </row>
    <row r="427" spans="4:5">
      <c r="D427"/>
      <c r="E427"/>
    </row>
    <row r="428" spans="4:5">
      <c r="D428"/>
      <c r="E428"/>
    </row>
    <row r="429" spans="4:5">
      <c r="D429"/>
      <c r="E429"/>
    </row>
    <row r="430" spans="4:5">
      <c r="D430"/>
      <c r="E430"/>
    </row>
    <row r="431" spans="4:5">
      <c r="D431"/>
      <c r="E431"/>
    </row>
    <row r="432" spans="4:5">
      <c r="D432"/>
      <c r="E432"/>
    </row>
    <row r="433" spans="4:5">
      <c r="D433"/>
      <c r="E433"/>
    </row>
    <row r="434" spans="4:5">
      <c r="D434"/>
      <c r="E434"/>
    </row>
    <row r="435" spans="4:5">
      <c r="D435"/>
      <c r="E435"/>
    </row>
    <row r="436" spans="4:5">
      <c r="D436"/>
      <c r="E436"/>
    </row>
    <row r="437" spans="4:5">
      <c r="D437"/>
      <c r="E437"/>
    </row>
    <row r="438" spans="4:5">
      <c r="D438"/>
      <c r="E438"/>
    </row>
    <row r="439" spans="4:5">
      <c r="D439"/>
      <c r="E439"/>
    </row>
    <row r="440" spans="4:5">
      <c r="D440"/>
      <c r="E440"/>
    </row>
    <row r="441" spans="4:5">
      <c r="D441"/>
      <c r="E441"/>
    </row>
    <row r="442" spans="4:5">
      <c r="D442"/>
      <c r="E442"/>
    </row>
    <row r="443" spans="4:5">
      <c r="D443"/>
      <c r="E443"/>
    </row>
    <row r="444" spans="4:5">
      <c r="D444"/>
      <c r="E444"/>
    </row>
    <row r="445" spans="4:5">
      <c r="D445"/>
      <c r="E445"/>
    </row>
    <row r="446" spans="4:5">
      <c r="D446"/>
      <c r="E446"/>
    </row>
    <row r="447" spans="4:5">
      <c r="D447"/>
      <c r="E447"/>
    </row>
    <row r="448" spans="4:5">
      <c r="D448"/>
      <c r="E448"/>
    </row>
    <row r="449" spans="4:5">
      <c r="D449"/>
      <c r="E449"/>
    </row>
    <row r="450" spans="4:5">
      <c r="D450"/>
      <c r="E450"/>
    </row>
    <row r="451" spans="4:5">
      <c r="D451"/>
      <c r="E451"/>
    </row>
    <row r="452" spans="4:5">
      <c r="D452"/>
      <c r="E452"/>
    </row>
    <row r="453" spans="4:5">
      <c r="D453"/>
      <c r="E453"/>
    </row>
    <row r="454" spans="4:5">
      <c r="D454"/>
      <c r="E454"/>
    </row>
    <row r="455" spans="4:5">
      <c r="D455"/>
      <c r="E455"/>
    </row>
    <row r="456" spans="4:5">
      <c r="D456"/>
      <c r="E456"/>
    </row>
    <row r="457" spans="4:5">
      <c r="D457"/>
      <c r="E457"/>
    </row>
    <row r="458" spans="4:5">
      <c r="D458"/>
      <c r="E458"/>
    </row>
    <row r="459" spans="4:5">
      <c r="D459"/>
      <c r="E459"/>
    </row>
    <row r="460" spans="4:5">
      <c r="D460"/>
      <c r="E460"/>
    </row>
    <row r="461" spans="4:5">
      <c r="D461"/>
      <c r="E461"/>
    </row>
    <row r="462" spans="4:5">
      <c r="D462"/>
      <c r="E462"/>
    </row>
    <row r="463" spans="4:5">
      <c r="D463"/>
      <c r="E463"/>
    </row>
    <row r="464" spans="4:5">
      <c r="D464"/>
      <c r="E464"/>
    </row>
    <row r="465" spans="4:5">
      <c r="D465"/>
      <c r="E465"/>
    </row>
    <row r="466" spans="4:5">
      <c r="D466"/>
      <c r="E466"/>
    </row>
    <row r="467" spans="4:5">
      <c r="D467"/>
      <c r="E467"/>
    </row>
    <row r="468" spans="4:5">
      <c r="D468"/>
      <c r="E468"/>
    </row>
    <row r="469" spans="4:5">
      <c r="D469"/>
      <c r="E469"/>
    </row>
    <row r="470" spans="4:5">
      <c r="D470"/>
      <c r="E470"/>
    </row>
    <row r="471" spans="4:5">
      <c r="D471"/>
      <c r="E471"/>
    </row>
    <row r="472" spans="4:5">
      <c r="D472"/>
      <c r="E472"/>
    </row>
    <row r="473" spans="4:5">
      <c r="D473"/>
      <c r="E473"/>
    </row>
    <row r="474" spans="4:5">
      <c r="D474"/>
      <c r="E474"/>
    </row>
    <row r="475" spans="4:5">
      <c r="D475"/>
      <c r="E475"/>
    </row>
    <row r="476" spans="4:5">
      <c r="D476"/>
      <c r="E476"/>
    </row>
    <row r="477" spans="4:5">
      <c r="D477"/>
      <c r="E477"/>
    </row>
    <row r="478" spans="4:5">
      <c r="D478"/>
      <c r="E478"/>
    </row>
    <row r="479" spans="4:5">
      <c r="D479"/>
      <c r="E479"/>
    </row>
    <row r="480" spans="4:5">
      <c r="D480"/>
      <c r="E480"/>
    </row>
    <row r="481" spans="4:5">
      <c r="D481"/>
      <c r="E481"/>
    </row>
    <row r="482" spans="4:5">
      <c r="D482"/>
      <c r="E482"/>
    </row>
    <row r="483" spans="4:5">
      <c r="D483"/>
      <c r="E483"/>
    </row>
    <row r="484" spans="4:5">
      <c r="D484"/>
      <c r="E484"/>
    </row>
    <row r="485" spans="4:5">
      <c r="D485"/>
      <c r="E485"/>
    </row>
    <row r="486" spans="4:5">
      <c r="D486"/>
      <c r="E486"/>
    </row>
    <row r="487" spans="4:5">
      <c r="D487"/>
      <c r="E487"/>
    </row>
    <row r="488" spans="4:5">
      <c r="D488"/>
      <c r="E488"/>
    </row>
    <row r="489" spans="4:5">
      <c r="D489"/>
      <c r="E489"/>
    </row>
    <row r="490" spans="4:5">
      <c r="D490"/>
      <c r="E490"/>
    </row>
    <row r="491" spans="4:5">
      <c r="D491"/>
      <c r="E491"/>
    </row>
    <row r="492" spans="4:5">
      <c r="D492"/>
      <c r="E492"/>
    </row>
    <row r="493" spans="4:5">
      <c r="D493"/>
      <c r="E493"/>
    </row>
    <row r="494" spans="4:5">
      <c r="D494"/>
      <c r="E494"/>
    </row>
    <row r="495" spans="4:5">
      <c r="D495"/>
      <c r="E495"/>
    </row>
    <row r="496" spans="4:5">
      <c r="D496"/>
      <c r="E496"/>
    </row>
    <row r="497" spans="4:5">
      <c r="D497"/>
      <c r="E497"/>
    </row>
    <row r="498" spans="4:5">
      <c r="D498"/>
      <c r="E498"/>
    </row>
    <row r="499" spans="4:5">
      <c r="D499"/>
      <c r="E499"/>
    </row>
    <row r="500" spans="4:5">
      <c r="D500"/>
      <c r="E500"/>
    </row>
    <row r="501" spans="4:5">
      <c r="D501"/>
      <c r="E501"/>
    </row>
    <row r="502" spans="4:5">
      <c r="D502"/>
      <c r="E502"/>
    </row>
    <row r="503" spans="4:5">
      <c r="D503"/>
      <c r="E503"/>
    </row>
    <row r="504" spans="4:5">
      <c r="D504"/>
      <c r="E504"/>
    </row>
    <row r="505" spans="4:5">
      <c r="D505"/>
      <c r="E505"/>
    </row>
    <row r="506" spans="4:5">
      <c r="D506"/>
      <c r="E506"/>
    </row>
    <row r="507" spans="4:5">
      <c r="D507"/>
      <c r="E507"/>
    </row>
    <row r="508" spans="4:5">
      <c r="D508"/>
      <c r="E508"/>
    </row>
    <row r="509" spans="4:5">
      <c r="D509"/>
      <c r="E509"/>
    </row>
    <row r="510" spans="4:5">
      <c r="D510"/>
      <c r="E510"/>
    </row>
    <row r="511" spans="4:5">
      <c r="D511"/>
      <c r="E511"/>
    </row>
    <row r="512" spans="4:5">
      <c r="D512"/>
      <c r="E512"/>
    </row>
    <row r="513" spans="4:5">
      <c r="D513"/>
      <c r="E513"/>
    </row>
    <row r="514" spans="4:5">
      <c r="D514"/>
      <c r="E514"/>
    </row>
    <row r="515" spans="4:5">
      <c r="D515"/>
      <c r="E515"/>
    </row>
    <row r="516" spans="4:5">
      <c r="D516"/>
      <c r="E516"/>
    </row>
    <row r="517" spans="4:5">
      <c r="D517"/>
      <c r="E517"/>
    </row>
    <row r="518" spans="4:5">
      <c r="D518"/>
      <c r="E518"/>
    </row>
    <row r="519" spans="4:5">
      <c r="D519"/>
      <c r="E519"/>
    </row>
    <row r="520" spans="4:5">
      <c r="D520"/>
      <c r="E520"/>
    </row>
    <row r="521" spans="4:5">
      <c r="D521"/>
      <c r="E521"/>
    </row>
    <row r="522" spans="4:5">
      <c r="D522"/>
      <c r="E522"/>
    </row>
    <row r="523" spans="4:5">
      <c r="D523"/>
      <c r="E523"/>
    </row>
    <row r="524" spans="4:5">
      <c r="D524"/>
      <c r="E524"/>
    </row>
    <row r="525" spans="4:5">
      <c r="D525"/>
      <c r="E525"/>
    </row>
    <row r="526" spans="4:5">
      <c r="D526"/>
      <c r="E526"/>
    </row>
    <row r="527" spans="4:5">
      <c r="D527"/>
      <c r="E527"/>
    </row>
    <row r="528" spans="4:5">
      <c r="D528"/>
      <c r="E528"/>
    </row>
    <row r="529" spans="4:5">
      <c r="D529"/>
      <c r="E529"/>
    </row>
    <row r="530" spans="4:5">
      <c r="D530"/>
      <c r="E530"/>
    </row>
    <row r="531" spans="4:5">
      <c r="D531"/>
      <c r="E531"/>
    </row>
    <row r="532" spans="4:5">
      <c r="D532"/>
      <c r="E532"/>
    </row>
    <row r="533" spans="4:5">
      <c r="D533"/>
      <c r="E533"/>
    </row>
    <row r="534" spans="4:5">
      <c r="D534"/>
      <c r="E534"/>
    </row>
    <row r="535" spans="4:5">
      <c r="D535"/>
      <c r="E535"/>
    </row>
    <row r="536" spans="4:5">
      <c r="D536"/>
      <c r="E536"/>
    </row>
    <row r="537" spans="4:5">
      <c r="D537"/>
      <c r="E537"/>
    </row>
    <row r="538" spans="4:5">
      <c r="D538"/>
      <c r="E538"/>
    </row>
    <row r="539" spans="4:5">
      <c r="D539"/>
      <c r="E539"/>
    </row>
    <row r="540" spans="4:5">
      <c r="D540"/>
      <c r="E540"/>
    </row>
    <row r="541" spans="4:5">
      <c r="D541"/>
      <c r="E541"/>
    </row>
    <row r="542" spans="4:5">
      <c r="D542"/>
      <c r="E542"/>
    </row>
    <row r="543" spans="4:5">
      <c r="D543"/>
      <c r="E543"/>
    </row>
    <row r="544" spans="4:5">
      <c r="D544"/>
      <c r="E544"/>
    </row>
    <row r="545" spans="4:5">
      <c r="D545"/>
      <c r="E545"/>
    </row>
    <row r="546" spans="4:5">
      <c r="D546"/>
      <c r="E546"/>
    </row>
    <row r="547" spans="4:5">
      <c r="D547"/>
      <c r="E547"/>
    </row>
    <row r="548" spans="4:5">
      <c r="D548"/>
      <c r="E548"/>
    </row>
    <row r="549" spans="4:5">
      <c r="D549"/>
      <c r="E549"/>
    </row>
    <row r="550" spans="4:5">
      <c r="D550"/>
      <c r="E550"/>
    </row>
    <row r="551" spans="4:5">
      <c r="D551"/>
      <c r="E551"/>
    </row>
    <row r="552" spans="4:5">
      <c r="D552"/>
      <c r="E552"/>
    </row>
    <row r="553" spans="4:5">
      <c r="D553"/>
      <c r="E553"/>
    </row>
    <row r="554" spans="4:5">
      <c r="D554"/>
      <c r="E554"/>
    </row>
    <row r="555" spans="4:5">
      <c r="D555"/>
      <c r="E555"/>
    </row>
    <row r="556" spans="4:5">
      <c r="D556"/>
      <c r="E556"/>
    </row>
    <row r="557" spans="4:5">
      <c r="D557"/>
      <c r="E557"/>
    </row>
    <row r="558" spans="4:5">
      <c r="D558"/>
      <c r="E558"/>
    </row>
    <row r="559" spans="4:5">
      <c r="D559"/>
      <c r="E559"/>
    </row>
    <row r="560" spans="4:5">
      <c r="D560"/>
      <c r="E560"/>
    </row>
    <row r="561" spans="4:5">
      <c r="D561"/>
      <c r="E561"/>
    </row>
    <row r="562" spans="4:5">
      <c r="D562"/>
      <c r="E562"/>
    </row>
    <row r="563" spans="4:5">
      <c r="D563"/>
      <c r="E563"/>
    </row>
    <row r="564" spans="4:5">
      <c r="D564"/>
      <c r="E564"/>
    </row>
    <row r="565" spans="4:5">
      <c r="D565"/>
      <c r="E565"/>
    </row>
    <row r="566" spans="4:5">
      <c r="D566"/>
      <c r="E566"/>
    </row>
    <row r="567" spans="4:5">
      <c r="D567"/>
      <c r="E567"/>
    </row>
    <row r="568" spans="4:5">
      <c r="D568"/>
      <c r="E568"/>
    </row>
    <row r="569" spans="4:5">
      <c r="D569"/>
      <c r="E569"/>
    </row>
    <row r="570" spans="4:5">
      <c r="D570"/>
      <c r="E570"/>
    </row>
    <row r="571" spans="4:5">
      <c r="D571"/>
      <c r="E571"/>
    </row>
    <row r="572" spans="4:5">
      <c r="D572"/>
      <c r="E572"/>
    </row>
    <row r="573" spans="4:5">
      <c r="D573"/>
      <c r="E573"/>
    </row>
    <row r="574" spans="4:5">
      <c r="D574"/>
      <c r="E574"/>
    </row>
    <row r="575" spans="4:5">
      <c r="D575"/>
      <c r="E575"/>
    </row>
    <row r="576" spans="4:5">
      <c r="D576"/>
      <c r="E576"/>
    </row>
    <row r="577" spans="4:5">
      <c r="D577"/>
      <c r="E577"/>
    </row>
    <row r="578" spans="4:5">
      <c r="D578"/>
      <c r="E578"/>
    </row>
    <row r="579" spans="4:5">
      <c r="D579"/>
      <c r="E579"/>
    </row>
    <row r="580" spans="4:5">
      <c r="D580"/>
      <c r="E580"/>
    </row>
    <row r="581" spans="4:5">
      <c r="D581"/>
      <c r="E581"/>
    </row>
    <row r="582" spans="4:5">
      <c r="D582"/>
      <c r="E582"/>
    </row>
    <row r="583" spans="4:5">
      <c r="D583"/>
      <c r="E583"/>
    </row>
    <row r="584" spans="4:5">
      <c r="D584"/>
      <c r="E584"/>
    </row>
    <row r="585" spans="4:5">
      <c r="D585"/>
      <c r="E585"/>
    </row>
    <row r="586" spans="4:5">
      <c r="D586"/>
      <c r="E586"/>
    </row>
    <row r="587" spans="4:5">
      <c r="D587"/>
      <c r="E587"/>
    </row>
    <row r="588" spans="4:5">
      <c r="D588"/>
      <c r="E588"/>
    </row>
    <row r="589" spans="4:5">
      <c r="D589"/>
      <c r="E589"/>
    </row>
    <row r="590" spans="4:5">
      <c r="D590"/>
      <c r="E590"/>
    </row>
    <row r="591" spans="4:5">
      <c r="D591"/>
      <c r="E591"/>
    </row>
    <row r="592" spans="4:5">
      <c r="D592"/>
      <c r="E592"/>
    </row>
    <row r="593" spans="4:5">
      <c r="D593"/>
      <c r="E593"/>
    </row>
    <row r="594" spans="4:5">
      <c r="D594"/>
      <c r="E594"/>
    </row>
    <row r="595" spans="4:5">
      <c r="D595"/>
      <c r="E595"/>
    </row>
    <row r="596" spans="4:5">
      <c r="D596"/>
      <c r="E596"/>
    </row>
    <row r="597" spans="4:5">
      <c r="D597"/>
      <c r="E597"/>
    </row>
    <row r="598" spans="4:5">
      <c r="D598"/>
      <c r="E598"/>
    </row>
    <row r="599" spans="4:5">
      <c r="D599"/>
      <c r="E599"/>
    </row>
    <row r="600" spans="4:5">
      <c r="D600"/>
      <c r="E600"/>
    </row>
    <row r="601" spans="4:5">
      <c r="D601"/>
      <c r="E601"/>
    </row>
    <row r="602" spans="4:5">
      <c r="D602"/>
      <c r="E602"/>
    </row>
    <row r="603" spans="4:5">
      <c r="D603"/>
      <c r="E603"/>
    </row>
    <row r="604" spans="4:5">
      <c r="D604"/>
      <c r="E604"/>
    </row>
    <row r="605" spans="4:5">
      <c r="D605"/>
      <c r="E605"/>
    </row>
    <row r="606" spans="4:5">
      <c r="D606"/>
      <c r="E606"/>
    </row>
    <row r="607" spans="4:5">
      <c r="D607"/>
      <c r="E607"/>
    </row>
    <row r="608" spans="4:5">
      <c r="D608"/>
      <c r="E608"/>
    </row>
    <row r="609" spans="4:5">
      <c r="D609"/>
      <c r="E609"/>
    </row>
    <row r="610" spans="4:5">
      <c r="D610"/>
      <c r="E610"/>
    </row>
    <row r="611" spans="4:5">
      <c r="D611"/>
      <c r="E611"/>
    </row>
    <row r="612" spans="4:5">
      <c r="D612"/>
      <c r="E612"/>
    </row>
    <row r="613" spans="4:5">
      <c r="D613"/>
      <c r="E613"/>
    </row>
    <row r="614" spans="4:5">
      <c r="D614"/>
      <c r="E614"/>
    </row>
    <row r="615" spans="4:5">
      <c r="D615"/>
      <c r="E615"/>
    </row>
    <row r="616" spans="4:5">
      <c r="D616"/>
      <c r="E616"/>
    </row>
    <row r="617" spans="4:5">
      <c r="D617"/>
      <c r="E617"/>
    </row>
    <row r="618" spans="4:5">
      <c r="D618"/>
      <c r="E618"/>
    </row>
    <row r="619" spans="4:5">
      <c r="D619"/>
      <c r="E619"/>
    </row>
    <row r="620" spans="4:5">
      <c r="D620"/>
      <c r="E620"/>
    </row>
    <row r="621" spans="4:5">
      <c r="D621"/>
      <c r="E621"/>
    </row>
    <row r="622" spans="4:5">
      <c r="D622"/>
      <c r="E622"/>
    </row>
    <row r="623" spans="4:5">
      <c r="D623"/>
      <c r="E623"/>
    </row>
    <row r="624" spans="4:5">
      <c r="D624"/>
      <c r="E624"/>
    </row>
    <row r="625" spans="4:5">
      <c r="D625"/>
      <c r="E625"/>
    </row>
    <row r="626" spans="4:5">
      <c r="D626"/>
      <c r="E626"/>
    </row>
    <row r="627" spans="4:5">
      <c r="D627"/>
      <c r="E627"/>
    </row>
    <row r="628" spans="4:5">
      <c r="D628"/>
      <c r="E628"/>
    </row>
    <row r="629" spans="4:5">
      <c r="D629"/>
      <c r="E629"/>
    </row>
    <row r="630" spans="4:5">
      <c r="D630"/>
      <c r="E630"/>
    </row>
    <row r="631" spans="4:5">
      <c r="D631"/>
      <c r="E631"/>
    </row>
    <row r="632" spans="4:5">
      <c r="D632"/>
      <c r="E632"/>
    </row>
    <row r="633" spans="4:5">
      <c r="D633"/>
      <c r="E633"/>
    </row>
    <row r="634" spans="4:5">
      <c r="D634"/>
      <c r="E634"/>
    </row>
    <row r="635" spans="4:5">
      <c r="D635"/>
      <c r="E635"/>
    </row>
    <row r="636" spans="4:5">
      <c r="D636"/>
      <c r="E636"/>
    </row>
    <row r="637" spans="4:5">
      <c r="D637"/>
      <c r="E637"/>
    </row>
    <row r="638" spans="4:5">
      <c r="D638"/>
      <c r="E638"/>
    </row>
    <row r="639" spans="4:5">
      <c r="D639"/>
      <c r="E639"/>
    </row>
    <row r="640" spans="4:5">
      <c r="D640"/>
      <c r="E640"/>
    </row>
    <row r="641" spans="4:5">
      <c r="D641"/>
      <c r="E641"/>
    </row>
    <row r="642" spans="4:5">
      <c r="D642"/>
      <c r="E642"/>
    </row>
    <row r="643" spans="4:5">
      <c r="D643"/>
      <c r="E643"/>
    </row>
    <row r="644" spans="4:5">
      <c r="D644"/>
      <c r="E644"/>
    </row>
    <row r="645" spans="4:5">
      <c r="D645"/>
      <c r="E645"/>
    </row>
    <row r="646" spans="4:5">
      <c r="D646"/>
      <c r="E646"/>
    </row>
    <row r="647" spans="4:5">
      <c r="D647"/>
      <c r="E647"/>
    </row>
    <row r="648" spans="4:5">
      <c r="D648"/>
      <c r="E648"/>
    </row>
    <row r="649" spans="4:5">
      <c r="D649"/>
      <c r="E649"/>
    </row>
    <row r="650" spans="4:5">
      <c r="D650"/>
      <c r="E650"/>
    </row>
    <row r="651" spans="4:5">
      <c r="D651"/>
      <c r="E651"/>
    </row>
    <row r="652" spans="4:5">
      <c r="D652"/>
      <c r="E652"/>
    </row>
    <row r="653" spans="4:5">
      <c r="D653"/>
      <c r="E653"/>
    </row>
    <row r="654" spans="4:5">
      <c r="D654"/>
      <c r="E654"/>
    </row>
    <row r="655" spans="4:5">
      <c r="D655"/>
      <c r="E655"/>
    </row>
    <row r="656" spans="4:5">
      <c r="D656"/>
      <c r="E656"/>
    </row>
    <row r="657" spans="4:5">
      <c r="D657"/>
      <c r="E657"/>
    </row>
    <row r="658" spans="4:5">
      <c r="D658"/>
      <c r="E658"/>
    </row>
    <row r="659" spans="4:5">
      <c r="D659"/>
      <c r="E659"/>
    </row>
    <row r="660" spans="4:5">
      <c r="D660"/>
      <c r="E660"/>
    </row>
    <row r="661" spans="4:5">
      <c r="D661"/>
      <c r="E661"/>
    </row>
    <row r="662" spans="4:5">
      <c r="D662"/>
      <c r="E662"/>
    </row>
    <row r="663" spans="4:5">
      <c r="D663"/>
      <c r="E663"/>
    </row>
    <row r="664" spans="4:5">
      <c r="D664"/>
      <c r="E664"/>
    </row>
    <row r="665" spans="4:5">
      <c r="D665"/>
      <c r="E665"/>
    </row>
    <row r="666" spans="4:5">
      <c r="D666"/>
      <c r="E666"/>
    </row>
    <row r="667" spans="4:5">
      <c r="D667"/>
      <c r="E667"/>
    </row>
    <row r="668" spans="4:5">
      <c r="D668"/>
      <c r="E668"/>
    </row>
    <row r="669" spans="4:5">
      <c r="D669"/>
      <c r="E669"/>
    </row>
    <row r="670" spans="4:5">
      <c r="D670"/>
      <c r="E670"/>
    </row>
    <row r="671" spans="4:5">
      <c r="D671"/>
      <c r="E671"/>
    </row>
    <row r="672" spans="4:5">
      <c r="D672"/>
      <c r="E672"/>
    </row>
    <row r="673" spans="4:5">
      <c r="D673"/>
      <c r="E673"/>
    </row>
    <row r="674" spans="4:5">
      <c r="D674"/>
      <c r="E674"/>
    </row>
    <row r="675" spans="4:5">
      <c r="D675"/>
      <c r="E675"/>
    </row>
    <row r="676" spans="4:5">
      <c r="D676"/>
      <c r="E676"/>
    </row>
    <row r="677" spans="4:5">
      <c r="D677"/>
      <c r="E677"/>
    </row>
    <row r="678" spans="4:5">
      <c r="D678"/>
      <c r="E678"/>
    </row>
    <row r="679" spans="4:5">
      <c r="D679"/>
      <c r="E679"/>
    </row>
    <row r="680" spans="4:5">
      <c r="D680"/>
      <c r="E680"/>
    </row>
    <row r="681" spans="4:5">
      <c r="D681"/>
      <c r="E681"/>
    </row>
    <row r="682" spans="4:5">
      <c r="D682"/>
      <c r="E682"/>
    </row>
    <row r="683" spans="4:5">
      <c r="D683"/>
      <c r="E683"/>
    </row>
    <row r="684" spans="4:5">
      <c r="D684"/>
      <c r="E684"/>
    </row>
    <row r="685" spans="4:5">
      <c r="D685"/>
      <c r="E685"/>
    </row>
    <row r="686" spans="4:5">
      <c r="D686"/>
      <c r="E686"/>
    </row>
    <row r="687" spans="4:5">
      <c r="D687"/>
      <c r="E687"/>
    </row>
    <row r="688" spans="4:5">
      <c r="D688"/>
      <c r="E688"/>
    </row>
    <row r="689" spans="4:5">
      <c r="D689"/>
      <c r="E689"/>
    </row>
    <row r="690" spans="4:5">
      <c r="D690"/>
      <c r="E690"/>
    </row>
    <row r="691" spans="4:5">
      <c r="D691"/>
      <c r="E691"/>
    </row>
    <row r="692" spans="4:5">
      <c r="D692"/>
      <c r="E692"/>
    </row>
    <row r="693" spans="4:5">
      <c r="D693"/>
      <c r="E693"/>
    </row>
    <row r="694" spans="4:5">
      <c r="D694"/>
      <c r="E694"/>
    </row>
    <row r="695" spans="4:5">
      <c r="D695"/>
      <c r="E695"/>
    </row>
    <row r="696" spans="4:5">
      <c r="D696"/>
      <c r="E696"/>
    </row>
    <row r="697" spans="4:5">
      <c r="D697"/>
      <c r="E697"/>
    </row>
    <row r="698" spans="4:5">
      <c r="D698"/>
      <c r="E698"/>
    </row>
    <row r="699" spans="4:5">
      <c r="D699"/>
      <c r="E699"/>
    </row>
    <row r="700" spans="4:5">
      <c r="D700"/>
      <c r="E700"/>
    </row>
    <row r="701" spans="4:5">
      <c r="D701"/>
      <c r="E701"/>
    </row>
    <row r="702" spans="4:5">
      <c r="D702"/>
      <c r="E702"/>
    </row>
    <row r="703" spans="4:5">
      <c r="D703"/>
      <c r="E703"/>
    </row>
    <row r="704" spans="4:5">
      <c r="D704"/>
      <c r="E704"/>
    </row>
    <row r="705" spans="4:5">
      <c r="D705"/>
      <c r="E705"/>
    </row>
    <row r="706" spans="4:5">
      <c r="D706"/>
      <c r="E706"/>
    </row>
    <row r="707" spans="4:5">
      <c r="D707"/>
      <c r="E707"/>
    </row>
    <row r="708" spans="4:5">
      <c r="D708"/>
      <c r="E708"/>
    </row>
    <row r="709" spans="4:5">
      <c r="D709"/>
      <c r="E709"/>
    </row>
    <row r="710" spans="4:5">
      <c r="D710"/>
      <c r="E710"/>
    </row>
    <row r="711" spans="4:5">
      <c r="D711"/>
      <c r="E711"/>
    </row>
    <row r="712" spans="4:5">
      <c r="D712"/>
      <c r="E712"/>
    </row>
    <row r="713" spans="4:5">
      <c r="D713"/>
      <c r="E713"/>
    </row>
    <row r="714" spans="4:5">
      <c r="D714"/>
      <c r="E714"/>
    </row>
    <row r="715" spans="4:5">
      <c r="D715"/>
      <c r="E715"/>
    </row>
    <row r="716" spans="4:5">
      <c r="D716"/>
      <c r="E716"/>
    </row>
    <row r="717" spans="4:5">
      <c r="D717"/>
      <c r="E717"/>
    </row>
    <row r="718" spans="4:5">
      <c r="D718"/>
      <c r="E718"/>
    </row>
    <row r="719" spans="4:5">
      <c r="D719"/>
      <c r="E719"/>
    </row>
    <row r="720" spans="4:5">
      <c r="D720"/>
      <c r="E720"/>
    </row>
    <row r="721" spans="4:5">
      <c r="D721"/>
      <c r="E721"/>
    </row>
    <row r="722" spans="4:5">
      <c r="D722"/>
      <c r="E722"/>
    </row>
    <row r="723" spans="4:5">
      <c r="D723"/>
      <c r="E723"/>
    </row>
    <row r="724" spans="4:5">
      <c r="D724"/>
      <c r="E724"/>
    </row>
    <row r="725" spans="4:5">
      <c r="D725"/>
      <c r="E725"/>
    </row>
    <row r="726" spans="4:5">
      <c r="D726"/>
      <c r="E726"/>
    </row>
    <row r="727" spans="4:5">
      <c r="D727"/>
      <c r="E727"/>
    </row>
    <row r="728" spans="4:5">
      <c r="D728"/>
      <c r="E728"/>
    </row>
    <row r="729" spans="4:5">
      <c r="D729"/>
      <c r="E729"/>
    </row>
    <row r="730" spans="4:5">
      <c r="D730"/>
      <c r="E730"/>
    </row>
    <row r="731" spans="4:5">
      <c r="D731"/>
      <c r="E731"/>
    </row>
    <row r="732" spans="4:5">
      <c r="D732"/>
      <c r="E732"/>
    </row>
    <row r="733" spans="4:5">
      <c r="D733"/>
      <c r="E733"/>
    </row>
    <row r="734" spans="4:5">
      <c r="D734"/>
      <c r="E734"/>
    </row>
    <row r="735" spans="4:5">
      <c r="D735"/>
      <c r="E735"/>
    </row>
    <row r="736" spans="4:5">
      <c r="D736"/>
      <c r="E736"/>
    </row>
    <row r="737" spans="4:5">
      <c r="D737"/>
      <c r="E737"/>
    </row>
    <row r="738" spans="4:5">
      <c r="D738"/>
      <c r="E738"/>
    </row>
    <row r="739" spans="4:5">
      <c r="D739"/>
      <c r="E739"/>
    </row>
    <row r="740" spans="4:5">
      <c r="D740"/>
      <c r="E740"/>
    </row>
    <row r="741" spans="4:5">
      <c r="D741"/>
      <c r="E741"/>
    </row>
    <row r="742" spans="4:5">
      <c r="D742"/>
      <c r="E742"/>
    </row>
    <row r="743" spans="4:5">
      <c r="D743"/>
      <c r="E743"/>
    </row>
    <row r="744" spans="4:5">
      <c r="D744"/>
      <c r="E744"/>
    </row>
    <row r="745" spans="4:5">
      <c r="D745"/>
      <c r="E745"/>
    </row>
    <row r="746" spans="4:5">
      <c r="D746"/>
      <c r="E746"/>
    </row>
    <row r="747" spans="4:5">
      <c r="D747"/>
      <c r="E747"/>
    </row>
    <row r="748" spans="4:5">
      <c r="D748"/>
      <c r="E748"/>
    </row>
    <row r="749" spans="4:5">
      <c r="D749"/>
      <c r="E749"/>
    </row>
    <row r="750" spans="4:5">
      <c r="D750"/>
      <c r="E750"/>
    </row>
    <row r="751" spans="4:5">
      <c r="D751"/>
      <c r="E751"/>
    </row>
    <row r="752" spans="4:5">
      <c r="D752"/>
      <c r="E752"/>
    </row>
    <row r="753" spans="4:5">
      <c r="D753"/>
      <c r="E753"/>
    </row>
    <row r="754" spans="4:5">
      <c r="D754"/>
      <c r="E754"/>
    </row>
    <row r="755" spans="4:5">
      <c r="D755"/>
      <c r="E755"/>
    </row>
    <row r="756" spans="4:5">
      <c r="D756"/>
      <c r="E756"/>
    </row>
    <row r="757" spans="4:5">
      <c r="D757"/>
      <c r="E757"/>
    </row>
    <row r="758" spans="4:5">
      <c r="D758"/>
      <c r="E758"/>
    </row>
    <row r="759" spans="4:5">
      <c r="D759"/>
      <c r="E759"/>
    </row>
    <row r="760" spans="4:5">
      <c r="D760"/>
      <c r="E760"/>
    </row>
    <row r="761" spans="4:5">
      <c r="D761"/>
      <c r="E761"/>
    </row>
    <row r="762" spans="4:5">
      <c r="D762"/>
      <c r="E762"/>
    </row>
    <row r="763" spans="4:5">
      <c r="D763"/>
      <c r="E763"/>
    </row>
    <row r="764" spans="4:5">
      <c r="D764"/>
      <c r="E764"/>
    </row>
    <row r="765" spans="4:5">
      <c r="D765"/>
      <c r="E765"/>
    </row>
    <row r="766" spans="4:5">
      <c r="D766"/>
      <c r="E766"/>
    </row>
    <row r="767" spans="4:5">
      <c r="D767"/>
      <c r="E767"/>
    </row>
    <row r="768" spans="4:5">
      <c r="D768"/>
      <c r="E768"/>
    </row>
    <row r="769" spans="4:5">
      <c r="D769"/>
      <c r="E769"/>
    </row>
    <row r="770" spans="4:5">
      <c r="D770"/>
      <c r="E770"/>
    </row>
    <row r="771" spans="4:5">
      <c r="D771"/>
      <c r="E771"/>
    </row>
    <row r="772" spans="4:5">
      <c r="D772"/>
      <c r="E772"/>
    </row>
    <row r="773" spans="4:5">
      <c r="D773"/>
      <c r="E773"/>
    </row>
    <row r="774" spans="4:5">
      <c r="D774"/>
      <c r="E774"/>
    </row>
    <row r="775" spans="4:5">
      <c r="D775"/>
      <c r="E775"/>
    </row>
    <row r="776" spans="4:5">
      <c r="D776"/>
      <c r="E776"/>
    </row>
    <row r="777" spans="4:5">
      <c r="D777"/>
      <c r="E777"/>
    </row>
    <row r="778" spans="4:5">
      <c r="D778"/>
      <c r="E778"/>
    </row>
    <row r="779" spans="4:5">
      <c r="D779"/>
      <c r="E779"/>
    </row>
    <row r="780" spans="4:5">
      <c r="D780"/>
      <c r="E780"/>
    </row>
    <row r="781" spans="4:5">
      <c r="D781"/>
      <c r="E781"/>
    </row>
    <row r="782" spans="4:5">
      <c r="D782"/>
      <c r="E782"/>
    </row>
    <row r="783" spans="4:5">
      <c r="D783"/>
      <c r="E783"/>
    </row>
    <row r="784" spans="4:5">
      <c r="D784"/>
      <c r="E784"/>
    </row>
    <row r="785" spans="4:5">
      <c r="D785"/>
      <c r="E785"/>
    </row>
    <row r="786" spans="4:5">
      <c r="D786"/>
      <c r="E786"/>
    </row>
    <row r="787" spans="4:5">
      <c r="D787"/>
      <c r="E787"/>
    </row>
    <row r="788" spans="4:5">
      <c r="D788"/>
      <c r="E788"/>
    </row>
    <row r="789" spans="4:5">
      <c r="D789"/>
      <c r="E789"/>
    </row>
    <row r="790" spans="4:5">
      <c r="D790"/>
      <c r="E790"/>
    </row>
    <row r="791" spans="4:5">
      <c r="D791"/>
      <c r="E791"/>
    </row>
    <row r="792" spans="4:5">
      <c r="D792"/>
      <c r="E792"/>
    </row>
    <row r="793" spans="4:5">
      <c r="D793"/>
      <c r="E793"/>
    </row>
    <row r="794" spans="4:5">
      <c r="D794"/>
      <c r="E794"/>
    </row>
    <row r="795" spans="4:5">
      <c r="D795"/>
      <c r="E795"/>
    </row>
    <row r="796" spans="4:5">
      <c r="D796"/>
      <c r="E796"/>
    </row>
    <row r="797" spans="4:5">
      <c r="D797"/>
      <c r="E797"/>
    </row>
    <row r="798" spans="4:5">
      <c r="D798"/>
      <c r="E798"/>
    </row>
    <row r="799" spans="4:5">
      <c r="D799"/>
      <c r="E799"/>
    </row>
    <row r="800" spans="4:5">
      <c r="D800"/>
      <c r="E800"/>
    </row>
    <row r="801" spans="4:5">
      <c r="D801"/>
      <c r="E801"/>
    </row>
    <row r="802" spans="4:5">
      <c r="D802"/>
      <c r="E802"/>
    </row>
    <row r="803" spans="4:5">
      <c r="D803"/>
      <c r="E803"/>
    </row>
    <row r="804" spans="4:5">
      <c r="D804"/>
      <c r="E804"/>
    </row>
    <row r="805" spans="4:5">
      <c r="D805"/>
      <c r="E805"/>
    </row>
    <row r="806" spans="4:5">
      <c r="D806"/>
      <c r="E806"/>
    </row>
    <row r="807" spans="4:5">
      <c r="D807"/>
      <c r="E807"/>
    </row>
    <row r="808" spans="4:5">
      <c r="D808"/>
      <c r="E808"/>
    </row>
    <row r="809" spans="4:5">
      <c r="D809"/>
      <c r="E809"/>
    </row>
    <row r="810" spans="4:5">
      <c r="D810"/>
      <c r="E810"/>
    </row>
    <row r="811" spans="4:5">
      <c r="D811"/>
      <c r="E811"/>
    </row>
    <row r="812" spans="4:5">
      <c r="D812"/>
      <c r="E812"/>
    </row>
    <row r="813" spans="4:5">
      <c r="D813"/>
      <c r="E813"/>
    </row>
    <row r="814" spans="4:5">
      <c r="D814"/>
      <c r="E814"/>
    </row>
    <row r="815" spans="4:5">
      <c r="D815"/>
      <c r="E815"/>
    </row>
    <row r="816" spans="4:5">
      <c r="D816"/>
      <c r="E816"/>
    </row>
    <row r="817" spans="4:5">
      <c r="D817"/>
      <c r="E817"/>
    </row>
    <row r="818" spans="4:5">
      <c r="D818"/>
      <c r="E818"/>
    </row>
    <row r="819" spans="4:5">
      <c r="D819"/>
      <c r="E819"/>
    </row>
    <row r="820" spans="4:5">
      <c r="D820"/>
      <c r="E820"/>
    </row>
    <row r="821" spans="4:5">
      <c r="D821"/>
      <c r="E821"/>
    </row>
    <row r="822" spans="4:5">
      <c r="D822"/>
      <c r="E822"/>
    </row>
    <row r="823" spans="4:5">
      <c r="D823"/>
      <c r="E823"/>
    </row>
    <row r="824" spans="4:5">
      <c r="D824"/>
      <c r="E824"/>
    </row>
    <row r="825" spans="4:5">
      <c r="D825"/>
      <c r="E825"/>
    </row>
    <row r="826" spans="4:5">
      <c r="D826"/>
      <c r="E826"/>
    </row>
    <row r="827" spans="4:5">
      <c r="D827"/>
      <c r="E827"/>
    </row>
    <row r="828" spans="4:5">
      <c r="D828"/>
      <c r="E828"/>
    </row>
    <row r="829" spans="4:5">
      <c r="D829"/>
      <c r="E829"/>
    </row>
    <row r="830" spans="4:5">
      <c r="D830"/>
      <c r="E830"/>
    </row>
    <row r="831" spans="4:5">
      <c r="D831"/>
      <c r="E831"/>
    </row>
    <row r="832" spans="4:5">
      <c r="D832"/>
      <c r="E832"/>
    </row>
    <row r="833" spans="4:5">
      <c r="D833"/>
      <c r="E833"/>
    </row>
    <row r="834" spans="4:5">
      <c r="D834"/>
      <c r="E834"/>
    </row>
    <row r="835" spans="4:5">
      <c r="D835"/>
      <c r="E835"/>
    </row>
    <row r="836" spans="4:5">
      <c r="D836"/>
      <c r="E836"/>
    </row>
    <row r="837" spans="4:5">
      <c r="D837"/>
      <c r="E837"/>
    </row>
    <row r="838" spans="4:5">
      <c r="D838"/>
      <c r="E838"/>
    </row>
    <row r="839" spans="4:5">
      <c r="D839"/>
      <c r="E839"/>
    </row>
    <row r="840" spans="4:5">
      <c r="D840"/>
      <c r="E840"/>
    </row>
    <row r="841" spans="4:5">
      <c r="D841"/>
      <c r="E841"/>
    </row>
    <row r="842" spans="4:5">
      <c r="D842"/>
      <c r="E842"/>
    </row>
    <row r="843" spans="4:5">
      <c r="D843"/>
      <c r="E843"/>
    </row>
    <row r="844" spans="4:5">
      <c r="D844"/>
      <c r="E844"/>
    </row>
    <row r="845" spans="4:5">
      <c r="D845"/>
      <c r="E845"/>
    </row>
    <row r="846" spans="4:5">
      <c r="D846"/>
      <c r="E846"/>
    </row>
    <row r="847" spans="4:5">
      <c r="D847"/>
      <c r="E847"/>
    </row>
    <row r="848" spans="4:5">
      <c r="D848"/>
      <c r="E848"/>
    </row>
    <row r="849" spans="4:5">
      <c r="D849"/>
      <c r="E849"/>
    </row>
    <row r="850" spans="4:5">
      <c r="D850"/>
      <c r="E850"/>
    </row>
    <row r="851" spans="4:5">
      <c r="D851"/>
      <c r="E851"/>
    </row>
    <row r="852" spans="4:5">
      <c r="D852"/>
      <c r="E852"/>
    </row>
    <row r="853" spans="4:5">
      <c r="D853"/>
      <c r="E853"/>
    </row>
    <row r="854" spans="4:5">
      <c r="D854"/>
      <c r="E854"/>
    </row>
    <row r="855" spans="4:5">
      <c r="D855"/>
      <c r="E855"/>
    </row>
    <row r="856" spans="4:5">
      <c r="D856"/>
      <c r="E856"/>
    </row>
    <row r="857" spans="4:5">
      <c r="D857"/>
      <c r="E857"/>
    </row>
    <row r="858" spans="4:5">
      <c r="D858"/>
      <c r="E858"/>
    </row>
    <row r="859" spans="4:5">
      <c r="D859"/>
      <c r="E859"/>
    </row>
    <row r="860" spans="4:5">
      <c r="D860"/>
      <c r="E860"/>
    </row>
    <row r="861" spans="4:5">
      <c r="D861"/>
      <c r="E861"/>
    </row>
    <row r="862" spans="4:5">
      <c r="D862"/>
      <c r="E862"/>
    </row>
    <row r="863" spans="4:5">
      <c r="D863"/>
      <c r="E863"/>
    </row>
    <row r="864" spans="4:5">
      <c r="D864"/>
      <c r="E864"/>
    </row>
    <row r="865" spans="4:5">
      <c r="D865"/>
      <c r="E865"/>
    </row>
    <row r="866" spans="4:5">
      <c r="D866"/>
      <c r="E866"/>
    </row>
    <row r="867" spans="4:5">
      <c r="D867"/>
      <c r="E867"/>
    </row>
    <row r="868" spans="4:5">
      <c r="D868"/>
      <c r="E868"/>
    </row>
    <row r="869" spans="4:5">
      <c r="D869"/>
      <c r="E869"/>
    </row>
    <row r="870" spans="4:5">
      <c r="D870"/>
      <c r="E870"/>
    </row>
    <row r="871" spans="4:5">
      <c r="D871"/>
      <c r="E871"/>
    </row>
    <row r="872" spans="4:5">
      <c r="D872"/>
      <c r="E872"/>
    </row>
    <row r="873" spans="4:5">
      <c r="D873"/>
      <c r="E873"/>
    </row>
    <row r="874" spans="4:5">
      <c r="D874"/>
      <c r="E874"/>
    </row>
    <row r="875" spans="4:5">
      <c r="D875"/>
      <c r="E875"/>
    </row>
    <row r="876" spans="4:5">
      <c r="D876"/>
      <c r="E876"/>
    </row>
    <row r="877" spans="4:5">
      <c r="D877"/>
      <c r="E877"/>
    </row>
    <row r="878" spans="4:5">
      <c r="D878"/>
      <c r="E878"/>
    </row>
    <row r="879" spans="4:5">
      <c r="D879"/>
      <c r="E879"/>
    </row>
    <row r="880" spans="4:5">
      <c r="D880"/>
      <c r="E880"/>
    </row>
    <row r="881" spans="4:5">
      <c r="D881"/>
      <c r="E881"/>
    </row>
    <row r="882" spans="4:5">
      <c r="D882"/>
      <c r="E882"/>
    </row>
    <row r="883" spans="4:5">
      <c r="D883"/>
      <c r="E883"/>
    </row>
    <row r="884" spans="4:5">
      <c r="D884"/>
      <c r="E884"/>
    </row>
    <row r="885" spans="4:5">
      <c r="D885"/>
      <c r="E885"/>
    </row>
    <row r="886" spans="4:5">
      <c r="D886"/>
      <c r="E886"/>
    </row>
    <row r="887" spans="4:5">
      <c r="D887"/>
      <c r="E887"/>
    </row>
    <row r="888" spans="4:5">
      <c r="D888"/>
      <c r="E888"/>
    </row>
    <row r="889" spans="4:5">
      <c r="D889"/>
      <c r="E889"/>
    </row>
    <row r="890" spans="4:5">
      <c r="D890"/>
      <c r="E890"/>
    </row>
    <row r="891" spans="4:5">
      <c r="D891"/>
      <c r="E891"/>
    </row>
    <row r="892" spans="4:5">
      <c r="D892"/>
      <c r="E892"/>
    </row>
    <row r="893" spans="4:5">
      <c r="D893"/>
      <c r="E893"/>
    </row>
    <row r="894" spans="4:5">
      <c r="D894"/>
      <c r="E894"/>
    </row>
    <row r="895" spans="4:5">
      <c r="D895"/>
      <c r="E895"/>
    </row>
    <row r="896" spans="4:5">
      <c r="D896"/>
      <c r="E896"/>
    </row>
    <row r="897" spans="4:5">
      <c r="D897"/>
      <c r="E897"/>
    </row>
    <row r="898" spans="4:5">
      <c r="D898"/>
      <c r="E898"/>
    </row>
    <row r="899" spans="4:5">
      <c r="D899"/>
      <c r="E899"/>
    </row>
    <row r="900" spans="4:5">
      <c r="D900"/>
      <c r="E900"/>
    </row>
    <row r="901" spans="4:5">
      <c r="D901"/>
      <c r="E901"/>
    </row>
    <row r="902" spans="4:5">
      <c r="D902"/>
      <c r="E902"/>
    </row>
    <row r="903" spans="4:5">
      <c r="D903"/>
      <c r="E903"/>
    </row>
    <row r="904" spans="4:5">
      <c r="D904"/>
      <c r="E904"/>
    </row>
    <row r="905" spans="4:5">
      <c r="D905"/>
      <c r="E905"/>
    </row>
    <row r="906" spans="4:5">
      <c r="D906"/>
      <c r="E906"/>
    </row>
    <row r="907" spans="4:5">
      <c r="D907"/>
      <c r="E907"/>
    </row>
    <row r="908" spans="4:5">
      <c r="D908"/>
      <c r="E908"/>
    </row>
    <row r="909" spans="4:5">
      <c r="D909"/>
      <c r="E909"/>
    </row>
    <row r="910" spans="4:5">
      <c r="D910"/>
      <c r="E910"/>
    </row>
    <row r="911" spans="4:5">
      <c r="D911"/>
      <c r="E911"/>
    </row>
    <row r="912" spans="4:5">
      <c r="D912"/>
      <c r="E912"/>
    </row>
    <row r="913" spans="4:5">
      <c r="D913"/>
      <c r="E913"/>
    </row>
    <row r="914" spans="4:5">
      <c r="D914"/>
      <c r="E914"/>
    </row>
    <row r="915" spans="4:5">
      <c r="D915"/>
      <c r="E915"/>
    </row>
    <row r="916" spans="4:5">
      <c r="D916"/>
      <c r="E916"/>
    </row>
    <row r="917" spans="4:5">
      <c r="D917"/>
      <c r="E917"/>
    </row>
    <row r="918" spans="4:5">
      <c r="D918"/>
      <c r="E918"/>
    </row>
    <row r="919" spans="4:5">
      <c r="D919"/>
      <c r="E919"/>
    </row>
    <row r="920" spans="4:5">
      <c r="D920"/>
      <c r="E920"/>
    </row>
    <row r="921" spans="4:5">
      <c r="D921"/>
      <c r="E921"/>
    </row>
    <row r="922" spans="4:5">
      <c r="D922"/>
      <c r="E922"/>
    </row>
    <row r="923" spans="4:5">
      <c r="D923"/>
      <c r="E923"/>
    </row>
    <row r="924" spans="4:5">
      <c r="D924"/>
      <c r="E924"/>
    </row>
    <row r="925" spans="4:5">
      <c r="D925"/>
      <c r="E925"/>
    </row>
    <row r="926" spans="4:5">
      <c r="D926"/>
      <c r="E926"/>
    </row>
    <row r="927" spans="4:5">
      <c r="D927"/>
      <c r="E927"/>
    </row>
    <row r="928" spans="4:5">
      <c r="D928"/>
      <c r="E928"/>
    </row>
    <row r="929" spans="4:5">
      <c r="D929"/>
      <c r="E929"/>
    </row>
    <row r="930" spans="4:5">
      <c r="D930"/>
      <c r="E930"/>
    </row>
    <row r="931" spans="4:5">
      <c r="D931"/>
      <c r="E931"/>
    </row>
    <row r="932" spans="4:5">
      <c r="D932"/>
      <c r="E932"/>
    </row>
    <row r="933" spans="4:5">
      <c r="D933"/>
      <c r="E933"/>
    </row>
    <row r="934" spans="4:5">
      <c r="D934"/>
      <c r="E934"/>
    </row>
    <row r="935" spans="4:5">
      <c r="D935"/>
      <c r="E935"/>
    </row>
    <row r="936" spans="4:5">
      <c r="D936"/>
      <c r="E936"/>
    </row>
    <row r="937" spans="4:5">
      <c r="D937"/>
      <c r="E937"/>
    </row>
    <row r="938" spans="4:5">
      <c r="D938"/>
      <c r="E938"/>
    </row>
    <row r="939" spans="4:5">
      <c r="D939"/>
      <c r="E939"/>
    </row>
    <row r="940" spans="4:5">
      <c r="D940"/>
      <c r="E940"/>
    </row>
    <row r="941" spans="4:5">
      <c r="D941"/>
      <c r="E941"/>
    </row>
    <row r="942" spans="4:5">
      <c r="D942"/>
      <c r="E942"/>
    </row>
    <row r="943" spans="4:5">
      <c r="D943"/>
      <c r="E943"/>
    </row>
    <row r="944" spans="4:5">
      <c r="D944"/>
      <c r="E944"/>
    </row>
    <row r="945" spans="4:5">
      <c r="D945"/>
      <c r="E945"/>
    </row>
    <row r="946" spans="4:5">
      <c r="D946"/>
      <c r="E946"/>
    </row>
    <row r="947" spans="4:5">
      <c r="D947"/>
      <c r="E947"/>
    </row>
    <row r="948" spans="4:5">
      <c r="D948"/>
      <c r="E948"/>
    </row>
    <row r="949" spans="4:5">
      <c r="D949"/>
      <c r="E949"/>
    </row>
    <row r="950" spans="4:5">
      <c r="D950"/>
      <c r="E950"/>
    </row>
    <row r="951" spans="4:5">
      <c r="D951"/>
      <c r="E951"/>
    </row>
    <row r="952" spans="4:5">
      <c r="D952"/>
      <c r="E952"/>
    </row>
    <row r="953" spans="4:5">
      <c r="D953"/>
      <c r="E953"/>
    </row>
    <row r="954" spans="4:5">
      <c r="D954"/>
      <c r="E954"/>
    </row>
    <row r="955" spans="4:5">
      <c r="D955"/>
      <c r="E955"/>
    </row>
    <row r="956" spans="4:5">
      <c r="D956"/>
      <c r="E956"/>
    </row>
    <row r="957" spans="4:5">
      <c r="D957"/>
      <c r="E957"/>
    </row>
    <row r="958" spans="4:5">
      <c r="D958"/>
      <c r="E958"/>
    </row>
    <row r="959" spans="4:5">
      <c r="D959"/>
      <c r="E959"/>
    </row>
    <row r="960" spans="4:5">
      <c r="D960"/>
      <c r="E960"/>
    </row>
    <row r="961" spans="4:5">
      <c r="D961"/>
      <c r="E961"/>
    </row>
    <row r="962" spans="4:5">
      <c r="D962"/>
      <c r="E962"/>
    </row>
    <row r="963" spans="4:5">
      <c r="D963"/>
      <c r="E963"/>
    </row>
    <row r="964" spans="4:5">
      <c r="D964"/>
      <c r="E964"/>
    </row>
    <row r="965" spans="4:5">
      <c r="D965"/>
      <c r="E965"/>
    </row>
    <row r="966" spans="4:5">
      <c r="D966"/>
      <c r="E966"/>
    </row>
    <row r="967" spans="4:5">
      <c r="D967"/>
      <c r="E967"/>
    </row>
    <row r="968" spans="4:5">
      <c r="D968"/>
      <c r="E968"/>
    </row>
    <row r="969" spans="4:5">
      <c r="D969"/>
      <c r="E969"/>
    </row>
    <row r="970" spans="4:5">
      <c r="D970"/>
      <c r="E970"/>
    </row>
    <row r="971" spans="4:5">
      <c r="D971"/>
      <c r="E971"/>
    </row>
    <row r="972" spans="4:5">
      <c r="D972"/>
      <c r="E972"/>
    </row>
    <row r="973" spans="4:5">
      <c r="D973"/>
      <c r="E973"/>
    </row>
    <row r="974" spans="4:5">
      <c r="D974"/>
      <c r="E974"/>
    </row>
    <row r="975" spans="4:5">
      <c r="D975"/>
      <c r="E975"/>
    </row>
    <row r="976" spans="4:5">
      <c r="D976"/>
      <c r="E976"/>
    </row>
    <row r="977" spans="4:5">
      <c r="D977"/>
      <c r="E977"/>
    </row>
    <row r="978" spans="4:5">
      <c r="D978"/>
      <c r="E978"/>
    </row>
    <row r="979" spans="4:5">
      <c r="D979"/>
      <c r="E979"/>
    </row>
    <row r="980" spans="4:5">
      <c r="D980"/>
      <c r="E980"/>
    </row>
    <row r="981" spans="4:5">
      <c r="D981"/>
      <c r="E981"/>
    </row>
    <row r="982" spans="4:5">
      <c r="D982"/>
      <c r="E982"/>
    </row>
    <row r="983" spans="4:5">
      <c r="D983"/>
      <c r="E983"/>
    </row>
    <row r="984" spans="4:5">
      <c r="D984"/>
      <c r="E984"/>
    </row>
    <row r="985" spans="4:5">
      <c r="D985"/>
      <c r="E985"/>
    </row>
    <row r="986" spans="4:5">
      <c r="D986"/>
      <c r="E986"/>
    </row>
    <row r="987" spans="4:5">
      <c r="D987"/>
      <c r="E987"/>
    </row>
    <row r="988" spans="4:5">
      <c r="D988"/>
      <c r="E988"/>
    </row>
    <row r="989" spans="4:5">
      <c r="D989"/>
      <c r="E989"/>
    </row>
    <row r="990" spans="4:5">
      <c r="D990"/>
      <c r="E990"/>
    </row>
    <row r="991" spans="4:5">
      <c r="D991"/>
      <c r="E991"/>
    </row>
    <row r="992" spans="4:5">
      <c r="D992"/>
      <c r="E992"/>
    </row>
    <row r="993" spans="4:5">
      <c r="D993"/>
      <c r="E993"/>
    </row>
    <row r="994" spans="4:5">
      <c r="D994"/>
      <c r="E994"/>
    </row>
    <row r="995" spans="4:5">
      <c r="D995"/>
      <c r="E995"/>
    </row>
    <row r="996" spans="4:5">
      <c r="D996"/>
      <c r="E996"/>
    </row>
    <row r="997" spans="4:5">
      <c r="D997"/>
      <c r="E997"/>
    </row>
    <row r="998" spans="4:5">
      <c r="D998"/>
      <c r="E998"/>
    </row>
    <row r="999" spans="4:5">
      <c r="D999"/>
      <c r="E999"/>
    </row>
    <row r="1000" spans="4:5">
      <c r="D1000"/>
      <c r="E1000"/>
    </row>
    <row r="1001" spans="4:5">
      <c r="D1001"/>
      <c r="E1001"/>
    </row>
    <row r="1002" spans="4:5">
      <c r="D1002"/>
      <c r="E1002"/>
    </row>
    <row r="1003" spans="4:5">
      <c r="D1003"/>
      <c r="E1003"/>
    </row>
    <row r="1004" spans="4:5">
      <c r="D1004"/>
      <c r="E1004"/>
    </row>
    <row r="1005" spans="4:5">
      <c r="D1005"/>
      <c r="E1005"/>
    </row>
    <row r="1006" spans="4:5">
      <c r="D1006"/>
      <c r="E1006"/>
    </row>
    <row r="1007" spans="4:5">
      <c r="D1007"/>
      <c r="E1007"/>
    </row>
    <row r="1008" spans="4:5">
      <c r="D1008"/>
      <c r="E1008"/>
    </row>
    <row r="1009" spans="4:5">
      <c r="D1009"/>
      <c r="E1009"/>
    </row>
    <row r="1010" spans="4:5">
      <c r="D1010"/>
      <c r="E1010"/>
    </row>
    <row r="1011" spans="4:5">
      <c r="D1011"/>
      <c r="E1011"/>
    </row>
    <row r="1012" spans="4:5">
      <c r="D1012"/>
      <c r="E1012"/>
    </row>
    <row r="1013" spans="4:5">
      <c r="D1013"/>
      <c r="E1013"/>
    </row>
    <row r="1014" spans="4:5">
      <c r="D1014"/>
      <c r="E1014"/>
    </row>
    <row r="1015" spans="4:5">
      <c r="D1015"/>
      <c r="E1015"/>
    </row>
    <row r="1016" spans="4:5">
      <c r="D1016"/>
      <c r="E1016"/>
    </row>
    <row r="1017" spans="4:5">
      <c r="D1017"/>
      <c r="E1017"/>
    </row>
    <row r="1018" spans="4:5">
      <c r="D1018"/>
      <c r="E1018"/>
    </row>
    <row r="1019" spans="4:5">
      <c r="D1019"/>
      <c r="E1019"/>
    </row>
    <row r="1020" spans="4:5">
      <c r="D1020"/>
      <c r="E1020"/>
    </row>
    <row r="1021" spans="4:5">
      <c r="D1021"/>
      <c r="E1021"/>
    </row>
    <row r="1022" spans="4:5">
      <c r="D1022"/>
      <c r="E1022"/>
    </row>
    <row r="1023" spans="4:5">
      <c r="D1023"/>
      <c r="E1023"/>
    </row>
    <row r="1024" spans="4:5">
      <c r="D1024"/>
      <c r="E1024"/>
    </row>
    <row r="1025" spans="4:5">
      <c r="D1025"/>
      <c r="E1025"/>
    </row>
    <row r="1026" spans="4:5">
      <c r="D1026"/>
      <c r="E1026"/>
    </row>
    <row r="1027" spans="4:5">
      <c r="D1027"/>
      <c r="E1027"/>
    </row>
    <row r="1028" spans="4:5">
      <c r="D1028"/>
      <c r="E1028"/>
    </row>
    <row r="1029" spans="4:5">
      <c r="D1029"/>
      <c r="E1029"/>
    </row>
    <row r="1030" spans="4:5">
      <c r="D1030"/>
      <c r="E1030"/>
    </row>
    <row r="1031" spans="4:5">
      <c r="D1031"/>
      <c r="E1031"/>
    </row>
    <row r="1032" spans="4:5">
      <c r="D1032"/>
      <c r="E1032"/>
    </row>
    <row r="1033" spans="4:5">
      <c r="D1033"/>
      <c r="E1033"/>
    </row>
    <row r="1034" spans="4:5">
      <c r="D1034"/>
      <c r="E1034"/>
    </row>
    <row r="1035" spans="4:5">
      <c r="D1035"/>
      <c r="E1035"/>
    </row>
    <row r="1036" spans="4:5">
      <c r="D1036"/>
      <c r="E1036"/>
    </row>
    <row r="1037" spans="4:5">
      <c r="D1037"/>
      <c r="E1037"/>
    </row>
    <row r="1038" spans="4:5">
      <c r="D1038"/>
      <c r="E1038"/>
    </row>
    <row r="1039" spans="4:5">
      <c r="D1039"/>
      <c r="E1039"/>
    </row>
    <row r="1040" spans="4:5">
      <c r="D1040"/>
      <c r="E1040"/>
    </row>
    <row r="1041" spans="4:5">
      <c r="D1041"/>
      <c r="E1041"/>
    </row>
    <row r="1042" spans="4:5">
      <c r="D1042"/>
      <c r="E1042"/>
    </row>
    <row r="1043" spans="4:5">
      <c r="D1043"/>
      <c r="E1043"/>
    </row>
    <row r="1044" spans="4:5">
      <c r="D1044"/>
      <c r="E1044"/>
    </row>
    <row r="1045" spans="4:5">
      <c r="D1045"/>
      <c r="E1045"/>
    </row>
    <row r="1046" spans="4:5">
      <c r="D1046"/>
      <c r="E1046"/>
    </row>
    <row r="1047" spans="4:5">
      <c r="D1047"/>
      <c r="E1047"/>
    </row>
    <row r="1048" spans="4:5">
      <c r="D1048"/>
      <c r="E1048"/>
    </row>
    <row r="1049" spans="4:5">
      <c r="D1049"/>
      <c r="E1049"/>
    </row>
    <row r="1050" spans="4:5">
      <c r="D1050"/>
      <c r="E1050"/>
    </row>
    <row r="1051" spans="4:5">
      <c r="D1051"/>
      <c r="E1051"/>
    </row>
    <row r="1052" spans="4:5">
      <c r="D1052"/>
      <c r="E1052"/>
    </row>
    <row r="1053" spans="4:5">
      <c r="D1053"/>
      <c r="E1053"/>
    </row>
    <row r="1054" spans="4:5">
      <c r="D1054"/>
      <c r="E1054"/>
    </row>
    <row r="1055" spans="4:5">
      <c r="D1055"/>
      <c r="E1055"/>
    </row>
    <row r="1056" spans="4:5">
      <c r="D1056"/>
      <c r="E1056"/>
    </row>
    <row r="1057" spans="4:5">
      <c r="D1057"/>
      <c r="E1057"/>
    </row>
    <row r="1058" spans="4:5">
      <c r="D1058"/>
      <c r="E1058"/>
    </row>
    <row r="1059" spans="4:5">
      <c r="D1059"/>
      <c r="E1059"/>
    </row>
    <row r="1060" spans="4:5">
      <c r="D1060"/>
      <c r="E1060"/>
    </row>
    <row r="1061" spans="4:5">
      <c r="D1061"/>
      <c r="E1061"/>
    </row>
    <row r="1062" spans="4:5">
      <c r="D1062"/>
      <c r="E1062"/>
    </row>
    <row r="1063" spans="4:5">
      <c r="D1063"/>
      <c r="E1063"/>
    </row>
    <row r="1064" spans="4:5">
      <c r="D1064"/>
      <c r="E1064"/>
    </row>
    <row r="1065" spans="4:5">
      <c r="D1065"/>
      <c r="E1065"/>
    </row>
    <row r="1066" spans="4:5">
      <c r="D1066"/>
      <c r="E1066"/>
    </row>
    <row r="1067" spans="4:5">
      <c r="D1067"/>
      <c r="E1067"/>
    </row>
    <row r="1068" spans="4:5">
      <c r="D1068"/>
      <c r="E1068"/>
    </row>
    <row r="1069" spans="4:5">
      <c r="D1069"/>
      <c r="E1069"/>
    </row>
    <row r="1070" spans="4:5">
      <c r="D1070"/>
      <c r="E1070"/>
    </row>
    <row r="1071" spans="4:5">
      <c r="D1071"/>
      <c r="E1071"/>
    </row>
    <row r="1072" spans="4:5">
      <c r="D1072"/>
      <c r="E1072"/>
    </row>
    <row r="1073" spans="4:5">
      <c r="D1073"/>
      <c r="E1073"/>
    </row>
    <row r="1074" spans="4:5">
      <c r="D1074"/>
      <c r="E1074"/>
    </row>
    <row r="1075" spans="4:5">
      <c r="D1075"/>
      <c r="E1075"/>
    </row>
    <row r="1076" spans="4:5">
      <c r="D1076"/>
      <c r="E1076"/>
    </row>
    <row r="1077" spans="4:5">
      <c r="D1077"/>
      <c r="E1077"/>
    </row>
    <row r="1078" spans="4:5">
      <c r="D1078"/>
      <c r="E1078"/>
    </row>
    <row r="1079" spans="4:5">
      <c r="D1079"/>
      <c r="E1079"/>
    </row>
    <row r="1080" spans="4:5">
      <c r="D1080"/>
      <c r="E1080"/>
    </row>
    <row r="1081" spans="4:5">
      <c r="D1081"/>
      <c r="E1081"/>
    </row>
    <row r="1082" spans="4:5">
      <c r="D1082"/>
      <c r="E1082"/>
    </row>
    <row r="1083" spans="4:5">
      <c r="D1083"/>
      <c r="E1083"/>
    </row>
    <row r="1084" spans="4:5">
      <c r="D1084"/>
      <c r="E1084"/>
    </row>
    <row r="1085" spans="4:5">
      <c r="D1085"/>
      <c r="E1085"/>
    </row>
    <row r="1086" spans="4:5">
      <c r="D1086"/>
      <c r="E1086"/>
    </row>
    <row r="1087" spans="4:5">
      <c r="D1087"/>
      <c r="E1087"/>
    </row>
    <row r="1088" spans="4:5">
      <c r="D1088"/>
      <c r="E1088"/>
    </row>
    <row r="1089" spans="4:5">
      <c r="D1089"/>
      <c r="E1089"/>
    </row>
    <row r="1090" spans="4:5">
      <c r="D1090"/>
      <c r="E1090"/>
    </row>
    <row r="1091" spans="4:5">
      <c r="D1091"/>
      <c r="E1091"/>
    </row>
    <row r="1092" spans="4:5">
      <c r="D1092"/>
      <c r="E1092"/>
    </row>
    <row r="1093" spans="4:5">
      <c r="D1093"/>
      <c r="E1093"/>
    </row>
    <row r="1094" spans="4:5">
      <c r="D1094"/>
      <c r="E1094"/>
    </row>
    <row r="1095" spans="4:5">
      <c r="D1095"/>
      <c r="E1095"/>
    </row>
    <row r="1096" spans="4:5">
      <c r="D1096"/>
      <c r="E1096"/>
    </row>
    <row r="1097" spans="4:5">
      <c r="D1097"/>
      <c r="E1097"/>
    </row>
    <row r="1098" spans="4:5">
      <c r="D1098"/>
      <c r="E1098"/>
    </row>
    <row r="1099" spans="4:5">
      <c r="D1099"/>
      <c r="E1099"/>
    </row>
    <row r="1100" spans="4:5">
      <c r="D1100"/>
      <c r="E1100"/>
    </row>
    <row r="1101" spans="4:5">
      <c r="D1101"/>
      <c r="E1101"/>
    </row>
    <row r="1102" spans="4:5">
      <c r="D1102"/>
      <c r="E1102"/>
    </row>
    <row r="1103" spans="4:5">
      <c r="D1103"/>
      <c r="E1103"/>
    </row>
    <row r="1104" spans="4:5">
      <c r="D1104"/>
      <c r="E1104"/>
    </row>
    <row r="1105" spans="4:5">
      <c r="D1105"/>
      <c r="E1105"/>
    </row>
    <row r="1106" spans="4:5">
      <c r="D1106"/>
      <c r="E1106"/>
    </row>
    <row r="1107" spans="4:5">
      <c r="D1107"/>
      <c r="E1107"/>
    </row>
    <row r="1108" spans="4:5">
      <c r="D1108"/>
      <c r="E1108"/>
    </row>
    <row r="1109" spans="4:5">
      <c r="D1109"/>
      <c r="E1109"/>
    </row>
    <row r="1110" spans="4:5">
      <c r="D1110"/>
      <c r="E1110"/>
    </row>
    <row r="1111" spans="4:5">
      <c r="D1111"/>
      <c r="E1111"/>
    </row>
    <row r="1112" spans="4:5">
      <c r="D1112"/>
      <c r="E1112"/>
    </row>
    <row r="1113" spans="4:5">
      <c r="D1113"/>
      <c r="E1113"/>
    </row>
    <row r="1114" spans="4:5">
      <c r="D1114"/>
      <c r="E1114"/>
    </row>
    <row r="1115" spans="4:5">
      <c r="D1115"/>
      <c r="E1115"/>
    </row>
    <row r="1116" spans="4:5">
      <c r="D1116"/>
      <c r="E1116"/>
    </row>
    <row r="1117" spans="4:5">
      <c r="D1117"/>
      <c r="E1117"/>
    </row>
    <row r="1118" spans="4:5">
      <c r="D1118"/>
      <c r="E1118"/>
    </row>
    <row r="1119" spans="4:5">
      <c r="D1119"/>
      <c r="E1119"/>
    </row>
    <row r="1120" spans="4:5">
      <c r="D1120"/>
      <c r="E1120"/>
    </row>
    <row r="1121" spans="4:5">
      <c r="D1121"/>
      <c r="E1121"/>
    </row>
    <row r="1122" spans="4:5">
      <c r="D1122"/>
      <c r="E1122"/>
    </row>
    <row r="1123" spans="4:5">
      <c r="D1123"/>
      <c r="E1123"/>
    </row>
    <row r="1124" spans="4:5">
      <c r="D1124"/>
      <c r="E1124"/>
    </row>
    <row r="1125" spans="4:5">
      <c r="D1125"/>
      <c r="E1125"/>
    </row>
    <row r="1126" spans="4:5">
      <c r="D1126"/>
      <c r="E1126"/>
    </row>
    <row r="1127" spans="4:5">
      <c r="D1127"/>
      <c r="E1127"/>
    </row>
    <row r="1128" spans="4:5">
      <c r="D1128"/>
      <c r="E1128"/>
    </row>
    <row r="1129" spans="4:5">
      <c r="D1129"/>
      <c r="E1129"/>
    </row>
    <row r="1130" spans="4:5">
      <c r="D1130"/>
      <c r="E1130"/>
    </row>
    <row r="1131" spans="4:5">
      <c r="D1131"/>
      <c r="E1131"/>
    </row>
    <row r="1132" spans="4:5">
      <c r="D1132"/>
      <c r="E1132"/>
    </row>
    <row r="1133" spans="4:5">
      <c r="D1133"/>
      <c r="E1133"/>
    </row>
    <row r="1134" spans="4:5">
      <c r="D1134"/>
      <c r="E1134"/>
    </row>
    <row r="1135" spans="4:5">
      <c r="D1135"/>
      <c r="E1135"/>
    </row>
    <row r="1136" spans="4:5">
      <c r="D1136"/>
      <c r="E1136"/>
    </row>
    <row r="1137" spans="4:5">
      <c r="D1137"/>
      <c r="E1137"/>
    </row>
    <row r="1138" spans="4:5">
      <c r="D1138"/>
      <c r="E1138"/>
    </row>
    <row r="1139" spans="4:5">
      <c r="D1139"/>
      <c r="E1139"/>
    </row>
    <row r="1140" spans="4:5">
      <c r="D1140"/>
      <c r="E1140"/>
    </row>
    <row r="1141" spans="4:5">
      <c r="D1141"/>
      <c r="E1141"/>
    </row>
    <row r="1142" spans="4:5">
      <c r="D1142"/>
      <c r="E1142"/>
    </row>
    <row r="1143" spans="4:5">
      <c r="D1143"/>
      <c r="E1143"/>
    </row>
    <row r="1144" spans="4:5">
      <c r="D1144"/>
      <c r="E1144"/>
    </row>
    <row r="1145" spans="4:5">
      <c r="D1145"/>
      <c r="E1145"/>
    </row>
    <row r="1146" spans="4:5">
      <c r="D1146"/>
      <c r="E1146"/>
    </row>
    <row r="1147" spans="4:5">
      <c r="D1147"/>
      <c r="E1147"/>
    </row>
    <row r="1148" spans="4:5">
      <c r="D1148"/>
      <c r="E1148"/>
    </row>
    <row r="1149" spans="4:5">
      <c r="D1149"/>
      <c r="E1149"/>
    </row>
    <row r="1150" spans="4:5">
      <c r="D1150"/>
      <c r="E1150"/>
    </row>
    <row r="1151" spans="4:5">
      <c r="D1151"/>
      <c r="E1151"/>
    </row>
    <row r="1152" spans="4:5">
      <c r="D1152"/>
      <c r="E1152"/>
    </row>
    <row r="1153" spans="4:5">
      <c r="D1153"/>
      <c r="E1153"/>
    </row>
    <row r="1154" spans="4:5">
      <c r="D1154"/>
      <c r="E1154"/>
    </row>
    <row r="1155" spans="4:5">
      <c r="D1155"/>
      <c r="E1155"/>
    </row>
    <row r="1156" spans="4:5">
      <c r="D1156"/>
      <c r="E1156"/>
    </row>
    <row r="1157" spans="4:5">
      <c r="D1157"/>
      <c r="E1157"/>
    </row>
    <row r="1158" spans="4:5">
      <c r="D1158"/>
      <c r="E1158"/>
    </row>
    <row r="1159" spans="4:5">
      <c r="D1159"/>
      <c r="E1159"/>
    </row>
    <row r="1160" spans="4:5">
      <c r="D1160"/>
      <c r="E1160"/>
    </row>
    <row r="1161" spans="4:5">
      <c r="D1161"/>
      <c r="E1161"/>
    </row>
    <row r="1162" spans="4:5">
      <c r="D1162"/>
      <c r="E1162"/>
    </row>
    <row r="1163" spans="4:5">
      <c r="D1163"/>
      <c r="E1163"/>
    </row>
    <row r="1164" spans="4:5">
      <c r="D1164"/>
      <c r="E1164"/>
    </row>
    <row r="1165" spans="4:5">
      <c r="D1165"/>
      <c r="E1165"/>
    </row>
    <row r="1166" spans="4:5">
      <c r="D1166"/>
      <c r="E1166"/>
    </row>
    <row r="1167" spans="4:5">
      <c r="D1167"/>
      <c r="E1167"/>
    </row>
    <row r="1168" spans="4:5">
      <c r="D1168"/>
      <c r="E1168"/>
    </row>
    <row r="1169" spans="4:5">
      <c r="D1169"/>
      <c r="E1169"/>
    </row>
    <row r="1170" spans="4:5">
      <c r="D1170"/>
      <c r="E1170"/>
    </row>
    <row r="1171" spans="4:5">
      <c r="D1171"/>
      <c r="E1171"/>
    </row>
    <row r="1172" spans="4:5">
      <c r="D1172"/>
      <c r="E1172"/>
    </row>
    <row r="1173" spans="4:5">
      <c r="D1173"/>
      <c r="E1173"/>
    </row>
    <row r="1174" spans="4:5">
      <c r="D1174"/>
      <c r="E1174"/>
    </row>
    <row r="1175" spans="4:5">
      <c r="D1175"/>
      <c r="E1175"/>
    </row>
    <row r="1176" spans="4:5">
      <c r="D1176"/>
      <c r="E1176"/>
    </row>
    <row r="1177" spans="4:5">
      <c r="D1177"/>
      <c r="E1177"/>
    </row>
    <row r="1178" spans="4:5">
      <c r="D1178"/>
      <c r="E1178"/>
    </row>
    <row r="1179" spans="4:5">
      <c r="D1179"/>
      <c r="E1179"/>
    </row>
    <row r="1180" spans="4:5">
      <c r="D1180"/>
      <c r="E1180"/>
    </row>
    <row r="1181" spans="4:5">
      <c r="D1181"/>
      <c r="E1181"/>
    </row>
    <row r="1182" spans="4:5">
      <c r="D1182"/>
      <c r="E1182"/>
    </row>
    <row r="1183" spans="4:5">
      <c r="D1183"/>
      <c r="E1183"/>
    </row>
    <row r="1184" spans="4:5">
      <c r="D1184"/>
      <c r="E1184"/>
    </row>
    <row r="1185" spans="4:5">
      <c r="D1185"/>
      <c r="E1185"/>
    </row>
    <row r="1186" spans="4:5">
      <c r="D1186"/>
      <c r="E1186"/>
    </row>
    <row r="1187" spans="4:5">
      <c r="D1187"/>
      <c r="E1187"/>
    </row>
    <row r="1188" spans="4:5">
      <c r="D1188"/>
      <c r="E1188"/>
    </row>
    <row r="1189" spans="4:5">
      <c r="D1189"/>
      <c r="E1189"/>
    </row>
    <row r="1190" spans="4:5">
      <c r="D1190"/>
      <c r="E1190"/>
    </row>
    <row r="1191" spans="4:5">
      <c r="D1191"/>
      <c r="E1191"/>
    </row>
    <row r="1192" spans="4:5">
      <c r="D1192"/>
      <c r="E1192"/>
    </row>
    <row r="1193" spans="4:5">
      <c r="D1193"/>
      <c r="E1193"/>
    </row>
    <row r="1194" spans="4:5">
      <c r="D1194"/>
      <c r="E1194"/>
    </row>
    <row r="1195" spans="4:5">
      <c r="D1195"/>
      <c r="E1195"/>
    </row>
    <row r="1196" spans="4:5">
      <c r="D1196"/>
      <c r="E1196"/>
    </row>
    <row r="1197" spans="4:5">
      <c r="D1197"/>
      <c r="E1197"/>
    </row>
    <row r="1198" spans="4:5">
      <c r="D1198"/>
      <c r="E1198"/>
    </row>
    <row r="1199" spans="4:5">
      <c r="D1199"/>
      <c r="E1199"/>
    </row>
    <row r="1200" spans="4:5">
      <c r="D1200"/>
      <c r="E1200"/>
    </row>
    <row r="1201" spans="4:5">
      <c r="D1201"/>
      <c r="E1201"/>
    </row>
    <row r="1202" spans="4:5">
      <c r="D1202"/>
      <c r="E1202"/>
    </row>
    <row r="1203" spans="4:5">
      <c r="D1203"/>
      <c r="E1203"/>
    </row>
    <row r="1204" spans="4:5">
      <c r="D1204"/>
      <c r="E1204"/>
    </row>
    <row r="1205" spans="4:5">
      <c r="D1205"/>
      <c r="E1205"/>
    </row>
    <row r="1206" spans="4:5">
      <c r="D1206"/>
      <c r="E1206"/>
    </row>
    <row r="1207" spans="4:5">
      <c r="D1207"/>
      <c r="E1207"/>
    </row>
    <row r="1208" spans="4:5">
      <c r="D1208"/>
      <c r="E1208"/>
    </row>
    <row r="1209" spans="4:5">
      <c r="D1209"/>
      <c r="E1209"/>
    </row>
    <row r="1210" spans="4:5">
      <c r="D1210"/>
      <c r="E1210"/>
    </row>
    <row r="1211" spans="4:5">
      <c r="D1211"/>
      <c r="E1211"/>
    </row>
    <row r="1212" spans="4:5">
      <c r="D1212"/>
      <c r="E1212"/>
    </row>
    <row r="1213" spans="4:5">
      <c r="D1213"/>
      <c r="E1213"/>
    </row>
    <row r="1214" spans="4:5">
      <c r="D1214"/>
      <c r="E1214"/>
    </row>
    <row r="1215" spans="4:5">
      <c r="D1215"/>
      <c r="E1215"/>
    </row>
    <row r="1216" spans="4:5">
      <c r="D1216"/>
      <c r="E1216"/>
    </row>
    <row r="1217" spans="4:5">
      <c r="D1217"/>
      <c r="E1217"/>
    </row>
    <row r="1218" spans="4:5">
      <c r="D1218"/>
      <c r="E1218"/>
    </row>
    <row r="1219" spans="4:5">
      <c r="D1219"/>
      <c r="E1219"/>
    </row>
    <row r="1220" spans="4:5">
      <c r="D1220"/>
      <c r="E1220"/>
    </row>
    <row r="1221" spans="4:5">
      <c r="D1221"/>
      <c r="E1221"/>
    </row>
    <row r="1222" spans="4:5">
      <c r="D1222"/>
      <c r="E1222"/>
    </row>
    <row r="1223" spans="4:5">
      <c r="D1223"/>
      <c r="E1223"/>
    </row>
    <row r="1224" spans="4:5">
      <c r="D1224"/>
      <c r="E1224"/>
    </row>
    <row r="1225" spans="4:5">
      <c r="D1225"/>
      <c r="E1225"/>
    </row>
    <row r="1226" spans="4:5">
      <c r="D1226"/>
      <c r="E1226"/>
    </row>
    <row r="1227" spans="4:5">
      <c r="D1227"/>
      <c r="E1227"/>
    </row>
    <row r="1228" spans="4:5">
      <c r="D1228"/>
      <c r="E1228"/>
    </row>
    <row r="1229" spans="4:5">
      <c r="D1229"/>
      <c r="E1229"/>
    </row>
    <row r="1230" spans="4:5">
      <c r="D1230"/>
      <c r="E1230"/>
    </row>
    <row r="1231" spans="4:5">
      <c r="D1231"/>
      <c r="E1231"/>
    </row>
    <row r="1232" spans="4:5">
      <c r="D1232"/>
      <c r="E1232"/>
    </row>
    <row r="1233" spans="4:5">
      <c r="D1233"/>
      <c r="E1233"/>
    </row>
    <row r="1234" spans="4:5">
      <c r="D1234"/>
      <c r="E1234"/>
    </row>
    <row r="1235" spans="4:5">
      <c r="D1235"/>
      <c r="E1235"/>
    </row>
    <row r="1236" spans="4:5">
      <c r="D1236"/>
      <c r="E1236"/>
    </row>
    <row r="1237" spans="4:5">
      <c r="D1237"/>
      <c r="E1237"/>
    </row>
    <row r="1238" spans="4:5">
      <c r="D1238"/>
      <c r="E1238"/>
    </row>
    <row r="1239" spans="4:5">
      <c r="D1239"/>
      <c r="E1239"/>
    </row>
    <row r="1240" spans="4:5">
      <c r="D1240"/>
      <c r="E1240"/>
    </row>
    <row r="1241" spans="4:5">
      <c r="D1241"/>
      <c r="E1241"/>
    </row>
    <row r="1242" spans="4:5">
      <c r="D1242"/>
      <c r="E1242"/>
    </row>
    <row r="1243" spans="4:5">
      <c r="D1243"/>
      <c r="E1243"/>
    </row>
    <row r="1244" spans="4:5">
      <c r="D1244"/>
      <c r="E1244"/>
    </row>
    <row r="1245" spans="4:5">
      <c r="D1245"/>
      <c r="E1245"/>
    </row>
    <row r="1246" spans="4:5">
      <c r="D1246"/>
      <c r="E1246"/>
    </row>
    <row r="1247" spans="4:5">
      <c r="D1247"/>
      <c r="E1247"/>
    </row>
    <row r="1248" spans="4:5">
      <c r="D1248"/>
      <c r="E1248"/>
    </row>
    <row r="1249" spans="4:5">
      <c r="D1249"/>
      <c r="E1249"/>
    </row>
    <row r="1250" spans="4:5">
      <c r="D1250"/>
      <c r="E1250"/>
    </row>
    <row r="1251" spans="4:5">
      <c r="D1251"/>
      <c r="E1251"/>
    </row>
    <row r="1252" spans="4:5">
      <c r="D1252"/>
      <c r="E1252"/>
    </row>
    <row r="1253" spans="4:5">
      <c r="D1253"/>
      <c r="E1253"/>
    </row>
    <row r="1254" spans="4:5">
      <c r="D1254"/>
      <c r="E1254"/>
    </row>
    <row r="1255" spans="4:5">
      <c r="D1255"/>
      <c r="E1255"/>
    </row>
    <row r="1256" spans="4:5">
      <c r="D1256"/>
      <c r="E1256"/>
    </row>
    <row r="1257" spans="4:5">
      <c r="D1257"/>
      <c r="E1257"/>
    </row>
    <row r="1258" spans="4:5">
      <c r="D1258"/>
      <c r="E1258"/>
    </row>
    <row r="1259" spans="4:5">
      <c r="D1259"/>
      <c r="E1259"/>
    </row>
    <row r="1260" spans="4:5">
      <c r="D1260"/>
      <c r="E1260"/>
    </row>
    <row r="1261" spans="4:5">
      <c r="D1261"/>
      <c r="E1261"/>
    </row>
    <row r="1262" spans="4:5">
      <c r="D1262"/>
      <c r="E1262"/>
    </row>
    <row r="1263" spans="4:5">
      <c r="D1263"/>
      <c r="E1263"/>
    </row>
    <row r="1264" spans="4:5">
      <c r="D1264"/>
      <c r="E1264"/>
    </row>
    <row r="1265" spans="4:5">
      <c r="D1265"/>
      <c r="E1265"/>
    </row>
    <row r="1266" spans="4:5">
      <c r="D1266"/>
      <c r="E1266"/>
    </row>
    <row r="1267" spans="4:5">
      <c r="D1267"/>
      <c r="E1267"/>
    </row>
    <row r="1268" spans="4:5">
      <c r="D1268"/>
      <c r="E1268"/>
    </row>
    <row r="1269" spans="4:5">
      <c r="D1269"/>
      <c r="E1269"/>
    </row>
    <row r="1270" spans="4:5">
      <c r="D1270"/>
      <c r="E1270"/>
    </row>
    <row r="1271" spans="4:5">
      <c r="D1271"/>
      <c r="E1271"/>
    </row>
    <row r="1272" spans="4:5">
      <c r="D1272"/>
      <c r="E1272"/>
    </row>
    <row r="1273" spans="4:5">
      <c r="D1273"/>
      <c r="E1273"/>
    </row>
    <row r="1274" spans="4:5">
      <c r="D1274"/>
      <c r="E1274"/>
    </row>
    <row r="1275" spans="4:5">
      <c r="D1275"/>
      <c r="E1275"/>
    </row>
    <row r="1276" spans="4:5">
      <c r="D1276"/>
      <c r="E1276"/>
    </row>
    <row r="1277" spans="4:5">
      <c r="D1277"/>
      <c r="E1277"/>
    </row>
    <row r="1278" spans="4:5">
      <c r="D1278"/>
      <c r="E1278"/>
    </row>
    <row r="1279" spans="4:5">
      <c r="D1279"/>
      <c r="E1279"/>
    </row>
  </sheetData>
  <mergeCells count="7">
    <mergeCell ref="F2:I2"/>
    <mergeCell ref="J2:M2"/>
    <mergeCell ref="B4:C4"/>
    <mergeCell ref="B2:B3"/>
    <mergeCell ref="C2:C3"/>
    <mergeCell ref="D2:D3"/>
    <mergeCell ref="E2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144"/>
  <sheetViews>
    <sheetView topLeftCell="A11" workbookViewId="0">
      <selection activeCell="C1" sqref="C1:H1"/>
    </sheetView>
  </sheetViews>
  <sheetFormatPr defaultRowHeight="15"/>
  <cols>
    <col min="1" max="1" width="6.75" style="1258" customWidth="1"/>
    <col min="2" max="2" width="57.25" style="1259" customWidth="1"/>
    <col min="3" max="3" width="10.375" style="1259" bestFit="1" customWidth="1"/>
    <col min="4" max="8" width="11" style="1259" customWidth="1"/>
    <col min="9" max="234" width="9" style="1259"/>
    <col min="235" max="235" width="6.75" style="1259" customWidth="1"/>
    <col min="236" max="236" width="57.25" style="1259" customWidth="1"/>
    <col min="237" max="237" width="11.5" style="1259" customWidth="1"/>
    <col min="238" max="238" width="19" style="1259" customWidth="1"/>
    <col min="239" max="260" width="0" style="1259" hidden="1" customWidth="1"/>
    <col min="261" max="261" width="9" style="1259"/>
    <col min="262" max="262" width="8.875" style="1259" bestFit="1" customWidth="1"/>
    <col min="263" max="490" width="9" style="1259"/>
    <col min="491" max="491" width="6.75" style="1259" customWidth="1"/>
    <col min="492" max="492" width="57.25" style="1259" customWidth="1"/>
    <col min="493" max="493" width="11.5" style="1259" customWidth="1"/>
    <col min="494" max="494" width="19" style="1259" customWidth="1"/>
    <col min="495" max="516" width="0" style="1259" hidden="1" customWidth="1"/>
    <col min="517" max="517" width="9" style="1259"/>
    <col min="518" max="518" width="8.875" style="1259" bestFit="1" customWidth="1"/>
    <col min="519" max="746" width="9" style="1259"/>
    <col min="747" max="747" width="6.75" style="1259" customWidth="1"/>
    <col min="748" max="748" width="57.25" style="1259" customWidth="1"/>
    <col min="749" max="749" width="11.5" style="1259" customWidth="1"/>
    <col min="750" max="750" width="19" style="1259" customWidth="1"/>
    <col min="751" max="772" width="0" style="1259" hidden="1" customWidth="1"/>
    <col min="773" max="773" width="9" style="1259"/>
    <col min="774" max="774" width="8.875" style="1259" bestFit="1" customWidth="1"/>
    <col min="775" max="1002" width="9" style="1259"/>
    <col min="1003" max="1003" width="6.75" style="1259" customWidth="1"/>
    <col min="1004" max="1004" width="57.25" style="1259" customWidth="1"/>
    <col min="1005" max="1005" width="11.5" style="1259" customWidth="1"/>
    <col min="1006" max="1006" width="19" style="1259" customWidth="1"/>
    <col min="1007" max="1028" width="0" style="1259" hidden="1" customWidth="1"/>
    <col min="1029" max="1029" width="9" style="1259"/>
    <col min="1030" max="1030" width="8.875" style="1259" bestFit="1" customWidth="1"/>
    <col min="1031" max="1258" width="9" style="1259"/>
    <col min="1259" max="1259" width="6.75" style="1259" customWidth="1"/>
    <col min="1260" max="1260" width="57.25" style="1259" customWidth="1"/>
    <col min="1261" max="1261" width="11.5" style="1259" customWidth="1"/>
    <col min="1262" max="1262" width="19" style="1259" customWidth="1"/>
    <col min="1263" max="1284" width="0" style="1259" hidden="1" customWidth="1"/>
    <col min="1285" max="1285" width="9" style="1259"/>
    <col min="1286" max="1286" width="8.875" style="1259" bestFit="1" customWidth="1"/>
    <col min="1287" max="1514" width="9" style="1259"/>
    <col min="1515" max="1515" width="6.75" style="1259" customWidth="1"/>
    <col min="1516" max="1516" width="57.25" style="1259" customWidth="1"/>
    <col min="1517" max="1517" width="11.5" style="1259" customWidth="1"/>
    <col min="1518" max="1518" width="19" style="1259" customWidth="1"/>
    <col min="1519" max="1540" width="0" style="1259" hidden="1" customWidth="1"/>
    <col min="1541" max="1541" width="9" style="1259"/>
    <col min="1542" max="1542" width="8.875" style="1259" bestFit="1" customWidth="1"/>
    <col min="1543" max="1770" width="9" style="1259"/>
    <col min="1771" max="1771" width="6.75" style="1259" customWidth="1"/>
    <col min="1772" max="1772" width="57.25" style="1259" customWidth="1"/>
    <col min="1773" max="1773" width="11.5" style="1259" customWidth="1"/>
    <col min="1774" max="1774" width="19" style="1259" customWidth="1"/>
    <col min="1775" max="1796" width="0" style="1259" hidden="1" customWidth="1"/>
    <col min="1797" max="1797" width="9" style="1259"/>
    <col min="1798" max="1798" width="8.875" style="1259" bestFit="1" customWidth="1"/>
    <col min="1799" max="2026" width="9" style="1259"/>
    <col min="2027" max="2027" width="6.75" style="1259" customWidth="1"/>
    <col min="2028" max="2028" width="57.25" style="1259" customWidth="1"/>
    <col min="2029" max="2029" width="11.5" style="1259" customWidth="1"/>
    <col min="2030" max="2030" width="19" style="1259" customWidth="1"/>
    <col min="2031" max="2052" width="0" style="1259" hidden="1" customWidth="1"/>
    <col min="2053" max="2053" width="9" style="1259"/>
    <col min="2054" max="2054" width="8.875" style="1259" bestFit="1" customWidth="1"/>
    <col min="2055" max="2282" width="9" style="1259"/>
    <col min="2283" max="2283" width="6.75" style="1259" customWidth="1"/>
    <col min="2284" max="2284" width="57.25" style="1259" customWidth="1"/>
    <col min="2285" max="2285" width="11.5" style="1259" customWidth="1"/>
    <col min="2286" max="2286" width="19" style="1259" customWidth="1"/>
    <col min="2287" max="2308" width="0" style="1259" hidden="1" customWidth="1"/>
    <col min="2309" max="2309" width="9" style="1259"/>
    <col min="2310" max="2310" width="8.875" style="1259" bestFit="1" customWidth="1"/>
    <col min="2311" max="2538" width="9" style="1259"/>
    <col min="2539" max="2539" width="6.75" style="1259" customWidth="1"/>
    <col min="2540" max="2540" width="57.25" style="1259" customWidth="1"/>
    <col min="2541" max="2541" width="11.5" style="1259" customWidth="1"/>
    <col min="2542" max="2542" width="19" style="1259" customWidth="1"/>
    <col min="2543" max="2564" width="0" style="1259" hidden="1" customWidth="1"/>
    <col min="2565" max="2565" width="9" style="1259"/>
    <col min="2566" max="2566" width="8.875" style="1259" bestFit="1" customWidth="1"/>
    <col min="2567" max="2794" width="9" style="1259"/>
    <col min="2795" max="2795" width="6.75" style="1259" customWidth="1"/>
    <col min="2796" max="2796" width="57.25" style="1259" customWidth="1"/>
    <col min="2797" max="2797" width="11.5" style="1259" customWidth="1"/>
    <col min="2798" max="2798" width="19" style="1259" customWidth="1"/>
    <col min="2799" max="2820" width="0" style="1259" hidden="1" customWidth="1"/>
    <col min="2821" max="2821" width="9" style="1259"/>
    <col min="2822" max="2822" width="8.875" style="1259" bestFit="1" customWidth="1"/>
    <col min="2823" max="3050" width="9" style="1259"/>
    <col min="3051" max="3051" width="6.75" style="1259" customWidth="1"/>
    <col min="3052" max="3052" width="57.25" style="1259" customWidth="1"/>
    <col min="3053" max="3053" width="11.5" style="1259" customWidth="1"/>
    <col min="3054" max="3054" width="19" style="1259" customWidth="1"/>
    <col min="3055" max="3076" width="0" style="1259" hidden="1" customWidth="1"/>
    <col min="3077" max="3077" width="9" style="1259"/>
    <col min="3078" max="3078" width="8.875" style="1259" bestFit="1" customWidth="1"/>
    <col min="3079" max="3306" width="9" style="1259"/>
    <col min="3307" max="3307" width="6.75" style="1259" customWidth="1"/>
    <col min="3308" max="3308" width="57.25" style="1259" customWidth="1"/>
    <col min="3309" max="3309" width="11.5" style="1259" customWidth="1"/>
    <col min="3310" max="3310" width="19" style="1259" customWidth="1"/>
    <col min="3311" max="3332" width="0" style="1259" hidden="1" customWidth="1"/>
    <col min="3333" max="3333" width="9" style="1259"/>
    <col min="3334" max="3334" width="8.875" style="1259" bestFit="1" customWidth="1"/>
    <col min="3335" max="3562" width="9" style="1259"/>
    <col min="3563" max="3563" width="6.75" style="1259" customWidth="1"/>
    <col min="3564" max="3564" width="57.25" style="1259" customWidth="1"/>
    <col min="3565" max="3565" width="11.5" style="1259" customWidth="1"/>
    <col min="3566" max="3566" width="19" style="1259" customWidth="1"/>
    <col min="3567" max="3588" width="0" style="1259" hidden="1" customWidth="1"/>
    <col min="3589" max="3589" width="9" style="1259"/>
    <col min="3590" max="3590" width="8.875" style="1259" bestFit="1" customWidth="1"/>
    <col min="3591" max="3818" width="9" style="1259"/>
    <col min="3819" max="3819" width="6.75" style="1259" customWidth="1"/>
    <col min="3820" max="3820" width="57.25" style="1259" customWidth="1"/>
    <col min="3821" max="3821" width="11.5" style="1259" customWidth="1"/>
    <col min="3822" max="3822" width="19" style="1259" customWidth="1"/>
    <col min="3823" max="3844" width="0" style="1259" hidden="1" customWidth="1"/>
    <col min="3845" max="3845" width="9" style="1259"/>
    <col min="3846" max="3846" width="8.875" style="1259" bestFit="1" customWidth="1"/>
    <col min="3847" max="4074" width="9" style="1259"/>
    <col min="4075" max="4075" width="6.75" style="1259" customWidth="1"/>
    <col min="4076" max="4076" width="57.25" style="1259" customWidth="1"/>
    <col min="4077" max="4077" width="11.5" style="1259" customWidth="1"/>
    <col min="4078" max="4078" width="19" style="1259" customWidth="1"/>
    <col min="4079" max="4100" width="0" style="1259" hidden="1" customWidth="1"/>
    <col min="4101" max="4101" width="9" style="1259"/>
    <col min="4102" max="4102" width="8.875" style="1259" bestFit="1" customWidth="1"/>
    <col min="4103" max="4330" width="9" style="1259"/>
    <col min="4331" max="4331" width="6.75" style="1259" customWidth="1"/>
    <col min="4332" max="4332" width="57.25" style="1259" customWidth="1"/>
    <col min="4333" max="4333" width="11.5" style="1259" customWidth="1"/>
    <col min="4334" max="4334" width="19" style="1259" customWidth="1"/>
    <col min="4335" max="4356" width="0" style="1259" hidden="1" customWidth="1"/>
    <col min="4357" max="4357" width="9" style="1259"/>
    <col min="4358" max="4358" width="8.875" style="1259" bestFit="1" customWidth="1"/>
    <col min="4359" max="4586" width="9" style="1259"/>
    <col min="4587" max="4587" width="6.75" style="1259" customWidth="1"/>
    <col min="4588" max="4588" width="57.25" style="1259" customWidth="1"/>
    <col min="4589" max="4589" width="11.5" style="1259" customWidth="1"/>
    <col min="4590" max="4590" width="19" style="1259" customWidth="1"/>
    <col min="4591" max="4612" width="0" style="1259" hidden="1" customWidth="1"/>
    <col min="4613" max="4613" width="9" style="1259"/>
    <col min="4614" max="4614" width="8.875" style="1259" bestFit="1" customWidth="1"/>
    <col min="4615" max="4842" width="9" style="1259"/>
    <col min="4843" max="4843" width="6.75" style="1259" customWidth="1"/>
    <col min="4844" max="4844" width="57.25" style="1259" customWidth="1"/>
    <col min="4845" max="4845" width="11.5" style="1259" customWidth="1"/>
    <col min="4846" max="4846" width="19" style="1259" customWidth="1"/>
    <col min="4847" max="4868" width="0" style="1259" hidden="1" customWidth="1"/>
    <col min="4869" max="4869" width="9" style="1259"/>
    <col min="4870" max="4870" width="8.875" style="1259" bestFit="1" customWidth="1"/>
    <col min="4871" max="5098" width="9" style="1259"/>
    <col min="5099" max="5099" width="6.75" style="1259" customWidth="1"/>
    <col min="5100" max="5100" width="57.25" style="1259" customWidth="1"/>
    <col min="5101" max="5101" width="11.5" style="1259" customWidth="1"/>
    <col min="5102" max="5102" width="19" style="1259" customWidth="1"/>
    <col min="5103" max="5124" width="0" style="1259" hidden="1" customWidth="1"/>
    <col min="5125" max="5125" width="9" style="1259"/>
    <col min="5126" max="5126" width="8.875" style="1259" bestFit="1" customWidth="1"/>
    <col min="5127" max="5354" width="9" style="1259"/>
    <col min="5355" max="5355" width="6.75" style="1259" customWidth="1"/>
    <col min="5356" max="5356" width="57.25" style="1259" customWidth="1"/>
    <col min="5357" max="5357" width="11.5" style="1259" customWidth="1"/>
    <col min="5358" max="5358" width="19" style="1259" customWidth="1"/>
    <col min="5359" max="5380" width="0" style="1259" hidden="1" customWidth="1"/>
    <col min="5381" max="5381" width="9" style="1259"/>
    <col min="5382" max="5382" width="8.875" style="1259" bestFit="1" customWidth="1"/>
    <col min="5383" max="5610" width="9" style="1259"/>
    <col min="5611" max="5611" width="6.75" style="1259" customWidth="1"/>
    <col min="5612" max="5612" width="57.25" style="1259" customWidth="1"/>
    <col min="5613" max="5613" width="11.5" style="1259" customWidth="1"/>
    <col min="5614" max="5614" width="19" style="1259" customWidth="1"/>
    <col min="5615" max="5636" width="0" style="1259" hidden="1" customWidth="1"/>
    <col min="5637" max="5637" width="9" style="1259"/>
    <col min="5638" max="5638" width="8.875" style="1259" bestFit="1" customWidth="1"/>
    <col min="5639" max="5866" width="9" style="1259"/>
    <col min="5867" max="5867" width="6.75" style="1259" customWidth="1"/>
    <col min="5868" max="5868" width="57.25" style="1259" customWidth="1"/>
    <col min="5869" max="5869" width="11.5" style="1259" customWidth="1"/>
    <col min="5870" max="5870" width="19" style="1259" customWidth="1"/>
    <col min="5871" max="5892" width="0" style="1259" hidden="1" customWidth="1"/>
    <col min="5893" max="5893" width="9" style="1259"/>
    <col min="5894" max="5894" width="8.875" style="1259" bestFit="1" customWidth="1"/>
    <col min="5895" max="6122" width="9" style="1259"/>
    <col min="6123" max="6123" width="6.75" style="1259" customWidth="1"/>
    <col min="6124" max="6124" width="57.25" style="1259" customWidth="1"/>
    <col min="6125" max="6125" width="11.5" style="1259" customWidth="1"/>
    <col min="6126" max="6126" width="19" style="1259" customWidth="1"/>
    <col min="6127" max="6148" width="0" style="1259" hidden="1" customWidth="1"/>
    <col min="6149" max="6149" width="9" style="1259"/>
    <col min="6150" max="6150" width="8.875" style="1259" bestFit="1" customWidth="1"/>
    <col min="6151" max="6378" width="9" style="1259"/>
    <col min="6379" max="6379" width="6.75" style="1259" customWidth="1"/>
    <col min="6380" max="6380" width="57.25" style="1259" customWidth="1"/>
    <col min="6381" max="6381" width="11.5" style="1259" customWidth="1"/>
    <col min="6382" max="6382" width="19" style="1259" customWidth="1"/>
    <col min="6383" max="6404" width="0" style="1259" hidden="1" customWidth="1"/>
    <col min="6405" max="6405" width="9" style="1259"/>
    <col min="6406" max="6406" width="8.875" style="1259" bestFit="1" customWidth="1"/>
    <col min="6407" max="6634" width="9" style="1259"/>
    <col min="6635" max="6635" width="6.75" style="1259" customWidth="1"/>
    <col min="6636" max="6636" width="57.25" style="1259" customWidth="1"/>
    <col min="6637" max="6637" width="11.5" style="1259" customWidth="1"/>
    <col min="6638" max="6638" width="19" style="1259" customWidth="1"/>
    <col min="6639" max="6660" width="0" style="1259" hidden="1" customWidth="1"/>
    <col min="6661" max="6661" width="9" style="1259"/>
    <col min="6662" max="6662" width="8.875" style="1259" bestFit="1" customWidth="1"/>
    <col min="6663" max="6890" width="9" style="1259"/>
    <col min="6891" max="6891" width="6.75" style="1259" customWidth="1"/>
    <col min="6892" max="6892" width="57.25" style="1259" customWidth="1"/>
    <col min="6893" max="6893" width="11.5" style="1259" customWidth="1"/>
    <col min="6894" max="6894" width="19" style="1259" customWidth="1"/>
    <col min="6895" max="6916" width="0" style="1259" hidden="1" customWidth="1"/>
    <col min="6917" max="6917" width="9" style="1259"/>
    <col min="6918" max="6918" width="8.875" style="1259" bestFit="1" customWidth="1"/>
    <col min="6919" max="7146" width="9" style="1259"/>
    <col min="7147" max="7147" width="6.75" style="1259" customWidth="1"/>
    <col min="7148" max="7148" width="57.25" style="1259" customWidth="1"/>
    <col min="7149" max="7149" width="11.5" style="1259" customWidth="1"/>
    <col min="7150" max="7150" width="19" style="1259" customWidth="1"/>
    <col min="7151" max="7172" width="0" style="1259" hidden="1" customWidth="1"/>
    <col min="7173" max="7173" width="9" style="1259"/>
    <col min="7174" max="7174" width="8.875" style="1259" bestFit="1" customWidth="1"/>
    <col min="7175" max="7402" width="9" style="1259"/>
    <col min="7403" max="7403" width="6.75" style="1259" customWidth="1"/>
    <col min="7404" max="7404" width="57.25" style="1259" customWidth="1"/>
    <col min="7405" max="7405" width="11.5" style="1259" customWidth="1"/>
    <col min="7406" max="7406" width="19" style="1259" customWidth="1"/>
    <col min="7407" max="7428" width="0" style="1259" hidden="1" customWidth="1"/>
    <col min="7429" max="7429" width="9" style="1259"/>
    <col min="7430" max="7430" width="8.875" style="1259" bestFit="1" customWidth="1"/>
    <col min="7431" max="7658" width="9" style="1259"/>
    <col min="7659" max="7659" width="6.75" style="1259" customWidth="1"/>
    <col min="7660" max="7660" width="57.25" style="1259" customWidth="1"/>
    <col min="7661" max="7661" width="11.5" style="1259" customWidth="1"/>
    <col min="7662" max="7662" width="19" style="1259" customWidth="1"/>
    <col min="7663" max="7684" width="0" style="1259" hidden="1" customWidth="1"/>
    <col min="7685" max="7685" width="9" style="1259"/>
    <col min="7686" max="7686" width="8.875" style="1259" bestFit="1" customWidth="1"/>
    <col min="7687" max="7914" width="9" style="1259"/>
    <col min="7915" max="7915" width="6.75" style="1259" customWidth="1"/>
    <col min="7916" max="7916" width="57.25" style="1259" customWidth="1"/>
    <col min="7917" max="7917" width="11.5" style="1259" customWidth="1"/>
    <col min="7918" max="7918" width="19" style="1259" customWidth="1"/>
    <col min="7919" max="7940" width="0" style="1259" hidden="1" customWidth="1"/>
    <col min="7941" max="7941" width="9" style="1259"/>
    <col min="7942" max="7942" width="8.875" style="1259" bestFit="1" customWidth="1"/>
    <col min="7943" max="8170" width="9" style="1259"/>
    <col min="8171" max="8171" width="6.75" style="1259" customWidth="1"/>
    <col min="8172" max="8172" width="57.25" style="1259" customWidth="1"/>
    <col min="8173" max="8173" width="11.5" style="1259" customWidth="1"/>
    <col min="8174" max="8174" width="19" style="1259" customWidth="1"/>
    <col min="8175" max="8196" width="0" style="1259" hidden="1" customWidth="1"/>
    <col min="8197" max="8197" width="9" style="1259"/>
    <col min="8198" max="8198" width="8.875" style="1259" bestFit="1" customWidth="1"/>
    <col min="8199" max="8426" width="9" style="1259"/>
    <col min="8427" max="8427" width="6.75" style="1259" customWidth="1"/>
    <col min="8428" max="8428" width="57.25" style="1259" customWidth="1"/>
    <col min="8429" max="8429" width="11.5" style="1259" customWidth="1"/>
    <col min="8430" max="8430" width="19" style="1259" customWidth="1"/>
    <col min="8431" max="8452" width="0" style="1259" hidden="1" customWidth="1"/>
    <col min="8453" max="8453" width="9" style="1259"/>
    <col min="8454" max="8454" width="8.875" style="1259" bestFit="1" customWidth="1"/>
    <col min="8455" max="8682" width="9" style="1259"/>
    <col min="8683" max="8683" width="6.75" style="1259" customWidth="1"/>
    <col min="8684" max="8684" width="57.25" style="1259" customWidth="1"/>
    <col min="8685" max="8685" width="11.5" style="1259" customWidth="1"/>
    <col min="8686" max="8686" width="19" style="1259" customWidth="1"/>
    <col min="8687" max="8708" width="0" style="1259" hidden="1" customWidth="1"/>
    <col min="8709" max="8709" width="9" style="1259"/>
    <col min="8710" max="8710" width="8.875" style="1259" bestFit="1" customWidth="1"/>
    <col min="8711" max="8938" width="9" style="1259"/>
    <col min="8939" max="8939" width="6.75" style="1259" customWidth="1"/>
    <col min="8940" max="8940" width="57.25" style="1259" customWidth="1"/>
    <col min="8941" max="8941" width="11.5" style="1259" customWidth="1"/>
    <col min="8942" max="8942" width="19" style="1259" customWidth="1"/>
    <col min="8943" max="8964" width="0" style="1259" hidden="1" customWidth="1"/>
    <col min="8965" max="8965" width="9" style="1259"/>
    <col min="8966" max="8966" width="8.875" style="1259" bestFit="1" customWidth="1"/>
    <col min="8967" max="9194" width="9" style="1259"/>
    <col min="9195" max="9195" width="6.75" style="1259" customWidth="1"/>
    <col min="9196" max="9196" width="57.25" style="1259" customWidth="1"/>
    <col min="9197" max="9197" width="11.5" style="1259" customWidth="1"/>
    <col min="9198" max="9198" width="19" style="1259" customWidth="1"/>
    <col min="9199" max="9220" width="0" style="1259" hidden="1" customWidth="1"/>
    <col min="9221" max="9221" width="9" style="1259"/>
    <col min="9222" max="9222" width="8.875" style="1259" bestFit="1" customWidth="1"/>
    <col min="9223" max="9450" width="9" style="1259"/>
    <col min="9451" max="9451" width="6.75" style="1259" customWidth="1"/>
    <col min="9452" max="9452" width="57.25" style="1259" customWidth="1"/>
    <col min="9453" max="9453" width="11.5" style="1259" customWidth="1"/>
    <col min="9454" max="9454" width="19" style="1259" customWidth="1"/>
    <col min="9455" max="9476" width="0" style="1259" hidden="1" customWidth="1"/>
    <col min="9477" max="9477" width="9" style="1259"/>
    <col min="9478" max="9478" width="8.875" style="1259" bestFit="1" customWidth="1"/>
    <col min="9479" max="9706" width="9" style="1259"/>
    <col min="9707" max="9707" width="6.75" style="1259" customWidth="1"/>
    <col min="9708" max="9708" width="57.25" style="1259" customWidth="1"/>
    <col min="9709" max="9709" width="11.5" style="1259" customWidth="1"/>
    <col min="9710" max="9710" width="19" style="1259" customWidth="1"/>
    <col min="9711" max="9732" width="0" style="1259" hidden="1" customWidth="1"/>
    <col min="9733" max="9733" width="9" style="1259"/>
    <col min="9734" max="9734" width="8.875" style="1259" bestFit="1" customWidth="1"/>
    <col min="9735" max="9962" width="9" style="1259"/>
    <col min="9963" max="9963" width="6.75" style="1259" customWidth="1"/>
    <col min="9964" max="9964" width="57.25" style="1259" customWidth="1"/>
    <col min="9965" max="9965" width="11.5" style="1259" customWidth="1"/>
    <col min="9966" max="9966" width="19" style="1259" customWidth="1"/>
    <col min="9967" max="9988" width="0" style="1259" hidden="1" customWidth="1"/>
    <col min="9989" max="9989" width="9" style="1259"/>
    <col min="9990" max="9990" width="8.875" style="1259" bestFit="1" customWidth="1"/>
    <col min="9991" max="10218" width="9" style="1259"/>
    <col min="10219" max="10219" width="6.75" style="1259" customWidth="1"/>
    <col min="10220" max="10220" width="57.25" style="1259" customWidth="1"/>
    <col min="10221" max="10221" width="11.5" style="1259" customWidth="1"/>
    <col min="10222" max="10222" width="19" style="1259" customWidth="1"/>
    <col min="10223" max="10244" width="0" style="1259" hidden="1" customWidth="1"/>
    <col min="10245" max="10245" width="9" style="1259"/>
    <col min="10246" max="10246" width="8.875" style="1259" bestFit="1" customWidth="1"/>
    <col min="10247" max="10474" width="9" style="1259"/>
    <col min="10475" max="10475" width="6.75" style="1259" customWidth="1"/>
    <col min="10476" max="10476" width="57.25" style="1259" customWidth="1"/>
    <col min="10477" max="10477" width="11.5" style="1259" customWidth="1"/>
    <col min="10478" max="10478" width="19" style="1259" customWidth="1"/>
    <col min="10479" max="10500" width="0" style="1259" hidden="1" customWidth="1"/>
    <col min="10501" max="10501" width="9" style="1259"/>
    <col min="10502" max="10502" width="8.875" style="1259" bestFit="1" customWidth="1"/>
    <col min="10503" max="10730" width="9" style="1259"/>
    <col min="10731" max="10731" width="6.75" style="1259" customWidth="1"/>
    <col min="10732" max="10732" width="57.25" style="1259" customWidth="1"/>
    <col min="10733" max="10733" width="11.5" style="1259" customWidth="1"/>
    <col min="10734" max="10734" width="19" style="1259" customWidth="1"/>
    <col min="10735" max="10756" width="0" style="1259" hidden="1" customWidth="1"/>
    <col min="10757" max="10757" width="9" style="1259"/>
    <col min="10758" max="10758" width="8.875" style="1259" bestFit="1" customWidth="1"/>
    <col min="10759" max="10986" width="9" style="1259"/>
    <col min="10987" max="10987" width="6.75" style="1259" customWidth="1"/>
    <col min="10988" max="10988" width="57.25" style="1259" customWidth="1"/>
    <col min="10989" max="10989" width="11.5" style="1259" customWidth="1"/>
    <col min="10990" max="10990" width="19" style="1259" customWidth="1"/>
    <col min="10991" max="11012" width="0" style="1259" hidden="1" customWidth="1"/>
    <col min="11013" max="11013" width="9" style="1259"/>
    <col min="11014" max="11014" width="8.875" style="1259" bestFit="1" customWidth="1"/>
    <col min="11015" max="11242" width="9" style="1259"/>
    <col min="11243" max="11243" width="6.75" style="1259" customWidth="1"/>
    <col min="11244" max="11244" width="57.25" style="1259" customWidth="1"/>
    <col min="11245" max="11245" width="11.5" style="1259" customWidth="1"/>
    <col min="11246" max="11246" width="19" style="1259" customWidth="1"/>
    <col min="11247" max="11268" width="0" style="1259" hidden="1" customWidth="1"/>
    <col min="11269" max="11269" width="9" style="1259"/>
    <col min="11270" max="11270" width="8.875" style="1259" bestFit="1" customWidth="1"/>
    <col min="11271" max="11498" width="9" style="1259"/>
    <col min="11499" max="11499" width="6.75" style="1259" customWidth="1"/>
    <col min="11500" max="11500" width="57.25" style="1259" customWidth="1"/>
    <col min="11501" max="11501" width="11.5" style="1259" customWidth="1"/>
    <col min="11502" max="11502" width="19" style="1259" customWidth="1"/>
    <col min="11503" max="11524" width="0" style="1259" hidden="1" customWidth="1"/>
    <col min="11525" max="11525" width="9" style="1259"/>
    <col min="11526" max="11526" width="8.875" style="1259" bestFit="1" customWidth="1"/>
    <col min="11527" max="11754" width="9" style="1259"/>
    <col min="11755" max="11755" width="6.75" style="1259" customWidth="1"/>
    <col min="11756" max="11756" width="57.25" style="1259" customWidth="1"/>
    <col min="11757" max="11757" width="11.5" style="1259" customWidth="1"/>
    <col min="11758" max="11758" width="19" style="1259" customWidth="1"/>
    <col min="11759" max="11780" width="0" style="1259" hidden="1" customWidth="1"/>
    <col min="11781" max="11781" width="9" style="1259"/>
    <col min="11782" max="11782" width="8.875" style="1259" bestFit="1" customWidth="1"/>
    <col min="11783" max="12010" width="9" style="1259"/>
    <col min="12011" max="12011" width="6.75" style="1259" customWidth="1"/>
    <col min="12012" max="12012" width="57.25" style="1259" customWidth="1"/>
    <col min="12013" max="12013" width="11.5" style="1259" customWidth="1"/>
    <col min="12014" max="12014" width="19" style="1259" customWidth="1"/>
    <col min="12015" max="12036" width="0" style="1259" hidden="1" customWidth="1"/>
    <col min="12037" max="12037" width="9" style="1259"/>
    <col min="12038" max="12038" width="8.875" style="1259" bestFit="1" customWidth="1"/>
    <col min="12039" max="12266" width="9" style="1259"/>
    <col min="12267" max="12267" width="6.75" style="1259" customWidth="1"/>
    <col min="12268" max="12268" width="57.25" style="1259" customWidth="1"/>
    <col min="12269" max="12269" width="11.5" style="1259" customWidth="1"/>
    <col min="12270" max="12270" width="19" style="1259" customWidth="1"/>
    <col min="12271" max="12292" width="0" style="1259" hidden="1" customWidth="1"/>
    <col min="12293" max="12293" width="9" style="1259"/>
    <col min="12294" max="12294" width="8.875" style="1259" bestFit="1" customWidth="1"/>
    <col min="12295" max="12522" width="9" style="1259"/>
    <col min="12523" max="12523" width="6.75" style="1259" customWidth="1"/>
    <col min="12524" max="12524" width="57.25" style="1259" customWidth="1"/>
    <col min="12525" max="12525" width="11.5" style="1259" customWidth="1"/>
    <col min="12526" max="12526" width="19" style="1259" customWidth="1"/>
    <col min="12527" max="12548" width="0" style="1259" hidden="1" customWidth="1"/>
    <col min="12549" max="12549" width="9" style="1259"/>
    <col min="12550" max="12550" width="8.875" style="1259" bestFit="1" customWidth="1"/>
    <col min="12551" max="12778" width="9" style="1259"/>
    <col min="12779" max="12779" width="6.75" style="1259" customWidth="1"/>
    <col min="12780" max="12780" width="57.25" style="1259" customWidth="1"/>
    <col min="12781" max="12781" width="11.5" style="1259" customWidth="1"/>
    <col min="12782" max="12782" width="19" style="1259" customWidth="1"/>
    <col min="12783" max="12804" width="0" style="1259" hidden="1" customWidth="1"/>
    <col min="12805" max="12805" width="9" style="1259"/>
    <col min="12806" max="12806" width="8.875" style="1259" bestFit="1" customWidth="1"/>
    <col min="12807" max="13034" width="9" style="1259"/>
    <col min="13035" max="13035" width="6.75" style="1259" customWidth="1"/>
    <col min="13036" max="13036" width="57.25" style="1259" customWidth="1"/>
    <col min="13037" max="13037" width="11.5" style="1259" customWidth="1"/>
    <col min="13038" max="13038" width="19" style="1259" customWidth="1"/>
    <col min="13039" max="13060" width="0" style="1259" hidden="1" customWidth="1"/>
    <col min="13061" max="13061" width="9" style="1259"/>
    <col min="13062" max="13062" width="8.875" style="1259" bestFit="1" customWidth="1"/>
    <col min="13063" max="13290" width="9" style="1259"/>
    <col min="13291" max="13291" width="6.75" style="1259" customWidth="1"/>
    <col min="13292" max="13292" width="57.25" style="1259" customWidth="1"/>
    <col min="13293" max="13293" width="11.5" style="1259" customWidth="1"/>
    <col min="13294" max="13294" width="19" style="1259" customWidth="1"/>
    <col min="13295" max="13316" width="0" style="1259" hidden="1" customWidth="1"/>
    <col min="13317" max="13317" width="9" style="1259"/>
    <col min="13318" max="13318" width="8.875" style="1259" bestFit="1" customWidth="1"/>
    <col min="13319" max="13546" width="9" style="1259"/>
    <col min="13547" max="13547" width="6.75" style="1259" customWidth="1"/>
    <col min="13548" max="13548" width="57.25" style="1259" customWidth="1"/>
    <col min="13549" max="13549" width="11.5" style="1259" customWidth="1"/>
    <col min="13550" max="13550" width="19" style="1259" customWidth="1"/>
    <col min="13551" max="13572" width="0" style="1259" hidden="1" customWidth="1"/>
    <col min="13573" max="13573" width="9" style="1259"/>
    <col min="13574" max="13574" width="8.875" style="1259" bestFit="1" customWidth="1"/>
    <col min="13575" max="13802" width="9" style="1259"/>
    <col min="13803" max="13803" width="6.75" style="1259" customWidth="1"/>
    <col min="13804" max="13804" width="57.25" style="1259" customWidth="1"/>
    <col min="13805" max="13805" width="11.5" style="1259" customWidth="1"/>
    <col min="13806" max="13806" width="19" style="1259" customWidth="1"/>
    <col min="13807" max="13828" width="0" style="1259" hidden="1" customWidth="1"/>
    <col min="13829" max="13829" width="9" style="1259"/>
    <col min="13830" max="13830" width="8.875" style="1259" bestFit="1" customWidth="1"/>
    <col min="13831" max="14058" width="9" style="1259"/>
    <col min="14059" max="14059" width="6.75" style="1259" customWidth="1"/>
    <col min="14060" max="14060" width="57.25" style="1259" customWidth="1"/>
    <col min="14061" max="14061" width="11.5" style="1259" customWidth="1"/>
    <col min="14062" max="14062" width="19" style="1259" customWidth="1"/>
    <col min="14063" max="14084" width="0" style="1259" hidden="1" customWidth="1"/>
    <col min="14085" max="14085" width="9" style="1259"/>
    <col min="14086" max="14086" width="8.875" style="1259" bestFit="1" customWidth="1"/>
    <col min="14087" max="14314" width="9" style="1259"/>
    <col min="14315" max="14315" width="6.75" style="1259" customWidth="1"/>
    <col min="14316" max="14316" width="57.25" style="1259" customWidth="1"/>
    <col min="14317" max="14317" width="11.5" style="1259" customWidth="1"/>
    <col min="14318" max="14318" width="19" style="1259" customWidth="1"/>
    <col min="14319" max="14340" width="0" style="1259" hidden="1" customWidth="1"/>
    <col min="14341" max="14341" width="9" style="1259"/>
    <col min="14342" max="14342" width="8.875" style="1259" bestFit="1" customWidth="1"/>
    <col min="14343" max="14570" width="9" style="1259"/>
    <col min="14571" max="14571" width="6.75" style="1259" customWidth="1"/>
    <col min="14572" max="14572" width="57.25" style="1259" customWidth="1"/>
    <col min="14573" max="14573" width="11.5" style="1259" customWidth="1"/>
    <col min="14574" max="14574" width="19" style="1259" customWidth="1"/>
    <col min="14575" max="14596" width="0" style="1259" hidden="1" customWidth="1"/>
    <col min="14597" max="14597" width="9" style="1259"/>
    <col min="14598" max="14598" width="8.875" style="1259" bestFit="1" customWidth="1"/>
    <col min="14599" max="14826" width="9" style="1259"/>
    <col min="14827" max="14827" width="6.75" style="1259" customWidth="1"/>
    <col min="14828" max="14828" width="57.25" style="1259" customWidth="1"/>
    <col min="14829" max="14829" width="11.5" style="1259" customWidth="1"/>
    <col min="14830" max="14830" width="19" style="1259" customWidth="1"/>
    <col min="14831" max="14852" width="0" style="1259" hidden="1" customWidth="1"/>
    <col min="14853" max="14853" width="9" style="1259"/>
    <col min="14854" max="14854" width="8.875" style="1259" bestFit="1" customWidth="1"/>
    <col min="14855" max="15082" width="9" style="1259"/>
    <col min="15083" max="15083" width="6.75" style="1259" customWidth="1"/>
    <col min="15084" max="15084" width="57.25" style="1259" customWidth="1"/>
    <col min="15085" max="15085" width="11.5" style="1259" customWidth="1"/>
    <col min="15086" max="15086" width="19" style="1259" customWidth="1"/>
    <col min="15087" max="15108" width="0" style="1259" hidden="1" customWidth="1"/>
    <col min="15109" max="15109" width="9" style="1259"/>
    <col min="15110" max="15110" width="8.875" style="1259" bestFit="1" customWidth="1"/>
    <col min="15111" max="15338" width="9" style="1259"/>
    <col min="15339" max="15339" width="6.75" style="1259" customWidth="1"/>
    <col min="15340" max="15340" width="57.25" style="1259" customWidth="1"/>
    <col min="15341" max="15341" width="11.5" style="1259" customWidth="1"/>
    <col min="15342" max="15342" width="19" style="1259" customWidth="1"/>
    <col min="15343" max="15364" width="0" style="1259" hidden="1" customWidth="1"/>
    <col min="15365" max="15365" width="9" style="1259"/>
    <col min="15366" max="15366" width="8.875" style="1259" bestFit="1" customWidth="1"/>
    <col min="15367" max="15594" width="9" style="1259"/>
    <col min="15595" max="15595" width="6.75" style="1259" customWidth="1"/>
    <col min="15596" max="15596" width="57.25" style="1259" customWidth="1"/>
    <col min="15597" max="15597" width="11.5" style="1259" customWidth="1"/>
    <col min="15598" max="15598" width="19" style="1259" customWidth="1"/>
    <col min="15599" max="15620" width="0" style="1259" hidden="1" customWidth="1"/>
    <col min="15621" max="15621" width="9" style="1259"/>
    <col min="15622" max="15622" width="8.875" style="1259" bestFit="1" customWidth="1"/>
    <col min="15623" max="15850" width="9" style="1259"/>
    <col min="15851" max="15851" width="6.75" style="1259" customWidth="1"/>
    <col min="15852" max="15852" width="57.25" style="1259" customWidth="1"/>
    <col min="15853" max="15853" width="11.5" style="1259" customWidth="1"/>
    <col min="15854" max="15854" width="19" style="1259" customWidth="1"/>
    <col min="15855" max="15876" width="0" style="1259" hidden="1" customWidth="1"/>
    <col min="15877" max="15877" width="9" style="1259"/>
    <col min="15878" max="15878" width="8.875" style="1259" bestFit="1" customWidth="1"/>
    <col min="15879" max="16106" width="9" style="1259"/>
    <col min="16107" max="16107" width="6.75" style="1259" customWidth="1"/>
    <col min="16108" max="16108" width="57.25" style="1259" customWidth="1"/>
    <col min="16109" max="16109" width="11.5" style="1259" customWidth="1"/>
    <col min="16110" max="16110" width="19" style="1259" customWidth="1"/>
    <col min="16111" max="16132" width="0" style="1259" hidden="1" customWidth="1"/>
    <col min="16133" max="16133" width="9" style="1259"/>
    <col min="16134" max="16134" width="8.875" style="1259" bestFit="1" customWidth="1"/>
    <col min="16135" max="16384" width="9" style="1259"/>
  </cols>
  <sheetData>
    <row r="1" spans="1:8" ht="103.9" customHeight="1">
      <c r="C1" s="1676" t="s">
        <v>545</v>
      </c>
      <c r="D1" s="1676"/>
      <c r="E1" s="1676"/>
      <c r="F1" s="1676"/>
      <c r="G1" s="1677"/>
      <c r="H1" s="1677"/>
    </row>
    <row r="2" spans="1:8" ht="18" customHeight="1">
      <c r="B2" s="1678"/>
      <c r="C2" s="1678"/>
      <c r="D2" s="1678"/>
    </row>
    <row r="3" spans="1:8" ht="81.75" customHeight="1">
      <c r="A3" s="1679" t="s">
        <v>546</v>
      </c>
      <c r="B3" s="1679"/>
      <c r="C3" s="1679"/>
      <c r="D3" s="1679"/>
      <c r="E3" s="1679"/>
      <c r="F3" s="1679"/>
      <c r="G3" s="1680"/>
      <c r="H3" s="1680"/>
    </row>
    <row r="4" spans="1:8" s="1260" customFormat="1" ht="19.149999999999999" customHeight="1">
      <c r="A4" s="1681" t="s">
        <v>83</v>
      </c>
      <c r="B4" s="1681" t="s">
        <v>10</v>
      </c>
      <c r="C4" s="1683" t="s">
        <v>547</v>
      </c>
      <c r="D4" s="1685" t="s">
        <v>548</v>
      </c>
      <c r="E4" s="1686"/>
      <c r="F4" s="1686"/>
      <c r="G4" s="1687"/>
      <c r="H4" s="1688"/>
    </row>
    <row r="5" spans="1:8" s="1260" customFormat="1" ht="19.899999999999999" customHeight="1">
      <c r="A5" s="1682"/>
      <c r="B5" s="1682"/>
      <c r="C5" s="1684"/>
      <c r="D5" s="1261" t="s">
        <v>549</v>
      </c>
      <c r="E5" s="1261" t="s">
        <v>550</v>
      </c>
      <c r="F5" s="1261" t="s">
        <v>551</v>
      </c>
      <c r="G5" s="1262" t="s">
        <v>552</v>
      </c>
      <c r="H5" s="1262" t="s">
        <v>553</v>
      </c>
    </row>
    <row r="6" spans="1:8" s="1267" customFormat="1" ht="20.25" customHeight="1">
      <c r="A6" s="1263">
        <v>1</v>
      </c>
      <c r="B6" s="1263">
        <v>2</v>
      </c>
      <c r="C6" s="1263">
        <v>3</v>
      </c>
      <c r="D6" s="1264">
        <v>4</v>
      </c>
      <c r="E6" s="1265">
        <v>5</v>
      </c>
      <c r="F6" s="1265">
        <v>6</v>
      </c>
      <c r="G6" s="1266">
        <v>7</v>
      </c>
      <c r="H6" s="1266">
        <v>8</v>
      </c>
    </row>
    <row r="7" spans="1:8" s="1273" customFormat="1" ht="36.75" customHeight="1">
      <c r="A7" s="1268">
        <v>1</v>
      </c>
      <c r="B7" s="1269" t="s">
        <v>554</v>
      </c>
      <c r="C7" s="1270" t="s">
        <v>13</v>
      </c>
      <c r="D7" s="1271">
        <f>[188]тарифы!L8</f>
        <v>26741</v>
      </c>
      <c r="E7" s="1271">
        <f>[188]тарифы!P8</f>
        <v>26741</v>
      </c>
      <c r="F7" s="1271">
        <f>[188]тарифы!T8</f>
        <v>26741</v>
      </c>
      <c r="G7" s="1272">
        <v>26741</v>
      </c>
      <c r="H7" s="1272">
        <v>26741</v>
      </c>
    </row>
    <row r="8" spans="1:8" ht="33" customHeight="1">
      <c r="A8" s="1268">
        <v>2</v>
      </c>
      <c r="B8" s="1269" t="s">
        <v>555</v>
      </c>
      <c r="C8" s="1270" t="s">
        <v>556</v>
      </c>
      <c r="D8" s="1274">
        <v>10.291</v>
      </c>
      <c r="E8" s="1274">
        <f>D8</f>
        <v>10.291</v>
      </c>
      <c r="F8" s="1274">
        <f>E8</f>
        <v>10.291</v>
      </c>
      <c r="G8" s="1270">
        <v>10.29</v>
      </c>
      <c r="H8" s="1270">
        <v>10.29</v>
      </c>
    </row>
    <row r="9" spans="1:8" s="1277" customFormat="1" ht="24" customHeight="1">
      <c r="A9" s="1275">
        <v>3</v>
      </c>
      <c r="B9" s="1269" t="s">
        <v>15</v>
      </c>
      <c r="C9" s="1272" t="s">
        <v>3</v>
      </c>
      <c r="D9" s="1276">
        <v>104.6</v>
      </c>
      <c r="E9" s="1276">
        <v>103.4</v>
      </c>
      <c r="F9" s="1276">
        <v>104</v>
      </c>
      <c r="G9" s="1276">
        <f>F9</f>
        <v>104</v>
      </c>
      <c r="H9" s="1276">
        <f>G9</f>
        <v>104</v>
      </c>
    </row>
    <row r="10" spans="1:8" s="1277" customFormat="1" ht="22.5" hidden="1" customHeight="1">
      <c r="A10" s="1275">
        <v>4</v>
      </c>
      <c r="B10" s="1269" t="s">
        <v>557</v>
      </c>
      <c r="C10" s="1272"/>
      <c r="D10" s="1278"/>
      <c r="E10" s="1278"/>
      <c r="F10" s="1278"/>
      <c r="G10" s="1278"/>
      <c r="H10" s="1278"/>
    </row>
    <row r="11" spans="1:8" s="1277" customFormat="1" ht="20.25" customHeight="1">
      <c r="A11" s="1275"/>
      <c r="B11" s="1279" t="s">
        <v>558</v>
      </c>
      <c r="C11" s="1272" t="s">
        <v>3</v>
      </c>
      <c r="D11" s="1280">
        <v>101.4</v>
      </c>
      <c r="E11" s="1280">
        <v>103</v>
      </c>
      <c r="F11" s="1280">
        <v>103</v>
      </c>
      <c r="G11" s="1280">
        <f>F11</f>
        <v>103</v>
      </c>
      <c r="H11" s="1280">
        <f>G11</f>
        <v>103</v>
      </c>
    </row>
    <row r="12" spans="1:8" s="1277" customFormat="1" ht="20.25" customHeight="1">
      <c r="A12" s="1275"/>
      <c r="B12" s="1279" t="s">
        <v>559</v>
      </c>
      <c r="C12" s="1272" t="s">
        <v>3</v>
      </c>
      <c r="D12" s="1280">
        <v>105.9</v>
      </c>
      <c r="E12" s="1280">
        <v>104.2</v>
      </c>
      <c r="F12" s="1280">
        <v>104</v>
      </c>
      <c r="G12" s="1280">
        <f t="shared" ref="G12:H14" si="0">F12</f>
        <v>104</v>
      </c>
      <c r="H12" s="1280">
        <f t="shared" si="0"/>
        <v>104</v>
      </c>
    </row>
    <row r="13" spans="1:8" s="1277" customFormat="1" ht="20.25" customHeight="1">
      <c r="A13" s="1275"/>
      <c r="B13" s="1279" t="s">
        <v>560</v>
      </c>
      <c r="C13" s="1272" t="s">
        <v>3</v>
      </c>
      <c r="D13" s="1280">
        <v>105.9</v>
      </c>
      <c r="E13" s="1280">
        <v>104.2</v>
      </c>
      <c r="F13" s="1280">
        <v>104</v>
      </c>
      <c r="G13" s="1280">
        <f t="shared" si="0"/>
        <v>104</v>
      </c>
      <c r="H13" s="1280">
        <f t="shared" si="0"/>
        <v>104</v>
      </c>
    </row>
    <row r="14" spans="1:8" s="1277" customFormat="1" ht="20.25" customHeight="1">
      <c r="A14" s="1275"/>
      <c r="B14" s="1279" t="s">
        <v>561</v>
      </c>
      <c r="C14" s="1272" t="s">
        <v>3</v>
      </c>
      <c r="D14" s="1280">
        <v>108</v>
      </c>
      <c r="E14" s="1280">
        <v>108</v>
      </c>
      <c r="F14" s="1280">
        <v>104</v>
      </c>
      <c r="G14" s="1280">
        <f t="shared" si="0"/>
        <v>104</v>
      </c>
      <c r="H14" s="1280">
        <f t="shared" si="0"/>
        <v>104</v>
      </c>
    </row>
    <row r="15" spans="1:8" s="1277" customFormat="1" ht="18" customHeight="1">
      <c r="A15" s="1275">
        <v>4</v>
      </c>
      <c r="B15" s="1269" t="s">
        <v>562</v>
      </c>
      <c r="C15" s="1272" t="s">
        <v>3</v>
      </c>
      <c r="D15" s="1272">
        <v>0</v>
      </c>
      <c r="E15" s="1272">
        <v>0</v>
      </c>
      <c r="F15" s="1272">
        <v>0</v>
      </c>
      <c r="G15" s="1272">
        <v>0</v>
      </c>
      <c r="H15" s="1272">
        <v>0</v>
      </c>
    </row>
    <row r="16" spans="1:8" s="1277" customFormat="1" ht="31.5">
      <c r="A16" s="1275">
        <v>5</v>
      </c>
      <c r="B16" s="1269" t="s">
        <v>563</v>
      </c>
      <c r="C16" s="1272" t="s">
        <v>13</v>
      </c>
      <c r="D16" s="1272" t="s">
        <v>564</v>
      </c>
      <c r="E16" s="1272" t="s">
        <v>564</v>
      </c>
      <c r="F16" s="1272" t="s">
        <v>564</v>
      </c>
      <c r="G16" s="1272" t="s">
        <v>564</v>
      </c>
      <c r="H16" s="1272" t="s">
        <v>564</v>
      </c>
    </row>
    <row r="17" spans="1:8" s="1277" customFormat="1" ht="49.5" customHeight="1">
      <c r="A17" s="1275">
        <v>6</v>
      </c>
      <c r="B17" s="1269" t="s">
        <v>565</v>
      </c>
      <c r="C17" s="1272" t="s">
        <v>13</v>
      </c>
      <c r="D17" s="1272">
        <v>272.83999999999997</v>
      </c>
      <c r="E17" s="1272">
        <v>272.83999999999997</v>
      </c>
      <c r="F17" s="1272">
        <f>E17</f>
        <v>272.83999999999997</v>
      </c>
      <c r="G17" s="1281">
        <v>272.83999999999997</v>
      </c>
      <c r="H17" s="1281">
        <v>272.83999999999997</v>
      </c>
    </row>
    <row r="18" spans="1:8" s="1277" customFormat="1" ht="31.5">
      <c r="A18" s="1275">
        <v>7</v>
      </c>
      <c r="B18" s="1269" t="s">
        <v>566</v>
      </c>
      <c r="C18" s="1282" t="s">
        <v>567</v>
      </c>
      <c r="D18" s="1272" t="s">
        <v>564</v>
      </c>
      <c r="E18" s="1272" t="s">
        <v>564</v>
      </c>
      <c r="F18" s="1272" t="s">
        <v>564</v>
      </c>
      <c r="G18" s="1272" t="s">
        <v>564</v>
      </c>
      <c r="H18" s="1272" t="s">
        <v>564</v>
      </c>
    </row>
    <row r="19" spans="1:8" s="1277" customFormat="1" ht="31.5">
      <c r="A19" s="1275">
        <v>8</v>
      </c>
      <c r="B19" s="1269" t="s">
        <v>568</v>
      </c>
      <c r="C19" s="1282" t="s">
        <v>567</v>
      </c>
      <c r="D19" s="1272">
        <v>148.41</v>
      </c>
      <c r="E19" s="1272">
        <v>148.24</v>
      </c>
      <c r="F19" s="1272">
        <v>148.06</v>
      </c>
      <c r="G19" s="1272">
        <v>147.88</v>
      </c>
      <c r="H19" s="1272">
        <v>147.69999999999999</v>
      </c>
    </row>
    <row r="20" spans="1:8" s="1277" customFormat="1" ht="18" customHeight="1">
      <c r="A20" s="1275">
        <v>9</v>
      </c>
      <c r="B20" s="1269" t="s">
        <v>569</v>
      </c>
      <c r="C20" s="1272"/>
      <c r="D20" s="1272" t="s">
        <v>564</v>
      </c>
      <c r="E20" s="1272" t="s">
        <v>564</v>
      </c>
      <c r="F20" s="1272" t="s">
        <v>564</v>
      </c>
      <c r="G20" s="1272" t="s">
        <v>564</v>
      </c>
      <c r="H20" s="1272" t="s">
        <v>564</v>
      </c>
    </row>
    <row r="21" spans="1:8" s="1285" customFormat="1" ht="31.5">
      <c r="A21" s="1283">
        <v>10</v>
      </c>
      <c r="B21" s="1284" t="s">
        <v>570</v>
      </c>
      <c r="C21" s="1271"/>
      <c r="D21" s="1272" t="s">
        <v>564</v>
      </c>
      <c r="E21" s="1272" t="s">
        <v>564</v>
      </c>
      <c r="F21" s="1272" t="s">
        <v>564</v>
      </c>
      <c r="G21" s="1272" t="s">
        <v>564</v>
      </c>
      <c r="H21" s="1272" t="s">
        <v>564</v>
      </c>
    </row>
    <row r="22" spans="1:8" s="1277" customFormat="1" ht="110.25">
      <c r="A22" s="1275">
        <v>11</v>
      </c>
      <c r="B22" s="1269" t="s">
        <v>571</v>
      </c>
      <c r="C22" s="1272"/>
      <c r="D22" s="1272" t="s">
        <v>564</v>
      </c>
      <c r="E22" s="1272" t="s">
        <v>564</v>
      </c>
      <c r="F22" s="1272" t="s">
        <v>564</v>
      </c>
      <c r="G22" s="1272" t="s">
        <v>564</v>
      </c>
      <c r="H22" s="1272" t="s">
        <v>564</v>
      </c>
    </row>
    <row r="23" spans="1:8" s="1277" customFormat="1" ht="24" customHeight="1">
      <c r="A23" s="1275">
        <v>12</v>
      </c>
      <c r="B23" s="1269" t="s">
        <v>572</v>
      </c>
      <c r="C23" s="1272" t="s">
        <v>21</v>
      </c>
      <c r="D23" s="1272" t="s">
        <v>564</v>
      </c>
      <c r="E23" s="1272" t="s">
        <v>564</v>
      </c>
      <c r="F23" s="1272" t="s">
        <v>564</v>
      </c>
      <c r="G23" s="1272" t="s">
        <v>564</v>
      </c>
      <c r="H23" s="1272" t="s">
        <v>564</v>
      </c>
    </row>
    <row r="24" spans="1:8" s="1277" customFormat="1" ht="15.75">
      <c r="A24" s="1673" t="s">
        <v>33</v>
      </c>
      <c r="B24" s="1674"/>
      <c r="C24" s="1674"/>
      <c r="D24" s="1675"/>
      <c r="E24" s="1286"/>
      <c r="F24" s="1286"/>
      <c r="G24" s="1287"/>
      <c r="H24" s="1287"/>
    </row>
    <row r="25" spans="1:8" s="1277" customFormat="1" ht="26.25" customHeight="1">
      <c r="A25" s="1288"/>
      <c r="B25" s="1289" t="s">
        <v>573</v>
      </c>
      <c r="C25" s="1290" t="s">
        <v>12</v>
      </c>
      <c r="D25" s="1288">
        <f>D131/D7*1000</f>
        <v>734.87004973635999</v>
      </c>
      <c r="E25" s="1288">
        <f>E131/E7*1000</f>
        <v>749.08492576941762</v>
      </c>
      <c r="F25" s="1288">
        <f>F131/F7*1000</f>
        <v>770.63311020530273</v>
      </c>
      <c r="G25" s="1288">
        <f t="shared" ref="G25:H25" si="1">G131/G7*1000</f>
        <v>792.80019445794846</v>
      </c>
      <c r="H25" s="1288">
        <f t="shared" si="1"/>
        <v>815.60375453423569</v>
      </c>
    </row>
    <row r="26" spans="1:8" s="1277" customFormat="1" ht="31.5" hidden="1">
      <c r="A26" s="1291"/>
      <c r="B26" s="1292" t="s">
        <v>574</v>
      </c>
      <c r="C26" s="1292"/>
      <c r="D26" s="1293"/>
    </row>
    <row r="27" spans="1:8" s="1277" customFormat="1" ht="15.75" hidden="1">
      <c r="A27" s="1294"/>
      <c r="B27" s="1287"/>
      <c r="C27" s="1287"/>
      <c r="D27" s="1295"/>
    </row>
    <row r="28" spans="1:8" s="1277" customFormat="1" ht="15.75" hidden="1">
      <c r="A28" s="1294"/>
      <c r="B28" s="1287"/>
      <c r="C28" s="1287"/>
      <c r="D28" s="1295"/>
    </row>
    <row r="29" spans="1:8" s="1277" customFormat="1" ht="15.75" hidden="1">
      <c r="A29" s="1294"/>
      <c r="B29" s="1287"/>
      <c r="C29" s="1287"/>
      <c r="D29" s="1295"/>
    </row>
    <row r="30" spans="1:8" s="1277" customFormat="1" ht="15.75" hidden="1">
      <c r="A30" s="1294"/>
      <c r="B30" s="1287"/>
      <c r="C30" s="1287"/>
      <c r="D30" s="1295"/>
    </row>
    <row r="31" spans="1:8" s="1277" customFormat="1" ht="15.75" hidden="1">
      <c r="A31" s="1294"/>
      <c r="B31" s="1287"/>
      <c r="C31" s="1287"/>
      <c r="D31" s="1295"/>
    </row>
    <row r="32" spans="1:8" s="1277" customFormat="1" ht="15.75" hidden="1">
      <c r="A32" s="1294"/>
      <c r="B32" s="1287"/>
      <c r="C32" s="1287"/>
      <c r="D32" s="1295"/>
    </row>
    <row r="33" spans="1:4" s="1277" customFormat="1" ht="15.75" hidden="1">
      <c r="A33" s="1294"/>
      <c r="B33" s="1287"/>
      <c r="C33" s="1287"/>
      <c r="D33" s="1295"/>
    </row>
    <row r="34" spans="1:4" s="1277" customFormat="1" ht="15.75" hidden="1">
      <c r="A34" s="1294"/>
      <c r="B34" s="1287"/>
      <c r="C34" s="1287"/>
      <c r="D34" s="1295"/>
    </row>
    <row r="35" spans="1:4" s="1277" customFormat="1" ht="15.75" hidden="1">
      <c r="A35" s="1294"/>
      <c r="B35" s="1287"/>
      <c r="C35" s="1287"/>
      <c r="D35" s="1295"/>
    </row>
    <row r="36" spans="1:4" s="1277" customFormat="1" ht="15.75" hidden="1">
      <c r="A36" s="1294"/>
      <c r="B36" s="1287"/>
      <c r="C36" s="1287"/>
      <c r="D36" s="1295"/>
    </row>
    <row r="37" spans="1:4" s="1277" customFormat="1" ht="15.75" hidden="1">
      <c r="A37" s="1294"/>
      <c r="B37" s="1287"/>
      <c r="C37" s="1287"/>
      <c r="D37" s="1295"/>
    </row>
    <row r="38" spans="1:4" s="1277" customFormat="1" ht="15.75" hidden="1">
      <c r="A38" s="1294"/>
      <c r="B38" s="1295"/>
      <c r="C38" s="1295"/>
      <c r="D38" s="1295"/>
    </row>
    <row r="39" spans="1:4" s="1277" customFormat="1" ht="15.75" hidden="1">
      <c r="A39" s="1294"/>
      <c r="B39" s="1295"/>
      <c r="C39" s="1295"/>
      <c r="D39" s="1295"/>
    </row>
    <row r="40" spans="1:4" s="1277" customFormat="1" ht="15.75" hidden="1">
      <c r="A40" s="1294"/>
      <c r="B40" s="1295"/>
      <c r="C40" s="1295"/>
      <c r="D40" s="1295"/>
    </row>
    <row r="41" spans="1:4" s="1277" customFormat="1" ht="15.75" hidden="1">
      <c r="A41" s="1294"/>
      <c r="B41" s="1295"/>
      <c r="C41" s="1295"/>
      <c r="D41" s="1295"/>
    </row>
    <row r="42" spans="1:4" s="1277" customFormat="1" ht="15.75" hidden="1">
      <c r="A42" s="1294"/>
      <c r="B42" s="1295"/>
      <c r="C42" s="1295"/>
      <c r="D42" s="1295"/>
    </row>
    <row r="43" spans="1:4" s="1277" customFormat="1" ht="15.75" hidden="1">
      <c r="A43" s="1294"/>
      <c r="B43" s="1295"/>
      <c r="C43" s="1295"/>
      <c r="D43" s="1295"/>
    </row>
    <row r="44" spans="1:4" s="1277" customFormat="1" ht="15.75" hidden="1">
      <c r="A44" s="1294"/>
      <c r="B44" s="1295"/>
      <c r="C44" s="1295"/>
      <c r="D44" s="1295"/>
    </row>
    <row r="45" spans="1:4" s="1277" customFormat="1" ht="15.75" hidden="1">
      <c r="A45" s="1294"/>
      <c r="B45" s="1295"/>
      <c r="C45" s="1295"/>
      <c r="D45" s="1295"/>
    </row>
    <row r="46" spans="1:4" s="1277" customFormat="1" ht="15.75" hidden="1">
      <c r="A46" s="1294"/>
      <c r="B46" s="1295"/>
      <c r="C46" s="1295"/>
      <c r="D46" s="1295"/>
    </row>
    <row r="47" spans="1:4" s="1277" customFormat="1" ht="15.75" hidden="1">
      <c r="A47" s="1294"/>
      <c r="B47" s="1295"/>
      <c r="C47" s="1295"/>
      <c r="D47" s="1295"/>
    </row>
    <row r="48" spans="1:4" s="1277" customFormat="1" ht="15.75" hidden="1">
      <c r="A48" s="1294"/>
      <c r="B48" s="1295"/>
      <c r="C48" s="1295"/>
      <c r="D48" s="1295"/>
    </row>
    <row r="49" spans="1:4" s="1277" customFormat="1" ht="15.75" hidden="1">
      <c r="A49" s="1294"/>
      <c r="B49" s="1295"/>
      <c r="C49" s="1295"/>
      <c r="D49" s="1295"/>
    </row>
    <row r="50" spans="1:4" s="1277" customFormat="1" ht="15.75" hidden="1">
      <c r="A50" s="1294"/>
      <c r="B50" s="1295"/>
      <c r="C50" s="1295"/>
      <c r="D50" s="1295"/>
    </row>
    <row r="51" spans="1:4" s="1277" customFormat="1" ht="15.75" hidden="1">
      <c r="A51" s="1294"/>
      <c r="B51" s="1295"/>
      <c r="C51" s="1295"/>
      <c r="D51" s="1295"/>
    </row>
    <row r="52" spans="1:4" s="1277" customFormat="1" ht="15.75" hidden="1">
      <c r="A52" s="1294"/>
      <c r="B52" s="1295"/>
      <c r="C52" s="1295"/>
      <c r="D52" s="1295"/>
    </row>
    <row r="53" spans="1:4" s="1277" customFormat="1" ht="15.75" hidden="1">
      <c r="A53" s="1294"/>
      <c r="B53" s="1295"/>
      <c r="C53" s="1295"/>
      <c r="D53" s="1295"/>
    </row>
    <row r="54" spans="1:4" s="1277" customFormat="1" ht="15.75" hidden="1">
      <c r="A54" s="1294"/>
      <c r="B54" s="1295"/>
      <c r="C54" s="1295"/>
      <c r="D54" s="1295"/>
    </row>
    <row r="55" spans="1:4" s="1277" customFormat="1" ht="15.75" hidden="1">
      <c r="A55" s="1294"/>
      <c r="B55" s="1295"/>
      <c r="C55" s="1295"/>
      <c r="D55" s="1295"/>
    </row>
    <row r="56" spans="1:4" s="1277" customFormat="1" ht="15.75" hidden="1">
      <c r="A56" s="1294"/>
      <c r="B56" s="1295"/>
      <c r="C56" s="1295"/>
      <c r="D56" s="1295"/>
    </row>
    <row r="57" spans="1:4" s="1277" customFormat="1" ht="15.75" hidden="1">
      <c r="A57" s="1294"/>
      <c r="B57" s="1295"/>
      <c r="C57" s="1295"/>
      <c r="D57" s="1295"/>
    </row>
    <row r="58" spans="1:4" s="1277" customFormat="1" ht="15.75" hidden="1">
      <c r="A58" s="1294"/>
      <c r="B58" s="1295"/>
      <c r="C58" s="1295"/>
      <c r="D58" s="1295"/>
    </row>
    <row r="59" spans="1:4" s="1277" customFormat="1" ht="15.75" hidden="1">
      <c r="A59" s="1294"/>
      <c r="B59" s="1295"/>
      <c r="C59" s="1295"/>
      <c r="D59" s="1295"/>
    </row>
    <row r="60" spans="1:4" s="1277" customFormat="1" ht="15.75" hidden="1">
      <c r="A60" s="1294"/>
      <c r="B60" s="1295"/>
      <c r="C60" s="1295"/>
      <c r="D60" s="1295"/>
    </row>
    <row r="61" spans="1:4" s="1277" customFormat="1" ht="15.75" hidden="1">
      <c r="A61" s="1294"/>
      <c r="B61" s="1295"/>
      <c r="C61" s="1295"/>
      <c r="D61" s="1295"/>
    </row>
    <row r="62" spans="1:4" s="1277" customFormat="1" ht="15.75" hidden="1">
      <c r="A62" s="1294"/>
      <c r="B62" s="1295"/>
      <c r="C62" s="1295"/>
      <c r="D62" s="1295"/>
    </row>
    <row r="63" spans="1:4" s="1277" customFormat="1" ht="15.75" hidden="1">
      <c r="A63" s="1294"/>
      <c r="B63" s="1295"/>
      <c r="C63" s="1295"/>
      <c r="D63" s="1295"/>
    </row>
    <row r="64" spans="1:4" s="1277" customFormat="1" ht="15.75" hidden="1">
      <c r="A64" s="1294"/>
      <c r="B64" s="1295"/>
      <c r="C64" s="1295"/>
      <c r="D64" s="1295"/>
    </row>
    <row r="65" spans="1:4" s="1277" customFormat="1" ht="15.75" hidden="1">
      <c r="A65" s="1294"/>
      <c r="B65" s="1295"/>
      <c r="C65" s="1295"/>
      <c r="D65" s="1295"/>
    </row>
    <row r="66" spans="1:4" s="1277" customFormat="1" ht="15.75" hidden="1">
      <c r="A66" s="1294"/>
      <c r="B66" s="1295"/>
      <c r="C66" s="1295"/>
      <c r="D66" s="1295"/>
    </row>
    <row r="67" spans="1:4" s="1277" customFormat="1" ht="15.75" hidden="1">
      <c r="A67" s="1294"/>
      <c r="B67" s="1295"/>
      <c r="C67" s="1295"/>
      <c r="D67" s="1295"/>
    </row>
    <row r="68" spans="1:4" s="1277" customFormat="1" ht="15.75" hidden="1">
      <c r="A68" s="1294"/>
      <c r="B68" s="1295"/>
      <c r="C68" s="1295"/>
      <c r="D68" s="1295"/>
    </row>
    <row r="69" spans="1:4" s="1277" customFormat="1" ht="15.75" hidden="1">
      <c r="A69" s="1294"/>
      <c r="B69" s="1295"/>
      <c r="C69" s="1295"/>
      <c r="D69" s="1295"/>
    </row>
    <row r="70" spans="1:4" s="1277" customFormat="1" ht="15.75" hidden="1">
      <c r="A70" s="1294"/>
      <c r="B70" s="1295"/>
      <c r="C70" s="1295"/>
      <c r="D70" s="1295"/>
    </row>
    <row r="71" spans="1:4" s="1277" customFormat="1" ht="15.75" hidden="1">
      <c r="A71" s="1294"/>
      <c r="B71" s="1295"/>
      <c r="C71" s="1295"/>
      <c r="D71" s="1295"/>
    </row>
    <row r="72" spans="1:4" s="1277" customFormat="1" ht="15.75" hidden="1">
      <c r="A72" s="1294"/>
      <c r="B72" s="1295"/>
      <c r="C72" s="1295"/>
      <c r="D72" s="1295"/>
    </row>
    <row r="73" spans="1:4" s="1277" customFormat="1" ht="15.75" hidden="1">
      <c r="A73" s="1294"/>
      <c r="B73" s="1295"/>
      <c r="C73" s="1295"/>
      <c r="D73" s="1295"/>
    </row>
    <row r="74" spans="1:4" s="1277" customFormat="1" ht="15.75" hidden="1">
      <c r="A74" s="1294"/>
      <c r="B74" s="1295"/>
      <c r="C74" s="1295"/>
      <c r="D74" s="1295"/>
    </row>
    <row r="75" spans="1:4" s="1277" customFormat="1" ht="15.75" hidden="1">
      <c r="A75" s="1294"/>
      <c r="B75" s="1295"/>
      <c r="C75" s="1295"/>
      <c r="D75" s="1295"/>
    </row>
    <row r="76" spans="1:4" s="1277" customFormat="1" ht="15.75" hidden="1">
      <c r="A76" s="1294"/>
      <c r="B76" s="1295"/>
      <c r="C76" s="1295"/>
      <c r="D76" s="1295"/>
    </row>
    <row r="77" spans="1:4" s="1277" customFormat="1" ht="15.75" hidden="1">
      <c r="A77" s="1294"/>
      <c r="B77" s="1295"/>
      <c r="C77" s="1295"/>
      <c r="D77" s="1295"/>
    </row>
    <row r="78" spans="1:4" s="1277" customFormat="1" ht="15.75" hidden="1">
      <c r="A78" s="1294"/>
      <c r="B78" s="1295"/>
      <c r="C78" s="1295"/>
      <c r="D78" s="1295"/>
    </row>
    <row r="79" spans="1:4" s="1277" customFormat="1" ht="15.75" hidden="1">
      <c r="A79" s="1294"/>
      <c r="B79" s="1295"/>
      <c r="C79" s="1295"/>
      <c r="D79" s="1295"/>
    </row>
    <row r="80" spans="1:4" s="1277" customFormat="1" ht="15.75" hidden="1">
      <c r="A80" s="1294"/>
      <c r="B80" s="1295"/>
      <c r="C80" s="1295"/>
      <c r="D80" s="1295"/>
    </row>
    <row r="81" spans="1:4" s="1277" customFormat="1" ht="15.75" hidden="1">
      <c r="A81" s="1294"/>
      <c r="B81" s="1295"/>
      <c r="C81" s="1295"/>
      <c r="D81" s="1295"/>
    </row>
    <row r="82" spans="1:4" s="1277" customFormat="1" ht="15.75" hidden="1">
      <c r="A82" s="1273"/>
    </row>
    <row r="83" spans="1:4" s="1277" customFormat="1" ht="15.75" hidden="1">
      <c r="A83" s="1273"/>
    </row>
    <row r="84" spans="1:4" s="1277" customFormat="1" ht="15.75" hidden="1">
      <c r="A84" s="1273"/>
    </row>
    <row r="85" spans="1:4" s="1277" customFormat="1" ht="15.75" hidden="1">
      <c r="A85" s="1273"/>
    </row>
    <row r="86" spans="1:4" s="1277" customFormat="1" ht="15.75" hidden="1">
      <c r="A86" s="1273"/>
    </row>
    <row r="87" spans="1:4" s="1277" customFormat="1" ht="15.75" hidden="1">
      <c r="A87" s="1273"/>
    </row>
    <row r="88" spans="1:4" s="1277" customFormat="1" ht="15.75" hidden="1">
      <c r="A88" s="1273"/>
    </row>
    <row r="89" spans="1:4" s="1277" customFormat="1" ht="15.75" hidden="1">
      <c r="A89" s="1273"/>
    </row>
    <row r="90" spans="1:4" s="1277" customFormat="1" ht="15.75" hidden="1">
      <c r="A90" s="1273"/>
    </row>
    <row r="91" spans="1:4" s="1277" customFormat="1" ht="15.75" hidden="1">
      <c r="A91" s="1273"/>
    </row>
    <row r="92" spans="1:4" s="1277" customFormat="1" ht="15.75" hidden="1">
      <c r="A92" s="1273"/>
    </row>
    <row r="93" spans="1:4" s="1277" customFormat="1" ht="15.75" hidden="1">
      <c r="A93" s="1273"/>
    </row>
    <row r="94" spans="1:4" s="1277" customFormat="1" ht="15.75" hidden="1">
      <c r="A94" s="1273"/>
    </row>
    <row r="95" spans="1:4" s="1277" customFormat="1" ht="15.75" hidden="1">
      <c r="A95" s="1273"/>
    </row>
    <row r="96" spans="1:4" s="1277" customFormat="1" ht="15.75" hidden="1">
      <c r="A96" s="1273"/>
    </row>
    <row r="97" spans="1:1" s="1277" customFormat="1" ht="15.75" hidden="1">
      <c r="A97" s="1273"/>
    </row>
    <row r="98" spans="1:1" s="1277" customFormat="1" ht="15.75" hidden="1">
      <c r="A98" s="1273"/>
    </row>
    <row r="99" spans="1:1" s="1277" customFormat="1" ht="15.75" hidden="1">
      <c r="A99" s="1273"/>
    </row>
    <row r="100" spans="1:1" s="1277" customFormat="1" ht="15.75" hidden="1">
      <c r="A100" s="1273"/>
    </row>
    <row r="101" spans="1:1" s="1277" customFormat="1" ht="15.75" hidden="1">
      <c r="A101" s="1273"/>
    </row>
    <row r="102" spans="1:1" s="1277" customFormat="1" ht="15.75" hidden="1">
      <c r="A102" s="1273"/>
    </row>
    <row r="103" spans="1:1" s="1277" customFormat="1" ht="15.75" hidden="1">
      <c r="A103" s="1273"/>
    </row>
    <row r="104" spans="1:1" s="1277" customFormat="1" ht="15.75" hidden="1">
      <c r="A104" s="1273"/>
    </row>
    <row r="105" spans="1:1" s="1277" customFormat="1" ht="15.75" hidden="1">
      <c r="A105" s="1273"/>
    </row>
    <row r="106" spans="1:1" s="1277" customFormat="1" ht="15.75" hidden="1">
      <c r="A106" s="1273"/>
    </row>
    <row r="107" spans="1:1" s="1277" customFormat="1" ht="15.75" hidden="1">
      <c r="A107" s="1273"/>
    </row>
    <row r="108" spans="1:1" s="1277" customFormat="1" ht="15.75" hidden="1">
      <c r="A108" s="1273"/>
    </row>
    <row r="109" spans="1:1" s="1277" customFormat="1" ht="15.75" hidden="1">
      <c r="A109" s="1273"/>
    </row>
    <row r="110" spans="1:1" s="1277" customFormat="1" ht="15.75" hidden="1">
      <c r="A110" s="1273"/>
    </row>
    <row r="111" spans="1:1" s="1277" customFormat="1" ht="15.75" hidden="1">
      <c r="A111" s="1273"/>
    </row>
    <row r="112" spans="1:1" s="1277" customFormat="1" ht="15.75" hidden="1">
      <c r="A112" s="1273"/>
    </row>
    <row r="113" spans="1:1" s="1277" customFormat="1" ht="15.75" hidden="1">
      <c r="A113" s="1273"/>
    </row>
    <row r="114" spans="1:1" s="1277" customFormat="1" ht="15.75" hidden="1">
      <c r="A114" s="1273"/>
    </row>
    <row r="115" spans="1:1" s="1277" customFormat="1" ht="15.75" hidden="1">
      <c r="A115" s="1273"/>
    </row>
    <row r="116" spans="1:1" s="1277" customFormat="1" ht="15.75" hidden="1">
      <c r="A116" s="1273"/>
    </row>
    <row r="117" spans="1:1" s="1277" customFormat="1" ht="15.75" hidden="1">
      <c r="A117" s="1273"/>
    </row>
    <row r="118" spans="1:1" s="1277" customFormat="1" ht="15.75" hidden="1">
      <c r="A118" s="1273"/>
    </row>
    <row r="119" spans="1:1" s="1277" customFormat="1" ht="15.75" hidden="1">
      <c r="A119" s="1273"/>
    </row>
    <row r="120" spans="1:1" s="1277" customFormat="1" ht="15.75" hidden="1">
      <c r="A120" s="1273"/>
    </row>
    <row r="121" spans="1:1" s="1277" customFormat="1" ht="15.75" hidden="1">
      <c r="A121" s="1273"/>
    </row>
    <row r="122" spans="1:1" s="1277" customFormat="1" ht="15.75" hidden="1">
      <c r="A122" s="1273"/>
    </row>
    <row r="123" spans="1:1" s="1277" customFormat="1" ht="15.75" hidden="1">
      <c r="A123" s="1273"/>
    </row>
    <row r="124" spans="1:1" s="1277" customFormat="1" ht="15.75" hidden="1">
      <c r="A124" s="1273"/>
    </row>
    <row r="125" spans="1:1" s="1277" customFormat="1" ht="15.75" hidden="1">
      <c r="A125" s="1273"/>
    </row>
    <row r="126" spans="1:1" s="1277" customFormat="1" ht="15.75" hidden="1">
      <c r="A126" s="1273"/>
    </row>
    <row r="127" spans="1:1" s="1277" customFormat="1" ht="15.75" hidden="1">
      <c r="A127" s="1273"/>
    </row>
    <row r="128" spans="1:1" s="1277" customFormat="1" ht="15.75" hidden="1">
      <c r="A128" s="1273"/>
    </row>
    <row r="129" spans="1:8" s="1277" customFormat="1" ht="15.75" hidden="1">
      <c r="A129" s="1273"/>
    </row>
    <row r="130" spans="1:8" s="1277" customFormat="1" ht="15.75">
      <c r="A130" s="1273"/>
    </row>
    <row r="131" spans="1:8" s="1297" customFormat="1" ht="15.75">
      <c r="A131" s="1296"/>
      <c r="D131" s="1298">
        <f>'[189]Кальк.2019-2023 (ДИ)'!P16</f>
        <v>19651.16</v>
      </c>
      <c r="E131" s="1298">
        <f>'[189]Кальк.2019-2023 (ДИ)'!AB16</f>
        <v>20031.28</v>
      </c>
      <c r="F131" s="1298">
        <f>'[189]Кальк.2019-2023 (ДИ)'!AN16</f>
        <v>20607.5</v>
      </c>
      <c r="G131" s="1297">
        <f>'[189]Кальк.2019-2023 (ДИ)'!AZ16</f>
        <v>21200.27</v>
      </c>
      <c r="H131" s="1297">
        <f>'[189]Кальк.2019-2023 (ДИ)'!BL16</f>
        <v>21810.059999999998</v>
      </c>
    </row>
    <row r="132" spans="1:8" s="1277" customFormat="1" ht="15.75">
      <c r="A132" s="1273"/>
    </row>
    <row r="133" spans="1:8" s="1277" customFormat="1" ht="15.75">
      <c r="A133" s="1273"/>
    </row>
    <row r="134" spans="1:8" s="1277" customFormat="1" ht="15.75">
      <c r="A134" s="1273"/>
    </row>
    <row r="135" spans="1:8" s="1277" customFormat="1" ht="15.75">
      <c r="A135" s="1273"/>
    </row>
    <row r="136" spans="1:8" s="1277" customFormat="1" ht="15.75">
      <c r="A136" s="1273"/>
    </row>
    <row r="137" spans="1:8" s="1277" customFormat="1" ht="15.75">
      <c r="A137" s="1273"/>
    </row>
    <row r="138" spans="1:8" s="1277" customFormat="1" ht="15.75">
      <c r="A138" s="1273"/>
    </row>
    <row r="139" spans="1:8" s="1277" customFormat="1" ht="15.75">
      <c r="A139" s="1273"/>
    </row>
    <row r="140" spans="1:8" s="1277" customFormat="1" ht="15.75">
      <c r="A140" s="1273"/>
    </row>
    <row r="141" spans="1:8" s="1277" customFormat="1" ht="15.75">
      <c r="A141" s="1273"/>
    </row>
    <row r="142" spans="1:8" s="1277" customFormat="1" ht="15.75">
      <c r="A142" s="1273"/>
    </row>
    <row r="143" spans="1:8" s="1277" customFormat="1" ht="15.75">
      <c r="A143" s="1273"/>
    </row>
    <row r="144" spans="1:8" s="1277" customFormat="1" ht="15.75">
      <c r="A144" s="1273"/>
    </row>
  </sheetData>
  <mergeCells count="8">
    <mergeCell ref="A24:D24"/>
    <mergeCell ref="C1:H1"/>
    <mergeCell ref="B2:D2"/>
    <mergeCell ref="A3:H3"/>
    <mergeCell ref="A4:A5"/>
    <mergeCell ref="B4:B5"/>
    <mergeCell ref="C4:C5"/>
    <mergeCell ref="D4:H4"/>
  </mergeCells>
  <printOptions horizontalCentered="1"/>
  <pageMargins left="0.31" right="0.24" top="0.15748031496062992" bottom="0.35433070866141736" header="0.31496062992125984" footer="0.31496062992125984"/>
  <pageSetup paperSize="9" scale="71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15</vt:i4>
      </vt:variant>
    </vt:vector>
  </HeadingPairs>
  <TitlesOfParts>
    <vt:vector size="32" baseType="lpstr">
      <vt:lpstr>индексы</vt:lpstr>
      <vt:lpstr>Кальк.2019-2023 (ДИ) (3)</vt:lpstr>
      <vt:lpstr>Кальк.2019-2023 (ДИ) (2)</vt:lpstr>
      <vt:lpstr>Кальк.2019-2023 (ДИ)</vt:lpstr>
      <vt:lpstr>Тарифное меню (3)</vt:lpstr>
      <vt:lpstr>Тарифное меню (2)</vt:lpstr>
      <vt:lpstr>Тарифное меню</vt:lpstr>
      <vt:lpstr>подконтрольные</vt:lpstr>
      <vt:lpstr>Прил2</vt:lpstr>
      <vt:lpstr>Прил3</vt:lpstr>
      <vt:lpstr>прил4</vt:lpstr>
      <vt:lpstr>прил 4 к расп</vt:lpstr>
      <vt:lpstr>переменные на 5 лет</vt:lpstr>
      <vt:lpstr>учет итогов</vt:lpstr>
      <vt:lpstr>Лист1</vt:lpstr>
      <vt:lpstr>амор</vt:lpstr>
      <vt:lpstr>Лист2</vt:lpstr>
      <vt:lpstr>'Кальк.2019-2023 (ДИ)'!Заголовки_для_печати</vt:lpstr>
      <vt:lpstr>'Кальк.2019-2023 (ДИ) (2)'!Заголовки_для_печати</vt:lpstr>
      <vt:lpstr>'Кальк.2019-2023 (ДИ) (3)'!Заголовки_для_печати</vt:lpstr>
      <vt:lpstr>индексы!Область_печати</vt:lpstr>
      <vt:lpstr>'Кальк.2019-2023 (ДИ)'!Область_печати</vt:lpstr>
      <vt:lpstr>'Кальк.2019-2023 (ДИ) (2)'!Область_печати</vt:lpstr>
      <vt:lpstr>'Кальк.2019-2023 (ДИ) (3)'!Область_печати</vt:lpstr>
      <vt:lpstr>'прил 4 к расп'!Область_печати</vt:lpstr>
      <vt:lpstr>Прил2!Область_печати</vt:lpstr>
      <vt:lpstr>Прил3!Область_печати</vt:lpstr>
      <vt:lpstr>прил4!Область_печати</vt:lpstr>
      <vt:lpstr>'Тарифное меню'!Область_печати</vt:lpstr>
      <vt:lpstr>'Тарифное меню (2)'!Область_печати</vt:lpstr>
      <vt:lpstr>'Тарифное меню (3)'!Область_печати</vt:lpstr>
      <vt:lpstr>'учет итогов'!Область_печати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buh</dc:creator>
  <cp:lastModifiedBy>Баранова Е.О.</cp:lastModifiedBy>
  <cp:lastPrinted>2018-12-11T06:07:19Z</cp:lastPrinted>
  <dcterms:created xsi:type="dcterms:W3CDTF">2012-12-25T10:57:38Z</dcterms:created>
  <dcterms:modified xsi:type="dcterms:W3CDTF">2018-12-11T14:56:12Z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